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5840" tabRatio="691"/>
  </bookViews>
  <sheets>
    <sheet name="Реестр" sheetId="14" r:id="rId1"/>
    <sheet name="Перечень" sheetId="15" r:id="rId2"/>
    <sheet name="Рес обесп" sheetId="16" r:id="rId3"/>
    <sheet name="Плановые показатели" sheetId="17" r:id="rId4"/>
    <sheet name="Спец.счета КП 2020-2022" sheetId="12" r:id="rId5"/>
    <sheet name="Зачет" sheetId="18" r:id="rId6"/>
    <sheet name="Реестр_бонусы" sheetId="8" r:id="rId7"/>
    <sheet name="Перечень_бонусы" sheetId="13" r:id="rId8"/>
    <sheet name="Планируемые показат_бонусы" sheetId="10" r:id="rId9"/>
  </sheets>
  <externalReferences>
    <externalReference r:id="rId10"/>
  </externalReferences>
  <definedNames>
    <definedName name="_xlnm._FilterDatabase" localSheetId="5" hidden="1">Зачет!$A$13:$WWK$13</definedName>
    <definedName name="_xlnm._FilterDatabase" localSheetId="1" hidden="1">Перечень!$A$15:$HM$1291</definedName>
    <definedName name="_xlnm._FilterDatabase" localSheetId="7" hidden="1">Перечень_бонусы!$A$11:$Q$241</definedName>
    <definedName name="_xlnm._FilterDatabase" localSheetId="3" hidden="1">'Плановые показатели'!$A$9:$K$208</definedName>
    <definedName name="_xlnm._FilterDatabase" localSheetId="0" hidden="1">Реестр!$A$21:$HR$1298</definedName>
    <definedName name="_xlnm._FilterDatabase" localSheetId="6" hidden="1">Реестр_бонусы!$A$13:$AN$242</definedName>
    <definedName name="_xlnm._FilterDatabase" localSheetId="4" hidden="1">'Спец.счета КП 2020-2022'!$A$11:$AB$486</definedName>
    <definedName name="_xlnm.Print_Area" localSheetId="5">Зачет!$A$1:$AC$16</definedName>
    <definedName name="_xlnm.Print_Area" localSheetId="1">Перечень!$B$1:$AP$1291</definedName>
    <definedName name="_xlnm.Print_Area" localSheetId="0">Реестр!$B$1:$BY$1297</definedName>
    <definedName name="_xlnm.Print_Area" localSheetId="2">'Рес обесп'!$A$1:$C$45</definedName>
    <definedName name="_xlnm.Print_Area" localSheetId="4">'Спец.счета КП 2020-2022'!$A$1:$AB$486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8" l="1"/>
  <c r="AB15" i="18"/>
  <c r="AA15" i="18"/>
  <c r="Z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E14" i="18"/>
  <c r="AB13" i="18"/>
  <c r="AA13" i="18"/>
  <c r="Z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 s="1"/>
  <c r="E12" i="18" s="1"/>
  <c r="E11" i="18" s="1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F10" i="18"/>
  <c r="E10" i="18"/>
  <c r="F222" i="17"/>
  <c r="F210" i="17"/>
  <c r="E210" i="17"/>
  <c r="D210" i="17"/>
  <c r="C210" i="17"/>
  <c r="F205" i="17"/>
  <c r="E205" i="17"/>
  <c r="D205" i="17"/>
  <c r="C205" i="17"/>
  <c r="F145" i="17"/>
  <c r="E145" i="17"/>
  <c r="D145" i="17"/>
  <c r="C145" i="17"/>
  <c r="F79" i="17"/>
  <c r="E79" i="17"/>
  <c r="D79" i="17"/>
  <c r="C79" i="17"/>
  <c r="F11" i="17"/>
  <c r="E11" i="17"/>
  <c r="D11" i="17"/>
  <c r="C11" i="17"/>
  <c r="F10" i="17"/>
  <c r="E10" i="17"/>
  <c r="D10" i="17"/>
  <c r="C10" i="17"/>
  <c r="C44" i="16"/>
  <c r="C43" i="16"/>
  <c r="C45" i="16" s="1"/>
  <c r="C41" i="16"/>
  <c r="C29" i="16"/>
  <c r="C28" i="16"/>
  <c r="C27" i="16"/>
  <c r="C22" i="16"/>
  <c r="C21" i="16"/>
  <c r="C19" i="16"/>
  <c r="C23" i="16" s="1"/>
  <c r="C15" i="16"/>
  <c r="C14" i="16"/>
  <c r="C12" i="16"/>
  <c r="C16" i="16" s="1"/>
  <c r="C8" i="16"/>
  <c r="C7" i="16"/>
  <c r="C5" i="16"/>
  <c r="C9" i="16" s="1"/>
  <c r="AL1291" i="15"/>
  <c r="AJ1291" i="15"/>
  <c r="AF1291" i="15"/>
  <c r="W1291" i="15"/>
  <c r="V1291" i="15" s="1"/>
  <c r="T1291" i="15"/>
  <c r="S1291" i="15"/>
  <c r="U1290" i="15"/>
  <c r="S1290" i="15"/>
  <c r="R1290" i="15"/>
  <c r="Q1290" i="15"/>
  <c r="P1290" i="15"/>
  <c r="L1290" i="15"/>
  <c r="K1290" i="15"/>
  <c r="J1290" i="15"/>
  <c r="I1290" i="15"/>
  <c r="AL1289" i="15"/>
  <c r="AJ1289" i="15"/>
  <c r="AF1289" i="15"/>
  <c r="W1289" i="15" s="1"/>
  <c r="V1289" i="15" s="1"/>
  <c r="T1289" i="15"/>
  <c r="S1289" i="15"/>
  <c r="S1288" i="15" s="1"/>
  <c r="U1288" i="15"/>
  <c r="R1288" i="15"/>
  <c r="R1283" i="15" s="1"/>
  <c r="Q1288" i="15"/>
  <c r="P1288" i="15"/>
  <c r="P1283" i="15" s="1"/>
  <c r="L1288" i="15"/>
  <c r="K1288" i="15"/>
  <c r="K1283" i="15" s="1"/>
  <c r="J1288" i="15"/>
  <c r="I1288" i="15"/>
  <c r="I1283" i="15" s="1"/>
  <c r="AL1287" i="15"/>
  <c r="AJ1287" i="15"/>
  <c r="AF1287" i="15"/>
  <c r="W1287" i="15"/>
  <c r="V1287" i="15" s="1"/>
  <c r="T1287" i="15"/>
  <c r="S1287" i="15"/>
  <c r="AL1286" i="15"/>
  <c r="AF1286" i="15"/>
  <c r="W1286" i="15" s="1"/>
  <c r="V1286" i="15" s="1"/>
  <c r="T1286" i="15"/>
  <c r="S1286" i="15"/>
  <c r="AL1285" i="15"/>
  <c r="AF1285" i="15"/>
  <c r="W1285" i="15"/>
  <c r="V1285" i="15" s="1"/>
  <c r="T1285" i="15"/>
  <c r="S1285" i="15"/>
  <c r="U1284" i="15"/>
  <c r="S1284" i="15"/>
  <c r="R1284" i="15"/>
  <c r="Q1284" i="15"/>
  <c r="Q1283" i="15" s="1"/>
  <c r="P1284" i="15"/>
  <c r="L1284" i="15"/>
  <c r="K1284" i="15"/>
  <c r="J1284" i="15"/>
  <c r="J1283" i="15" s="1"/>
  <c r="I1284" i="15"/>
  <c r="U1283" i="15"/>
  <c r="L1283" i="15"/>
  <c r="AL1281" i="15"/>
  <c r="AJ1281" i="15"/>
  <c r="AF1281" i="15"/>
  <c r="W1281" i="15" s="1"/>
  <c r="V1281" i="15" s="1"/>
  <c r="P1281" i="15"/>
  <c r="T1281" i="15" s="1"/>
  <c r="U1280" i="15"/>
  <c r="S1280" i="15"/>
  <c r="R1280" i="15"/>
  <c r="Q1280" i="15"/>
  <c r="P1280" i="15"/>
  <c r="L1280" i="15"/>
  <c r="K1280" i="15"/>
  <c r="J1280" i="15"/>
  <c r="I1280" i="15"/>
  <c r="AL1279" i="15"/>
  <c r="AJ1279" i="15"/>
  <c r="AF1279" i="15"/>
  <c r="W1279" i="15"/>
  <c r="V1279" i="15" s="1"/>
  <c r="T1279" i="15"/>
  <c r="U1278" i="15"/>
  <c r="S1278" i="15"/>
  <c r="R1278" i="15"/>
  <c r="Q1278" i="15"/>
  <c r="P1278" i="15"/>
  <c r="L1278" i="15"/>
  <c r="K1278" i="15"/>
  <c r="J1278" i="15"/>
  <c r="I1278" i="15"/>
  <c r="AL1277" i="15"/>
  <c r="AJ1277" i="15"/>
  <c r="AF1277" i="15"/>
  <c r="W1277" i="15"/>
  <c r="V1277" i="15" s="1"/>
  <c r="T1277" i="15"/>
  <c r="U1276" i="15"/>
  <c r="U1275" i="15" s="1"/>
  <c r="S1276" i="15"/>
  <c r="R1276" i="15"/>
  <c r="R1275" i="15" s="1"/>
  <c r="Q1276" i="15"/>
  <c r="P1276" i="15"/>
  <c r="P1275" i="15" s="1"/>
  <c r="L1276" i="15"/>
  <c r="K1276" i="15"/>
  <c r="K1275" i="15" s="1"/>
  <c r="J1276" i="15"/>
  <c r="I1276" i="15"/>
  <c r="I1275" i="15" s="1"/>
  <c r="S1275" i="15"/>
  <c r="Q1275" i="15"/>
  <c r="L1275" i="15"/>
  <c r="J1275" i="15"/>
  <c r="AF1273" i="15"/>
  <c r="W1273" i="15" s="1"/>
  <c r="T1273" i="15"/>
  <c r="V1273" i="15" s="1"/>
  <c r="S1273" i="15"/>
  <c r="B1273" i="15"/>
  <c r="U1272" i="15"/>
  <c r="S1272" i="15"/>
  <c r="R1272" i="15"/>
  <c r="Q1272" i="15"/>
  <c r="L1272" i="15"/>
  <c r="K1272" i="15"/>
  <c r="J1272" i="15"/>
  <c r="I1272" i="15"/>
  <c r="T1272" i="15" s="1"/>
  <c r="AF1271" i="15"/>
  <c r="W1271" i="15"/>
  <c r="T1271" i="15"/>
  <c r="V1271" i="15" s="1"/>
  <c r="S1271" i="15"/>
  <c r="B1271" i="15"/>
  <c r="AF1270" i="15"/>
  <c r="W1270" i="15" s="1"/>
  <c r="T1270" i="15"/>
  <c r="V1270" i="15" s="1"/>
  <c r="S1270" i="15"/>
  <c r="B1270" i="15"/>
  <c r="AF1269" i="15"/>
  <c r="W1269" i="15"/>
  <c r="T1269" i="15"/>
  <c r="V1269" i="15" s="1"/>
  <c r="S1269" i="15"/>
  <c r="S1268" i="15" s="1"/>
  <c r="B1269" i="15"/>
  <c r="U1268" i="15"/>
  <c r="V1268" i="15" s="1"/>
  <c r="R1268" i="15"/>
  <c r="Q1268" i="15"/>
  <c r="L1268" i="15"/>
  <c r="K1268" i="15"/>
  <c r="J1268" i="15"/>
  <c r="I1268" i="15"/>
  <c r="T1268" i="15" s="1"/>
  <c r="AF1267" i="15"/>
  <c r="W1267" i="15" s="1"/>
  <c r="T1267" i="15"/>
  <c r="V1267" i="15" s="1"/>
  <c r="S1267" i="15"/>
  <c r="B1267" i="15"/>
  <c r="U1266" i="15"/>
  <c r="S1266" i="15"/>
  <c r="R1266" i="15"/>
  <c r="Q1266" i="15"/>
  <c r="L1266" i="15"/>
  <c r="K1266" i="15"/>
  <c r="J1266" i="15"/>
  <c r="I1266" i="15"/>
  <c r="T1266" i="15" s="1"/>
  <c r="AJ1265" i="15"/>
  <c r="AF1265" i="15"/>
  <c r="W1265" i="15" s="1"/>
  <c r="T1265" i="15"/>
  <c r="V1265" i="15" s="1"/>
  <c r="S1265" i="15"/>
  <c r="S1264" i="15" s="1"/>
  <c r="B1265" i="15"/>
  <c r="U1264" i="15"/>
  <c r="R1264" i="15"/>
  <c r="Q1264" i="15"/>
  <c r="L1264" i="15"/>
  <c r="K1264" i="15"/>
  <c r="J1264" i="15"/>
  <c r="I1264" i="15"/>
  <c r="T1264" i="15" s="1"/>
  <c r="V1264" i="15" s="1"/>
  <c r="AF1263" i="15"/>
  <c r="V1263" i="15"/>
  <c r="T1263" i="15"/>
  <c r="W1263" i="15" s="1"/>
  <c r="S1263" i="15"/>
  <c r="S1262" i="15" s="1"/>
  <c r="B1263" i="15"/>
  <c r="U1262" i="15"/>
  <c r="R1262" i="15"/>
  <c r="Q1262" i="15"/>
  <c r="L1262" i="15"/>
  <c r="K1262" i="15"/>
  <c r="J1262" i="15"/>
  <c r="I1262" i="15"/>
  <c r="T1262" i="15" s="1"/>
  <c r="V1262" i="15" s="1"/>
  <c r="AJ1261" i="15"/>
  <c r="W1261" i="15" s="1"/>
  <c r="T1261" i="15"/>
  <c r="V1261" i="15" s="1"/>
  <c r="S1261" i="15"/>
  <c r="B1261" i="15"/>
  <c r="AJ1260" i="15"/>
  <c r="W1260" i="15" s="1"/>
  <c r="V1260" i="15"/>
  <c r="T1260" i="15"/>
  <c r="S1260" i="15"/>
  <c r="B1260" i="15"/>
  <c r="AF1259" i="15"/>
  <c r="W1259" i="15" s="1"/>
  <c r="T1259" i="15"/>
  <c r="V1259" i="15" s="1"/>
  <c r="S1259" i="15"/>
  <c r="B1259" i="15"/>
  <c r="U1258" i="15"/>
  <c r="R1258" i="15"/>
  <c r="Q1258" i="15"/>
  <c r="L1258" i="15"/>
  <c r="K1258" i="15"/>
  <c r="J1258" i="15"/>
  <c r="I1258" i="15"/>
  <c r="T1258" i="15" s="1"/>
  <c r="V1258" i="15" s="1"/>
  <c r="AF1257" i="15"/>
  <c r="W1257" i="15" s="1"/>
  <c r="V1257" i="15"/>
  <c r="T1257" i="15"/>
  <c r="S1257" i="15"/>
  <c r="B1257" i="15"/>
  <c r="AF1256" i="15"/>
  <c r="W1256" i="15" s="1"/>
  <c r="T1256" i="15"/>
  <c r="V1256" i="15" s="1"/>
  <c r="S1256" i="15"/>
  <c r="B1256" i="15"/>
  <c r="U1255" i="15"/>
  <c r="R1255" i="15"/>
  <c r="Q1255" i="15"/>
  <c r="L1255" i="15"/>
  <c r="K1255" i="15"/>
  <c r="J1255" i="15"/>
  <c r="I1255" i="15"/>
  <c r="T1255" i="15" s="1"/>
  <c r="V1255" i="15" s="1"/>
  <c r="AF1254" i="15"/>
  <c r="W1254" i="15" s="1"/>
  <c r="V1254" i="15"/>
  <c r="T1254" i="15"/>
  <c r="S1254" i="15"/>
  <c r="S1253" i="15" s="1"/>
  <c r="B1254" i="15"/>
  <c r="U1253" i="15"/>
  <c r="V1253" i="15" s="1"/>
  <c r="R1253" i="15"/>
  <c r="Q1253" i="15"/>
  <c r="L1253" i="15"/>
  <c r="K1253" i="15"/>
  <c r="J1253" i="15"/>
  <c r="I1253" i="15"/>
  <c r="T1253" i="15" s="1"/>
  <c r="AF1252" i="15"/>
  <c r="W1252" i="15" s="1"/>
  <c r="T1252" i="15"/>
  <c r="V1252" i="15" s="1"/>
  <c r="S1252" i="15"/>
  <c r="S1251" i="15" s="1"/>
  <c r="B1252" i="15"/>
  <c r="U1251" i="15"/>
  <c r="V1251" i="15" s="1"/>
  <c r="R1251" i="15"/>
  <c r="Q1251" i="15"/>
  <c r="L1251" i="15"/>
  <c r="K1251" i="15"/>
  <c r="J1251" i="15"/>
  <c r="I1251" i="15"/>
  <c r="T1251" i="15" s="1"/>
  <c r="AF1250" i="15"/>
  <c r="W1250" i="15" s="1"/>
  <c r="T1250" i="15"/>
  <c r="V1250" i="15" s="1"/>
  <c r="S1250" i="15"/>
  <c r="B1250" i="15"/>
  <c r="AF1249" i="15"/>
  <c r="W1249" i="15"/>
  <c r="T1249" i="15"/>
  <c r="V1249" i="15" s="1"/>
  <c r="S1249" i="15"/>
  <c r="S1248" i="15" s="1"/>
  <c r="B1249" i="15"/>
  <c r="U1248" i="15"/>
  <c r="V1248" i="15" s="1"/>
  <c r="R1248" i="15"/>
  <c r="Q1248" i="15"/>
  <c r="L1248" i="15"/>
  <c r="K1248" i="15"/>
  <c r="J1248" i="15"/>
  <c r="I1248" i="15"/>
  <c r="T1248" i="15" s="1"/>
  <c r="AF1247" i="15"/>
  <c r="W1247" i="15" s="1"/>
  <c r="T1247" i="15"/>
  <c r="V1247" i="15" s="1"/>
  <c r="S1247" i="15"/>
  <c r="B1247" i="15"/>
  <c r="AJ1246" i="15"/>
  <c r="W1246" i="15"/>
  <c r="T1246" i="15"/>
  <c r="V1246" i="15" s="1"/>
  <c r="S1246" i="15"/>
  <c r="B1246" i="15"/>
  <c r="AH1245" i="15"/>
  <c r="W1245" i="15" s="1"/>
  <c r="T1245" i="15"/>
  <c r="V1245" i="15" s="1"/>
  <c r="S1245" i="15"/>
  <c r="B1245" i="15"/>
  <c r="U1244" i="15"/>
  <c r="S1244" i="15"/>
  <c r="R1244" i="15"/>
  <c r="Q1244" i="15"/>
  <c r="L1244" i="15"/>
  <c r="K1244" i="15"/>
  <c r="J1244" i="15"/>
  <c r="I1244" i="15"/>
  <c r="T1244" i="15" s="1"/>
  <c r="AF1243" i="15"/>
  <c r="W1243" i="15"/>
  <c r="T1243" i="15"/>
  <c r="V1243" i="15" s="1"/>
  <c r="S1243" i="15"/>
  <c r="B1243" i="15"/>
  <c r="AF1242" i="15"/>
  <c r="W1242" i="15" s="1"/>
  <c r="T1242" i="15"/>
  <c r="V1242" i="15" s="1"/>
  <c r="S1242" i="15"/>
  <c r="B1242" i="15"/>
  <c r="AF1241" i="15"/>
  <c r="W1241" i="15"/>
  <c r="T1241" i="15"/>
  <c r="V1241" i="15" s="1"/>
  <c r="S1241" i="15"/>
  <c r="S1240" i="15" s="1"/>
  <c r="B1241" i="15"/>
  <c r="U1240" i="15"/>
  <c r="V1240" i="15" s="1"/>
  <c r="R1240" i="15"/>
  <c r="Q1240" i="15"/>
  <c r="L1240" i="15"/>
  <c r="K1240" i="15"/>
  <c r="J1240" i="15"/>
  <c r="I1240" i="15"/>
  <c r="T1240" i="15" s="1"/>
  <c r="AF1239" i="15"/>
  <c r="W1239" i="15" s="1"/>
  <c r="T1239" i="15"/>
  <c r="V1239" i="15" s="1"/>
  <c r="S1239" i="15"/>
  <c r="B1239" i="15"/>
  <c r="AF1238" i="15"/>
  <c r="W1238" i="15"/>
  <c r="T1238" i="15"/>
  <c r="V1238" i="15" s="1"/>
  <c r="S1238" i="15"/>
  <c r="B1238" i="15"/>
  <c r="AF1237" i="15"/>
  <c r="W1237" i="15" s="1"/>
  <c r="T1237" i="15"/>
  <c r="V1237" i="15" s="1"/>
  <c r="S1237" i="15"/>
  <c r="K1237" i="15"/>
  <c r="K1236" i="15" s="1"/>
  <c r="B1237" i="15"/>
  <c r="U1236" i="15"/>
  <c r="S1236" i="15"/>
  <c r="R1236" i="15"/>
  <c r="Q1236" i="15"/>
  <c r="L1236" i="15"/>
  <c r="J1236" i="15"/>
  <c r="I1236" i="15"/>
  <c r="T1236" i="15" s="1"/>
  <c r="V1236" i="15" s="1"/>
  <c r="AF1235" i="15"/>
  <c r="W1235" i="15" s="1"/>
  <c r="T1235" i="15"/>
  <c r="V1235" i="15" s="1"/>
  <c r="S1235" i="15"/>
  <c r="B1235" i="15"/>
  <c r="AJ1234" i="15"/>
  <c r="W1234" i="15" s="1"/>
  <c r="V1234" i="15"/>
  <c r="T1234" i="15"/>
  <c r="S1234" i="15"/>
  <c r="S1233" i="15" s="1"/>
  <c r="B1234" i="15"/>
  <c r="U1233" i="15"/>
  <c r="R1233" i="15"/>
  <c r="Q1233" i="15"/>
  <c r="L1233" i="15"/>
  <c r="K1233" i="15"/>
  <c r="J1233" i="15"/>
  <c r="I1233" i="15"/>
  <c r="T1233" i="15" s="1"/>
  <c r="V1233" i="15" s="1"/>
  <c r="AF1232" i="15"/>
  <c r="W1232" i="15" s="1"/>
  <c r="T1232" i="15"/>
  <c r="V1232" i="15" s="1"/>
  <c r="S1232" i="15"/>
  <c r="S1231" i="15" s="1"/>
  <c r="B1232" i="15"/>
  <c r="U1231" i="15"/>
  <c r="R1231" i="15"/>
  <c r="Q1231" i="15"/>
  <c r="L1231" i="15"/>
  <c r="K1231" i="15"/>
  <c r="J1231" i="15"/>
  <c r="I1231" i="15"/>
  <c r="T1231" i="15" s="1"/>
  <c r="V1231" i="15" s="1"/>
  <c r="AF1230" i="15"/>
  <c r="W1230" i="15" s="1"/>
  <c r="V1230" i="15"/>
  <c r="T1230" i="15"/>
  <c r="S1230" i="15"/>
  <c r="S1229" i="15" s="1"/>
  <c r="B1230" i="15"/>
  <c r="U1229" i="15"/>
  <c r="R1229" i="15"/>
  <c r="Q1229" i="15"/>
  <c r="L1229" i="15"/>
  <c r="K1229" i="15"/>
  <c r="J1229" i="15"/>
  <c r="I1229" i="15"/>
  <c r="T1229" i="15" s="1"/>
  <c r="V1229" i="15" s="1"/>
  <c r="AF1228" i="15"/>
  <c r="W1228" i="15" s="1"/>
  <c r="T1228" i="15"/>
  <c r="V1228" i="15" s="1"/>
  <c r="S1228" i="15"/>
  <c r="S1227" i="15" s="1"/>
  <c r="B1228" i="15"/>
  <c r="U1227" i="15"/>
  <c r="R1227" i="15"/>
  <c r="Q1227" i="15"/>
  <c r="L1227" i="15"/>
  <c r="K1227" i="15"/>
  <c r="J1227" i="15"/>
  <c r="I1227" i="15"/>
  <c r="T1227" i="15" s="1"/>
  <c r="V1227" i="15" s="1"/>
  <c r="AF1226" i="15"/>
  <c r="W1226" i="15" s="1"/>
  <c r="V1226" i="15"/>
  <c r="T1226" i="15"/>
  <c r="S1226" i="15"/>
  <c r="B1226" i="15"/>
  <c r="AF1225" i="15"/>
  <c r="W1225" i="15" s="1"/>
  <c r="T1225" i="15"/>
  <c r="V1225" i="15" s="1"/>
  <c r="S1225" i="15"/>
  <c r="B1225" i="15"/>
  <c r="AF1224" i="15"/>
  <c r="W1224" i="15" s="1"/>
  <c r="V1224" i="15"/>
  <c r="T1224" i="15"/>
  <c r="S1224" i="15"/>
  <c r="S1223" i="15" s="1"/>
  <c r="B1224" i="15"/>
  <c r="U1223" i="15"/>
  <c r="R1223" i="15"/>
  <c r="Q1223" i="15"/>
  <c r="L1223" i="15"/>
  <c r="K1223" i="15"/>
  <c r="J1223" i="15"/>
  <c r="I1223" i="15"/>
  <c r="T1223" i="15" s="1"/>
  <c r="V1223" i="15" s="1"/>
  <c r="AF1222" i="15"/>
  <c r="W1222" i="15" s="1"/>
  <c r="T1222" i="15"/>
  <c r="V1222" i="15" s="1"/>
  <c r="S1222" i="15"/>
  <c r="S1221" i="15" s="1"/>
  <c r="B1222" i="15"/>
  <c r="U1221" i="15"/>
  <c r="R1221" i="15"/>
  <c r="Q1221" i="15"/>
  <c r="L1221" i="15"/>
  <c r="K1221" i="15"/>
  <c r="J1221" i="15"/>
  <c r="I1221" i="15"/>
  <c r="T1221" i="15" s="1"/>
  <c r="V1221" i="15" s="1"/>
  <c r="AF1220" i="15"/>
  <c r="W1220" i="15" s="1"/>
  <c r="V1220" i="15"/>
  <c r="T1220" i="15"/>
  <c r="S1220" i="15"/>
  <c r="S1219" i="15" s="1"/>
  <c r="B1220" i="15"/>
  <c r="U1219" i="15"/>
  <c r="R1219" i="15"/>
  <c r="Q1219" i="15"/>
  <c r="L1219" i="15"/>
  <c r="K1219" i="15"/>
  <c r="J1219" i="15"/>
  <c r="I1219" i="15"/>
  <c r="T1219" i="15" s="1"/>
  <c r="V1219" i="15" s="1"/>
  <c r="AL1218" i="15"/>
  <c r="W1218" i="15" s="1"/>
  <c r="T1218" i="15"/>
  <c r="V1218" i="15" s="1"/>
  <c r="S1218" i="15"/>
  <c r="S1217" i="15" s="1"/>
  <c r="B1218" i="15"/>
  <c r="U1217" i="15"/>
  <c r="R1217" i="15"/>
  <c r="Q1217" i="15"/>
  <c r="L1217" i="15"/>
  <c r="K1217" i="15"/>
  <c r="J1217" i="15"/>
  <c r="I1217" i="15"/>
  <c r="T1217" i="15" s="1"/>
  <c r="V1217" i="15" s="1"/>
  <c r="W1216" i="15"/>
  <c r="T1216" i="15"/>
  <c r="V1216" i="15" s="1"/>
  <c r="S1216" i="15"/>
  <c r="B1216" i="15"/>
  <c r="AF1215" i="15"/>
  <c r="W1215" i="15"/>
  <c r="T1215" i="15"/>
  <c r="V1215" i="15" s="1"/>
  <c r="S1215" i="15"/>
  <c r="B1215" i="15"/>
  <c r="AF1214" i="15"/>
  <c r="W1214" i="15" s="1"/>
  <c r="T1214" i="15"/>
  <c r="V1214" i="15" s="1"/>
  <c r="S1214" i="15"/>
  <c r="B1214" i="15"/>
  <c r="U1213" i="15"/>
  <c r="S1213" i="15"/>
  <c r="R1213" i="15"/>
  <c r="Q1213" i="15"/>
  <c r="L1213" i="15"/>
  <c r="K1213" i="15"/>
  <c r="J1213" i="15"/>
  <c r="I1213" i="15"/>
  <c r="T1213" i="15" s="1"/>
  <c r="AJ1212" i="15"/>
  <c r="W1212" i="15"/>
  <c r="T1212" i="15"/>
  <c r="V1212" i="15" s="1"/>
  <c r="S1212" i="15"/>
  <c r="S1211" i="15" s="1"/>
  <c r="B1212" i="15"/>
  <c r="U1211" i="15"/>
  <c r="V1211" i="15" s="1"/>
  <c r="R1211" i="15"/>
  <c r="Q1211" i="15"/>
  <c r="L1211" i="15"/>
  <c r="K1211" i="15"/>
  <c r="J1211" i="15"/>
  <c r="I1211" i="15"/>
  <c r="T1211" i="15" s="1"/>
  <c r="AF1210" i="15"/>
  <c r="W1210" i="15" s="1"/>
  <c r="T1210" i="15"/>
  <c r="V1210" i="15" s="1"/>
  <c r="S1210" i="15"/>
  <c r="B1210" i="15"/>
  <c r="U1209" i="15"/>
  <c r="S1209" i="15"/>
  <c r="R1209" i="15"/>
  <c r="Q1209" i="15"/>
  <c r="L1209" i="15"/>
  <c r="K1209" i="15"/>
  <c r="J1209" i="15"/>
  <c r="I1209" i="15"/>
  <c r="T1209" i="15" s="1"/>
  <c r="AF1208" i="15"/>
  <c r="W1208" i="15"/>
  <c r="T1208" i="15"/>
  <c r="V1208" i="15" s="1"/>
  <c r="S1208" i="15"/>
  <c r="S1207" i="15" s="1"/>
  <c r="B1208" i="15"/>
  <c r="U1207" i="15"/>
  <c r="V1207" i="15" s="1"/>
  <c r="R1207" i="15"/>
  <c r="Q1207" i="15"/>
  <c r="L1207" i="15"/>
  <c r="K1207" i="15"/>
  <c r="J1207" i="15"/>
  <c r="I1207" i="15"/>
  <c r="T1207" i="15" s="1"/>
  <c r="AF1206" i="15"/>
  <c r="W1206" i="15" s="1"/>
  <c r="T1206" i="15"/>
  <c r="V1206" i="15" s="1"/>
  <c r="S1206" i="15"/>
  <c r="B1206" i="15"/>
  <c r="U1205" i="15"/>
  <c r="S1205" i="15"/>
  <c r="R1205" i="15"/>
  <c r="Q1205" i="15"/>
  <c r="L1205" i="15"/>
  <c r="K1205" i="15"/>
  <c r="J1205" i="15"/>
  <c r="I1205" i="15"/>
  <c r="T1205" i="15" s="1"/>
  <c r="AF1204" i="15"/>
  <c r="W1204" i="15"/>
  <c r="T1204" i="15"/>
  <c r="V1204" i="15" s="1"/>
  <c r="S1204" i="15"/>
  <c r="S1203" i="15" s="1"/>
  <c r="B1204" i="15"/>
  <c r="U1203" i="15"/>
  <c r="V1203" i="15" s="1"/>
  <c r="R1203" i="15"/>
  <c r="Q1203" i="15"/>
  <c r="L1203" i="15"/>
  <c r="K1203" i="15"/>
  <c r="J1203" i="15"/>
  <c r="I1203" i="15"/>
  <c r="T1203" i="15" s="1"/>
  <c r="AF1202" i="15"/>
  <c r="W1202" i="15" s="1"/>
  <c r="T1202" i="15"/>
  <c r="V1202" i="15" s="1"/>
  <c r="S1202" i="15"/>
  <c r="B1202" i="15"/>
  <c r="U1201" i="15"/>
  <c r="S1201" i="15"/>
  <c r="R1201" i="15"/>
  <c r="Q1201" i="15"/>
  <c r="L1201" i="15"/>
  <c r="K1201" i="15"/>
  <c r="J1201" i="15"/>
  <c r="I1201" i="15"/>
  <c r="T1201" i="15" s="1"/>
  <c r="AF1200" i="15"/>
  <c r="W1200" i="15"/>
  <c r="T1200" i="15"/>
  <c r="V1200" i="15" s="1"/>
  <c r="S1200" i="15"/>
  <c r="B1200" i="15"/>
  <c r="AF1199" i="15"/>
  <c r="W1199" i="15" s="1"/>
  <c r="T1199" i="15"/>
  <c r="V1199" i="15" s="1"/>
  <c r="S1199" i="15"/>
  <c r="B1199" i="15"/>
  <c r="AF1198" i="15"/>
  <c r="W1198" i="15"/>
  <c r="T1198" i="15"/>
  <c r="V1198" i="15" s="1"/>
  <c r="S1198" i="15"/>
  <c r="S1197" i="15" s="1"/>
  <c r="B1198" i="15"/>
  <c r="U1197" i="15"/>
  <c r="V1197" i="15" s="1"/>
  <c r="R1197" i="15"/>
  <c r="Q1197" i="15"/>
  <c r="L1197" i="15"/>
  <c r="K1197" i="15"/>
  <c r="J1197" i="15"/>
  <c r="I1197" i="15"/>
  <c r="T1197" i="15" s="1"/>
  <c r="AF1196" i="15"/>
  <c r="W1196" i="15" s="1"/>
  <c r="T1196" i="15"/>
  <c r="V1196" i="15" s="1"/>
  <c r="S1196" i="15"/>
  <c r="B1196" i="15"/>
  <c r="U1195" i="15"/>
  <c r="S1195" i="15"/>
  <c r="R1195" i="15"/>
  <c r="Q1195" i="15"/>
  <c r="L1195" i="15"/>
  <c r="K1195" i="15"/>
  <c r="J1195" i="15"/>
  <c r="I1195" i="15"/>
  <c r="T1195" i="15" s="1"/>
  <c r="AF1194" i="15"/>
  <c r="W1194" i="15"/>
  <c r="T1194" i="15"/>
  <c r="V1194" i="15" s="1"/>
  <c r="S1194" i="15"/>
  <c r="B1194" i="15"/>
  <c r="AF1193" i="15"/>
  <c r="W1193" i="15" s="1"/>
  <c r="T1193" i="15"/>
  <c r="V1193" i="15" s="1"/>
  <c r="S1193" i="15"/>
  <c r="B1193" i="15"/>
  <c r="U1192" i="15"/>
  <c r="S1192" i="15"/>
  <c r="R1192" i="15"/>
  <c r="Q1192" i="15"/>
  <c r="L1192" i="15"/>
  <c r="K1192" i="15"/>
  <c r="J1192" i="15"/>
  <c r="I1192" i="15"/>
  <c r="T1192" i="15" s="1"/>
  <c r="AF1191" i="15"/>
  <c r="W1191" i="15"/>
  <c r="T1191" i="15"/>
  <c r="V1191" i="15" s="1"/>
  <c r="S1191" i="15"/>
  <c r="B1191" i="15"/>
  <c r="AF1190" i="15"/>
  <c r="W1190" i="15" s="1"/>
  <c r="T1190" i="15"/>
  <c r="V1190" i="15" s="1"/>
  <c r="S1190" i="15"/>
  <c r="B1190" i="15"/>
  <c r="AJ1189" i="15"/>
  <c r="W1189" i="15"/>
  <c r="T1189" i="15"/>
  <c r="V1189" i="15" s="1"/>
  <c r="S1189" i="15"/>
  <c r="S1188" i="15" s="1"/>
  <c r="B1189" i="15"/>
  <c r="U1188" i="15"/>
  <c r="R1188" i="15"/>
  <c r="Q1188" i="15"/>
  <c r="L1188" i="15"/>
  <c r="K1188" i="15"/>
  <c r="J1188" i="15"/>
  <c r="I1188" i="15"/>
  <c r="T1188" i="15" s="1"/>
  <c r="AJ1187" i="15"/>
  <c r="W1187" i="15" s="1"/>
  <c r="T1187" i="15"/>
  <c r="V1187" i="15" s="1"/>
  <c r="S1187" i="15"/>
  <c r="B1187" i="15"/>
  <c r="AF1186" i="15"/>
  <c r="W1186" i="15"/>
  <c r="T1186" i="15"/>
  <c r="V1186" i="15" s="1"/>
  <c r="S1186" i="15"/>
  <c r="S1185" i="15" s="1"/>
  <c r="B1186" i="15"/>
  <c r="U1185" i="15"/>
  <c r="R1185" i="15"/>
  <c r="Q1185" i="15"/>
  <c r="L1185" i="15"/>
  <c r="K1185" i="15"/>
  <c r="J1185" i="15"/>
  <c r="I1185" i="15"/>
  <c r="T1185" i="15" s="1"/>
  <c r="AN1184" i="15"/>
  <c r="W1184" i="15" s="1"/>
  <c r="T1184" i="15"/>
  <c r="V1184" i="15" s="1"/>
  <c r="S1184" i="15"/>
  <c r="B1184" i="15"/>
  <c r="AF1183" i="15"/>
  <c r="W1183" i="15"/>
  <c r="T1183" i="15"/>
  <c r="V1183" i="15" s="1"/>
  <c r="S1183" i="15"/>
  <c r="B1183" i="15"/>
  <c r="AF1182" i="15"/>
  <c r="W1182" i="15" s="1"/>
  <c r="T1182" i="15"/>
  <c r="V1182" i="15" s="1"/>
  <c r="S1182" i="15"/>
  <c r="B1182" i="15"/>
  <c r="AF1181" i="15"/>
  <c r="W1181" i="15"/>
  <c r="T1181" i="15"/>
  <c r="V1181" i="15" s="1"/>
  <c r="S1181" i="15"/>
  <c r="B1181" i="15"/>
  <c r="AN1180" i="15"/>
  <c r="W1180" i="15" s="1"/>
  <c r="T1180" i="15"/>
  <c r="V1180" i="15" s="1"/>
  <c r="S1180" i="15"/>
  <c r="B1180" i="15"/>
  <c r="AF1179" i="15"/>
  <c r="W1179" i="15"/>
  <c r="T1179" i="15"/>
  <c r="V1179" i="15" s="1"/>
  <c r="S1179" i="15"/>
  <c r="S1178" i="15" s="1"/>
  <c r="B1179" i="15"/>
  <c r="U1178" i="15"/>
  <c r="R1178" i="15"/>
  <c r="Q1178" i="15"/>
  <c r="L1178" i="15"/>
  <c r="K1178" i="15"/>
  <c r="J1178" i="15"/>
  <c r="I1178" i="15"/>
  <c r="T1178" i="15" s="1"/>
  <c r="AF1177" i="15"/>
  <c r="W1177" i="15" s="1"/>
  <c r="T1177" i="15"/>
  <c r="V1177" i="15" s="1"/>
  <c r="S1177" i="15"/>
  <c r="B1177" i="15"/>
  <c r="U1176" i="15"/>
  <c r="S1176" i="15"/>
  <c r="R1176" i="15"/>
  <c r="Q1176" i="15"/>
  <c r="L1176" i="15"/>
  <c r="K1176" i="15"/>
  <c r="J1176" i="15"/>
  <c r="I1176" i="15"/>
  <c r="T1176" i="15" s="1"/>
  <c r="AF1175" i="15"/>
  <c r="W1175" i="15"/>
  <c r="T1175" i="15"/>
  <c r="V1175" i="15" s="1"/>
  <c r="S1175" i="15"/>
  <c r="S1174" i="15" s="1"/>
  <c r="B1175" i="15"/>
  <c r="U1174" i="15"/>
  <c r="R1174" i="15"/>
  <c r="Q1174" i="15"/>
  <c r="L1174" i="15"/>
  <c r="K1174" i="15"/>
  <c r="J1174" i="15"/>
  <c r="I1174" i="15"/>
  <c r="T1174" i="15" s="1"/>
  <c r="AF1173" i="15"/>
  <c r="W1173" i="15" s="1"/>
  <c r="T1173" i="15"/>
  <c r="V1173" i="15" s="1"/>
  <c r="S1173" i="15"/>
  <c r="B1173" i="15"/>
  <c r="U1172" i="15"/>
  <c r="S1172" i="15"/>
  <c r="R1172" i="15"/>
  <c r="Q1172" i="15"/>
  <c r="L1172" i="15"/>
  <c r="K1172" i="15"/>
  <c r="J1172" i="15"/>
  <c r="I1172" i="15"/>
  <c r="T1172" i="15" s="1"/>
  <c r="AF1171" i="15"/>
  <c r="W1171" i="15"/>
  <c r="T1171" i="15"/>
  <c r="V1171" i="15" s="1"/>
  <c r="S1171" i="15"/>
  <c r="B1171" i="15"/>
  <c r="AF1170" i="15"/>
  <c r="W1170" i="15" s="1"/>
  <c r="T1170" i="15"/>
  <c r="V1170" i="15" s="1"/>
  <c r="S1170" i="15"/>
  <c r="B1170" i="15"/>
  <c r="U1169" i="15"/>
  <c r="S1169" i="15"/>
  <c r="R1169" i="15"/>
  <c r="Q1169" i="15"/>
  <c r="L1169" i="15"/>
  <c r="K1169" i="15"/>
  <c r="J1169" i="15"/>
  <c r="I1169" i="15"/>
  <c r="T1169" i="15" s="1"/>
  <c r="AF1168" i="15"/>
  <c r="W1168" i="15"/>
  <c r="T1168" i="15"/>
  <c r="V1168" i="15" s="1"/>
  <c r="S1168" i="15"/>
  <c r="B1168" i="15"/>
  <c r="AF1167" i="15"/>
  <c r="W1167" i="15" s="1"/>
  <c r="T1167" i="15"/>
  <c r="V1167" i="15" s="1"/>
  <c r="S1167" i="15"/>
  <c r="B1167" i="15"/>
  <c r="U1166" i="15"/>
  <c r="S1166" i="15"/>
  <c r="R1166" i="15"/>
  <c r="Q1166" i="15"/>
  <c r="L1166" i="15"/>
  <c r="K1166" i="15"/>
  <c r="J1166" i="15"/>
  <c r="I1166" i="15"/>
  <c r="T1166" i="15" s="1"/>
  <c r="AF1165" i="15"/>
  <c r="W1165" i="15"/>
  <c r="T1165" i="15"/>
  <c r="V1165" i="15" s="1"/>
  <c r="S1165" i="15"/>
  <c r="S1164" i="15" s="1"/>
  <c r="B1165" i="15"/>
  <c r="U1164" i="15"/>
  <c r="R1164" i="15"/>
  <c r="Q1164" i="15"/>
  <c r="L1164" i="15"/>
  <c r="K1164" i="15"/>
  <c r="J1164" i="15"/>
  <c r="I1164" i="15"/>
  <c r="T1164" i="15" s="1"/>
  <c r="AJ1163" i="15"/>
  <c r="W1163" i="15" s="1"/>
  <c r="T1163" i="15"/>
  <c r="V1163" i="15" s="1"/>
  <c r="S1163" i="15"/>
  <c r="B1163" i="15"/>
  <c r="U1162" i="15"/>
  <c r="S1162" i="15"/>
  <c r="R1162" i="15"/>
  <c r="Q1162" i="15"/>
  <c r="L1162" i="15"/>
  <c r="K1162" i="15"/>
  <c r="J1162" i="15"/>
  <c r="I1162" i="15"/>
  <c r="T1162" i="15" s="1"/>
  <c r="AF1161" i="15"/>
  <c r="W1161" i="15"/>
  <c r="T1161" i="15"/>
  <c r="V1161" i="15" s="1"/>
  <c r="S1161" i="15"/>
  <c r="S1160" i="15" s="1"/>
  <c r="B1161" i="15"/>
  <c r="U1160" i="15"/>
  <c r="R1160" i="15"/>
  <c r="Q1160" i="15"/>
  <c r="L1160" i="15"/>
  <c r="K1160" i="15"/>
  <c r="J1160" i="15"/>
  <c r="I1160" i="15"/>
  <c r="T1160" i="15" s="1"/>
  <c r="AF1159" i="15"/>
  <c r="W1159" i="15" s="1"/>
  <c r="T1159" i="15"/>
  <c r="V1159" i="15" s="1"/>
  <c r="S1159" i="15"/>
  <c r="B1159" i="15"/>
  <c r="AF1158" i="15"/>
  <c r="W1158" i="15"/>
  <c r="T1158" i="15"/>
  <c r="V1158" i="15" s="1"/>
  <c r="S1158" i="15"/>
  <c r="B1158" i="15"/>
  <c r="AF1157" i="15"/>
  <c r="W1157" i="15" s="1"/>
  <c r="T1157" i="15"/>
  <c r="V1157" i="15" s="1"/>
  <c r="S1157" i="15"/>
  <c r="B1157" i="15"/>
  <c r="U1156" i="15"/>
  <c r="S1156" i="15"/>
  <c r="R1156" i="15"/>
  <c r="Q1156" i="15"/>
  <c r="L1156" i="15"/>
  <c r="K1156" i="15"/>
  <c r="J1156" i="15"/>
  <c r="I1156" i="15"/>
  <c r="T1156" i="15" s="1"/>
  <c r="AD1155" i="15"/>
  <c r="W1155" i="15"/>
  <c r="T1155" i="15"/>
  <c r="V1155" i="15" s="1"/>
  <c r="S1155" i="15"/>
  <c r="B1155" i="15"/>
  <c r="AF1154" i="15"/>
  <c r="W1154" i="15" s="1"/>
  <c r="T1154" i="15"/>
  <c r="V1154" i="15" s="1"/>
  <c r="S1154" i="15"/>
  <c r="B1154" i="15"/>
  <c r="AJ1153" i="15"/>
  <c r="W1153" i="15"/>
  <c r="T1153" i="15"/>
  <c r="V1153" i="15" s="1"/>
  <c r="S1153" i="15"/>
  <c r="B1153" i="15"/>
  <c r="AF1152" i="15"/>
  <c r="W1152" i="15" s="1"/>
  <c r="T1152" i="15"/>
  <c r="V1152" i="15" s="1"/>
  <c r="S1152" i="15"/>
  <c r="B1152" i="15"/>
  <c r="AF1151" i="15"/>
  <c r="W1151" i="15"/>
  <c r="T1151" i="15"/>
  <c r="V1151" i="15" s="1"/>
  <c r="S1151" i="15"/>
  <c r="S1149" i="15" s="1"/>
  <c r="B1151" i="15"/>
  <c r="AF1150" i="15"/>
  <c r="W1150" i="15" s="1"/>
  <c r="T1150" i="15"/>
  <c r="V1150" i="15" s="1"/>
  <c r="S1150" i="15"/>
  <c r="B1150" i="15"/>
  <c r="U1149" i="15"/>
  <c r="R1149" i="15"/>
  <c r="Q1149" i="15"/>
  <c r="L1149" i="15"/>
  <c r="K1149" i="15"/>
  <c r="J1149" i="15"/>
  <c r="I1149" i="15"/>
  <c r="T1149" i="15" s="1"/>
  <c r="AF1148" i="15"/>
  <c r="W1148" i="15"/>
  <c r="T1148" i="15"/>
  <c r="V1148" i="15" s="1"/>
  <c r="S1148" i="15"/>
  <c r="S1147" i="15" s="1"/>
  <c r="B1148" i="15"/>
  <c r="U1147" i="15"/>
  <c r="R1147" i="15"/>
  <c r="Q1147" i="15"/>
  <c r="L1147" i="15"/>
  <c r="K1147" i="15"/>
  <c r="J1147" i="15"/>
  <c r="I1147" i="15"/>
  <c r="T1147" i="15" s="1"/>
  <c r="AF1146" i="15"/>
  <c r="W1146" i="15" s="1"/>
  <c r="T1146" i="15"/>
  <c r="V1146" i="15" s="1"/>
  <c r="S1146" i="15"/>
  <c r="B1146" i="15"/>
  <c r="U1145" i="15"/>
  <c r="S1145" i="15"/>
  <c r="R1145" i="15"/>
  <c r="Q1145" i="15"/>
  <c r="L1145" i="15"/>
  <c r="K1145" i="15"/>
  <c r="J1145" i="15"/>
  <c r="I1145" i="15"/>
  <c r="T1145" i="15" s="1"/>
  <c r="W1144" i="15"/>
  <c r="T1144" i="15"/>
  <c r="V1144" i="15" s="1"/>
  <c r="S1144" i="15"/>
  <c r="B1144" i="15"/>
  <c r="AF1143" i="15"/>
  <c r="W1143" i="15" s="1"/>
  <c r="V1143" i="15"/>
  <c r="T1143" i="15"/>
  <c r="S1143" i="15"/>
  <c r="S1142" i="15" s="1"/>
  <c r="B1143" i="15"/>
  <c r="U1142" i="15"/>
  <c r="R1142" i="15"/>
  <c r="Q1142" i="15"/>
  <c r="L1142" i="15"/>
  <c r="K1142" i="15"/>
  <c r="J1142" i="15"/>
  <c r="I1142" i="15"/>
  <c r="T1142" i="15" s="1"/>
  <c r="V1142" i="15" s="1"/>
  <c r="AJ1141" i="15"/>
  <c r="W1141" i="15" s="1"/>
  <c r="T1141" i="15"/>
  <c r="V1141" i="15" s="1"/>
  <c r="S1141" i="15"/>
  <c r="S1140" i="15" s="1"/>
  <c r="B1141" i="15"/>
  <c r="U1140" i="15"/>
  <c r="R1140" i="15"/>
  <c r="Q1140" i="15"/>
  <c r="L1140" i="15"/>
  <c r="K1140" i="15"/>
  <c r="J1140" i="15"/>
  <c r="I1140" i="15"/>
  <c r="T1140" i="15" s="1"/>
  <c r="V1140" i="15" s="1"/>
  <c r="AF1139" i="15"/>
  <c r="W1139" i="15" s="1"/>
  <c r="V1139" i="15"/>
  <c r="T1139" i="15"/>
  <c r="S1139" i="15"/>
  <c r="S1138" i="15" s="1"/>
  <c r="B1139" i="15"/>
  <c r="U1138" i="15"/>
  <c r="R1138" i="15"/>
  <c r="Q1138" i="15"/>
  <c r="L1138" i="15"/>
  <c r="K1138" i="15"/>
  <c r="J1138" i="15"/>
  <c r="I1138" i="15"/>
  <c r="T1138" i="15" s="1"/>
  <c r="V1138" i="15" s="1"/>
  <c r="AF1137" i="15"/>
  <c r="W1137" i="15" s="1"/>
  <c r="T1137" i="15"/>
  <c r="V1137" i="15" s="1"/>
  <c r="S1137" i="15"/>
  <c r="B1137" i="15"/>
  <c r="AF1136" i="15"/>
  <c r="W1136" i="15" s="1"/>
  <c r="V1136" i="15"/>
  <c r="T1136" i="15"/>
  <c r="S1136" i="15"/>
  <c r="B1136" i="15"/>
  <c r="U1135" i="15"/>
  <c r="R1135" i="15"/>
  <c r="Q1135" i="15"/>
  <c r="L1135" i="15"/>
  <c r="K1135" i="15"/>
  <c r="J1135" i="15"/>
  <c r="I1135" i="15"/>
  <c r="T1135" i="15" s="1"/>
  <c r="V1135" i="15" s="1"/>
  <c r="AL1134" i="15"/>
  <c r="AJ1134" i="15"/>
  <c r="W1134" i="15"/>
  <c r="T1134" i="15"/>
  <c r="V1134" i="15" s="1"/>
  <c r="S1134" i="15"/>
  <c r="B1134" i="15"/>
  <c r="AL1133" i="15"/>
  <c r="AJ1133" i="15"/>
  <c r="V1133" i="15"/>
  <c r="T1133" i="15"/>
  <c r="S1133" i="15"/>
  <c r="B1133" i="15"/>
  <c r="W1132" i="15"/>
  <c r="T1132" i="15"/>
  <c r="V1132" i="15" s="1"/>
  <c r="S1132" i="15"/>
  <c r="S1131" i="15" s="1"/>
  <c r="B1132" i="15"/>
  <c r="U1131" i="15"/>
  <c r="V1131" i="15" s="1"/>
  <c r="R1131" i="15"/>
  <c r="Q1131" i="15"/>
  <c r="L1131" i="15"/>
  <c r="K1131" i="15"/>
  <c r="J1131" i="15"/>
  <c r="I1131" i="15"/>
  <c r="T1131" i="15" s="1"/>
  <c r="AF1130" i="15"/>
  <c r="W1130" i="15" s="1"/>
  <c r="T1130" i="15"/>
  <c r="V1130" i="15" s="1"/>
  <c r="S1130" i="15"/>
  <c r="B1130" i="15"/>
  <c r="AF1129" i="15"/>
  <c r="W1129" i="15"/>
  <c r="T1129" i="15"/>
  <c r="V1129" i="15" s="1"/>
  <c r="S1129" i="15"/>
  <c r="S1128" i="15" s="1"/>
  <c r="B1129" i="15"/>
  <c r="U1128" i="15"/>
  <c r="V1128" i="15" s="1"/>
  <c r="R1128" i="15"/>
  <c r="Q1128" i="15"/>
  <c r="L1128" i="15"/>
  <c r="K1128" i="15"/>
  <c r="J1128" i="15"/>
  <c r="I1128" i="15"/>
  <c r="T1128" i="15" s="1"/>
  <c r="AF1127" i="15"/>
  <c r="W1127" i="15" s="1"/>
  <c r="T1127" i="15"/>
  <c r="V1127" i="15" s="1"/>
  <c r="S1127" i="15"/>
  <c r="B1127" i="15"/>
  <c r="AF1126" i="15"/>
  <c r="W1126" i="15"/>
  <c r="T1126" i="15"/>
  <c r="V1126" i="15" s="1"/>
  <c r="S1126" i="15"/>
  <c r="B1126" i="15"/>
  <c r="AF1125" i="15"/>
  <c r="W1125" i="15" s="1"/>
  <c r="T1125" i="15"/>
  <c r="V1125" i="15" s="1"/>
  <c r="S1125" i="15"/>
  <c r="B1125" i="15"/>
  <c r="AL1124" i="15"/>
  <c r="W1124" i="15"/>
  <c r="T1124" i="15"/>
  <c r="V1124" i="15" s="1"/>
  <c r="S1124" i="15"/>
  <c r="B1124" i="15"/>
  <c r="AF1123" i="15"/>
  <c r="W1123" i="15" s="1"/>
  <c r="T1123" i="15"/>
  <c r="V1123" i="15" s="1"/>
  <c r="S1123" i="15"/>
  <c r="B1123" i="15"/>
  <c r="AF1122" i="15"/>
  <c r="T1122" i="15"/>
  <c r="W1122" i="15" s="1"/>
  <c r="S1122" i="15"/>
  <c r="B1122" i="15"/>
  <c r="AF1121" i="15"/>
  <c r="W1121" i="15"/>
  <c r="T1121" i="15"/>
  <c r="V1121" i="15" s="1"/>
  <c r="S1121" i="15"/>
  <c r="B1121" i="15"/>
  <c r="AF1120" i="15"/>
  <c r="W1120" i="15" s="1"/>
  <c r="T1120" i="15"/>
  <c r="V1120" i="15" s="1"/>
  <c r="S1120" i="15"/>
  <c r="B1120" i="15"/>
  <c r="U1119" i="15"/>
  <c r="S1119" i="15"/>
  <c r="R1119" i="15"/>
  <c r="Q1119" i="15"/>
  <c r="L1119" i="15"/>
  <c r="K1119" i="15"/>
  <c r="J1119" i="15"/>
  <c r="I1119" i="15"/>
  <c r="T1119" i="15" s="1"/>
  <c r="AJ1118" i="15"/>
  <c r="W1118" i="15"/>
  <c r="T1118" i="15"/>
  <c r="V1118" i="15" s="1"/>
  <c r="S1118" i="15"/>
  <c r="B1118" i="15"/>
  <c r="W1117" i="15"/>
  <c r="T1117" i="15"/>
  <c r="V1117" i="15" s="1"/>
  <c r="S1117" i="15"/>
  <c r="B1117" i="15"/>
  <c r="U1116" i="15"/>
  <c r="R1116" i="15"/>
  <c r="Q1116" i="15"/>
  <c r="L1116" i="15"/>
  <c r="K1116" i="15"/>
  <c r="J1116" i="15"/>
  <c r="I1116" i="15"/>
  <c r="T1116" i="15" s="1"/>
  <c r="V1116" i="15" s="1"/>
  <c r="AF1115" i="15"/>
  <c r="W1115" i="15" s="1"/>
  <c r="T1115" i="15"/>
  <c r="V1115" i="15" s="1"/>
  <c r="S1115" i="15"/>
  <c r="B1115" i="15"/>
  <c r="AJ1114" i="15"/>
  <c r="W1114" i="15" s="1"/>
  <c r="V1114" i="15"/>
  <c r="T1114" i="15"/>
  <c r="S1114" i="15"/>
  <c r="B1114" i="15"/>
  <c r="AF1113" i="15"/>
  <c r="W1113" i="15" s="1"/>
  <c r="T1113" i="15"/>
  <c r="V1113" i="15" s="1"/>
  <c r="S1113" i="15"/>
  <c r="B1113" i="15"/>
  <c r="AF1112" i="15"/>
  <c r="W1112" i="15" s="1"/>
  <c r="V1112" i="15"/>
  <c r="T1112" i="15"/>
  <c r="S1112" i="15"/>
  <c r="B1112" i="15"/>
  <c r="AF1111" i="15"/>
  <c r="W1111" i="15" s="1"/>
  <c r="T1111" i="15"/>
  <c r="V1111" i="15" s="1"/>
  <c r="S1111" i="15"/>
  <c r="B1111" i="15"/>
  <c r="AF1110" i="15"/>
  <c r="W1110" i="15" s="1"/>
  <c r="V1110" i="15"/>
  <c r="T1110" i="15"/>
  <c r="S1110" i="15"/>
  <c r="B1110" i="15"/>
  <c r="AF1109" i="15"/>
  <c r="W1109" i="15" s="1"/>
  <c r="T1109" i="15"/>
  <c r="V1109" i="15" s="1"/>
  <c r="S1109" i="15"/>
  <c r="B1109" i="15"/>
  <c r="AD1108" i="15"/>
  <c r="W1108" i="15" s="1"/>
  <c r="V1108" i="15"/>
  <c r="T1108" i="15"/>
  <c r="S1108" i="15"/>
  <c r="B1108" i="15"/>
  <c r="AF1107" i="15"/>
  <c r="W1107" i="15" s="1"/>
  <c r="T1107" i="15"/>
  <c r="V1107" i="15" s="1"/>
  <c r="S1107" i="15"/>
  <c r="B1107" i="15"/>
  <c r="AF1106" i="15"/>
  <c r="W1106" i="15" s="1"/>
  <c r="V1106" i="15"/>
  <c r="T1106" i="15"/>
  <c r="S1106" i="15"/>
  <c r="B1106" i="15"/>
  <c r="AF1105" i="15"/>
  <c r="W1105" i="15" s="1"/>
  <c r="T1105" i="15"/>
  <c r="V1105" i="15" s="1"/>
  <c r="S1105" i="15"/>
  <c r="B1105" i="15"/>
  <c r="U1104" i="15"/>
  <c r="R1104" i="15"/>
  <c r="Q1104" i="15"/>
  <c r="L1104" i="15"/>
  <c r="K1104" i="15"/>
  <c r="J1104" i="15"/>
  <c r="I1104" i="15"/>
  <c r="T1104" i="15" s="1"/>
  <c r="V1104" i="15" s="1"/>
  <c r="AD1103" i="15"/>
  <c r="W1103" i="15" s="1"/>
  <c r="V1103" i="15"/>
  <c r="T1103" i="15"/>
  <c r="S1103" i="15"/>
  <c r="B1103" i="15"/>
  <c r="AF1102" i="15"/>
  <c r="W1102" i="15" s="1"/>
  <c r="T1102" i="15"/>
  <c r="V1102" i="15" s="1"/>
  <c r="S1102" i="15"/>
  <c r="B1102" i="15"/>
  <c r="AF1101" i="15"/>
  <c r="W1101" i="15" s="1"/>
  <c r="V1101" i="15"/>
  <c r="T1101" i="15"/>
  <c r="S1101" i="15"/>
  <c r="B1101" i="15"/>
  <c r="AF1100" i="15"/>
  <c r="W1100" i="15" s="1"/>
  <c r="T1100" i="15"/>
  <c r="V1100" i="15" s="1"/>
  <c r="S1100" i="15"/>
  <c r="B1100" i="15"/>
  <c r="AF1099" i="15"/>
  <c r="W1099" i="15" s="1"/>
  <c r="V1099" i="15"/>
  <c r="T1099" i="15"/>
  <c r="S1099" i="15"/>
  <c r="B1099" i="15"/>
  <c r="AF1098" i="15"/>
  <c r="W1098" i="15" s="1"/>
  <c r="T1098" i="15"/>
  <c r="V1098" i="15" s="1"/>
  <c r="S1098" i="15"/>
  <c r="B1098" i="15"/>
  <c r="AF1097" i="15"/>
  <c r="W1097" i="15" s="1"/>
  <c r="V1097" i="15"/>
  <c r="T1097" i="15"/>
  <c r="S1097" i="15"/>
  <c r="B1097" i="15"/>
  <c r="AF1096" i="15"/>
  <c r="W1096" i="15" s="1"/>
  <c r="T1096" i="15"/>
  <c r="V1096" i="15" s="1"/>
  <c r="S1096" i="15"/>
  <c r="B1096" i="15"/>
  <c r="AF1095" i="15"/>
  <c r="W1095" i="15" s="1"/>
  <c r="V1095" i="15"/>
  <c r="T1095" i="15"/>
  <c r="S1095" i="15"/>
  <c r="B1095" i="15"/>
  <c r="AF1094" i="15"/>
  <c r="W1094" i="15" s="1"/>
  <c r="T1094" i="15"/>
  <c r="V1094" i="15" s="1"/>
  <c r="S1094" i="15"/>
  <c r="B1094" i="15"/>
  <c r="AF1093" i="15"/>
  <c r="W1093" i="15" s="1"/>
  <c r="V1093" i="15"/>
  <c r="T1093" i="15"/>
  <c r="S1093" i="15"/>
  <c r="B1093" i="15"/>
  <c r="AF1092" i="15"/>
  <c r="W1092" i="15" s="1"/>
  <c r="T1092" i="15"/>
  <c r="V1092" i="15" s="1"/>
  <c r="S1092" i="15"/>
  <c r="B1092" i="15"/>
  <c r="AD1091" i="15"/>
  <c r="W1091" i="15" s="1"/>
  <c r="V1091" i="15"/>
  <c r="T1091" i="15"/>
  <c r="S1091" i="15"/>
  <c r="B1091" i="15"/>
  <c r="AF1090" i="15"/>
  <c r="W1090" i="15" s="1"/>
  <c r="T1090" i="15"/>
  <c r="V1090" i="15" s="1"/>
  <c r="S1090" i="15"/>
  <c r="B1090" i="15"/>
  <c r="T1089" i="15"/>
  <c r="W1089" i="15" s="1"/>
  <c r="S1089" i="15"/>
  <c r="B1089" i="15"/>
  <c r="T1088" i="15"/>
  <c r="V1088" i="15" s="1"/>
  <c r="S1088" i="15"/>
  <c r="B1088" i="15"/>
  <c r="V1087" i="15"/>
  <c r="T1087" i="15"/>
  <c r="W1087" i="15" s="1"/>
  <c r="S1087" i="15"/>
  <c r="B1087" i="15"/>
  <c r="AF1086" i="15"/>
  <c r="W1086" i="15" s="1"/>
  <c r="T1086" i="15"/>
  <c r="V1086" i="15" s="1"/>
  <c r="S1086" i="15"/>
  <c r="B1086" i="15"/>
  <c r="AF1085" i="15"/>
  <c r="W1085" i="15"/>
  <c r="T1085" i="15"/>
  <c r="V1085" i="15" s="1"/>
  <c r="S1085" i="15"/>
  <c r="B1085" i="15"/>
  <c r="AF1084" i="15"/>
  <c r="W1084" i="15" s="1"/>
  <c r="T1084" i="15"/>
  <c r="V1084" i="15" s="1"/>
  <c r="S1084" i="15"/>
  <c r="B1084" i="15"/>
  <c r="AF1083" i="15"/>
  <c r="W1083" i="15"/>
  <c r="T1083" i="15"/>
  <c r="V1083" i="15" s="1"/>
  <c r="S1083" i="15"/>
  <c r="B1083" i="15"/>
  <c r="AF1082" i="15"/>
  <c r="W1082" i="15" s="1"/>
  <c r="T1082" i="15"/>
  <c r="V1082" i="15" s="1"/>
  <c r="S1082" i="15"/>
  <c r="B1082" i="15"/>
  <c r="AJ1081" i="15"/>
  <c r="W1081" i="15"/>
  <c r="T1081" i="15"/>
  <c r="V1081" i="15" s="1"/>
  <c r="S1081" i="15"/>
  <c r="B1081" i="15"/>
  <c r="AF1080" i="15"/>
  <c r="W1080" i="15" s="1"/>
  <c r="T1080" i="15"/>
  <c r="V1080" i="15" s="1"/>
  <c r="S1080" i="15"/>
  <c r="B1080" i="15"/>
  <c r="AF1079" i="15"/>
  <c r="W1079" i="15"/>
  <c r="T1079" i="15"/>
  <c r="V1079" i="15" s="1"/>
  <c r="S1079" i="15"/>
  <c r="B1079" i="15"/>
  <c r="AF1078" i="15"/>
  <c r="W1078" i="15" s="1"/>
  <c r="T1078" i="15"/>
  <c r="V1078" i="15" s="1"/>
  <c r="S1078" i="15"/>
  <c r="B1078" i="15"/>
  <c r="U1077" i="15"/>
  <c r="S1077" i="15"/>
  <c r="R1077" i="15"/>
  <c r="Q1077" i="15"/>
  <c r="L1077" i="15"/>
  <c r="K1077" i="15"/>
  <c r="J1077" i="15"/>
  <c r="I1077" i="15"/>
  <c r="T1077" i="15" s="1"/>
  <c r="AF1076" i="15"/>
  <c r="W1076" i="15"/>
  <c r="T1076" i="15"/>
  <c r="V1076" i="15" s="1"/>
  <c r="S1076" i="15"/>
  <c r="B1076" i="15"/>
  <c r="AF1075" i="15"/>
  <c r="W1075" i="15" s="1"/>
  <c r="T1075" i="15"/>
  <c r="V1075" i="15" s="1"/>
  <c r="S1075" i="15"/>
  <c r="B1075" i="15"/>
  <c r="AF1074" i="15"/>
  <c r="W1074" i="15"/>
  <c r="T1074" i="15"/>
  <c r="V1074" i="15" s="1"/>
  <c r="S1074" i="15"/>
  <c r="B1074" i="15"/>
  <c r="AF1073" i="15"/>
  <c r="T1073" i="15"/>
  <c r="W1073" i="15" s="1"/>
  <c r="S1073" i="15"/>
  <c r="B1073" i="15"/>
  <c r="AF1072" i="15"/>
  <c r="W1072" i="15" s="1"/>
  <c r="T1072" i="15"/>
  <c r="V1072" i="15" s="1"/>
  <c r="S1072" i="15"/>
  <c r="B1072" i="15"/>
  <c r="AF1071" i="15"/>
  <c r="W1071" i="15"/>
  <c r="T1071" i="15"/>
  <c r="V1071" i="15" s="1"/>
  <c r="S1071" i="15"/>
  <c r="B1071" i="15"/>
  <c r="AF1070" i="15"/>
  <c r="W1070" i="15" s="1"/>
  <c r="T1070" i="15"/>
  <c r="V1070" i="15" s="1"/>
  <c r="S1070" i="15"/>
  <c r="B1070" i="15"/>
  <c r="AF1069" i="15"/>
  <c r="W1069" i="15"/>
  <c r="T1069" i="15"/>
  <c r="V1069" i="15" s="1"/>
  <c r="S1069" i="15"/>
  <c r="B1069" i="15"/>
  <c r="V1068" i="15"/>
  <c r="T1068" i="15"/>
  <c r="W1068" i="15" s="1"/>
  <c r="S1068" i="15"/>
  <c r="B1068" i="15"/>
  <c r="AF1067" i="15"/>
  <c r="W1067" i="15" s="1"/>
  <c r="T1067" i="15"/>
  <c r="V1067" i="15" s="1"/>
  <c r="S1067" i="15"/>
  <c r="B1067" i="15"/>
  <c r="AF1066" i="15"/>
  <c r="W1066" i="15" s="1"/>
  <c r="V1066" i="15"/>
  <c r="T1066" i="15"/>
  <c r="S1066" i="15"/>
  <c r="B1066" i="15"/>
  <c r="AF1065" i="15"/>
  <c r="W1065" i="15" s="1"/>
  <c r="T1065" i="15"/>
  <c r="V1065" i="15" s="1"/>
  <c r="S1065" i="15"/>
  <c r="B1065" i="15"/>
  <c r="AF1064" i="15"/>
  <c r="W1064" i="15" s="1"/>
  <c r="V1064" i="15"/>
  <c r="T1064" i="15"/>
  <c r="S1064" i="15"/>
  <c r="B1064" i="15"/>
  <c r="AF1063" i="15"/>
  <c r="W1063" i="15" s="1"/>
  <c r="T1063" i="15"/>
  <c r="V1063" i="15" s="1"/>
  <c r="S1063" i="15"/>
  <c r="B1063" i="15"/>
  <c r="U1062" i="15"/>
  <c r="R1062" i="15"/>
  <c r="Q1062" i="15"/>
  <c r="L1062" i="15"/>
  <c r="K1062" i="15"/>
  <c r="J1062" i="15"/>
  <c r="I1062" i="15"/>
  <c r="T1062" i="15" s="1"/>
  <c r="V1062" i="15" s="1"/>
  <c r="AF1061" i="15"/>
  <c r="W1061" i="15" s="1"/>
  <c r="V1061" i="15"/>
  <c r="T1061" i="15"/>
  <c r="S1061" i="15"/>
  <c r="B1061" i="15"/>
  <c r="AF1060" i="15"/>
  <c r="W1060" i="15" s="1"/>
  <c r="T1060" i="15"/>
  <c r="V1060" i="15" s="1"/>
  <c r="S1060" i="15"/>
  <c r="B1060" i="15"/>
  <c r="AF1059" i="15"/>
  <c r="W1059" i="15" s="1"/>
  <c r="V1059" i="15"/>
  <c r="T1059" i="15"/>
  <c r="S1059" i="15"/>
  <c r="B1059" i="15"/>
  <c r="AF1058" i="15"/>
  <c r="W1058" i="15" s="1"/>
  <c r="T1058" i="15"/>
  <c r="V1058" i="15" s="1"/>
  <c r="S1058" i="15"/>
  <c r="B1058" i="15"/>
  <c r="AF1057" i="15"/>
  <c r="W1057" i="15" s="1"/>
  <c r="V1057" i="15"/>
  <c r="T1057" i="15"/>
  <c r="S1057" i="15"/>
  <c r="B1057" i="15"/>
  <c r="AF1056" i="15"/>
  <c r="W1056" i="15" s="1"/>
  <c r="T1056" i="15"/>
  <c r="V1056" i="15" s="1"/>
  <c r="S1056" i="15"/>
  <c r="B1056" i="15"/>
  <c r="AF1055" i="15"/>
  <c r="W1055" i="15" s="1"/>
  <c r="V1055" i="15"/>
  <c r="T1055" i="15"/>
  <c r="S1055" i="15"/>
  <c r="B1055" i="15"/>
  <c r="AF1054" i="15"/>
  <c r="W1054" i="15" s="1"/>
  <c r="T1054" i="15"/>
  <c r="V1054" i="15" s="1"/>
  <c r="S1054" i="15"/>
  <c r="B1054" i="15"/>
  <c r="AD1053" i="15"/>
  <c r="W1053" i="15" s="1"/>
  <c r="V1053" i="15"/>
  <c r="T1053" i="15"/>
  <c r="S1053" i="15"/>
  <c r="B1053" i="15"/>
  <c r="AD1052" i="15"/>
  <c r="W1052" i="15" s="1"/>
  <c r="T1052" i="15"/>
  <c r="V1052" i="15" s="1"/>
  <c r="S1052" i="15"/>
  <c r="B1052" i="15"/>
  <c r="AF1051" i="15"/>
  <c r="W1051" i="15" s="1"/>
  <c r="V1051" i="15"/>
  <c r="T1051" i="15"/>
  <c r="S1051" i="15"/>
  <c r="B1051" i="15"/>
  <c r="AF1050" i="15"/>
  <c r="W1050" i="15" s="1"/>
  <c r="T1050" i="15"/>
  <c r="V1050" i="15" s="1"/>
  <c r="S1050" i="15"/>
  <c r="B1050" i="15"/>
  <c r="AF1049" i="15"/>
  <c r="W1049" i="15" s="1"/>
  <c r="V1049" i="15"/>
  <c r="T1049" i="15"/>
  <c r="S1049" i="15"/>
  <c r="B1049" i="15"/>
  <c r="AF1048" i="15"/>
  <c r="W1048" i="15" s="1"/>
  <c r="T1048" i="15"/>
  <c r="V1048" i="15" s="1"/>
  <c r="S1048" i="15"/>
  <c r="B1048" i="15"/>
  <c r="AF1047" i="15"/>
  <c r="W1047" i="15" s="1"/>
  <c r="V1047" i="15"/>
  <c r="T1047" i="15"/>
  <c r="S1047" i="15"/>
  <c r="B1047" i="15"/>
  <c r="AF1046" i="15"/>
  <c r="W1046" i="15" s="1"/>
  <c r="T1046" i="15"/>
  <c r="V1046" i="15" s="1"/>
  <c r="S1046" i="15"/>
  <c r="B1046" i="15"/>
  <c r="AF1045" i="15"/>
  <c r="W1045" i="15" s="1"/>
  <c r="V1045" i="15"/>
  <c r="T1045" i="15"/>
  <c r="S1045" i="15"/>
  <c r="B1045" i="15"/>
  <c r="AF1044" i="15"/>
  <c r="W1044" i="15" s="1"/>
  <c r="T1044" i="15"/>
  <c r="V1044" i="15" s="1"/>
  <c r="S1044" i="15"/>
  <c r="B1044" i="15"/>
  <c r="AF1043" i="15"/>
  <c r="W1043" i="15" s="1"/>
  <c r="V1043" i="15"/>
  <c r="T1043" i="15"/>
  <c r="S1043" i="15"/>
  <c r="B1043" i="15"/>
  <c r="AF1042" i="15"/>
  <c r="W1042" i="15" s="1"/>
  <c r="T1042" i="15"/>
  <c r="V1042" i="15" s="1"/>
  <c r="S1042" i="15"/>
  <c r="B1042" i="15"/>
  <c r="AF1041" i="15"/>
  <c r="W1041" i="15" s="1"/>
  <c r="V1041" i="15"/>
  <c r="T1041" i="15"/>
  <c r="S1041" i="15"/>
  <c r="B1041" i="15"/>
  <c r="AF1040" i="15"/>
  <c r="W1040" i="15" s="1"/>
  <c r="T1040" i="15"/>
  <c r="V1040" i="15" s="1"/>
  <c r="S1040" i="15"/>
  <c r="B1040" i="15"/>
  <c r="AF1039" i="15"/>
  <c r="W1039" i="15" s="1"/>
  <c r="V1039" i="15"/>
  <c r="T1039" i="15"/>
  <c r="S1039" i="15"/>
  <c r="B1039" i="15"/>
  <c r="AF1038" i="15"/>
  <c r="W1038" i="15" s="1"/>
  <c r="T1038" i="15"/>
  <c r="V1038" i="15" s="1"/>
  <c r="S1038" i="15"/>
  <c r="B1038" i="15"/>
  <c r="AF1037" i="15"/>
  <c r="W1037" i="15" s="1"/>
  <c r="V1037" i="15"/>
  <c r="T1037" i="15"/>
  <c r="S1037" i="15"/>
  <c r="B1037" i="15"/>
  <c r="AF1036" i="15"/>
  <c r="W1036" i="15" s="1"/>
  <c r="T1036" i="15"/>
  <c r="V1036" i="15" s="1"/>
  <c r="S1036" i="15"/>
  <c r="B1036" i="15"/>
  <c r="AJ1035" i="15"/>
  <c r="W1035" i="15" s="1"/>
  <c r="T1035" i="15"/>
  <c r="V1035" i="15" s="1"/>
  <c r="S1035" i="15"/>
  <c r="B1035" i="15"/>
  <c r="AF1034" i="15"/>
  <c r="W1034" i="15"/>
  <c r="T1034" i="15"/>
  <c r="V1034" i="15" s="1"/>
  <c r="S1034" i="15"/>
  <c r="B1034" i="15"/>
  <c r="AJ1033" i="15"/>
  <c r="W1033" i="15" s="1"/>
  <c r="T1033" i="15"/>
  <c r="V1033" i="15" s="1"/>
  <c r="S1033" i="15"/>
  <c r="B1033" i="15"/>
  <c r="AF1032" i="15"/>
  <c r="W1032" i="15"/>
  <c r="T1032" i="15"/>
  <c r="V1032" i="15" s="1"/>
  <c r="S1032" i="15"/>
  <c r="B1032" i="15"/>
  <c r="AF1031" i="15"/>
  <c r="W1031" i="15" s="1"/>
  <c r="T1031" i="15"/>
  <c r="V1031" i="15" s="1"/>
  <c r="S1031" i="15"/>
  <c r="B1031" i="15"/>
  <c r="AJ1030" i="15"/>
  <c r="W1030" i="15"/>
  <c r="T1030" i="15"/>
  <c r="V1030" i="15" s="1"/>
  <c r="S1030" i="15"/>
  <c r="B1030" i="15"/>
  <c r="AF1029" i="15"/>
  <c r="W1029" i="15" s="1"/>
  <c r="T1029" i="15"/>
  <c r="V1029" i="15" s="1"/>
  <c r="S1029" i="15"/>
  <c r="B1029" i="15"/>
  <c r="AF1028" i="15"/>
  <c r="W1028" i="15"/>
  <c r="T1028" i="15"/>
  <c r="V1028" i="15" s="1"/>
  <c r="S1028" i="15"/>
  <c r="B1028" i="15"/>
  <c r="AF1027" i="15"/>
  <c r="W1027" i="15" s="1"/>
  <c r="T1027" i="15"/>
  <c r="V1027" i="15" s="1"/>
  <c r="S1027" i="15"/>
  <c r="B1027" i="15"/>
  <c r="AF1026" i="15"/>
  <c r="W1026" i="15"/>
  <c r="T1026" i="15"/>
  <c r="V1026" i="15" s="1"/>
  <c r="S1026" i="15"/>
  <c r="B1026" i="15"/>
  <c r="AF1025" i="15"/>
  <c r="W1025" i="15" s="1"/>
  <c r="T1025" i="15"/>
  <c r="V1025" i="15" s="1"/>
  <c r="S1025" i="15"/>
  <c r="B1025" i="15"/>
  <c r="AF1024" i="15"/>
  <c r="W1024" i="15"/>
  <c r="T1024" i="15"/>
  <c r="V1024" i="15" s="1"/>
  <c r="S1024" i="15"/>
  <c r="B1024" i="15"/>
  <c r="AD1023" i="15"/>
  <c r="W1023" i="15" s="1"/>
  <c r="T1023" i="15"/>
  <c r="V1023" i="15" s="1"/>
  <c r="S1023" i="15"/>
  <c r="B1023" i="15"/>
  <c r="AF1022" i="15"/>
  <c r="W1022" i="15"/>
  <c r="T1022" i="15"/>
  <c r="V1022" i="15" s="1"/>
  <c r="S1022" i="15"/>
  <c r="B1022" i="15"/>
  <c r="AF1021" i="15"/>
  <c r="W1021" i="15" s="1"/>
  <c r="T1021" i="15"/>
  <c r="V1021" i="15" s="1"/>
  <c r="S1021" i="15"/>
  <c r="B1021" i="15"/>
  <c r="AF1020" i="15"/>
  <c r="W1020" i="15"/>
  <c r="T1020" i="15"/>
  <c r="V1020" i="15" s="1"/>
  <c r="S1020" i="15"/>
  <c r="B1020" i="15"/>
  <c r="AF1019" i="15"/>
  <c r="W1019" i="15" s="1"/>
  <c r="T1019" i="15"/>
  <c r="V1019" i="15" s="1"/>
  <c r="S1019" i="15"/>
  <c r="B1019" i="15"/>
  <c r="AF1018" i="15"/>
  <c r="W1018" i="15"/>
  <c r="T1018" i="15"/>
  <c r="V1018" i="15" s="1"/>
  <c r="S1018" i="15"/>
  <c r="B1018" i="15"/>
  <c r="AF1017" i="15"/>
  <c r="W1017" i="15" s="1"/>
  <c r="T1017" i="15"/>
  <c r="V1017" i="15" s="1"/>
  <c r="S1017" i="15"/>
  <c r="B1017" i="15"/>
  <c r="AF1016" i="15"/>
  <c r="W1016" i="15"/>
  <c r="T1016" i="15"/>
  <c r="V1016" i="15" s="1"/>
  <c r="S1016" i="15"/>
  <c r="B1016" i="15"/>
  <c r="AF1015" i="15"/>
  <c r="W1015" i="15" s="1"/>
  <c r="T1015" i="15"/>
  <c r="V1015" i="15" s="1"/>
  <c r="S1015" i="15"/>
  <c r="B1015" i="15"/>
  <c r="AF1014" i="15"/>
  <c r="W1014" i="15"/>
  <c r="T1014" i="15"/>
  <c r="V1014" i="15" s="1"/>
  <c r="S1014" i="15"/>
  <c r="B1014" i="15"/>
  <c r="AF1013" i="15"/>
  <c r="W1013" i="15" s="1"/>
  <c r="T1013" i="15"/>
  <c r="V1013" i="15" s="1"/>
  <c r="S1013" i="15"/>
  <c r="B1013" i="15"/>
  <c r="AF1012" i="15"/>
  <c r="W1012" i="15"/>
  <c r="T1012" i="15"/>
  <c r="V1012" i="15" s="1"/>
  <c r="S1012" i="15"/>
  <c r="B1012" i="15"/>
  <c r="AF1011" i="15"/>
  <c r="W1011" i="15" s="1"/>
  <c r="T1011" i="15"/>
  <c r="V1011" i="15" s="1"/>
  <c r="S1011" i="15"/>
  <c r="B1011" i="15"/>
  <c r="AF1010" i="15"/>
  <c r="W1010" i="15"/>
  <c r="T1010" i="15"/>
  <c r="V1010" i="15" s="1"/>
  <c r="S1010" i="15"/>
  <c r="B1010" i="15"/>
  <c r="AF1009" i="15"/>
  <c r="W1009" i="15" s="1"/>
  <c r="T1009" i="15"/>
  <c r="V1009" i="15" s="1"/>
  <c r="S1009" i="15"/>
  <c r="B1009" i="15"/>
  <c r="AF1008" i="15"/>
  <c r="W1008" i="15"/>
  <c r="T1008" i="15"/>
  <c r="V1008" i="15" s="1"/>
  <c r="S1008" i="15"/>
  <c r="B1008" i="15"/>
  <c r="AF1007" i="15"/>
  <c r="W1007" i="15" s="1"/>
  <c r="T1007" i="15"/>
  <c r="V1007" i="15" s="1"/>
  <c r="S1007" i="15"/>
  <c r="B1007" i="15"/>
  <c r="AF1006" i="15"/>
  <c r="W1006" i="15"/>
  <c r="T1006" i="15"/>
  <c r="V1006" i="15" s="1"/>
  <c r="S1006" i="15"/>
  <c r="B1006" i="15"/>
  <c r="AF1005" i="15"/>
  <c r="W1005" i="15" s="1"/>
  <c r="T1005" i="15"/>
  <c r="V1005" i="15" s="1"/>
  <c r="S1005" i="15"/>
  <c r="B1005" i="15"/>
  <c r="AF1004" i="15"/>
  <c r="W1004" i="15"/>
  <c r="T1004" i="15"/>
  <c r="V1004" i="15" s="1"/>
  <c r="S1004" i="15"/>
  <c r="B1004" i="15"/>
  <c r="AF1003" i="15"/>
  <c r="W1003" i="15" s="1"/>
  <c r="T1003" i="15"/>
  <c r="V1003" i="15" s="1"/>
  <c r="S1003" i="15"/>
  <c r="B1003" i="15"/>
  <c r="AF1002" i="15"/>
  <c r="W1002" i="15"/>
  <c r="T1002" i="15"/>
  <c r="V1002" i="15" s="1"/>
  <c r="S1002" i="15"/>
  <c r="B1002" i="15"/>
  <c r="AF1001" i="15"/>
  <c r="W1001" i="15" s="1"/>
  <c r="T1001" i="15"/>
  <c r="V1001" i="15" s="1"/>
  <c r="S1001" i="15"/>
  <c r="B1001" i="15"/>
  <c r="AF1000" i="15"/>
  <c r="W1000" i="15"/>
  <c r="T1000" i="15"/>
  <c r="V1000" i="15" s="1"/>
  <c r="S1000" i="15"/>
  <c r="S999" i="15" s="1"/>
  <c r="B1000" i="15"/>
  <c r="U999" i="15"/>
  <c r="V999" i="15" s="1"/>
  <c r="R999" i="15"/>
  <c r="R998" i="15" s="1"/>
  <c r="Q999" i="15"/>
  <c r="L999" i="15"/>
  <c r="L998" i="15" s="1"/>
  <c r="K999" i="15"/>
  <c r="J999" i="15"/>
  <c r="J998" i="15" s="1"/>
  <c r="I999" i="15"/>
  <c r="T999" i="15" s="1"/>
  <c r="U998" i="15"/>
  <c r="Q998" i="15"/>
  <c r="K998" i="15"/>
  <c r="I998" i="15"/>
  <c r="T998" i="15" s="1"/>
  <c r="AF997" i="15"/>
  <c r="W997" i="15"/>
  <c r="T997" i="15"/>
  <c r="V997" i="15" s="1"/>
  <c r="S997" i="15"/>
  <c r="S996" i="15" s="1"/>
  <c r="B997" i="15"/>
  <c r="U996" i="15"/>
  <c r="V996" i="15" s="1"/>
  <c r="R996" i="15"/>
  <c r="Q996" i="15"/>
  <c r="L996" i="15"/>
  <c r="K996" i="15"/>
  <c r="J996" i="15"/>
  <c r="I996" i="15"/>
  <c r="T996" i="15" s="1"/>
  <c r="AF995" i="15"/>
  <c r="W995" i="15" s="1"/>
  <c r="T995" i="15"/>
  <c r="V995" i="15" s="1"/>
  <c r="S995" i="15"/>
  <c r="B995" i="15"/>
  <c r="U994" i="15"/>
  <c r="S994" i="15"/>
  <c r="R994" i="15"/>
  <c r="Q994" i="15"/>
  <c r="L994" i="15"/>
  <c r="K994" i="15"/>
  <c r="J994" i="15"/>
  <c r="I994" i="15"/>
  <c r="T994" i="15" s="1"/>
  <c r="AF993" i="15"/>
  <c r="W993" i="15"/>
  <c r="T993" i="15"/>
  <c r="V993" i="15" s="1"/>
  <c r="S993" i="15"/>
  <c r="B993" i="15"/>
  <c r="W992" i="15"/>
  <c r="T992" i="15"/>
  <c r="V992" i="15" s="1"/>
  <c r="S992" i="15"/>
  <c r="B992" i="15"/>
  <c r="W991" i="15"/>
  <c r="T991" i="15"/>
  <c r="V991" i="15" s="1"/>
  <c r="S991" i="15"/>
  <c r="B991" i="15"/>
  <c r="W990" i="15"/>
  <c r="V990" i="15"/>
  <c r="T990" i="15"/>
  <c r="S990" i="15"/>
  <c r="S989" i="15" s="1"/>
  <c r="B990" i="15"/>
  <c r="U989" i="15"/>
  <c r="R989" i="15"/>
  <c r="Q989" i="15"/>
  <c r="L989" i="15"/>
  <c r="K989" i="15"/>
  <c r="J989" i="15"/>
  <c r="I989" i="15"/>
  <c r="T989" i="15" s="1"/>
  <c r="V989" i="15" s="1"/>
  <c r="W988" i="15"/>
  <c r="T988" i="15"/>
  <c r="V988" i="15" s="1"/>
  <c r="S988" i="15"/>
  <c r="B988" i="15"/>
  <c r="W987" i="15"/>
  <c r="V987" i="15"/>
  <c r="T987" i="15"/>
  <c r="S987" i="15"/>
  <c r="B987" i="15"/>
  <c r="W986" i="15"/>
  <c r="T986" i="15"/>
  <c r="V986" i="15" s="1"/>
  <c r="S986" i="15"/>
  <c r="B986" i="15"/>
  <c r="W985" i="15"/>
  <c r="T985" i="15"/>
  <c r="V985" i="15" s="1"/>
  <c r="S985" i="15"/>
  <c r="B985" i="15"/>
  <c r="AF984" i="15"/>
  <c r="W984" i="15" s="1"/>
  <c r="V984" i="15"/>
  <c r="T984" i="15"/>
  <c r="S984" i="15"/>
  <c r="B984" i="15"/>
  <c r="AF983" i="15"/>
  <c r="W983" i="15" s="1"/>
  <c r="T983" i="15"/>
  <c r="V983" i="15" s="1"/>
  <c r="S983" i="15"/>
  <c r="B983" i="15"/>
  <c r="U982" i="15"/>
  <c r="R982" i="15"/>
  <c r="Q982" i="15"/>
  <c r="L982" i="15"/>
  <c r="K982" i="15"/>
  <c r="J982" i="15"/>
  <c r="I982" i="15"/>
  <c r="T982" i="15" s="1"/>
  <c r="V982" i="15" s="1"/>
  <c r="AF981" i="15"/>
  <c r="W981" i="15" s="1"/>
  <c r="V981" i="15"/>
  <c r="T981" i="15"/>
  <c r="S981" i="15"/>
  <c r="S980" i="15" s="1"/>
  <c r="B981" i="15"/>
  <c r="U980" i="15"/>
  <c r="R980" i="15"/>
  <c r="Q980" i="15"/>
  <c r="L980" i="15"/>
  <c r="K980" i="15"/>
  <c r="J980" i="15"/>
  <c r="I980" i="15"/>
  <c r="T980" i="15" s="1"/>
  <c r="V980" i="15" s="1"/>
  <c r="AF979" i="15"/>
  <c r="W979" i="15" s="1"/>
  <c r="T979" i="15"/>
  <c r="V979" i="15" s="1"/>
  <c r="S979" i="15"/>
  <c r="S978" i="15" s="1"/>
  <c r="B979" i="15"/>
  <c r="U978" i="15"/>
  <c r="R978" i="15"/>
  <c r="Q978" i="15"/>
  <c r="L978" i="15"/>
  <c r="K978" i="15"/>
  <c r="J978" i="15"/>
  <c r="I978" i="15"/>
  <c r="T978" i="15" s="1"/>
  <c r="V978" i="15" s="1"/>
  <c r="AF977" i="15"/>
  <c r="W977" i="15" s="1"/>
  <c r="V977" i="15"/>
  <c r="T977" i="15"/>
  <c r="S977" i="15"/>
  <c r="B977" i="15"/>
  <c r="AJ976" i="15"/>
  <c r="W976" i="15" s="1"/>
  <c r="T976" i="15"/>
  <c r="V976" i="15" s="1"/>
  <c r="S976" i="15"/>
  <c r="B976" i="15"/>
  <c r="AJ975" i="15"/>
  <c r="W975" i="15" s="1"/>
  <c r="V975" i="15"/>
  <c r="T975" i="15"/>
  <c r="S975" i="15"/>
  <c r="B975" i="15"/>
  <c r="AF974" i="15"/>
  <c r="W974" i="15" s="1"/>
  <c r="T974" i="15"/>
  <c r="V974" i="15" s="1"/>
  <c r="S974" i="15"/>
  <c r="B974" i="15"/>
  <c r="AF973" i="15"/>
  <c r="W973" i="15"/>
  <c r="T973" i="15"/>
  <c r="V973" i="15" s="1"/>
  <c r="S973" i="15"/>
  <c r="S972" i="15" s="1"/>
  <c r="B973" i="15"/>
  <c r="U972" i="15"/>
  <c r="R972" i="15"/>
  <c r="Q972" i="15"/>
  <c r="L972" i="15"/>
  <c r="K972" i="15"/>
  <c r="J972" i="15"/>
  <c r="I972" i="15"/>
  <c r="T972" i="15" s="1"/>
  <c r="AF971" i="15"/>
  <c r="W971" i="15" s="1"/>
  <c r="T971" i="15"/>
  <c r="V971" i="15" s="1"/>
  <c r="S971" i="15"/>
  <c r="B971" i="15"/>
  <c r="U970" i="15"/>
  <c r="S970" i="15"/>
  <c r="R970" i="15"/>
  <c r="Q970" i="15"/>
  <c r="L970" i="15"/>
  <c r="K970" i="15"/>
  <c r="J970" i="15"/>
  <c r="I970" i="15"/>
  <c r="T970" i="15" s="1"/>
  <c r="AF969" i="15"/>
  <c r="W969" i="15"/>
  <c r="T969" i="15"/>
  <c r="V969" i="15" s="1"/>
  <c r="S969" i="15"/>
  <c r="S968" i="15" s="1"/>
  <c r="B969" i="15"/>
  <c r="U968" i="15"/>
  <c r="R968" i="15"/>
  <c r="Q968" i="15"/>
  <c r="L968" i="15"/>
  <c r="K968" i="15"/>
  <c r="J968" i="15"/>
  <c r="I968" i="15"/>
  <c r="T968" i="15" s="1"/>
  <c r="AF967" i="15"/>
  <c r="W967" i="15" s="1"/>
  <c r="T967" i="15"/>
  <c r="V967" i="15" s="1"/>
  <c r="S967" i="15"/>
  <c r="B967" i="15"/>
  <c r="U966" i="15"/>
  <c r="S966" i="15"/>
  <c r="R966" i="15"/>
  <c r="Q966" i="15"/>
  <c r="L966" i="15"/>
  <c r="K966" i="15"/>
  <c r="J966" i="15"/>
  <c r="I966" i="15"/>
  <c r="T966" i="15" s="1"/>
  <c r="AF965" i="15"/>
  <c r="W965" i="15"/>
  <c r="T965" i="15"/>
  <c r="V965" i="15" s="1"/>
  <c r="S965" i="15"/>
  <c r="S964" i="15" s="1"/>
  <c r="B965" i="15"/>
  <c r="U964" i="15"/>
  <c r="R964" i="15"/>
  <c r="Q964" i="15"/>
  <c r="L964" i="15"/>
  <c r="K964" i="15"/>
  <c r="J964" i="15"/>
  <c r="I964" i="15"/>
  <c r="T964" i="15" s="1"/>
  <c r="AF963" i="15"/>
  <c r="W963" i="15" s="1"/>
  <c r="T963" i="15"/>
  <c r="V963" i="15" s="1"/>
  <c r="S963" i="15"/>
  <c r="B963" i="15"/>
  <c r="AF962" i="15"/>
  <c r="W962" i="15"/>
  <c r="T962" i="15"/>
  <c r="V962" i="15" s="1"/>
  <c r="S962" i="15"/>
  <c r="B962" i="15"/>
  <c r="AF961" i="15"/>
  <c r="W961" i="15" s="1"/>
  <c r="T961" i="15"/>
  <c r="V961" i="15" s="1"/>
  <c r="S961" i="15"/>
  <c r="B961" i="15"/>
  <c r="U960" i="15"/>
  <c r="S960" i="15"/>
  <c r="R960" i="15"/>
  <c r="Q960" i="15"/>
  <c r="L960" i="15"/>
  <c r="K960" i="15"/>
  <c r="J960" i="15"/>
  <c r="I960" i="15"/>
  <c r="T960" i="15" s="1"/>
  <c r="AF959" i="15"/>
  <c r="W959" i="15"/>
  <c r="T959" i="15"/>
  <c r="V959" i="15" s="1"/>
  <c r="S959" i="15"/>
  <c r="B959" i="15"/>
  <c r="AF958" i="15"/>
  <c r="W958" i="15" s="1"/>
  <c r="T958" i="15"/>
  <c r="V958" i="15" s="1"/>
  <c r="S958" i="15"/>
  <c r="B958" i="15"/>
  <c r="AF957" i="15"/>
  <c r="W957" i="15"/>
  <c r="T957" i="15"/>
  <c r="V957" i="15" s="1"/>
  <c r="S957" i="15"/>
  <c r="B957" i="15"/>
  <c r="AF956" i="15"/>
  <c r="W956" i="15" s="1"/>
  <c r="T956" i="15"/>
  <c r="V956" i="15" s="1"/>
  <c r="S956" i="15"/>
  <c r="B956" i="15"/>
  <c r="AF955" i="15"/>
  <c r="W955" i="15"/>
  <c r="T955" i="15"/>
  <c r="V955" i="15" s="1"/>
  <c r="S955" i="15"/>
  <c r="S954" i="15" s="1"/>
  <c r="B955" i="15"/>
  <c r="U954" i="15"/>
  <c r="R954" i="15"/>
  <c r="Q954" i="15"/>
  <c r="L954" i="15"/>
  <c r="K954" i="15"/>
  <c r="J954" i="15"/>
  <c r="I954" i="15"/>
  <c r="T954" i="15" s="1"/>
  <c r="AF953" i="15"/>
  <c r="W953" i="15" s="1"/>
  <c r="T953" i="15"/>
  <c r="V953" i="15" s="1"/>
  <c r="S953" i="15"/>
  <c r="B953" i="15"/>
  <c r="AF952" i="15"/>
  <c r="W952" i="15"/>
  <c r="T952" i="15"/>
  <c r="V952" i="15" s="1"/>
  <c r="S952" i="15"/>
  <c r="B952" i="15"/>
  <c r="AF951" i="15"/>
  <c r="W951" i="15" s="1"/>
  <c r="T951" i="15"/>
  <c r="V951" i="15" s="1"/>
  <c r="S951" i="15"/>
  <c r="B951" i="15"/>
  <c r="AF950" i="15"/>
  <c r="W950" i="15"/>
  <c r="T950" i="15"/>
  <c r="V950" i="15" s="1"/>
  <c r="S950" i="15"/>
  <c r="B950" i="15"/>
  <c r="AF949" i="15"/>
  <c r="W949" i="15" s="1"/>
  <c r="T949" i="15"/>
  <c r="V949" i="15" s="1"/>
  <c r="S949" i="15"/>
  <c r="B949" i="15"/>
  <c r="U948" i="15"/>
  <c r="S948" i="15"/>
  <c r="R948" i="15"/>
  <c r="Q948" i="15"/>
  <c r="L948" i="15"/>
  <c r="K948" i="15"/>
  <c r="J948" i="15"/>
  <c r="I948" i="15"/>
  <c r="T948" i="15" s="1"/>
  <c r="AF947" i="15"/>
  <c r="W947" i="15"/>
  <c r="T947" i="15"/>
  <c r="V947" i="15" s="1"/>
  <c r="S947" i="15"/>
  <c r="B947" i="15"/>
  <c r="AF946" i="15"/>
  <c r="W946" i="15" s="1"/>
  <c r="T946" i="15"/>
  <c r="V946" i="15" s="1"/>
  <c r="S946" i="15"/>
  <c r="B946" i="15"/>
  <c r="AF945" i="15"/>
  <c r="W945" i="15"/>
  <c r="T945" i="15"/>
  <c r="V945" i="15" s="1"/>
  <c r="S945" i="15"/>
  <c r="S944" i="15" s="1"/>
  <c r="B945" i="15"/>
  <c r="U944" i="15"/>
  <c r="R944" i="15"/>
  <c r="Q944" i="15"/>
  <c r="L944" i="15"/>
  <c r="K944" i="15"/>
  <c r="J944" i="15"/>
  <c r="I944" i="15"/>
  <c r="T944" i="15" s="1"/>
  <c r="AF943" i="15"/>
  <c r="W943" i="15" s="1"/>
  <c r="T943" i="15"/>
  <c r="V943" i="15" s="1"/>
  <c r="S943" i="15"/>
  <c r="B943" i="15"/>
  <c r="U942" i="15"/>
  <c r="S942" i="15"/>
  <c r="R942" i="15"/>
  <c r="Q942" i="15"/>
  <c r="L942" i="15"/>
  <c r="K942" i="15"/>
  <c r="J942" i="15"/>
  <c r="I942" i="15"/>
  <c r="T942" i="15" s="1"/>
  <c r="AF941" i="15"/>
  <c r="W941" i="15"/>
  <c r="T941" i="15"/>
  <c r="V941" i="15" s="1"/>
  <c r="S941" i="15"/>
  <c r="S940" i="15" s="1"/>
  <c r="B941" i="15"/>
  <c r="U940" i="15"/>
  <c r="R940" i="15"/>
  <c r="Q940" i="15"/>
  <c r="L940" i="15"/>
  <c r="K940" i="15"/>
  <c r="J940" i="15"/>
  <c r="I940" i="15"/>
  <c r="T940" i="15" s="1"/>
  <c r="AF939" i="15"/>
  <c r="W939" i="15" s="1"/>
  <c r="T939" i="15"/>
  <c r="V939" i="15" s="1"/>
  <c r="S939" i="15"/>
  <c r="B939" i="15"/>
  <c r="U938" i="15"/>
  <c r="S938" i="15"/>
  <c r="R938" i="15"/>
  <c r="Q938" i="15"/>
  <c r="L938" i="15"/>
  <c r="K938" i="15"/>
  <c r="J938" i="15"/>
  <c r="I938" i="15"/>
  <c r="T938" i="15" s="1"/>
  <c r="AF937" i="15"/>
  <c r="W937" i="15"/>
  <c r="T937" i="15"/>
  <c r="V937" i="15" s="1"/>
  <c r="S937" i="15"/>
  <c r="B937" i="15"/>
  <c r="AF936" i="15"/>
  <c r="W936" i="15" s="1"/>
  <c r="T936" i="15"/>
  <c r="V936" i="15" s="1"/>
  <c r="S936" i="15"/>
  <c r="B936" i="15"/>
  <c r="U935" i="15"/>
  <c r="S935" i="15"/>
  <c r="R935" i="15"/>
  <c r="Q935" i="15"/>
  <c r="L935" i="15"/>
  <c r="K935" i="15"/>
  <c r="J935" i="15"/>
  <c r="I935" i="15"/>
  <c r="T935" i="15" s="1"/>
  <c r="AF934" i="15"/>
  <c r="W934" i="15"/>
  <c r="T934" i="15"/>
  <c r="V934" i="15" s="1"/>
  <c r="S934" i="15"/>
  <c r="S933" i="15" s="1"/>
  <c r="B934" i="15"/>
  <c r="U933" i="15"/>
  <c r="R933" i="15"/>
  <c r="Q933" i="15"/>
  <c r="L933" i="15"/>
  <c r="K933" i="15"/>
  <c r="J933" i="15"/>
  <c r="I933" i="15"/>
  <c r="T933" i="15" s="1"/>
  <c r="AF932" i="15"/>
  <c r="W932" i="15" s="1"/>
  <c r="T932" i="15"/>
  <c r="V932" i="15" s="1"/>
  <c r="S932" i="15"/>
  <c r="B932" i="15"/>
  <c r="AF931" i="15"/>
  <c r="W931" i="15"/>
  <c r="T931" i="15"/>
  <c r="V931" i="15" s="1"/>
  <c r="S931" i="15"/>
  <c r="B931" i="15"/>
  <c r="AF930" i="15"/>
  <c r="W930" i="15" s="1"/>
  <c r="T930" i="15"/>
  <c r="V930" i="15" s="1"/>
  <c r="S930" i="15"/>
  <c r="B930" i="15"/>
  <c r="U929" i="15"/>
  <c r="S929" i="15"/>
  <c r="R929" i="15"/>
  <c r="Q929" i="15"/>
  <c r="L929" i="15"/>
  <c r="K929" i="15"/>
  <c r="J929" i="15"/>
  <c r="I929" i="15"/>
  <c r="T929" i="15" s="1"/>
  <c r="T928" i="15"/>
  <c r="S928" i="15"/>
  <c r="B928" i="15"/>
  <c r="AF927" i="15"/>
  <c r="W927" i="15" s="1"/>
  <c r="T927" i="15"/>
  <c r="V927" i="15" s="1"/>
  <c r="S927" i="15"/>
  <c r="B927" i="15"/>
  <c r="AF926" i="15"/>
  <c r="W926" i="15"/>
  <c r="T926" i="15"/>
  <c r="V926" i="15" s="1"/>
  <c r="S926" i="15"/>
  <c r="B926" i="15"/>
  <c r="AF925" i="15"/>
  <c r="W925" i="15" s="1"/>
  <c r="T925" i="15"/>
  <c r="V925" i="15" s="1"/>
  <c r="S925" i="15"/>
  <c r="B925" i="15"/>
  <c r="AF924" i="15"/>
  <c r="W924" i="15"/>
  <c r="T924" i="15"/>
  <c r="V924" i="15" s="1"/>
  <c r="S924" i="15"/>
  <c r="B924" i="15"/>
  <c r="AF923" i="15"/>
  <c r="W923" i="15" s="1"/>
  <c r="T923" i="15"/>
  <c r="V923" i="15" s="1"/>
  <c r="S923" i="15"/>
  <c r="B923" i="15"/>
  <c r="AF922" i="15"/>
  <c r="W922" i="15"/>
  <c r="T922" i="15"/>
  <c r="V922" i="15" s="1"/>
  <c r="S922" i="15"/>
  <c r="S921" i="15" s="1"/>
  <c r="B922" i="15"/>
  <c r="U921" i="15"/>
  <c r="V921" i="15" s="1"/>
  <c r="R921" i="15"/>
  <c r="Q921" i="15"/>
  <c r="L921" i="15"/>
  <c r="K921" i="15"/>
  <c r="J921" i="15"/>
  <c r="I921" i="15"/>
  <c r="T921" i="15" s="1"/>
  <c r="AF920" i="15"/>
  <c r="W920" i="15" s="1"/>
  <c r="T920" i="15"/>
  <c r="V920" i="15" s="1"/>
  <c r="S920" i="15"/>
  <c r="B920" i="15"/>
  <c r="U919" i="15"/>
  <c r="S919" i="15"/>
  <c r="R919" i="15"/>
  <c r="Q919" i="15"/>
  <c r="L919" i="15"/>
  <c r="K919" i="15"/>
  <c r="J919" i="15"/>
  <c r="I919" i="15"/>
  <c r="T919" i="15" s="1"/>
  <c r="T918" i="15"/>
  <c r="W918" i="15" s="1"/>
  <c r="S918" i="15"/>
  <c r="B918" i="15"/>
  <c r="AF917" i="15"/>
  <c r="W917" i="15" s="1"/>
  <c r="V917" i="15"/>
  <c r="T917" i="15"/>
  <c r="S917" i="15"/>
  <c r="B917" i="15"/>
  <c r="AF916" i="15"/>
  <c r="W916" i="15" s="1"/>
  <c r="T916" i="15"/>
  <c r="V916" i="15" s="1"/>
  <c r="S916" i="15"/>
  <c r="B916" i="15"/>
  <c r="U915" i="15"/>
  <c r="R915" i="15"/>
  <c r="Q915" i="15"/>
  <c r="L915" i="15"/>
  <c r="K915" i="15"/>
  <c r="J915" i="15"/>
  <c r="I915" i="15"/>
  <c r="T915" i="15" s="1"/>
  <c r="V915" i="15" s="1"/>
  <c r="AF914" i="15"/>
  <c r="W914" i="15" s="1"/>
  <c r="V914" i="15"/>
  <c r="T914" i="15"/>
  <c r="S914" i="15"/>
  <c r="B914" i="15"/>
  <c r="AF913" i="15"/>
  <c r="W913" i="15" s="1"/>
  <c r="T913" i="15"/>
  <c r="V913" i="15" s="1"/>
  <c r="S913" i="15"/>
  <c r="B913" i="15"/>
  <c r="AF912" i="15"/>
  <c r="W912" i="15" s="1"/>
  <c r="V912" i="15"/>
  <c r="T912" i="15"/>
  <c r="S912" i="15"/>
  <c r="B912" i="15"/>
  <c r="AF911" i="15"/>
  <c r="W911" i="15" s="1"/>
  <c r="T911" i="15"/>
  <c r="V911" i="15" s="1"/>
  <c r="S911" i="15"/>
  <c r="B911" i="15"/>
  <c r="W910" i="15"/>
  <c r="T910" i="15"/>
  <c r="V910" i="15" s="1"/>
  <c r="S910" i="15"/>
  <c r="B910" i="15"/>
  <c r="U909" i="15"/>
  <c r="S909" i="15"/>
  <c r="R909" i="15"/>
  <c r="Q909" i="15"/>
  <c r="L909" i="15"/>
  <c r="K909" i="15"/>
  <c r="J909" i="15"/>
  <c r="I909" i="15"/>
  <c r="T909" i="15" s="1"/>
  <c r="AJ908" i="15"/>
  <c r="T908" i="15"/>
  <c r="W908" i="15" s="1"/>
  <c r="S908" i="15"/>
  <c r="B908" i="15"/>
  <c r="U907" i="15"/>
  <c r="S907" i="15"/>
  <c r="R907" i="15"/>
  <c r="Q907" i="15"/>
  <c r="L907" i="15"/>
  <c r="K907" i="15"/>
  <c r="J907" i="15"/>
  <c r="I907" i="15"/>
  <c r="T907" i="15" s="1"/>
  <c r="AF906" i="15"/>
  <c r="W906" i="15"/>
  <c r="T906" i="15"/>
  <c r="V906" i="15" s="1"/>
  <c r="S906" i="15"/>
  <c r="B906" i="15"/>
  <c r="AF905" i="15"/>
  <c r="W905" i="15" s="1"/>
  <c r="T905" i="15"/>
  <c r="V905" i="15" s="1"/>
  <c r="S905" i="15"/>
  <c r="B905" i="15"/>
  <c r="U904" i="15"/>
  <c r="S904" i="15"/>
  <c r="R904" i="15"/>
  <c r="Q904" i="15"/>
  <c r="L904" i="15"/>
  <c r="K904" i="15"/>
  <c r="J904" i="15"/>
  <c r="I904" i="15"/>
  <c r="T904" i="15" s="1"/>
  <c r="AF903" i="15"/>
  <c r="W903" i="15"/>
  <c r="T903" i="15"/>
  <c r="V903" i="15" s="1"/>
  <c r="S903" i="15"/>
  <c r="B903" i="15"/>
  <c r="AF902" i="15"/>
  <c r="W902" i="15" s="1"/>
  <c r="T902" i="15"/>
  <c r="V902" i="15" s="1"/>
  <c r="S902" i="15"/>
  <c r="B902" i="15"/>
  <c r="AF901" i="15"/>
  <c r="W901" i="15"/>
  <c r="T901" i="15"/>
  <c r="V901" i="15" s="1"/>
  <c r="S901" i="15"/>
  <c r="B901" i="15"/>
  <c r="AF900" i="15"/>
  <c r="W900" i="15" s="1"/>
  <c r="T900" i="15"/>
  <c r="V900" i="15" s="1"/>
  <c r="S900" i="15"/>
  <c r="B900" i="15"/>
  <c r="U899" i="15"/>
  <c r="S899" i="15"/>
  <c r="R899" i="15"/>
  <c r="Q899" i="15"/>
  <c r="L899" i="15"/>
  <c r="K899" i="15"/>
  <c r="J899" i="15"/>
  <c r="I899" i="15"/>
  <c r="T899" i="15" s="1"/>
  <c r="AF898" i="15"/>
  <c r="W898" i="15"/>
  <c r="T898" i="15"/>
  <c r="V898" i="15" s="1"/>
  <c r="S898" i="15"/>
  <c r="S897" i="15" s="1"/>
  <c r="B898" i="15"/>
  <c r="U897" i="15"/>
  <c r="V897" i="15" s="1"/>
  <c r="R897" i="15"/>
  <c r="Q897" i="15"/>
  <c r="L897" i="15"/>
  <c r="K897" i="15"/>
  <c r="J897" i="15"/>
  <c r="I897" i="15"/>
  <c r="T897" i="15" s="1"/>
  <c r="AF896" i="15"/>
  <c r="W896" i="15" s="1"/>
  <c r="T896" i="15"/>
  <c r="V896" i="15" s="1"/>
  <c r="S896" i="15"/>
  <c r="B896" i="15"/>
  <c r="U895" i="15"/>
  <c r="S895" i="15"/>
  <c r="R895" i="15"/>
  <c r="Q895" i="15"/>
  <c r="L895" i="15"/>
  <c r="K895" i="15"/>
  <c r="J895" i="15"/>
  <c r="I895" i="15"/>
  <c r="T895" i="15" s="1"/>
  <c r="AF894" i="15"/>
  <c r="W894" i="15"/>
  <c r="T894" i="15"/>
  <c r="V894" i="15" s="1"/>
  <c r="S894" i="15"/>
  <c r="S893" i="15" s="1"/>
  <c r="B894" i="15"/>
  <c r="U893" i="15"/>
  <c r="V893" i="15" s="1"/>
  <c r="R893" i="15"/>
  <c r="Q893" i="15"/>
  <c r="L893" i="15"/>
  <c r="K893" i="15"/>
  <c r="J893" i="15"/>
  <c r="I893" i="15"/>
  <c r="T893" i="15" s="1"/>
  <c r="AF892" i="15"/>
  <c r="W892" i="15" s="1"/>
  <c r="T892" i="15"/>
  <c r="V892" i="15" s="1"/>
  <c r="S892" i="15"/>
  <c r="B892" i="15"/>
  <c r="AF891" i="15"/>
  <c r="W891" i="15"/>
  <c r="T891" i="15"/>
  <c r="V891" i="15" s="1"/>
  <c r="S891" i="15"/>
  <c r="B891" i="15"/>
  <c r="AF890" i="15"/>
  <c r="W890" i="15" s="1"/>
  <c r="T890" i="15"/>
  <c r="V890" i="15" s="1"/>
  <c r="S890" i="15"/>
  <c r="B890" i="15"/>
  <c r="U889" i="15"/>
  <c r="S889" i="15"/>
  <c r="R889" i="15"/>
  <c r="Q889" i="15"/>
  <c r="L889" i="15"/>
  <c r="K889" i="15"/>
  <c r="J889" i="15"/>
  <c r="I889" i="15"/>
  <c r="T889" i="15" s="1"/>
  <c r="AF888" i="15"/>
  <c r="W888" i="15"/>
  <c r="T888" i="15"/>
  <c r="V888" i="15" s="1"/>
  <c r="S888" i="15"/>
  <c r="S887" i="15" s="1"/>
  <c r="B888" i="15"/>
  <c r="U887" i="15"/>
  <c r="V887" i="15" s="1"/>
  <c r="R887" i="15"/>
  <c r="Q887" i="15"/>
  <c r="L887" i="15"/>
  <c r="K887" i="15"/>
  <c r="J887" i="15"/>
  <c r="I887" i="15"/>
  <c r="T887" i="15" s="1"/>
  <c r="AF886" i="15"/>
  <c r="W886" i="15" s="1"/>
  <c r="U886" i="15"/>
  <c r="V886" i="15" s="1"/>
  <c r="T886" i="15"/>
  <c r="S886" i="15"/>
  <c r="K886" i="15"/>
  <c r="B886" i="15"/>
  <c r="AF885" i="15"/>
  <c r="W885" i="15"/>
  <c r="T885" i="15"/>
  <c r="V885" i="15" s="1"/>
  <c r="S885" i="15"/>
  <c r="B885" i="15"/>
  <c r="AF884" i="15"/>
  <c r="W884" i="15" s="1"/>
  <c r="T884" i="15"/>
  <c r="V884" i="15" s="1"/>
  <c r="S884" i="15"/>
  <c r="B884" i="15"/>
  <c r="S883" i="15"/>
  <c r="R883" i="15"/>
  <c r="Q883" i="15"/>
  <c r="L883" i="15"/>
  <c r="K883" i="15"/>
  <c r="J883" i="15"/>
  <c r="I883" i="15"/>
  <c r="T883" i="15" s="1"/>
  <c r="AF882" i="15"/>
  <c r="W882" i="15"/>
  <c r="T882" i="15"/>
  <c r="U882" i="15" s="1"/>
  <c r="S882" i="15"/>
  <c r="K882" i="15"/>
  <c r="K874" i="15" s="1"/>
  <c r="B882" i="15"/>
  <c r="AF881" i="15"/>
  <c r="W881" i="15" s="1"/>
  <c r="T881" i="15"/>
  <c r="V881" i="15" s="1"/>
  <c r="S881" i="15"/>
  <c r="B881" i="15"/>
  <c r="AF880" i="15"/>
  <c r="W880" i="15"/>
  <c r="T880" i="15"/>
  <c r="V880" i="15" s="1"/>
  <c r="S880" i="15"/>
  <c r="B880" i="15"/>
  <c r="AF879" i="15"/>
  <c r="W879" i="15" s="1"/>
  <c r="T879" i="15"/>
  <c r="V879" i="15" s="1"/>
  <c r="S879" i="15"/>
  <c r="B879" i="15"/>
  <c r="AF878" i="15"/>
  <c r="W878" i="15"/>
  <c r="T878" i="15"/>
  <c r="V878" i="15" s="1"/>
  <c r="S878" i="15"/>
  <c r="B878" i="15"/>
  <c r="AF877" i="15"/>
  <c r="W877" i="15" s="1"/>
  <c r="T877" i="15"/>
  <c r="V877" i="15" s="1"/>
  <c r="S877" i="15"/>
  <c r="B877" i="15"/>
  <c r="AF876" i="15"/>
  <c r="W876" i="15"/>
  <c r="T876" i="15"/>
  <c r="V876" i="15" s="1"/>
  <c r="S876" i="15"/>
  <c r="B876" i="15"/>
  <c r="AF875" i="15"/>
  <c r="T875" i="15"/>
  <c r="W875" i="15" s="1"/>
  <c r="S875" i="15"/>
  <c r="S874" i="15" s="1"/>
  <c r="B875" i="15"/>
  <c r="R874" i="15"/>
  <c r="Q874" i="15"/>
  <c r="L874" i="15"/>
  <c r="J874" i="15"/>
  <c r="I874" i="15"/>
  <c r="T874" i="15" s="1"/>
  <c r="AF873" i="15"/>
  <c r="W873" i="15" s="1"/>
  <c r="T873" i="15"/>
  <c r="V873" i="15" s="1"/>
  <c r="S873" i="15"/>
  <c r="B873" i="15"/>
  <c r="AF872" i="15"/>
  <c r="W872" i="15"/>
  <c r="T872" i="15"/>
  <c r="V872" i="15" s="1"/>
  <c r="S872" i="15"/>
  <c r="S871" i="15" s="1"/>
  <c r="B872" i="15"/>
  <c r="U871" i="15"/>
  <c r="V871" i="15" s="1"/>
  <c r="R871" i="15"/>
  <c r="Q871" i="15"/>
  <c r="L871" i="15"/>
  <c r="K871" i="15"/>
  <c r="J871" i="15"/>
  <c r="I871" i="15"/>
  <c r="T871" i="15" s="1"/>
  <c r="AF870" i="15"/>
  <c r="W870" i="15" s="1"/>
  <c r="T870" i="15"/>
  <c r="V870" i="15" s="1"/>
  <c r="S870" i="15"/>
  <c r="B870" i="15"/>
  <c r="AF869" i="15"/>
  <c r="W869" i="15"/>
  <c r="T869" i="15"/>
  <c r="V869" i="15" s="1"/>
  <c r="S869" i="15"/>
  <c r="S868" i="15" s="1"/>
  <c r="B869" i="15"/>
  <c r="U868" i="15"/>
  <c r="V868" i="15" s="1"/>
  <c r="R868" i="15"/>
  <c r="Q868" i="15"/>
  <c r="L868" i="15"/>
  <c r="K868" i="15"/>
  <c r="J868" i="15"/>
  <c r="I868" i="15"/>
  <c r="T868" i="15" s="1"/>
  <c r="AJ867" i="15"/>
  <c r="W867" i="15" s="1"/>
  <c r="T867" i="15"/>
  <c r="V867" i="15" s="1"/>
  <c r="S867" i="15"/>
  <c r="B867" i="15"/>
  <c r="AJ866" i="15"/>
  <c r="W866" i="15"/>
  <c r="T866" i="15"/>
  <c r="V866" i="15" s="1"/>
  <c r="S866" i="15"/>
  <c r="S865" i="15" s="1"/>
  <c r="B866" i="15"/>
  <c r="U865" i="15"/>
  <c r="V865" i="15" s="1"/>
  <c r="R865" i="15"/>
  <c r="Q865" i="15"/>
  <c r="L865" i="15"/>
  <c r="K865" i="15"/>
  <c r="J865" i="15"/>
  <c r="I865" i="15"/>
  <c r="T865" i="15" s="1"/>
  <c r="AF864" i="15"/>
  <c r="W864" i="15" s="1"/>
  <c r="T864" i="15"/>
  <c r="V864" i="15" s="1"/>
  <c r="S864" i="15"/>
  <c r="B864" i="15"/>
  <c r="AJ863" i="15"/>
  <c r="W863" i="15"/>
  <c r="T863" i="15"/>
  <c r="V863" i="15" s="1"/>
  <c r="S863" i="15"/>
  <c r="B863" i="15"/>
  <c r="AJ862" i="15"/>
  <c r="W862" i="15" s="1"/>
  <c r="T862" i="15"/>
  <c r="V862" i="15" s="1"/>
  <c r="S862" i="15"/>
  <c r="B862" i="15"/>
  <c r="U861" i="15"/>
  <c r="S861" i="15"/>
  <c r="R861" i="15"/>
  <c r="Q861" i="15"/>
  <c r="L861" i="15"/>
  <c r="K861" i="15"/>
  <c r="J861" i="15"/>
  <c r="I861" i="15"/>
  <c r="T861" i="15" s="1"/>
  <c r="AJ860" i="15"/>
  <c r="W860" i="15"/>
  <c r="T860" i="15"/>
  <c r="V860" i="15" s="1"/>
  <c r="S860" i="15"/>
  <c r="B860" i="15"/>
  <c r="AJ859" i="15"/>
  <c r="W859" i="15" s="1"/>
  <c r="T859" i="15"/>
  <c r="V859" i="15" s="1"/>
  <c r="S859" i="15"/>
  <c r="B859" i="15"/>
  <c r="U858" i="15"/>
  <c r="S858" i="15"/>
  <c r="R858" i="15"/>
  <c r="Q858" i="15"/>
  <c r="L858" i="15"/>
  <c r="K858" i="15"/>
  <c r="J858" i="15"/>
  <c r="I858" i="15"/>
  <c r="T858" i="15" s="1"/>
  <c r="AF857" i="15"/>
  <c r="W857" i="15"/>
  <c r="T857" i="15"/>
  <c r="V857" i="15" s="1"/>
  <c r="S857" i="15"/>
  <c r="B857" i="15"/>
  <c r="AF856" i="15"/>
  <c r="W856" i="15" s="1"/>
  <c r="T856" i="15"/>
  <c r="V856" i="15" s="1"/>
  <c r="S856" i="15"/>
  <c r="B856" i="15"/>
  <c r="AF855" i="15"/>
  <c r="W855" i="15"/>
  <c r="T855" i="15"/>
  <c r="V855" i="15" s="1"/>
  <c r="S855" i="15"/>
  <c r="B855" i="15"/>
  <c r="AF854" i="15"/>
  <c r="W854" i="15" s="1"/>
  <c r="T854" i="15"/>
  <c r="V854" i="15" s="1"/>
  <c r="S854" i="15"/>
  <c r="B854" i="15"/>
  <c r="AF853" i="15"/>
  <c r="W853" i="15"/>
  <c r="T853" i="15"/>
  <c r="V853" i="15" s="1"/>
  <c r="S853" i="15"/>
  <c r="B853" i="15"/>
  <c r="AF852" i="15"/>
  <c r="W852" i="15" s="1"/>
  <c r="T852" i="15"/>
  <c r="V852" i="15" s="1"/>
  <c r="S852" i="15"/>
  <c r="B852" i="15"/>
  <c r="AF851" i="15"/>
  <c r="W851" i="15"/>
  <c r="T851" i="15"/>
  <c r="V851" i="15" s="1"/>
  <c r="S851" i="15"/>
  <c r="B851" i="15"/>
  <c r="AF850" i="15"/>
  <c r="W850" i="15" s="1"/>
  <c r="T850" i="15"/>
  <c r="V850" i="15" s="1"/>
  <c r="S850" i="15"/>
  <c r="B850" i="15"/>
  <c r="AF849" i="15"/>
  <c r="W849" i="15"/>
  <c r="T849" i="15"/>
  <c r="V849" i="15" s="1"/>
  <c r="S849" i="15"/>
  <c r="B849" i="15"/>
  <c r="AN848" i="15"/>
  <c r="T848" i="15"/>
  <c r="W848" i="15" s="1"/>
  <c r="S848" i="15"/>
  <c r="B848" i="15"/>
  <c r="AF847" i="15"/>
  <c r="W847" i="15" s="1"/>
  <c r="T847" i="15"/>
  <c r="V847" i="15" s="1"/>
  <c r="S847" i="15"/>
  <c r="B847" i="15"/>
  <c r="U846" i="15"/>
  <c r="S846" i="15"/>
  <c r="R846" i="15"/>
  <c r="Q846" i="15"/>
  <c r="L846" i="15"/>
  <c r="K846" i="15"/>
  <c r="J846" i="15"/>
  <c r="I846" i="15"/>
  <c r="T846" i="15" s="1"/>
  <c r="AF845" i="15"/>
  <c r="W845" i="15"/>
  <c r="T845" i="15"/>
  <c r="V845" i="15" s="1"/>
  <c r="S845" i="15"/>
  <c r="S844" i="15" s="1"/>
  <c r="B845" i="15"/>
  <c r="U844" i="15"/>
  <c r="V844" i="15" s="1"/>
  <c r="R844" i="15"/>
  <c r="Q844" i="15"/>
  <c r="L844" i="15"/>
  <c r="K844" i="15"/>
  <c r="J844" i="15"/>
  <c r="I844" i="15"/>
  <c r="T844" i="15" s="1"/>
  <c r="AF843" i="15"/>
  <c r="W843" i="15" s="1"/>
  <c r="T843" i="15"/>
  <c r="V843" i="15" s="1"/>
  <c r="S843" i="15"/>
  <c r="B843" i="15"/>
  <c r="AF842" i="15"/>
  <c r="W842" i="15"/>
  <c r="T842" i="15"/>
  <c r="V842" i="15" s="1"/>
  <c r="S842" i="15"/>
  <c r="B842" i="15"/>
  <c r="AF841" i="15"/>
  <c r="W841" i="15" s="1"/>
  <c r="T841" i="15"/>
  <c r="V841" i="15" s="1"/>
  <c r="S841" i="15"/>
  <c r="B841" i="15"/>
  <c r="AF840" i="15"/>
  <c r="W840" i="15"/>
  <c r="T840" i="15"/>
  <c r="V840" i="15" s="1"/>
  <c r="S840" i="15"/>
  <c r="S839" i="15" s="1"/>
  <c r="B840" i="15"/>
  <c r="U839" i="15"/>
  <c r="V839" i="15" s="1"/>
  <c r="R839" i="15"/>
  <c r="Q839" i="15"/>
  <c r="L839" i="15"/>
  <c r="K839" i="15"/>
  <c r="J839" i="15"/>
  <c r="I839" i="15"/>
  <c r="T839" i="15" s="1"/>
  <c r="AF838" i="15"/>
  <c r="W838" i="15" s="1"/>
  <c r="T838" i="15"/>
  <c r="V838" i="15" s="1"/>
  <c r="S838" i="15"/>
  <c r="B838" i="15"/>
  <c r="U837" i="15"/>
  <c r="S837" i="15"/>
  <c r="R837" i="15"/>
  <c r="Q837" i="15"/>
  <c r="L837" i="15"/>
  <c r="K837" i="15"/>
  <c r="J837" i="15"/>
  <c r="I837" i="15"/>
  <c r="T837" i="15" s="1"/>
  <c r="AF836" i="15"/>
  <c r="W836" i="15"/>
  <c r="T836" i="15"/>
  <c r="V836" i="15" s="1"/>
  <c r="S836" i="15"/>
  <c r="S835" i="15" s="1"/>
  <c r="B836" i="15"/>
  <c r="U835" i="15"/>
  <c r="V835" i="15" s="1"/>
  <c r="R835" i="15"/>
  <c r="Q835" i="15"/>
  <c r="L835" i="15"/>
  <c r="K835" i="15"/>
  <c r="J835" i="15"/>
  <c r="I835" i="15"/>
  <c r="T835" i="15" s="1"/>
  <c r="AF834" i="15"/>
  <c r="W834" i="15" s="1"/>
  <c r="T834" i="15"/>
  <c r="V834" i="15" s="1"/>
  <c r="S834" i="15"/>
  <c r="B834" i="15"/>
  <c r="U833" i="15"/>
  <c r="S833" i="15"/>
  <c r="R833" i="15"/>
  <c r="Q833" i="15"/>
  <c r="L833" i="15"/>
  <c r="K833" i="15"/>
  <c r="J833" i="15"/>
  <c r="I833" i="15"/>
  <c r="T833" i="15" s="1"/>
  <c r="AF832" i="15"/>
  <c r="W832" i="15"/>
  <c r="T832" i="15"/>
  <c r="V832" i="15" s="1"/>
  <c r="S832" i="15"/>
  <c r="S831" i="15" s="1"/>
  <c r="B832" i="15"/>
  <c r="U831" i="15"/>
  <c r="V831" i="15" s="1"/>
  <c r="R831" i="15"/>
  <c r="Q831" i="15"/>
  <c r="L831" i="15"/>
  <c r="K831" i="15"/>
  <c r="J831" i="15"/>
  <c r="I831" i="15"/>
  <c r="T831" i="15" s="1"/>
  <c r="AF830" i="15"/>
  <c r="W830" i="15" s="1"/>
  <c r="T830" i="15"/>
  <c r="V830" i="15" s="1"/>
  <c r="S830" i="15"/>
  <c r="B830" i="15"/>
  <c r="U829" i="15"/>
  <c r="S829" i="15"/>
  <c r="R829" i="15"/>
  <c r="Q829" i="15"/>
  <c r="L829" i="15"/>
  <c r="K829" i="15"/>
  <c r="J829" i="15"/>
  <c r="I829" i="15"/>
  <c r="T829" i="15" s="1"/>
  <c r="AJ828" i="15"/>
  <c r="W828" i="15"/>
  <c r="T828" i="15"/>
  <c r="V828" i="15" s="1"/>
  <c r="S828" i="15"/>
  <c r="B828" i="15"/>
  <c r="AJ827" i="15"/>
  <c r="W827" i="15" s="1"/>
  <c r="T827" i="15"/>
  <c r="V827" i="15" s="1"/>
  <c r="S827" i="15"/>
  <c r="B827" i="15"/>
  <c r="AJ826" i="15"/>
  <c r="W826" i="15"/>
  <c r="T826" i="15"/>
  <c r="V826" i="15" s="1"/>
  <c r="S826" i="15"/>
  <c r="S825" i="15" s="1"/>
  <c r="B826" i="15"/>
  <c r="U825" i="15"/>
  <c r="V825" i="15" s="1"/>
  <c r="R825" i="15"/>
  <c r="Q825" i="15"/>
  <c r="L825" i="15"/>
  <c r="K825" i="15"/>
  <c r="J825" i="15"/>
  <c r="I825" i="15"/>
  <c r="T825" i="15" s="1"/>
  <c r="AJ824" i="15"/>
  <c r="W824" i="15" s="1"/>
  <c r="T824" i="15"/>
  <c r="V824" i="15" s="1"/>
  <c r="S824" i="15"/>
  <c r="B824" i="15"/>
  <c r="AJ823" i="15"/>
  <c r="W823" i="15"/>
  <c r="T823" i="15"/>
  <c r="V823" i="15" s="1"/>
  <c r="S823" i="15"/>
  <c r="S822" i="15" s="1"/>
  <c r="B823" i="15"/>
  <c r="U822" i="15"/>
  <c r="V822" i="15" s="1"/>
  <c r="R822" i="15"/>
  <c r="Q822" i="15"/>
  <c r="L822" i="15"/>
  <c r="K822" i="15"/>
  <c r="J822" i="15"/>
  <c r="I822" i="15"/>
  <c r="T822" i="15" s="1"/>
  <c r="AF821" i="15"/>
  <c r="W821" i="15" s="1"/>
  <c r="T821" i="15"/>
  <c r="V821" i="15" s="1"/>
  <c r="S821" i="15"/>
  <c r="B821" i="15"/>
  <c r="AL820" i="15"/>
  <c r="W820" i="15"/>
  <c r="T820" i="15"/>
  <c r="V820" i="15" s="1"/>
  <c r="S820" i="15"/>
  <c r="B820" i="15"/>
  <c r="AF819" i="15"/>
  <c r="W819" i="15" s="1"/>
  <c r="T819" i="15"/>
  <c r="V819" i="15" s="1"/>
  <c r="S819" i="15"/>
  <c r="B819" i="15"/>
  <c r="AL818" i="15"/>
  <c r="W818" i="15"/>
  <c r="T818" i="15"/>
  <c r="V818" i="15" s="1"/>
  <c r="S818" i="15"/>
  <c r="B818" i="15"/>
  <c r="AF817" i="15"/>
  <c r="W817" i="15" s="1"/>
  <c r="T817" i="15"/>
  <c r="V817" i="15" s="1"/>
  <c r="S817" i="15"/>
  <c r="B817" i="15"/>
  <c r="AN816" i="15"/>
  <c r="W816" i="15"/>
  <c r="T816" i="15"/>
  <c r="V816" i="15" s="1"/>
  <c r="S816" i="15"/>
  <c r="B816" i="15"/>
  <c r="AL815" i="15"/>
  <c r="W815" i="15" s="1"/>
  <c r="T815" i="15"/>
  <c r="V815" i="15" s="1"/>
  <c r="S815" i="15"/>
  <c r="B815" i="15"/>
  <c r="AF814" i="15"/>
  <c r="W814" i="15"/>
  <c r="T814" i="15"/>
  <c r="V814" i="15" s="1"/>
  <c r="S814" i="15"/>
  <c r="B814" i="15"/>
  <c r="AN813" i="15"/>
  <c r="W813" i="15" s="1"/>
  <c r="T813" i="15"/>
  <c r="V813" i="15" s="1"/>
  <c r="S813" i="15"/>
  <c r="B813" i="15"/>
  <c r="AF812" i="15"/>
  <c r="W812" i="15"/>
  <c r="T812" i="15"/>
  <c r="V812" i="15" s="1"/>
  <c r="S812" i="15"/>
  <c r="S811" i="15" s="1"/>
  <c r="B812" i="15"/>
  <c r="U811" i="15"/>
  <c r="V811" i="15" s="1"/>
  <c r="R811" i="15"/>
  <c r="Q811" i="15"/>
  <c r="L811" i="15"/>
  <c r="K811" i="15"/>
  <c r="J811" i="15"/>
  <c r="I811" i="15"/>
  <c r="T811" i="15" s="1"/>
  <c r="AF810" i="15"/>
  <c r="W810" i="15" s="1"/>
  <c r="T810" i="15"/>
  <c r="V810" i="15" s="1"/>
  <c r="S810" i="15"/>
  <c r="B810" i="15"/>
  <c r="AF809" i="15"/>
  <c r="W809" i="15"/>
  <c r="T809" i="15"/>
  <c r="V809" i="15" s="1"/>
  <c r="S809" i="15"/>
  <c r="K809" i="15"/>
  <c r="B809" i="15"/>
  <c r="AF808" i="15"/>
  <c r="W808" i="15" s="1"/>
  <c r="V808" i="15"/>
  <c r="T808" i="15"/>
  <c r="S808" i="15"/>
  <c r="K808" i="15"/>
  <c r="B808" i="15"/>
  <c r="AF807" i="15"/>
  <c r="W807" i="15"/>
  <c r="T807" i="15"/>
  <c r="V807" i="15" s="1"/>
  <c r="S807" i="15"/>
  <c r="B807" i="15"/>
  <c r="AF806" i="15"/>
  <c r="W806" i="15" s="1"/>
  <c r="T806" i="15"/>
  <c r="V806" i="15" s="1"/>
  <c r="S806" i="15"/>
  <c r="B806" i="15"/>
  <c r="AF805" i="15"/>
  <c r="W805" i="15"/>
  <c r="T805" i="15"/>
  <c r="V805" i="15" s="1"/>
  <c r="S805" i="15"/>
  <c r="B805" i="15"/>
  <c r="AF804" i="15"/>
  <c r="W804" i="15" s="1"/>
  <c r="T804" i="15"/>
  <c r="V804" i="15" s="1"/>
  <c r="S804" i="15"/>
  <c r="B804" i="15"/>
  <c r="AF803" i="15"/>
  <c r="W803" i="15"/>
  <c r="T803" i="15"/>
  <c r="V803" i="15" s="1"/>
  <c r="S803" i="15"/>
  <c r="B803" i="15"/>
  <c r="AF802" i="15"/>
  <c r="W802" i="15" s="1"/>
  <c r="T802" i="15"/>
  <c r="V802" i="15" s="1"/>
  <c r="S802" i="15"/>
  <c r="B802" i="15"/>
  <c r="AF801" i="15"/>
  <c r="W801" i="15"/>
  <c r="T801" i="15"/>
  <c r="V801" i="15" s="1"/>
  <c r="S801" i="15"/>
  <c r="B801" i="15"/>
  <c r="AF800" i="15"/>
  <c r="W800" i="15" s="1"/>
  <c r="T800" i="15"/>
  <c r="V800" i="15" s="1"/>
  <c r="S800" i="15"/>
  <c r="B800" i="15"/>
  <c r="AF799" i="15"/>
  <c r="W799" i="15"/>
  <c r="T799" i="15"/>
  <c r="V799" i="15" s="1"/>
  <c r="S799" i="15"/>
  <c r="B799" i="15"/>
  <c r="AF798" i="15"/>
  <c r="W798" i="15" s="1"/>
  <c r="T798" i="15"/>
  <c r="V798" i="15" s="1"/>
  <c r="S798" i="15"/>
  <c r="B798" i="15"/>
  <c r="AJ797" i="15"/>
  <c r="W797" i="15"/>
  <c r="T797" i="15"/>
  <c r="V797" i="15" s="1"/>
  <c r="S797" i="15"/>
  <c r="S796" i="15" s="1"/>
  <c r="B797" i="15"/>
  <c r="U796" i="15"/>
  <c r="V796" i="15" s="1"/>
  <c r="R796" i="15"/>
  <c r="Q796" i="15"/>
  <c r="L796" i="15"/>
  <c r="K796" i="15"/>
  <c r="J796" i="15"/>
  <c r="I796" i="15"/>
  <c r="T796" i="15" s="1"/>
  <c r="AF795" i="15"/>
  <c r="W795" i="15" s="1"/>
  <c r="T795" i="15"/>
  <c r="V795" i="15" s="1"/>
  <c r="S795" i="15"/>
  <c r="B795" i="15"/>
  <c r="U794" i="15"/>
  <c r="S794" i="15"/>
  <c r="R794" i="15"/>
  <c r="Q794" i="15"/>
  <c r="L794" i="15"/>
  <c r="K794" i="15"/>
  <c r="J794" i="15"/>
  <c r="I794" i="15"/>
  <c r="T794" i="15" s="1"/>
  <c r="AF793" i="15"/>
  <c r="W793" i="15"/>
  <c r="T793" i="15"/>
  <c r="V793" i="15" s="1"/>
  <c r="S793" i="15"/>
  <c r="S792" i="15" s="1"/>
  <c r="B793" i="15"/>
  <c r="U792" i="15"/>
  <c r="V792" i="15" s="1"/>
  <c r="R792" i="15"/>
  <c r="Q792" i="15"/>
  <c r="L792" i="15"/>
  <c r="K792" i="15"/>
  <c r="J792" i="15"/>
  <c r="I792" i="15"/>
  <c r="T792" i="15" s="1"/>
  <c r="V791" i="15"/>
  <c r="T791" i="15"/>
  <c r="W791" i="15" s="1"/>
  <c r="S791" i="15"/>
  <c r="B791" i="15"/>
  <c r="W790" i="15"/>
  <c r="T790" i="15"/>
  <c r="V790" i="15" s="1"/>
  <c r="S790" i="15"/>
  <c r="B790" i="15"/>
  <c r="AF789" i="15"/>
  <c r="W789" i="15" s="1"/>
  <c r="T789" i="15"/>
  <c r="V789" i="15" s="1"/>
  <c r="S789" i="15"/>
  <c r="B789" i="15"/>
  <c r="U788" i="15"/>
  <c r="S788" i="15"/>
  <c r="R788" i="15"/>
  <c r="Q788" i="15"/>
  <c r="L788" i="15"/>
  <c r="K788" i="15"/>
  <c r="J788" i="15"/>
  <c r="I788" i="15"/>
  <c r="T788" i="15" s="1"/>
  <c r="AF787" i="15"/>
  <c r="W787" i="15"/>
  <c r="T787" i="15"/>
  <c r="V787" i="15" s="1"/>
  <c r="S787" i="15"/>
  <c r="S786" i="15" s="1"/>
  <c r="B787" i="15"/>
  <c r="U786" i="15"/>
  <c r="V786" i="15" s="1"/>
  <c r="R786" i="15"/>
  <c r="Q786" i="15"/>
  <c r="L786" i="15"/>
  <c r="K786" i="15"/>
  <c r="J786" i="15"/>
  <c r="I786" i="15"/>
  <c r="T786" i="15" s="1"/>
  <c r="W785" i="15"/>
  <c r="T785" i="15"/>
  <c r="V785" i="15" s="1"/>
  <c r="S785" i="15"/>
  <c r="B785" i="15"/>
  <c r="AF784" i="15"/>
  <c r="W784" i="15" s="1"/>
  <c r="V784" i="15"/>
  <c r="T784" i="15"/>
  <c r="S784" i="15"/>
  <c r="B784" i="15"/>
  <c r="AF783" i="15"/>
  <c r="W783" i="15" s="1"/>
  <c r="T783" i="15"/>
  <c r="V783" i="15" s="1"/>
  <c r="S783" i="15"/>
  <c r="B783" i="15"/>
  <c r="AF782" i="15"/>
  <c r="W782" i="15" s="1"/>
  <c r="V782" i="15"/>
  <c r="T782" i="15"/>
  <c r="S782" i="15"/>
  <c r="S781" i="15" s="1"/>
  <c r="B782" i="15"/>
  <c r="U781" i="15"/>
  <c r="R781" i="15"/>
  <c r="Q781" i="15"/>
  <c r="L781" i="15"/>
  <c r="K781" i="15"/>
  <c r="J781" i="15"/>
  <c r="I781" i="15"/>
  <c r="T781" i="15" s="1"/>
  <c r="V781" i="15" s="1"/>
  <c r="AF780" i="15"/>
  <c r="W780" i="15" s="1"/>
  <c r="T780" i="15"/>
  <c r="V780" i="15" s="1"/>
  <c r="S780" i="15"/>
  <c r="B780" i="15"/>
  <c r="AF779" i="15"/>
  <c r="W779" i="15" s="1"/>
  <c r="V779" i="15"/>
  <c r="T779" i="15"/>
  <c r="S779" i="15"/>
  <c r="B779" i="15"/>
  <c r="AF778" i="15"/>
  <c r="W778" i="15" s="1"/>
  <c r="T778" i="15"/>
  <c r="V778" i="15" s="1"/>
  <c r="S778" i="15"/>
  <c r="B778" i="15"/>
  <c r="AF777" i="15"/>
  <c r="W777" i="15" s="1"/>
  <c r="V777" i="15"/>
  <c r="T777" i="15"/>
  <c r="S777" i="15"/>
  <c r="B777" i="15"/>
  <c r="AF776" i="15"/>
  <c r="W776" i="15" s="1"/>
  <c r="T776" i="15"/>
  <c r="V776" i="15" s="1"/>
  <c r="S776" i="15"/>
  <c r="B776" i="15"/>
  <c r="AF775" i="15"/>
  <c r="W775" i="15" s="1"/>
  <c r="V775" i="15"/>
  <c r="T775" i="15"/>
  <c r="S775" i="15"/>
  <c r="B775" i="15"/>
  <c r="AF774" i="15"/>
  <c r="W774" i="15" s="1"/>
  <c r="T774" i="15"/>
  <c r="V774" i="15" s="1"/>
  <c r="S774" i="15"/>
  <c r="B774" i="15"/>
  <c r="U773" i="15"/>
  <c r="R773" i="15"/>
  <c r="Q773" i="15"/>
  <c r="L773" i="15"/>
  <c r="K773" i="15"/>
  <c r="J773" i="15"/>
  <c r="I773" i="15"/>
  <c r="T773" i="15" s="1"/>
  <c r="V773" i="15" s="1"/>
  <c r="AF772" i="15"/>
  <c r="W772" i="15" s="1"/>
  <c r="V772" i="15"/>
  <c r="T772" i="15"/>
  <c r="S772" i="15"/>
  <c r="B772" i="15"/>
  <c r="AF771" i="15"/>
  <c r="W771" i="15" s="1"/>
  <c r="T771" i="15"/>
  <c r="V771" i="15" s="1"/>
  <c r="S771" i="15"/>
  <c r="B771" i="15"/>
  <c r="W770" i="15"/>
  <c r="T770" i="15"/>
  <c r="V770" i="15" s="1"/>
  <c r="S770" i="15"/>
  <c r="B770" i="15"/>
  <c r="AF769" i="15"/>
  <c r="W769" i="15"/>
  <c r="T769" i="15"/>
  <c r="V769" i="15" s="1"/>
  <c r="S769" i="15"/>
  <c r="B769" i="15"/>
  <c r="W768" i="15"/>
  <c r="T768" i="15"/>
  <c r="V768" i="15" s="1"/>
  <c r="S768" i="15"/>
  <c r="B768" i="15"/>
  <c r="AF767" i="15"/>
  <c r="W767" i="15" s="1"/>
  <c r="V767" i="15"/>
  <c r="T767" i="15"/>
  <c r="S767" i="15"/>
  <c r="B767" i="15"/>
  <c r="AF766" i="15"/>
  <c r="W766" i="15" s="1"/>
  <c r="T766" i="15"/>
  <c r="V766" i="15" s="1"/>
  <c r="S766" i="15"/>
  <c r="B766" i="15"/>
  <c r="U765" i="15"/>
  <c r="R765" i="15"/>
  <c r="Q765" i="15"/>
  <c r="L765" i="15"/>
  <c r="K765" i="15"/>
  <c r="J765" i="15"/>
  <c r="I765" i="15"/>
  <c r="T765" i="15" s="1"/>
  <c r="V765" i="15" s="1"/>
  <c r="AL764" i="15"/>
  <c r="W764" i="15" s="1"/>
  <c r="V764" i="15"/>
  <c r="T764" i="15"/>
  <c r="S764" i="15"/>
  <c r="B764" i="15"/>
  <c r="AL763" i="15"/>
  <c r="AJ763" i="15"/>
  <c r="W763" i="15"/>
  <c r="T763" i="15"/>
  <c r="V763" i="15" s="1"/>
  <c r="S763" i="15"/>
  <c r="B763" i="15"/>
  <c r="AF762" i="15"/>
  <c r="W762" i="15" s="1"/>
  <c r="T762" i="15"/>
  <c r="V762" i="15" s="1"/>
  <c r="S762" i="15"/>
  <c r="B762" i="15"/>
  <c r="AF761" i="15"/>
  <c r="W761" i="15"/>
  <c r="T761" i="15"/>
  <c r="V761" i="15" s="1"/>
  <c r="S761" i="15"/>
  <c r="B761" i="15"/>
  <c r="AF760" i="15"/>
  <c r="W760" i="15" s="1"/>
  <c r="T760" i="15"/>
  <c r="V760" i="15" s="1"/>
  <c r="S760" i="15"/>
  <c r="B760" i="15"/>
  <c r="AF759" i="15"/>
  <c r="W759" i="15"/>
  <c r="T759" i="15"/>
  <c r="V759" i="15" s="1"/>
  <c r="S759" i="15"/>
  <c r="B759" i="15"/>
  <c r="AF758" i="15"/>
  <c r="W758" i="15" s="1"/>
  <c r="T758" i="15"/>
  <c r="V758" i="15" s="1"/>
  <c r="S758" i="15"/>
  <c r="B758" i="15"/>
  <c r="AF757" i="15"/>
  <c r="W757" i="15"/>
  <c r="T757" i="15"/>
  <c r="V757" i="15" s="1"/>
  <c r="S757" i="15"/>
  <c r="B757" i="15"/>
  <c r="AF756" i="15"/>
  <c r="W756" i="15" s="1"/>
  <c r="T756" i="15"/>
  <c r="V756" i="15" s="1"/>
  <c r="S756" i="15"/>
  <c r="B756" i="15"/>
  <c r="AF755" i="15"/>
  <c r="W755" i="15"/>
  <c r="T755" i="15"/>
  <c r="V755" i="15" s="1"/>
  <c r="S755" i="15"/>
  <c r="B755" i="15"/>
  <c r="AF754" i="15"/>
  <c r="W754" i="15" s="1"/>
  <c r="T754" i="15"/>
  <c r="V754" i="15" s="1"/>
  <c r="S754" i="15"/>
  <c r="B754" i="15"/>
  <c r="AF753" i="15"/>
  <c r="W753" i="15"/>
  <c r="T753" i="15"/>
  <c r="V753" i="15" s="1"/>
  <c r="S753" i="15"/>
  <c r="B753" i="15"/>
  <c r="AF752" i="15"/>
  <c r="W752" i="15" s="1"/>
  <c r="T752" i="15"/>
  <c r="V752" i="15" s="1"/>
  <c r="S752" i="15"/>
  <c r="B752" i="15"/>
  <c r="AF751" i="15"/>
  <c r="W751" i="15"/>
  <c r="T751" i="15"/>
  <c r="V751" i="15" s="1"/>
  <c r="S751" i="15"/>
  <c r="B751" i="15"/>
  <c r="AF750" i="15"/>
  <c r="W750" i="15" s="1"/>
  <c r="T750" i="15"/>
  <c r="V750" i="15" s="1"/>
  <c r="S750" i="15"/>
  <c r="B750" i="15"/>
  <c r="AD749" i="15"/>
  <c r="W749" i="15"/>
  <c r="T749" i="15"/>
  <c r="V749" i="15" s="1"/>
  <c r="S749" i="15"/>
  <c r="B749" i="15"/>
  <c r="AF748" i="15"/>
  <c r="W748" i="15" s="1"/>
  <c r="T748" i="15"/>
  <c r="V748" i="15" s="1"/>
  <c r="S748" i="15"/>
  <c r="B748" i="15"/>
  <c r="AF747" i="15"/>
  <c r="W747" i="15"/>
  <c r="T747" i="15"/>
  <c r="V747" i="15" s="1"/>
  <c r="S747" i="15"/>
  <c r="B747" i="15"/>
  <c r="AF746" i="15"/>
  <c r="W746" i="15" s="1"/>
  <c r="T746" i="15"/>
  <c r="V746" i="15" s="1"/>
  <c r="S746" i="15"/>
  <c r="B746" i="15"/>
  <c r="AF745" i="15"/>
  <c r="W745" i="15"/>
  <c r="T745" i="15"/>
  <c r="V745" i="15" s="1"/>
  <c r="S745" i="15"/>
  <c r="B745" i="15"/>
  <c r="AF744" i="15"/>
  <c r="W744" i="15" s="1"/>
  <c r="T744" i="15"/>
  <c r="V744" i="15" s="1"/>
  <c r="S744" i="15"/>
  <c r="B744" i="15"/>
  <c r="AF743" i="15"/>
  <c r="W743" i="15"/>
  <c r="T743" i="15"/>
  <c r="V743" i="15" s="1"/>
  <c r="S743" i="15"/>
  <c r="B743" i="15"/>
  <c r="AF742" i="15"/>
  <c r="W742" i="15" s="1"/>
  <c r="T742" i="15"/>
  <c r="V742" i="15" s="1"/>
  <c r="S742" i="15"/>
  <c r="B742" i="15"/>
  <c r="AF741" i="15"/>
  <c r="W741" i="15"/>
  <c r="T741" i="15"/>
  <c r="V741" i="15" s="1"/>
  <c r="S741" i="15"/>
  <c r="B741" i="15"/>
  <c r="AF740" i="15"/>
  <c r="W740" i="15" s="1"/>
  <c r="T740" i="15"/>
  <c r="V740" i="15" s="1"/>
  <c r="S740" i="15"/>
  <c r="B740" i="15"/>
  <c r="U739" i="15"/>
  <c r="S739" i="15"/>
  <c r="R739" i="15"/>
  <c r="Q739" i="15"/>
  <c r="L739" i="15"/>
  <c r="K739" i="15"/>
  <c r="J739" i="15"/>
  <c r="I739" i="15"/>
  <c r="T739" i="15" s="1"/>
  <c r="AJ738" i="15"/>
  <c r="W738" i="15"/>
  <c r="T738" i="15"/>
  <c r="V738" i="15" s="1"/>
  <c r="S738" i="15"/>
  <c r="B738" i="15"/>
  <c r="W737" i="15"/>
  <c r="T737" i="15"/>
  <c r="V737" i="15" s="1"/>
  <c r="S737" i="15"/>
  <c r="B737" i="15"/>
  <c r="AJ736" i="15"/>
  <c r="W736" i="15" s="1"/>
  <c r="V736" i="15"/>
  <c r="T736" i="15"/>
  <c r="S736" i="15"/>
  <c r="B736" i="15"/>
  <c r="W735" i="15"/>
  <c r="T735" i="15"/>
  <c r="V735" i="15" s="1"/>
  <c r="S735" i="15"/>
  <c r="B735" i="15"/>
  <c r="AJ734" i="15"/>
  <c r="W734" i="15" s="1"/>
  <c r="T734" i="15"/>
  <c r="V734" i="15" s="1"/>
  <c r="S734" i="15"/>
  <c r="B734" i="15"/>
  <c r="W733" i="15"/>
  <c r="V733" i="15"/>
  <c r="T733" i="15"/>
  <c r="S733" i="15"/>
  <c r="B733" i="15"/>
  <c r="AD732" i="15"/>
  <c r="W732" i="15" s="1"/>
  <c r="T732" i="15"/>
  <c r="V732" i="15" s="1"/>
  <c r="S732" i="15"/>
  <c r="B732" i="15"/>
  <c r="U731" i="15"/>
  <c r="R731" i="15"/>
  <c r="Q731" i="15"/>
  <c r="L731" i="15"/>
  <c r="K731" i="15"/>
  <c r="J731" i="15"/>
  <c r="I731" i="15"/>
  <c r="T731" i="15" s="1"/>
  <c r="V731" i="15" s="1"/>
  <c r="T730" i="15"/>
  <c r="V730" i="15" s="1"/>
  <c r="S730" i="15"/>
  <c r="B730" i="15"/>
  <c r="V729" i="15"/>
  <c r="T729" i="15"/>
  <c r="W729" i="15" s="1"/>
  <c r="S729" i="15"/>
  <c r="B729" i="15"/>
  <c r="T728" i="15"/>
  <c r="V728" i="15" s="1"/>
  <c r="S728" i="15"/>
  <c r="B728" i="15"/>
  <c r="T727" i="15"/>
  <c r="W727" i="15" s="1"/>
  <c r="S727" i="15"/>
  <c r="B727" i="15"/>
  <c r="T726" i="15"/>
  <c r="V726" i="15" s="1"/>
  <c r="S726" i="15"/>
  <c r="B726" i="15"/>
  <c r="V725" i="15"/>
  <c r="T725" i="15"/>
  <c r="W725" i="15" s="1"/>
  <c r="S725" i="15"/>
  <c r="B725" i="15"/>
  <c r="T724" i="15"/>
  <c r="V724" i="15" s="1"/>
  <c r="S724" i="15"/>
  <c r="B724" i="15"/>
  <c r="T723" i="15"/>
  <c r="W723" i="15" s="1"/>
  <c r="S723" i="15"/>
  <c r="B723" i="15"/>
  <c r="T722" i="15"/>
  <c r="V722" i="15" s="1"/>
  <c r="S722" i="15"/>
  <c r="B722" i="15"/>
  <c r="V721" i="15"/>
  <c r="T721" i="15"/>
  <c r="W721" i="15" s="1"/>
  <c r="S721" i="15"/>
  <c r="B721" i="15"/>
  <c r="W720" i="15"/>
  <c r="T720" i="15"/>
  <c r="V720" i="15" s="1"/>
  <c r="S720" i="15"/>
  <c r="B720" i="15"/>
  <c r="AF719" i="15"/>
  <c r="W719" i="15" s="1"/>
  <c r="T719" i="15"/>
  <c r="V719" i="15" s="1"/>
  <c r="S719" i="15"/>
  <c r="B719" i="15"/>
  <c r="AJ718" i="15"/>
  <c r="AF718" i="15"/>
  <c r="W718" i="15" s="1"/>
  <c r="T718" i="15"/>
  <c r="V718" i="15" s="1"/>
  <c r="S718" i="15"/>
  <c r="B718" i="15"/>
  <c r="AF717" i="15"/>
  <c r="W717" i="15" s="1"/>
  <c r="V717" i="15"/>
  <c r="T717" i="15"/>
  <c r="S717" i="15"/>
  <c r="B717" i="15"/>
  <c r="AF716" i="15"/>
  <c r="W716" i="15" s="1"/>
  <c r="T716" i="15"/>
  <c r="V716" i="15" s="1"/>
  <c r="S716" i="15"/>
  <c r="B716" i="15"/>
  <c r="AF715" i="15"/>
  <c r="W715" i="15" s="1"/>
  <c r="V715" i="15"/>
  <c r="T715" i="15"/>
  <c r="S715" i="15"/>
  <c r="B715" i="15"/>
  <c r="AD714" i="15"/>
  <c r="W714" i="15" s="1"/>
  <c r="T714" i="15"/>
  <c r="V714" i="15" s="1"/>
  <c r="S714" i="15"/>
  <c r="B714" i="15"/>
  <c r="AF713" i="15"/>
  <c r="W713" i="15" s="1"/>
  <c r="V713" i="15"/>
  <c r="T713" i="15"/>
  <c r="S713" i="15"/>
  <c r="B713" i="15"/>
  <c r="U712" i="15"/>
  <c r="R712" i="15"/>
  <c r="Q712" i="15"/>
  <c r="L712" i="15"/>
  <c r="K712" i="15"/>
  <c r="J712" i="15"/>
  <c r="I712" i="15"/>
  <c r="T712" i="15" s="1"/>
  <c r="V712" i="15" s="1"/>
  <c r="W711" i="15"/>
  <c r="T711" i="15"/>
  <c r="V711" i="15" s="1"/>
  <c r="S711" i="15"/>
  <c r="B711" i="15"/>
  <c r="V710" i="15"/>
  <c r="T710" i="15"/>
  <c r="W710" i="15" s="1"/>
  <c r="S710" i="15"/>
  <c r="B710" i="15"/>
  <c r="W709" i="15"/>
  <c r="T709" i="15"/>
  <c r="V709" i="15" s="1"/>
  <c r="S709" i="15"/>
  <c r="B709" i="15"/>
  <c r="AL708" i="15"/>
  <c r="W708" i="15" s="1"/>
  <c r="T708" i="15"/>
  <c r="V708" i="15" s="1"/>
  <c r="S708" i="15"/>
  <c r="B708" i="15"/>
  <c r="AJ707" i="15"/>
  <c r="W707" i="15"/>
  <c r="T707" i="15"/>
  <c r="V707" i="15" s="1"/>
  <c r="S707" i="15"/>
  <c r="B707" i="15"/>
  <c r="AJ706" i="15"/>
  <c r="W706" i="15" s="1"/>
  <c r="T706" i="15"/>
  <c r="V706" i="15" s="1"/>
  <c r="S706" i="15"/>
  <c r="B706" i="15"/>
  <c r="AF705" i="15"/>
  <c r="W705" i="15"/>
  <c r="T705" i="15"/>
  <c r="V705" i="15" s="1"/>
  <c r="S705" i="15"/>
  <c r="B705" i="15"/>
  <c r="AF704" i="15"/>
  <c r="W704" i="15" s="1"/>
  <c r="T704" i="15"/>
  <c r="V704" i="15" s="1"/>
  <c r="S704" i="15"/>
  <c r="B704" i="15"/>
  <c r="AD703" i="15"/>
  <c r="W703" i="15"/>
  <c r="T703" i="15"/>
  <c r="V703" i="15" s="1"/>
  <c r="S703" i="15"/>
  <c r="B703" i="15"/>
  <c r="AF702" i="15"/>
  <c r="W702" i="15" s="1"/>
  <c r="T702" i="15"/>
  <c r="V702" i="15" s="1"/>
  <c r="S702" i="15"/>
  <c r="B702" i="15"/>
  <c r="AF701" i="15"/>
  <c r="W701" i="15"/>
  <c r="T701" i="15"/>
  <c r="V701" i="15" s="1"/>
  <c r="S701" i="15"/>
  <c r="B701" i="15"/>
  <c r="AF700" i="15"/>
  <c r="W700" i="15" s="1"/>
  <c r="T700" i="15"/>
  <c r="V700" i="15" s="1"/>
  <c r="S700" i="15"/>
  <c r="B700" i="15"/>
  <c r="AF699" i="15"/>
  <c r="W699" i="15"/>
  <c r="T699" i="15"/>
  <c r="V699" i="15" s="1"/>
  <c r="S699" i="15"/>
  <c r="B699" i="15"/>
  <c r="AF698" i="15"/>
  <c r="W698" i="15" s="1"/>
  <c r="T698" i="15"/>
  <c r="V698" i="15" s="1"/>
  <c r="S698" i="15"/>
  <c r="B698" i="15"/>
  <c r="AJ697" i="15"/>
  <c r="W697" i="15"/>
  <c r="T697" i="15"/>
  <c r="V697" i="15" s="1"/>
  <c r="S697" i="15"/>
  <c r="B697" i="15"/>
  <c r="AF696" i="15"/>
  <c r="W696" i="15" s="1"/>
  <c r="T696" i="15"/>
  <c r="V696" i="15" s="1"/>
  <c r="S696" i="15"/>
  <c r="B696" i="15"/>
  <c r="AF695" i="15"/>
  <c r="W695" i="15" s="1"/>
  <c r="T695" i="15"/>
  <c r="V695" i="15" s="1"/>
  <c r="S695" i="15"/>
  <c r="B695" i="15"/>
  <c r="AN694" i="15"/>
  <c r="W694" i="15"/>
  <c r="T694" i="15"/>
  <c r="V694" i="15" s="1"/>
  <c r="S694" i="15"/>
  <c r="B694" i="15"/>
  <c r="AN693" i="15"/>
  <c r="W693" i="15" s="1"/>
  <c r="T693" i="15"/>
  <c r="V693" i="15" s="1"/>
  <c r="S693" i="15"/>
  <c r="B693" i="15"/>
  <c r="AN692" i="15"/>
  <c r="W692" i="15"/>
  <c r="T692" i="15"/>
  <c r="V692" i="15" s="1"/>
  <c r="S692" i="15"/>
  <c r="B692" i="15"/>
  <c r="AF691" i="15"/>
  <c r="W691" i="15" s="1"/>
  <c r="T691" i="15"/>
  <c r="V691" i="15" s="1"/>
  <c r="S691" i="15"/>
  <c r="B691" i="15"/>
  <c r="AF690" i="15"/>
  <c r="W690" i="15"/>
  <c r="T690" i="15"/>
  <c r="V690" i="15" s="1"/>
  <c r="S690" i="15"/>
  <c r="B690" i="15"/>
  <c r="AF689" i="15"/>
  <c r="W689" i="15" s="1"/>
  <c r="T689" i="15"/>
  <c r="V689" i="15" s="1"/>
  <c r="S689" i="15"/>
  <c r="B689" i="15"/>
  <c r="AF688" i="15"/>
  <c r="W688" i="15"/>
  <c r="T688" i="15"/>
  <c r="V688" i="15" s="1"/>
  <c r="S688" i="15"/>
  <c r="B688" i="15"/>
  <c r="AF687" i="15"/>
  <c r="W687" i="15" s="1"/>
  <c r="T687" i="15"/>
  <c r="V687" i="15" s="1"/>
  <c r="S687" i="15"/>
  <c r="B687" i="15"/>
  <c r="AF686" i="15"/>
  <c r="W686" i="15"/>
  <c r="T686" i="15"/>
  <c r="V686" i="15" s="1"/>
  <c r="S686" i="15"/>
  <c r="B686" i="15"/>
  <c r="AF685" i="15"/>
  <c r="W685" i="15" s="1"/>
  <c r="T685" i="15"/>
  <c r="V685" i="15" s="1"/>
  <c r="S685" i="15"/>
  <c r="B685" i="15"/>
  <c r="AF684" i="15"/>
  <c r="W684" i="15"/>
  <c r="T684" i="15"/>
  <c r="V684" i="15" s="1"/>
  <c r="S684" i="15"/>
  <c r="B684" i="15"/>
  <c r="AF683" i="15"/>
  <c r="W683" i="15" s="1"/>
  <c r="T683" i="15"/>
  <c r="V683" i="15" s="1"/>
  <c r="S683" i="15"/>
  <c r="B683" i="15"/>
  <c r="AF682" i="15"/>
  <c r="W682" i="15"/>
  <c r="T682" i="15"/>
  <c r="V682" i="15" s="1"/>
  <c r="S682" i="15"/>
  <c r="B682" i="15"/>
  <c r="AF681" i="15"/>
  <c r="W681" i="15" s="1"/>
  <c r="T681" i="15"/>
  <c r="V681" i="15" s="1"/>
  <c r="S681" i="15"/>
  <c r="B681" i="15"/>
  <c r="T680" i="15"/>
  <c r="W680" i="15" s="1"/>
  <c r="S680" i="15"/>
  <c r="B680" i="15"/>
  <c r="T679" i="15"/>
  <c r="V679" i="15" s="1"/>
  <c r="S679" i="15"/>
  <c r="B679" i="15"/>
  <c r="T678" i="15"/>
  <c r="W678" i="15" s="1"/>
  <c r="S678" i="15"/>
  <c r="B678" i="15"/>
  <c r="AF677" i="15"/>
  <c r="W677" i="15" s="1"/>
  <c r="V677" i="15"/>
  <c r="T677" i="15"/>
  <c r="S677" i="15"/>
  <c r="B677" i="15"/>
  <c r="AF676" i="15"/>
  <c r="W676" i="15" s="1"/>
  <c r="T676" i="15"/>
  <c r="V676" i="15" s="1"/>
  <c r="S676" i="15"/>
  <c r="B676" i="15"/>
  <c r="AF675" i="15"/>
  <c r="W675" i="15" s="1"/>
  <c r="V675" i="15"/>
  <c r="T675" i="15"/>
  <c r="S675" i="15"/>
  <c r="B675" i="15"/>
  <c r="AF674" i="15"/>
  <c r="W674" i="15" s="1"/>
  <c r="T674" i="15"/>
  <c r="V674" i="15" s="1"/>
  <c r="S674" i="15"/>
  <c r="B674" i="15"/>
  <c r="AF673" i="15"/>
  <c r="W673" i="15" s="1"/>
  <c r="V673" i="15"/>
  <c r="T673" i="15"/>
  <c r="S673" i="15"/>
  <c r="B673" i="15"/>
  <c r="U672" i="15"/>
  <c r="R672" i="15"/>
  <c r="Q672" i="15"/>
  <c r="L672" i="15"/>
  <c r="K672" i="15"/>
  <c r="J672" i="15"/>
  <c r="I672" i="15"/>
  <c r="T672" i="15" s="1"/>
  <c r="V672" i="15" s="1"/>
  <c r="AJ671" i="15"/>
  <c r="T671" i="15"/>
  <c r="W671" i="15" s="1"/>
  <c r="S671" i="15"/>
  <c r="B671" i="15"/>
  <c r="AF670" i="15"/>
  <c r="W670" i="15" s="1"/>
  <c r="V670" i="15"/>
  <c r="T670" i="15"/>
  <c r="S670" i="15"/>
  <c r="B670" i="15"/>
  <c r="AJ669" i="15"/>
  <c r="W669" i="15" s="1"/>
  <c r="T669" i="15"/>
  <c r="V669" i="15" s="1"/>
  <c r="S669" i="15"/>
  <c r="B669" i="15"/>
  <c r="W668" i="15"/>
  <c r="T668" i="15"/>
  <c r="V668" i="15" s="1"/>
  <c r="S668" i="15"/>
  <c r="B668" i="15"/>
  <c r="W667" i="15"/>
  <c r="V667" i="15"/>
  <c r="T667" i="15"/>
  <c r="S667" i="15"/>
  <c r="B667" i="15"/>
  <c r="W666" i="15"/>
  <c r="T666" i="15"/>
  <c r="V666" i="15" s="1"/>
  <c r="S666" i="15"/>
  <c r="B666" i="15"/>
  <c r="W665" i="15"/>
  <c r="T665" i="15"/>
  <c r="V665" i="15" s="1"/>
  <c r="S665" i="15"/>
  <c r="B665" i="15"/>
  <c r="AF664" i="15"/>
  <c r="W664" i="15" s="1"/>
  <c r="V664" i="15"/>
  <c r="T664" i="15"/>
  <c r="S664" i="15"/>
  <c r="B664" i="15"/>
  <c r="AJ663" i="15"/>
  <c r="T663" i="15"/>
  <c r="W663" i="15" s="1"/>
  <c r="S663" i="15"/>
  <c r="B663" i="15"/>
  <c r="AJ662" i="15"/>
  <c r="W662" i="15" s="1"/>
  <c r="V662" i="15"/>
  <c r="T662" i="15"/>
  <c r="S662" i="15"/>
  <c r="B662" i="15"/>
  <c r="W661" i="15"/>
  <c r="T661" i="15"/>
  <c r="V661" i="15" s="1"/>
  <c r="S661" i="15"/>
  <c r="B661" i="15"/>
  <c r="W660" i="15"/>
  <c r="T660" i="15"/>
  <c r="V660" i="15" s="1"/>
  <c r="S660" i="15"/>
  <c r="B660" i="15"/>
  <c r="W659" i="15"/>
  <c r="T659" i="15"/>
  <c r="V659" i="15" s="1"/>
  <c r="S659" i="15"/>
  <c r="B659" i="15"/>
  <c r="W658" i="15"/>
  <c r="V658" i="15"/>
  <c r="T658" i="15"/>
  <c r="S658" i="15"/>
  <c r="B658" i="15"/>
  <c r="AF657" i="15"/>
  <c r="W657" i="15" s="1"/>
  <c r="T657" i="15"/>
  <c r="V657" i="15" s="1"/>
  <c r="S657" i="15"/>
  <c r="B657" i="15"/>
  <c r="AF656" i="15"/>
  <c r="W656" i="15" s="1"/>
  <c r="V656" i="15"/>
  <c r="T656" i="15"/>
  <c r="S656" i="15"/>
  <c r="B656" i="15"/>
  <c r="AF655" i="15"/>
  <c r="W655" i="15" s="1"/>
  <c r="T655" i="15"/>
  <c r="V655" i="15" s="1"/>
  <c r="S655" i="15"/>
  <c r="B655" i="15"/>
  <c r="AF654" i="15"/>
  <c r="W654" i="15" s="1"/>
  <c r="V654" i="15"/>
  <c r="T654" i="15"/>
  <c r="S654" i="15"/>
  <c r="B654" i="15"/>
  <c r="AF653" i="15"/>
  <c r="W653" i="15" s="1"/>
  <c r="T653" i="15"/>
  <c r="V653" i="15" s="1"/>
  <c r="S653" i="15"/>
  <c r="B653" i="15"/>
  <c r="AF652" i="15"/>
  <c r="W652" i="15" s="1"/>
  <c r="V652" i="15"/>
  <c r="T652" i="15"/>
  <c r="S652" i="15"/>
  <c r="B652" i="15"/>
  <c r="AF651" i="15"/>
  <c r="W651" i="15" s="1"/>
  <c r="T651" i="15"/>
  <c r="V651" i="15" s="1"/>
  <c r="S651" i="15"/>
  <c r="B651" i="15"/>
  <c r="AF650" i="15"/>
  <c r="W650" i="15" s="1"/>
  <c r="V650" i="15"/>
  <c r="T650" i="15"/>
  <c r="S650" i="15"/>
  <c r="B650" i="15"/>
  <c r="W649" i="15"/>
  <c r="T649" i="15"/>
  <c r="V649" i="15" s="1"/>
  <c r="S649" i="15"/>
  <c r="B649" i="15"/>
  <c r="AJ648" i="15"/>
  <c r="W648" i="15" s="1"/>
  <c r="T648" i="15"/>
  <c r="V648" i="15" s="1"/>
  <c r="S648" i="15"/>
  <c r="B648" i="15"/>
  <c r="AF647" i="15"/>
  <c r="W647" i="15"/>
  <c r="T647" i="15"/>
  <c r="V647" i="15" s="1"/>
  <c r="S647" i="15"/>
  <c r="B647" i="15"/>
  <c r="AF646" i="15"/>
  <c r="W646" i="15" s="1"/>
  <c r="T646" i="15"/>
  <c r="V646" i="15" s="1"/>
  <c r="S646" i="15"/>
  <c r="B646" i="15"/>
  <c r="AF645" i="15"/>
  <c r="W645" i="15"/>
  <c r="T645" i="15"/>
  <c r="V645" i="15" s="1"/>
  <c r="S645" i="15"/>
  <c r="B645" i="15"/>
  <c r="AF644" i="15"/>
  <c r="W644" i="15" s="1"/>
  <c r="T644" i="15"/>
  <c r="V644" i="15" s="1"/>
  <c r="S644" i="15"/>
  <c r="B644" i="15"/>
  <c r="AJ643" i="15"/>
  <c r="W643" i="15"/>
  <c r="T643" i="15"/>
  <c r="V643" i="15" s="1"/>
  <c r="S643" i="15"/>
  <c r="B643" i="15"/>
  <c r="AF642" i="15"/>
  <c r="W642" i="15" s="1"/>
  <c r="T642" i="15"/>
  <c r="V642" i="15" s="1"/>
  <c r="S642" i="15"/>
  <c r="B642" i="15"/>
  <c r="U641" i="15"/>
  <c r="S641" i="15"/>
  <c r="R641" i="15"/>
  <c r="Q641" i="15"/>
  <c r="L641" i="15"/>
  <c r="K641" i="15"/>
  <c r="J641" i="15"/>
  <c r="I641" i="15"/>
  <c r="T641" i="15" s="1"/>
  <c r="T640" i="15"/>
  <c r="W640" i="15" s="1"/>
  <c r="S640" i="15"/>
  <c r="B640" i="15"/>
  <c r="T639" i="15"/>
  <c r="V639" i="15" s="1"/>
  <c r="S639" i="15"/>
  <c r="B639" i="15"/>
  <c r="V638" i="15"/>
  <c r="T638" i="15"/>
  <c r="W638" i="15" s="1"/>
  <c r="S638" i="15"/>
  <c r="B638" i="15"/>
  <c r="T637" i="15"/>
  <c r="V637" i="15" s="1"/>
  <c r="S637" i="15"/>
  <c r="B637" i="15"/>
  <c r="T636" i="15"/>
  <c r="W636" i="15" s="1"/>
  <c r="S636" i="15"/>
  <c r="B636" i="15"/>
  <c r="T635" i="15"/>
  <c r="V635" i="15" s="1"/>
  <c r="S635" i="15"/>
  <c r="B635" i="15"/>
  <c r="V634" i="15"/>
  <c r="T634" i="15"/>
  <c r="W634" i="15" s="1"/>
  <c r="S634" i="15"/>
  <c r="B634" i="15"/>
  <c r="T633" i="15"/>
  <c r="V633" i="15" s="1"/>
  <c r="S633" i="15"/>
  <c r="B633" i="15"/>
  <c r="T632" i="15"/>
  <c r="W632" i="15" s="1"/>
  <c r="S632" i="15"/>
  <c r="B632" i="15"/>
  <c r="T631" i="15"/>
  <c r="V631" i="15" s="1"/>
  <c r="S631" i="15"/>
  <c r="B631" i="15"/>
  <c r="V630" i="15"/>
  <c r="T630" i="15"/>
  <c r="W630" i="15" s="1"/>
  <c r="S630" i="15"/>
  <c r="B630" i="15"/>
  <c r="T629" i="15"/>
  <c r="V629" i="15" s="1"/>
  <c r="S629" i="15"/>
  <c r="B629" i="15"/>
  <c r="T628" i="15"/>
  <c r="W628" i="15" s="1"/>
  <c r="S628" i="15"/>
  <c r="B628" i="15"/>
  <c r="T627" i="15"/>
  <c r="V627" i="15" s="1"/>
  <c r="S627" i="15"/>
  <c r="B627" i="15"/>
  <c r="V626" i="15"/>
  <c r="T626" i="15"/>
  <c r="W626" i="15" s="1"/>
  <c r="S626" i="15"/>
  <c r="B626" i="15"/>
  <c r="T625" i="15"/>
  <c r="V625" i="15" s="1"/>
  <c r="S625" i="15"/>
  <c r="B625" i="15"/>
  <c r="T624" i="15"/>
  <c r="W624" i="15" s="1"/>
  <c r="S624" i="15"/>
  <c r="B624" i="15"/>
  <c r="T623" i="15"/>
  <c r="V623" i="15" s="1"/>
  <c r="S623" i="15"/>
  <c r="B623" i="15"/>
  <c r="V622" i="15"/>
  <c r="T622" i="15"/>
  <c r="W622" i="15" s="1"/>
  <c r="S622" i="15"/>
  <c r="B622" i="15"/>
  <c r="T621" i="15"/>
  <c r="V621" i="15" s="1"/>
  <c r="S621" i="15"/>
  <c r="B621" i="15"/>
  <c r="AF620" i="15"/>
  <c r="W620" i="15"/>
  <c r="T620" i="15"/>
  <c r="V620" i="15" s="1"/>
  <c r="S620" i="15"/>
  <c r="B620" i="15"/>
  <c r="AF619" i="15"/>
  <c r="W619" i="15" s="1"/>
  <c r="T619" i="15"/>
  <c r="V619" i="15" s="1"/>
  <c r="S619" i="15"/>
  <c r="B619" i="15"/>
  <c r="AD618" i="15"/>
  <c r="W618" i="15"/>
  <c r="T618" i="15"/>
  <c r="V618" i="15" s="1"/>
  <c r="S618" i="15"/>
  <c r="B618" i="15"/>
  <c r="AF617" i="15"/>
  <c r="W617" i="15" s="1"/>
  <c r="T617" i="15"/>
  <c r="V617" i="15" s="1"/>
  <c r="S617" i="15"/>
  <c r="B617" i="15"/>
  <c r="AF616" i="15"/>
  <c r="W616" i="15" s="1"/>
  <c r="V616" i="15"/>
  <c r="T616" i="15"/>
  <c r="S616" i="15"/>
  <c r="B616" i="15"/>
  <c r="AF615" i="15"/>
  <c r="W615" i="15" s="1"/>
  <c r="T615" i="15"/>
  <c r="V615" i="15" s="1"/>
  <c r="S615" i="15"/>
  <c r="B615" i="15"/>
  <c r="AF614" i="15"/>
  <c r="W614" i="15" s="1"/>
  <c r="V614" i="15"/>
  <c r="T614" i="15"/>
  <c r="S614" i="15"/>
  <c r="B614" i="15"/>
  <c r="AJ613" i="15"/>
  <c r="W613" i="15" s="1"/>
  <c r="T613" i="15"/>
  <c r="V613" i="15" s="1"/>
  <c r="S613" i="15"/>
  <c r="B613" i="15"/>
  <c r="AF612" i="15"/>
  <c r="W612" i="15" s="1"/>
  <c r="V612" i="15"/>
  <c r="T612" i="15"/>
  <c r="S612" i="15"/>
  <c r="B612" i="15"/>
  <c r="AD611" i="15"/>
  <c r="W611" i="15" s="1"/>
  <c r="T611" i="15"/>
  <c r="V611" i="15" s="1"/>
  <c r="S611" i="15"/>
  <c r="B611" i="15"/>
  <c r="AJ610" i="15"/>
  <c r="W610" i="15" s="1"/>
  <c r="V610" i="15"/>
  <c r="T610" i="15"/>
  <c r="S610" i="15"/>
  <c r="B610" i="15"/>
  <c r="AF609" i="15"/>
  <c r="W609" i="15" s="1"/>
  <c r="T609" i="15"/>
  <c r="V609" i="15" s="1"/>
  <c r="S609" i="15"/>
  <c r="B609" i="15"/>
  <c r="AJ608" i="15"/>
  <c r="W608" i="15" s="1"/>
  <c r="V608" i="15"/>
  <c r="T608" i="15"/>
  <c r="S608" i="15"/>
  <c r="B608" i="15"/>
  <c r="AF607" i="15"/>
  <c r="W607" i="15" s="1"/>
  <c r="T607" i="15"/>
  <c r="V607" i="15" s="1"/>
  <c r="S607" i="15"/>
  <c r="B607" i="15"/>
  <c r="AF606" i="15"/>
  <c r="W606" i="15" s="1"/>
  <c r="V606" i="15"/>
  <c r="T606" i="15"/>
  <c r="S606" i="15"/>
  <c r="B606" i="15"/>
  <c r="AF605" i="15"/>
  <c r="W605" i="15" s="1"/>
  <c r="T605" i="15"/>
  <c r="V605" i="15" s="1"/>
  <c r="S605" i="15"/>
  <c r="B605" i="15"/>
  <c r="AJ604" i="15"/>
  <c r="W604" i="15" s="1"/>
  <c r="V604" i="15"/>
  <c r="T604" i="15"/>
  <c r="S604" i="15"/>
  <c r="B604" i="15"/>
  <c r="AF603" i="15"/>
  <c r="W603" i="15" s="1"/>
  <c r="T603" i="15"/>
  <c r="V603" i="15" s="1"/>
  <c r="S603" i="15"/>
  <c r="B603" i="15"/>
  <c r="T602" i="15"/>
  <c r="W602" i="15" s="1"/>
  <c r="S602" i="15"/>
  <c r="B602" i="15"/>
  <c r="AH601" i="15"/>
  <c r="W601" i="15" s="1"/>
  <c r="T601" i="15"/>
  <c r="V601" i="15" s="1"/>
  <c r="S601" i="15"/>
  <c r="B601" i="15"/>
  <c r="AJ600" i="15"/>
  <c r="W600" i="15"/>
  <c r="T600" i="15"/>
  <c r="V600" i="15" s="1"/>
  <c r="S600" i="15"/>
  <c r="B600" i="15"/>
  <c r="AJ599" i="15"/>
  <c r="W599" i="15" s="1"/>
  <c r="T599" i="15"/>
  <c r="V599" i="15" s="1"/>
  <c r="S599" i="15"/>
  <c r="B599" i="15"/>
  <c r="AF598" i="15"/>
  <c r="W598" i="15"/>
  <c r="T598" i="15"/>
  <c r="V598" i="15" s="1"/>
  <c r="S598" i="15"/>
  <c r="B598" i="15"/>
  <c r="AJ597" i="15"/>
  <c r="W597" i="15" s="1"/>
  <c r="T597" i="15"/>
  <c r="V597" i="15" s="1"/>
  <c r="S597" i="15"/>
  <c r="B597" i="15"/>
  <c r="AJ596" i="15"/>
  <c r="W596" i="15"/>
  <c r="T596" i="15"/>
  <c r="V596" i="15" s="1"/>
  <c r="S596" i="15"/>
  <c r="B596" i="15"/>
  <c r="AF595" i="15"/>
  <c r="W595" i="15" s="1"/>
  <c r="T595" i="15"/>
  <c r="V595" i="15" s="1"/>
  <c r="S595" i="15"/>
  <c r="B595" i="15"/>
  <c r="AF594" i="15"/>
  <c r="W594" i="15"/>
  <c r="T594" i="15"/>
  <c r="V594" i="15" s="1"/>
  <c r="S594" i="15"/>
  <c r="B594" i="15"/>
  <c r="AF593" i="15"/>
  <c r="W593" i="15" s="1"/>
  <c r="T593" i="15"/>
  <c r="V593" i="15" s="1"/>
  <c r="S593" i="15"/>
  <c r="B593" i="15"/>
  <c r="AF592" i="15"/>
  <c r="W592" i="15"/>
  <c r="T592" i="15"/>
  <c r="V592" i="15" s="1"/>
  <c r="S592" i="15"/>
  <c r="B592" i="15"/>
  <c r="AF591" i="15"/>
  <c r="W591" i="15" s="1"/>
  <c r="T591" i="15"/>
  <c r="V591" i="15" s="1"/>
  <c r="S591" i="15"/>
  <c r="B591" i="15"/>
  <c r="AF590" i="15"/>
  <c r="W590" i="15"/>
  <c r="T590" i="15"/>
  <c r="V590" i="15" s="1"/>
  <c r="S590" i="15"/>
  <c r="B590" i="15"/>
  <c r="AF589" i="15"/>
  <c r="W589" i="15" s="1"/>
  <c r="T589" i="15"/>
  <c r="V589" i="15" s="1"/>
  <c r="S589" i="15"/>
  <c r="B589" i="15"/>
  <c r="AF588" i="15"/>
  <c r="W588" i="15"/>
  <c r="T588" i="15"/>
  <c r="V588" i="15" s="1"/>
  <c r="S588" i="15"/>
  <c r="B588" i="15"/>
  <c r="AF587" i="15"/>
  <c r="W587" i="15" s="1"/>
  <c r="T587" i="15"/>
  <c r="V587" i="15" s="1"/>
  <c r="S587" i="15"/>
  <c r="B587" i="15"/>
  <c r="AF586" i="15"/>
  <c r="W586" i="15"/>
  <c r="T586" i="15"/>
  <c r="V586" i="15" s="1"/>
  <c r="S586" i="15"/>
  <c r="B586" i="15"/>
  <c r="AF585" i="15"/>
  <c r="W585" i="15" s="1"/>
  <c r="T585" i="15"/>
  <c r="V585" i="15" s="1"/>
  <c r="S585" i="15"/>
  <c r="B585" i="15"/>
  <c r="AF584" i="15"/>
  <c r="W584" i="15"/>
  <c r="T584" i="15"/>
  <c r="V584" i="15" s="1"/>
  <c r="S584" i="15"/>
  <c r="B584" i="15"/>
  <c r="AF583" i="15"/>
  <c r="W583" i="15" s="1"/>
  <c r="T583" i="15"/>
  <c r="V583" i="15" s="1"/>
  <c r="S583" i="15"/>
  <c r="B583" i="15"/>
  <c r="AF582" i="15"/>
  <c r="W582" i="15"/>
  <c r="T582" i="15"/>
  <c r="V582" i="15" s="1"/>
  <c r="S582" i="15"/>
  <c r="B582" i="15"/>
  <c r="AF581" i="15"/>
  <c r="W581" i="15" s="1"/>
  <c r="T581" i="15"/>
  <c r="V581" i="15" s="1"/>
  <c r="S581" i="15"/>
  <c r="B581" i="15"/>
  <c r="AF580" i="15"/>
  <c r="W580" i="15"/>
  <c r="T580" i="15"/>
  <c r="V580" i="15" s="1"/>
  <c r="S580" i="15"/>
  <c r="B580" i="15"/>
  <c r="AF579" i="15"/>
  <c r="W579" i="15" s="1"/>
  <c r="T579" i="15"/>
  <c r="V579" i="15" s="1"/>
  <c r="S579" i="15"/>
  <c r="B579" i="15"/>
  <c r="AF578" i="15"/>
  <c r="W578" i="15"/>
  <c r="T578" i="15"/>
  <c r="V578" i="15" s="1"/>
  <c r="S578" i="15"/>
  <c r="B578" i="15"/>
  <c r="AF577" i="15"/>
  <c r="W577" i="15" s="1"/>
  <c r="T577" i="15"/>
  <c r="V577" i="15" s="1"/>
  <c r="S577" i="15"/>
  <c r="B577" i="15"/>
  <c r="AJ576" i="15"/>
  <c r="W576" i="15"/>
  <c r="T576" i="15"/>
  <c r="V576" i="15" s="1"/>
  <c r="S576" i="15"/>
  <c r="B576" i="15"/>
  <c r="AF575" i="15"/>
  <c r="W575" i="15" s="1"/>
  <c r="T575" i="15"/>
  <c r="V575" i="15" s="1"/>
  <c r="S575" i="15"/>
  <c r="B575" i="15"/>
  <c r="AF574" i="15"/>
  <c r="W574" i="15"/>
  <c r="T574" i="15"/>
  <c r="V574" i="15" s="1"/>
  <c r="S574" i="15"/>
  <c r="B574" i="15"/>
  <c r="AJ573" i="15"/>
  <c r="W573" i="15" s="1"/>
  <c r="T573" i="15"/>
  <c r="V573" i="15" s="1"/>
  <c r="S573" i="15"/>
  <c r="B573" i="15"/>
  <c r="AF572" i="15"/>
  <c r="W572" i="15"/>
  <c r="T572" i="15"/>
  <c r="V572" i="15" s="1"/>
  <c r="S572" i="15"/>
  <c r="B572" i="15"/>
  <c r="AF571" i="15"/>
  <c r="W571" i="15" s="1"/>
  <c r="T571" i="15"/>
  <c r="V571" i="15" s="1"/>
  <c r="S571" i="15"/>
  <c r="B571" i="15"/>
  <c r="AF570" i="15"/>
  <c r="W570" i="15"/>
  <c r="T570" i="15"/>
  <c r="V570" i="15" s="1"/>
  <c r="S570" i="15"/>
  <c r="B570" i="15"/>
  <c r="AJ569" i="15"/>
  <c r="W569" i="15" s="1"/>
  <c r="T569" i="15"/>
  <c r="V569" i="15" s="1"/>
  <c r="S569" i="15"/>
  <c r="B569" i="15"/>
  <c r="AF568" i="15"/>
  <c r="W568" i="15"/>
  <c r="T568" i="15"/>
  <c r="V568" i="15" s="1"/>
  <c r="S568" i="15"/>
  <c r="B568" i="15"/>
  <c r="AF567" i="15"/>
  <c r="W567" i="15" s="1"/>
  <c r="T567" i="15"/>
  <c r="V567" i="15" s="1"/>
  <c r="S567" i="15"/>
  <c r="B567" i="15"/>
  <c r="AF566" i="15"/>
  <c r="W566" i="15"/>
  <c r="T566" i="15"/>
  <c r="V566" i="15" s="1"/>
  <c r="S566" i="15"/>
  <c r="B566" i="15"/>
  <c r="AF565" i="15"/>
  <c r="W565" i="15" s="1"/>
  <c r="T565" i="15"/>
  <c r="V565" i="15" s="1"/>
  <c r="S565" i="15"/>
  <c r="B565" i="15"/>
  <c r="AF564" i="15"/>
  <c r="W564" i="15"/>
  <c r="T564" i="15"/>
  <c r="V564" i="15" s="1"/>
  <c r="S564" i="15"/>
  <c r="B564" i="15"/>
  <c r="AF563" i="15"/>
  <c r="W563" i="15" s="1"/>
  <c r="T563" i="15"/>
  <c r="V563" i="15" s="1"/>
  <c r="S563" i="15"/>
  <c r="B563" i="15"/>
  <c r="AF562" i="15"/>
  <c r="W562" i="15"/>
  <c r="T562" i="15"/>
  <c r="V562" i="15" s="1"/>
  <c r="S562" i="15"/>
  <c r="B562" i="15"/>
  <c r="AF561" i="15"/>
  <c r="W561" i="15" s="1"/>
  <c r="T561" i="15"/>
  <c r="V561" i="15" s="1"/>
  <c r="S561" i="15"/>
  <c r="B561" i="15"/>
  <c r="AF560" i="15"/>
  <c r="W560" i="15"/>
  <c r="T560" i="15"/>
  <c r="V560" i="15" s="1"/>
  <c r="S560" i="15"/>
  <c r="B560" i="15"/>
  <c r="AF559" i="15"/>
  <c r="W559" i="15" s="1"/>
  <c r="T559" i="15"/>
  <c r="V559" i="15" s="1"/>
  <c r="S559" i="15"/>
  <c r="B559" i="15"/>
  <c r="AF558" i="15"/>
  <c r="W558" i="15"/>
  <c r="T558" i="15"/>
  <c r="V558" i="15" s="1"/>
  <c r="S558" i="15"/>
  <c r="B558" i="15"/>
  <c r="AF557" i="15"/>
  <c r="W557" i="15" s="1"/>
  <c r="T557" i="15"/>
  <c r="V557" i="15" s="1"/>
  <c r="S557" i="15"/>
  <c r="B557" i="15"/>
  <c r="AF556" i="15"/>
  <c r="W556" i="15"/>
  <c r="T556" i="15"/>
  <c r="V556" i="15" s="1"/>
  <c r="S556" i="15"/>
  <c r="B556" i="15"/>
  <c r="AF555" i="15"/>
  <c r="W555" i="15" s="1"/>
  <c r="T555" i="15"/>
  <c r="V555" i="15" s="1"/>
  <c r="S555" i="15"/>
  <c r="B555" i="15"/>
  <c r="AF554" i="15"/>
  <c r="W554" i="15"/>
  <c r="T554" i="15"/>
  <c r="V554" i="15" s="1"/>
  <c r="S554" i="15"/>
  <c r="B554" i="15"/>
  <c r="AF553" i="15"/>
  <c r="W553" i="15" s="1"/>
  <c r="T553" i="15"/>
  <c r="V553" i="15" s="1"/>
  <c r="S553" i="15"/>
  <c r="B553" i="15"/>
  <c r="AF552" i="15"/>
  <c r="W552" i="15"/>
  <c r="T552" i="15"/>
  <c r="V552" i="15" s="1"/>
  <c r="S552" i="15"/>
  <c r="S551" i="15" s="1"/>
  <c r="B552" i="15"/>
  <c r="U551" i="15"/>
  <c r="V551" i="15" s="1"/>
  <c r="R551" i="15"/>
  <c r="R550" i="15" s="1"/>
  <c r="Q551" i="15"/>
  <c r="L551" i="15"/>
  <c r="L550" i="15" s="1"/>
  <c r="K551" i="15"/>
  <c r="J551" i="15"/>
  <c r="J550" i="15" s="1"/>
  <c r="I551" i="15"/>
  <c r="T551" i="15" s="1"/>
  <c r="Q550" i="15"/>
  <c r="K550" i="15"/>
  <c r="I550" i="15"/>
  <c r="T550" i="15" s="1"/>
  <c r="AF549" i="15"/>
  <c r="W549" i="15"/>
  <c r="T549" i="15"/>
  <c r="V549" i="15" s="1"/>
  <c r="S549" i="15"/>
  <c r="B549" i="15"/>
  <c r="AF548" i="15"/>
  <c r="W548" i="15" s="1"/>
  <c r="T548" i="15"/>
  <c r="V548" i="15" s="1"/>
  <c r="S548" i="15"/>
  <c r="B548" i="15"/>
  <c r="U547" i="15"/>
  <c r="S547" i="15"/>
  <c r="R547" i="15"/>
  <c r="Q547" i="15"/>
  <c r="L547" i="15"/>
  <c r="K547" i="15"/>
  <c r="J547" i="15"/>
  <c r="I547" i="15"/>
  <c r="T547" i="15" s="1"/>
  <c r="AJ546" i="15"/>
  <c r="W546" i="15"/>
  <c r="T546" i="15"/>
  <c r="V546" i="15" s="1"/>
  <c r="S546" i="15"/>
  <c r="B546" i="15"/>
  <c r="V545" i="15"/>
  <c r="T545" i="15"/>
  <c r="W545" i="15" s="1"/>
  <c r="S545" i="15"/>
  <c r="S544" i="15" s="1"/>
  <c r="B545" i="15"/>
  <c r="U544" i="15"/>
  <c r="R544" i="15"/>
  <c r="Q544" i="15"/>
  <c r="L544" i="15"/>
  <c r="K544" i="15"/>
  <c r="J544" i="15"/>
  <c r="I544" i="15"/>
  <c r="T544" i="15" s="1"/>
  <c r="V544" i="15" s="1"/>
  <c r="AF543" i="15"/>
  <c r="W543" i="15" s="1"/>
  <c r="T543" i="15"/>
  <c r="V543" i="15" s="1"/>
  <c r="S543" i="15"/>
  <c r="B543" i="15"/>
  <c r="AN542" i="15"/>
  <c r="V542" i="15"/>
  <c r="T542" i="15"/>
  <c r="W542" i="15" s="1"/>
  <c r="S542" i="15"/>
  <c r="B542" i="15"/>
  <c r="AF541" i="15"/>
  <c r="W541" i="15" s="1"/>
  <c r="T541" i="15"/>
  <c r="V541" i="15" s="1"/>
  <c r="S541" i="15"/>
  <c r="B541" i="15"/>
  <c r="T540" i="15"/>
  <c r="W540" i="15" s="1"/>
  <c r="S540" i="15"/>
  <c r="S539" i="15" s="1"/>
  <c r="B540" i="15"/>
  <c r="U539" i="15"/>
  <c r="V539" i="15" s="1"/>
  <c r="R539" i="15"/>
  <c r="Q539" i="15"/>
  <c r="L539" i="15"/>
  <c r="K539" i="15"/>
  <c r="J539" i="15"/>
  <c r="I539" i="15"/>
  <c r="T539" i="15" s="1"/>
  <c r="V538" i="15"/>
  <c r="T538" i="15"/>
  <c r="W538" i="15" s="1"/>
  <c r="S538" i="15"/>
  <c r="B538" i="15"/>
  <c r="T537" i="15"/>
  <c r="W537" i="15" s="1"/>
  <c r="S537" i="15"/>
  <c r="B537" i="15"/>
  <c r="T536" i="15"/>
  <c r="W536" i="15" s="1"/>
  <c r="S536" i="15"/>
  <c r="B536" i="15"/>
  <c r="T535" i="15"/>
  <c r="W535" i="15" s="1"/>
  <c r="S535" i="15"/>
  <c r="B535" i="15"/>
  <c r="W534" i="15"/>
  <c r="T534" i="15"/>
  <c r="V534" i="15" s="1"/>
  <c r="S534" i="15"/>
  <c r="B534" i="15"/>
  <c r="T533" i="15"/>
  <c r="W533" i="15" s="1"/>
  <c r="S533" i="15"/>
  <c r="B533" i="15"/>
  <c r="W532" i="15"/>
  <c r="T532" i="15"/>
  <c r="V532" i="15" s="1"/>
  <c r="S532" i="15"/>
  <c r="B532" i="15"/>
  <c r="W531" i="15"/>
  <c r="T531" i="15"/>
  <c r="V531" i="15" s="1"/>
  <c r="S531" i="15"/>
  <c r="B531" i="15"/>
  <c r="AF530" i="15"/>
  <c r="W530" i="15"/>
  <c r="T530" i="15"/>
  <c r="V530" i="15" s="1"/>
  <c r="S530" i="15"/>
  <c r="B530" i="15"/>
  <c r="S529" i="15"/>
  <c r="R529" i="15"/>
  <c r="Q529" i="15"/>
  <c r="L529" i="15"/>
  <c r="K529" i="15"/>
  <c r="J529" i="15"/>
  <c r="I529" i="15"/>
  <c r="T529" i="15" s="1"/>
  <c r="AF528" i="15"/>
  <c r="W528" i="15"/>
  <c r="T528" i="15"/>
  <c r="V528" i="15" s="1"/>
  <c r="S528" i="15"/>
  <c r="S527" i="15" s="1"/>
  <c r="B528" i="15"/>
  <c r="U527" i="15"/>
  <c r="V527" i="15" s="1"/>
  <c r="R527" i="15"/>
  <c r="Q527" i="15"/>
  <c r="L527" i="15"/>
  <c r="K527" i="15"/>
  <c r="J527" i="15"/>
  <c r="I527" i="15"/>
  <c r="T527" i="15" s="1"/>
  <c r="AJ526" i="15"/>
  <c r="W526" i="15" s="1"/>
  <c r="T526" i="15"/>
  <c r="V526" i="15" s="1"/>
  <c r="S526" i="15"/>
  <c r="B526" i="15"/>
  <c r="AF525" i="15"/>
  <c r="W525" i="15"/>
  <c r="T525" i="15"/>
  <c r="V525" i="15" s="1"/>
  <c r="S525" i="15"/>
  <c r="S524" i="15" s="1"/>
  <c r="B525" i="15"/>
  <c r="U524" i="15"/>
  <c r="V524" i="15" s="1"/>
  <c r="R524" i="15"/>
  <c r="Q524" i="15"/>
  <c r="L524" i="15"/>
  <c r="K524" i="15"/>
  <c r="J524" i="15"/>
  <c r="I524" i="15"/>
  <c r="T524" i="15" s="1"/>
  <c r="AF523" i="15"/>
  <c r="W523" i="15" s="1"/>
  <c r="T523" i="15"/>
  <c r="V523" i="15" s="1"/>
  <c r="S523" i="15"/>
  <c r="B523" i="15"/>
  <c r="U522" i="15"/>
  <c r="S522" i="15"/>
  <c r="R522" i="15"/>
  <c r="Q522" i="15"/>
  <c r="L522" i="15"/>
  <c r="K522" i="15"/>
  <c r="J522" i="15"/>
  <c r="I522" i="15"/>
  <c r="T522" i="15" s="1"/>
  <c r="W521" i="15"/>
  <c r="V521" i="15"/>
  <c r="T521" i="15"/>
  <c r="S521" i="15"/>
  <c r="B521" i="15"/>
  <c r="AF520" i="15"/>
  <c r="W520" i="15" s="1"/>
  <c r="T520" i="15"/>
  <c r="V520" i="15" s="1"/>
  <c r="S520" i="15"/>
  <c r="B520" i="15"/>
  <c r="AF519" i="15"/>
  <c r="W519" i="15" s="1"/>
  <c r="V519" i="15"/>
  <c r="T519" i="15"/>
  <c r="S519" i="15"/>
  <c r="B519" i="15"/>
  <c r="T518" i="15"/>
  <c r="W518" i="15" s="1"/>
  <c r="S518" i="15"/>
  <c r="B518" i="15"/>
  <c r="AF517" i="15"/>
  <c r="W517" i="15"/>
  <c r="T517" i="15"/>
  <c r="V517" i="15" s="1"/>
  <c r="S517" i="15"/>
  <c r="S516" i="15" s="1"/>
  <c r="B517" i="15"/>
  <c r="U516" i="15"/>
  <c r="V516" i="15" s="1"/>
  <c r="R516" i="15"/>
  <c r="Q516" i="15"/>
  <c r="L516" i="15"/>
  <c r="K516" i="15"/>
  <c r="J516" i="15"/>
  <c r="I516" i="15"/>
  <c r="T516" i="15" s="1"/>
  <c r="W515" i="15"/>
  <c r="T515" i="15"/>
  <c r="V515" i="15" s="1"/>
  <c r="S515" i="15"/>
  <c r="B515" i="15"/>
  <c r="W514" i="15"/>
  <c r="T514" i="15"/>
  <c r="V514" i="15" s="1"/>
  <c r="S514" i="15"/>
  <c r="B514" i="15"/>
  <c r="U513" i="15"/>
  <c r="S513" i="15"/>
  <c r="R513" i="15"/>
  <c r="Q513" i="15"/>
  <c r="L513" i="15"/>
  <c r="K513" i="15"/>
  <c r="J513" i="15"/>
  <c r="I513" i="15"/>
  <c r="T513" i="15" s="1"/>
  <c r="AF512" i="15"/>
  <c r="W512" i="15"/>
  <c r="T512" i="15"/>
  <c r="V512" i="15" s="1"/>
  <c r="S512" i="15"/>
  <c r="S511" i="15" s="1"/>
  <c r="B512" i="15"/>
  <c r="U511" i="15"/>
  <c r="V511" i="15" s="1"/>
  <c r="R511" i="15"/>
  <c r="Q511" i="15"/>
  <c r="L511" i="15"/>
  <c r="K511" i="15"/>
  <c r="J511" i="15"/>
  <c r="I511" i="15"/>
  <c r="T511" i="15" s="1"/>
  <c r="V510" i="15"/>
  <c r="T510" i="15"/>
  <c r="W510" i="15" s="1"/>
  <c r="S510" i="15"/>
  <c r="B510" i="15"/>
  <c r="AF509" i="15"/>
  <c r="W509" i="15" s="1"/>
  <c r="T509" i="15"/>
  <c r="V509" i="15" s="1"/>
  <c r="S509" i="15"/>
  <c r="B509" i="15"/>
  <c r="U508" i="15"/>
  <c r="R508" i="15"/>
  <c r="Q508" i="15"/>
  <c r="L508" i="15"/>
  <c r="K508" i="15"/>
  <c r="J508" i="15"/>
  <c r="I508" i="15"/>
  <c r="T508" i="15" s="1"/>
  <c r="V508" i="15" s="1"/>
  <c r="AF507" i="15"/>
  <c r="W507" i="15" s="1"/>
  <c r="V507" i="15"/>
  <c r="T507" i="15"/>
  <c r="S507" i="15"/>
  <c r="B507" i="15"/>
  <c r="AF506" i="15"/>
  <c r="W506" i="15" s="1"/>
  <c r="T506" i="15"/>
  <c r="V506" i="15" s="1"/>
  <c r="S506" i="15"/>
  <c r="B506" i="15"/>
  <c r="U505" i="15"/>
  <c r="R505" i="15"/>
  <c r="Q505" i="15"/>
  <c r="L505" i="15"/>
  <c r="K505" i="15"/>
  <c r="J505" i="15"/>
  <c r="I505" i="15"/>
  <c r="T505" i="15" s="1"/>
  <c r="V505" i="15" s="1"/>
  <c r="AF504" i="15"/>
  <c r="W504" i="15" s="1"/>
  <c r="V504" i="15"/>
  <c r="T504" i="15"/>
  <c r="S504" i="15"/>
  <c r="S503" i="15" s="1"/>
  <c r="B504" i="15"/>
  <c r="U503" i="15"/>
  <c r="R503" i="15"/>
  <c r="Q503" i="15"/>
  <c r="L503" i="15"/>
  <c r="K503" i="15"/>
  <c r="J503" i="15"/>
  <c r="I503" i="15"/>
  <c r="T503" i="15" s="1"/>
  <c r="V503" i="15" s="1"/>
  <c r="AF502" i="15"/>
  <c r="W502" i="15" s="1"/>
  <c r="T502" i="15"/>
  <c r="V502" i="15" s="1"/>
  <c r="S502" i="15"/>
  <c r="B502" i="15"/>
  <c r="AJ501" i="15"/>
  <c r="W501" i="15" s="1"/>
  <c r="V501" i="15"/>
  <c r="T501" i="15"/>
  <c r="S501" i="15"/>
  <c r="B501" i="15"/>
  <c r="AJ500" i="15"/>
  <c r="W500" i="15" s="1"/>
  <c r="T500" i="15"/>
  <c r="V500" i="15" s="1"/>
  <c r="S500" i="15"/>
  <c r="B500" i="15"/>
  <c r="AJ499" i="15"/>
  <c r="W499" i="15" s="1"/>
  <c r="V499" i="15"/>
  <c r="T499" i="15"/>
  <c r="S499" i="15"/>
  <c r="B499" i="15"/>
  <c r="AF498" i="15"/>
  <c r="W498" i="15" s="1"/>
  <c r="T498" i="15"/>
  <c r="V498" i="15" s="1"/>
  <c r="S498" i="15"/>
  <c r="B498" i="15"/>
  <c r="U497" i="15"/>
  <c r="R497" i="15"/>
  <c r="Q497" i="15"/>
  <c r="L497" i="15"/>
  <c r="K497" i="15"/>
  <c r="J497" i="15"/>
  <c r="I497" i="15"/>
  <c r="T497" i="15" s="1"/>
  <c r="V497" i="15" s="1"/>
  <c r="AF496" i="15"/>
  <c r="W496" i="15" s="1"/>
  <c r="V496" i="15"/>
  <c r="T496" i="15"/>
  <c r="S496" i="15"/>
  <c r="B496" i="15"/>
  <c r="AF495" i="15"/>
  <c r="W495" i="15" s="1"/>
  <c r="T495" i="15"/>
  <c r="V495" i="15" s="1"/>
  <c r="S495" i="15"/>
  <c r="B495" i="15"/>
  <c r="AF494" i="15"/>
  <c r="W494" i="15" s="1"/>
  <c r="V494" i="15"/>
  <c r="T494" i="15"/>
  <c r="S494" i="15"/>
  <c r="B494" i="15"/>
  <c r="AF493" i="15"/>
  <c r="W493" i="15" s="1"/>
  <c r="T493" i="15"/>
  <c r="V493" i="15" s="1"/>
  <c r="S493" i="15"/>
  <c r="B493" i="15"/>
  <c r="U492" i="15"/>
  <c r="R492" i="15"/>
  <c r="Q492" i="15"/>
  <c r="L492" i="15"/>
  <c r="K492" i="15"/>
  <c r="J492" i="15"/>
  <c r="I492" i="15"/>
  <c r="T492" i="15" s="1"/>
  <c r="V492" i="15" s="1"/>
  <c r="AJ491" i="15"/>
  <c r="W491" i="15" s="1"/>
  <c r="V491" i="15"/>
  <c r="T491" i="15"/>
  <c r="S491" i="15"/>
  <c r="S490" i="15" s="1"/>
  <c r="B491" i="15"/>
  <c r="U490" i="15"/>
  <c r="R490" i="15"/>
  <c r="Q490" i="15"/>
  <c r="L490" i="15"/>
  <c r="K490" i="15"/>
  <c r="J490" i="15"/>
  <c r="I490" i="15"/>
  <c r="T490" i="15" s="1"/>
  <c r="V490" i="15" s="1"/>
  <c r="AF489" i="15"/>
  <c r="W489" i="15" s="1"/>
  <c r="T489" i="15"/>
  <c r="V489" i="15" s="1"/>
  <c r="S489" i="15"/>
  <c r="S488" i="15" s="1"/>
  <c r="B489" i="15"/>
  <c r="U488" i="15"/>
  <c r="R488" i="15"/>
  <c r="Q488" i="15"/>
  <c r="L488" i="15"/>
  <c r="K488" i="15"/>
  <c r="J488" i="15"/>
  <c r="I488" i="15"/>
  <c r="T488" i="15" s="1"/>
  <c r="V488" i="15" s="1"/>
  <c r="W487" i="15"/>
  <c r="T487" i="15"/>
  <c r="V487" i="15" s="1"/>
  <c r="S487" i="15"/>
  <c r="B487" i="15"/>
  <c r="AH486" i="15"/>
  <c r="W486" i="15"/>
  <c r="T486" i="15"/>
  <c r="V486" i="15" s="1"/>
  <c r="S486" i="15"/>
  <c r="B486" i="15"/>
  <c r="AF485" i="15"/>
  <c r="W485" i="15" s="1"/>
  <c r="T485" i="15"/>
  <c r="V485" i="15" s="1"/>
  <c r="S485" i="15"/>
  <c r="B485" i="15"/>
  <c r="AF484" i="15"/>
  <c r="W484" i="15"/>
  <c r="T484" i="15"/>
  <c r="V484" i="15" s="1"/>
  <c r="S484" i="15"/>
  <c r="B484" i="15"/>
  <c r="AF483" i="15"/>
  <c r="W483" i="15" s="1"/>
  <c r="T483" i="15"/>
  <c r="V483" i="15" s="1"/>
  <c r="S483" i="15"/>
  <c r="B483" i="15"/>
  <c r="AF482" i="15"/>
  <c r="W482" i="15"/>
  <c r="T482" i="15"/>
  <c r="V482" i="15" s="1"/>
  <c r="S482" i="15"/>
  <c r="B482" i="15"/>
  <c r="AF481" i="15"/>
  <c r="W481" i="15" s="1"/>
  <c r="T481" i="15"/>
  <c r="V481" i="15" s="1"/>
  <c r="S481" i="15"/>
  <c r="B481" i="15"/>
  <c r="AF480" i="15"/>
  <c r="W480" i="15"/>
  <c r="T480" i="15"/>
  <c r="V480" i="15" s="1"/>
  <c r="S480" i="15"/>
  <c r="S479" i="15" s="1"/>
  <c r="B480" i="15"/>
  <c r="U479" i="15"/>
  <c r="V479" i="15" s="1"/>
  <c r="R479" i="15"/>
  <c r="Q479" i="15"/>
  <c r="L479" i="15"/>
  <c r="K479" i="15"/>
  <c r="J479" i="15"/>
  <c r="I479" i="15"/>
  <c r="T479" i="15" s="1"/>
  <c r="AF478" i="15"/>
  <c r="W478" i="15" s="1"/>
  <c r="T478" i="15"/>
  <c r="V478" i="15" s="1"/>
  <c r="S478" i="15"/>
  <c r="B478" i="15"/>
  <c r="AF477" i="15"/>
  <c r="W477" i="15"/>
  <c r="T477" i="15"/>
  <c r="V477" i="15" s="1"/>
  <c r="S477" i="15"/>
  <c r="B477" i="15"/>
  <c r="AF476" i="15"/>
  <c r="W476" i="15" s="1"/>
  <c r="T476" i="15"/>
  <c r="V476" i="15" s="1"/>
  <c r="S476" i="15"/>
  <c r="B476" i="15"/>
  <c r="AF475" i="15"/>
  <c r="W475" i="15"/>
  <c r="T475" i="15"/>
  <c r="V475" i="15" s="1"/>
  <c r="S475" i="15"/>
  <c r="B475" i="15"/>
  <c r="AF474" i="15"/>
  <c r="T474" i="15"/>
  <c r="W474" i="15" s="1"/>
  <c r="S474" i="15"/>
  <c r="B474" i="15"/>
  <c r="W473" i="15"/>
  <c r="T473" i="15"/>
  <c r="V473" i="15" s="1"/>
  <c r="S473" i="15"/>
  <c r="B473" i="15"/>
  <c r="W472" i="15"/>
  <c r="T472" i="15"/>
  <c r="V472" i="15" s="1"/>
  <c r="S472" i="15"/>
  <c r="B472" i="15"/>
  <c r="W471" i="15"/>
  <c r="V471" i="15"/>
  <c r="T471" i="15"/>
  <c r="S471" i="15"/>
  <c r="B471" i="15"/>
  <c r="AF470" i="15"/>
  <c r="W470" i="15" s="1"/>
  <c r="T470" i="15"/>
  <c r="V470" i="15" s="1"/>
  <c r="S470" i="15"/>
  <c r="B470" i="15"/>
  <c r="AF469" i="15"/>
  <c r="W469" i="15" s="1"/>
  <c r="V469" i="15"/>
  <c r="T469" i="15"/>
  <c r="S469" i="15"/>
  <c r="B469" i="15"/>
  <c r="AF468" i="15"/>
  <c r="W468" i="15" s="1"/>
  <c r="T468" i="15"/>
  <c r="V468" i="15" s="1"/>
  <c r="S468" i="15"/>
  <c r="B468" i="15"/>
  <c r="U467" i="15"/>
  <c r="R467" i="15"/>
  <c r="Q467" i="15"/>
  <c r="L467" i="15"/>
  <c r="K467" i="15"/>
  <c r="J467" i="15"/>
  <c r="I467" i="15"/>
  <c r="T467" i="15" s="1"/>
  <c r="V467" i="15" s="1"/>
  <c r="AF466" i="15"/>
  <c r="W466" i="15" s="1"/>
  <c r="V466" i="15"/>
  <c r="T466" i="15"/>
  <c r="S466" i="15"/>
  <c r="B466" i="15"/>
  <c r="AF465" i="15"/>
  <c r="T465" i="15"/>
  <c r="W465" i="15" s="1"/>
  <c r="S465" i="15"/>
  <c r="B465" i="15"/>
  <c r="AJ464" i="15"/>
  <c r="W464" i="15" s="1"/>
  <c r="V464" i="15"/>
  <c r="T464" i="15"/>
  <c r="S464" i="15"/>
  <c r="B464" i="15"/>
  <c r="AF463" i="15"/>
  <c r="W463" i="15" s="1"/>
  <c r="T463" i="15"/>
  <c r="V463" i="15" s="1"/>
  <c r="S463" i="15"/>
  <c r="B463" i="15"/>
  <c r="AN462" i="15"/>
  <c r="V462" i="15"/>
  <c r="T462" i="15"/>
  <c r="W462" i="15" s="1"/>
  <c r="S462" i="15"/>
  <c r="S461" i="15" s="1"/>
  <c r="B462" i="15"/>
  <c r="U461" i="15"/>
  <c r="R461" i="15"/>
  <c r="Q461" i="15"/>
  <c r="L461" i="15"/>
  <c r="K461" i="15"/>
  <c r="J461" i="15"/>
  <c r="I461" i="15"/>
  <c r="T461" i="15" s="1"/>
  <c r="V461" i="15" s="1"/>
  <c r="AF460" i="15"/>
  <c r="W460" i="15" s="1"/>
  <c r="T460" i="15"/>
  <c r="V460" i="15" s="1"/>
  <c r="S460" i="15"/>
  <c r="S459" i="15" s="1"/>
  <c r="B460" i="15"/>
  <c r="U459" i="15"/>
  <c r="R459" i="15"/>
  <c r="Q459" i="15"/>
  <c r="L459" i="15"/>
  <c r="K459" i="15"/>
  <c r="J459" i="15"/>
  <c r="I459" i="15"/>
  <c r="T459" i="15" s="1"/>
  <c r="V459" i="15" s="1"/>
  <c r="AF458" i="15"/>
  <c r="W458" i="15" s="1"/>
  <c r="V458" i="15"/>
  <c r="T458" i="15"/>
  <c r="S458" i="15"/>
  <c r="S457" i="15" s="1"/>
  <c r="B458" i="15"/>
  <c r="U457" i="15"/>
  <c r="R457" i="15"/>
  <c r="Q457" i="15"/>
  <c r="L457" i="15"/>
  <c r="K457" i="15"/>
  <c r="J457" i="15"/>
  <c r="I457" i="15"/>
  <c r="T457" i="15" s="1"/>
  <c r="V457" i="15" s="1"/>
  <c r="AF456" i="15"/>
  <c r="T456" i="15"/>
  <c r="W456" i="15" s="1"/>
  <c r="S456" i="15"/>
  <c r="S455" i="15" s="1"/>
  <c r="B456" i="15"/>
  <c r="U455" i="15"/>
  <c r="R455" i="15"/>
  <c r="Q455" i="15"/>
  <c r="L455" i="15"/>
  <c r="K455" i="15"/>
  <c r="J455" i="15"/>
  <c r="I455" i="15"/>
  <c r="T455" i="15" s="1"/>
  <c r="V455" i="15" s="1"/>
  <c r="AF454" i="15"/>
  <c r="W454" i="15" s="1"/>
  <c r="V454" i="15"/>
  <c r="T454" i="15"/>
  <c r="S454" i="15"/>
  <c r="S453" i="15" s="1"/>
  <c r="B454" i="15"/>
  <c r="U453" i="15"/>
  <c r="R453" i="15"/>
  <c r="Q453" i="15"/>
  <c r="L453" i="15"/>
  <c r="K453" i="15"/>
  <c r="J453" i="15"/>
  <c r="I453" i="15"/>
  <c r="T453" i="15" s="1"/>
  <c r="V453" i="15" s="1"/>
  <c r="AF452" i="15"/>
  <c r="W452" i="15" s="1"/>
  <c r="T452" i="15"/>
  <c r="V452" i="15" s="1"/>
  <c r="S452" i="15"/>
  <c r="S451" i="15" s="1"/>
  <c r="B452" i="15"/>
  <c r="U451" i="15"/>
  <c r="R451" i="15"/>
  <c r="Q451" i="15"/>
  <c r="L451" i="15"/>
  <c r="K451" i="15"/>
  <c r="J451" i="15"/>
  <c r="I451" i="15"/>
  <c r="T451" i="15" s="1"/>
  <c r="V451" i="15" s="1"/>
  <c r="AF450" i="15"/>
  <c r="W450" i="15" s="1"/>
  <c r="V450" i="15"/>
  <c r="T450" i="15"/>
  <c r="S450" i="15"/>
  <c r="S449" i="15" s="1"/>
  <c r="B450" i="15"/>
  <c r="U449" i="15"/>
  <c r="R449" i="15"/>
  <c r="Q449" i="15"/>
  <c r="L449" i="15"/>
  <c r="K449" i="15"/>
  <c r="J449" i="15"/>
  <c r="I449" i="15"/>
  <c r="T449" i="15" s="1"/>
  <c r="V449" i="15" s="1"/>
  <c r="AF448" i="15"/>
  <c r="W448" i="15" s="1"/>
  <c r="T448" i="15"/>
  <c r="V448" i="15" s="1"/>
  <c r="S448" i="15"/>
  <c r="B448" i="15"/>
  <c r="AF447" i="15"/>
  <c r="W447" i="15"/>
  <c r="T447" i="15"/>
  <c r="V447" i="15" s="1"/>
  <c r="S447" i="15"/>
  <c r="B447" i="15"/>
  <c r="AF446" i="15"/>
  <c r="W446" i="15" s="1"/>
  <c r="T446" i="15"/>
  <c r="V446" i="15" s="1"/>
  <c r="S446" i="15"/>
  <c r="B446" i="15"/>
  <c r="AJ445" i="15"/>
  <c r="W445" i="15"/>
  <c r="T445" i="15"/>
  <c r="V445" i="15" s="1"/>
  <c r="S445" i="15"/>
  <c r="B445" i="15"/>
  <c r="AF444" i="15"/>
  <c r="W444" i="15" s="1"/>
  <c r="T444" i="15"/>
  <c r="V444" i="15" s="1"/>
  <c r="S444" i="15"/>
  <c r="B444" i="15"/>
  <c r="AF443" i="15"/>
  <c r="W443" i="15"/>
  <c r="T443" i="15"/>
  <c r="V443" i="15" s="1"/>
  <c r="S443" i="15"/>
  <c r="B443" i="15"/>
  <c r="AF442" i="15"/>
  <c r="W442" i="15" s="1"/>
  <c r="T442" i="15"/>
  <c r="V442" i="15" s="1"/>
  <c r="S442" i="15"/>
  <c r="B442" i="15"/>
  <c r="AF441" i="15"/>
  <c r="W441" i="15"/>
  <c r="T441" i="15"/>
  <c r="U441" i="15" s="1"/>
  <c r="S441" i="15"/>
  <c r="B441" i="15"/>
  <c r="AF440" i="15"/>
  <c r="W440" i="15" s="1"/>
  <c r="V440" i="15"/>
  <c r="T440" i="15"/>
  <c r="S440" i="15"/>
  <c r="B440" i="15"/>
  <c r="T439" i="15"/>
  <c r="S439" i="15"/>
  <c r="B439" i="15"/>
  <c r="S438" i="15"/>
  <c r="R438" i="15"/>
  <c r="Q438" i="15"/>
  <c r="L438" i="15"/>
  <c r="K438" i="15"/>
  <c r="J438" i="15"/>
  <c r="I438" i="15"/>
  <c r="T438" i="15" s="1"/>
  <c r="AF437" i="15"/>
  <c r="W437" i="15"/>
  <c r="T437" i="15"/>
  <c r="V437" i="15" s="1"/>
  <c r="S437" i="15"/>
  <c r="B437" i="15"/>
  <c r="AF436" i="15"/>
  <c r="W436" i="15" s="1"/>
  <c r="T436" i="15"/>
  <c r="V436" i="15" s="1"/>
  <c r="S436" i="15"/>
  <c r="B436" i="15"/>
  <c r="U435" i="15"/>
  <c r="S435" i="15"/>
  <c r="R435" i="15"/>
  <c r="Q435" i="15"/>
  <c r="L435" i="15"/>
  <c r="K435" i="15"/>
  <c r="J435" i="15"/>
  <c r="I435" i="15"/>
  <c r="T435" i="15" s="1"/>
  <c r="AF434" i="15"/>
  <c r="W434" i="15"/>
  <c r="T434" i="15"/>
  <c r="V434" i="15" s="1"/>
  <c r="S434" i="15"/>
  <c r="B434" i="15"/>
  <c r="W433" i="15"/>
  <c r="T433" i="15"/>
  <c r="V433" i="15" s="1"/>
  <c r="S433" i="15"/>
  <c r="B433" i="15"/>
  <c r="AF432" i="15"/>
  <c r="W432" i="15" s="1"/>
  <c r="V432" i="15"/>
  <c r="T432" i="15"/>
  <c r="S432" i="15"/>
  <c r="B432" i="15"/>
  <c r="AF431" i="15"/>
  <c r="W431" i="15" s="1"/>
  <c r="T431" i="15"/>
  <c r="V431" i="15" s="1"/>
  <c r="S431" i="15"/>
  <c r="B431" i="15"/>
  <c r="AF430" i="15"/>
  <c r="W430" i="15" s="1"/>
  <c r="V430" i="15"/>
  <c r="T430" i="15"/>
  <c r="S430" i="15"/>
  <c r="S429" i="15" s="1"/>
  <c r="B430" i="15"/>
  <c r="U429" i="15"/>
  <c r="R429" i="15"/>
  <c r="Q429" i="15"/>
  <c r="L429" i="15"/>
  <c r="K429" i="15"/>
  <c r="J429" i="15"/>
  <c r="I429" i="15"/>
  <c r="T429" i="15" s="1"/>
  <c r="V429" i="15" s="1"/>
  <c r="AJ428" i="15"/>
  <c r="W428" i="15" s="1"/>
  <c r="T428" i="15"/>
  <c r="V428" i="15" s="1"/>
  <c r="S428" i="15"/>
  <c r="B428" i="15"/>
  <c r="W427" i="15"/>
  <c r="T427" i="15"/>
  <c r="V427" i="15" s="1"/>
  <c r="S427" i="15"/>
  <c r="B427" i="15"/>
  <c r="W426" i="15"/>
  <c r="V426" i="15"/>
  <c r="T426" i="15"/>
  <c r="S426" i="15"/>
  <c r="B426" i="15"/>
  <c r="W425" i="15"/>
  <c r="T425" i="15"/>
  <c r="V425" i="15" s="1"/>
  <c r="S425" i="15"/>
  <c r="B425" i="15"/>
  <c r="AF424" i="15"/>
  <c r="W424" i="15" s="1"/>
  <c r="T424" i="15"/>
  <c r="V424" i="15" s="1"/>
  <c r="S424" i="15"/>
  <c r="B424" i="15"/>
  <c r="AF423" i="15"/>
  <c r="W423" i="15"/>
  <c r="T423" i="15"/>
  <c r="V423" i="15" s="1"/>
  <c r="S423" i="15"/>
  <c r="S422" i="15" s="1"/>
  <c r="B423" i="15"/>
  <c r="U422" i="15"/>
  <c r="V422" i="15" s="1"/>
  <c r="R422" i="15"/>
  <c r="Q422" i="15"/>
  <c r="L422" i="15"/>
  <c r="K422" i="15"/>
  <c r="J422" i="15"/>
  <c r="I422" i="15"/>
  <c r="T422" i="15" s="1"/>
  <c r="AF421" i="15"/>
  <c r="W421" i="15" s="1"/>
  <c r="T421" i="15"/>
  <c r="V421" i="15" s="1"/>
  <c r="S421" i="15"/>
  <c r="B421" i="15"/>
  <c r="W420" i="15"/>
  <c r="V420" i="15"/>
  <c r="T420" i="15"/>
  <c r="S420" i="15"/>
  <c r="B420" i="15"/>
  <c r="AF419" i="15"/>
  <c r="W419" i="15" s="1"/>
  <c r="T419" i="15"/>
  <c r="V419" i="15" s="1"/>
  <c r="S419" i="15"/>
  <c r="B419" i="15"/>
  <c r="U418" i="15"/>
  <c r="R418" i="15"/>
  <c r="Q418" i="15"/>
  <c r="L418" i="15"/>
  <c r="K418" i="15"/>
  <c r="J418" i="15"/>
  <c r="I418" i="15"/>
  <c r="T418" i="15" s="1"/>
  <c r="V418" i="15" s="1"/>
  <c r="AF417" i="15"/>
  <c r="W417" i="15" s="1"/>
  <c r="V417" i="15"/>
  <c r="T417" i="15"/>
  <c r="S417" i="15"/>
  <c r="S416" i="15" s="1"/>
  <c r="B417" i="15"/>
  <c r="U416" i="15"/>
  <c r="R416" i="15"/>
  <c r="Q416" i="15"/>
  <c r="L416" i="15"/>
  <c r="K416" i="15"/>
  <c r="J416" i="15"/>
  <c r="I416" i="15"/>
  <c r="T416" i="15" s="1"/>
  <c r="V416" i="15" s="1"/>
  <c r="AN415" i="15"/>
  <c r="T415" i="15"/>
  <c r="W415" i="15" s="1"/>
  <c r="S415" i="15"/>
  <c r="B415" i="15"/>
  <c r="AF414" i="15"/>
  <c r="W414" i="15" s="1"/>
  <c r="V414" i="15"/>
  <c r="T414" i="15"/>
  <c r="S414" i="15"/>
  <c r="B414" i="15"/>
  <c r="AF413" i="15"/>
  <c r="W413" i="15" s="1"/>
  <c r="T413" i="15"/>
  <c r="V413" i="15" s="1"/>
  <c r="S413" i="15"/>
  <c r="B413" i="15"/>
  <c r="U412" i="15"/>
  <c r="R412" i="15"/>
  <c r="Q412" i="15"/>
  <c r="L412" i="15"/>
  <c r="K412" i="15"/>
  <c r="J412" i="15"/>
  <c r="I412" i="15"/>
  <c r="T412" i="15" s="1"/>
  <c r="V412" i="15" s="1"/>
  <c r="T411" i="15"/>
  <c r="V411" i="15" s="1"/>
  <c r="S411" i="15"/>
  <c r="B411" i="15"/>
  <c r="V410" i="15"/>
  <c r="T410" i="15"/>
  <c r="W410" i="15" s="1"/>
  <c r="S410" i="15"/>
  <c r="B410" i="15"/>
  <c r="T409" i="15"/>
  <c r="V409" i="15" s="1"/>
  <c r="S409" i="15"/>
  <c r="B409" i="15"/>
  <c r="U408" i="15"/>
  <c r="S408" i="15"/>
  <c r="R408" i="15"/>
  <c r="Q408" i="15"/>
  <c r="L408" i="15"/>
  <c r="K408" i="15"/>
  <c r="J408" i="15"/>
  <c r="I408" i="15"/>
  <c r="T408" i="15" s="1"/>
  <c r="AF407" i="15"/>
  <c r="W407" i="15"/>
  <c r="T407" i="15"/>
  <c r="V407" i="15" s="1"/>
  <c r="S407" i="15"/>
  <c r="S406" i="15" s="1"/>
  <c r="B407" i="15"/>
  <c r="U406" i="15"/>
  <c r="V406" i="15" s="1"/>
  <c r="R406" i="15"/>
  <c r="Q406" i="15"/>
  <c r="L406" i="15"/>
  <c r="K406" i="15"/>
  <c r="J406" i="15"/>
  <c r="I406" i="15"/>
  <c r="T406" i="15" s="1"/>
  <c r="AF405" i="15"/>
  <c r="W405" i="15" s="1"/>
  <c r="T405" i="15"/>
  <c r="V405" i="15" s="1"/>
  <c r="S405" i="15"/>
  <c r="B405" i="15"/>
  <c r="AF404" i="15"/>
  <c r="W404" i="15"/>
  <c r="T404" i="15"/>
  <c r="V404" i="15" s="1"/>
  <c r="S404" i="15"/>
  <c r="B404" i="15"/>
  <c r="AF403" i="15"/>
  <c r="W403" i="15" s="1"/>
  <c r="T403" i="15"/>
  <c r="V403" i="15" s="1"/>
  <c r="S403" i="15"/>
  <c r="B403" i="15"/>
  <c r="AF402" i="15"/>
  <c r="W402" i="15"/>
  <c r="T402" i="15"/>
  <c r="V402" i="15" s="1"/>
  <c r="S402" i="15"/>
  <c r="B402" i="15"/>
  <c r="AF401" i="15"/>
  <c r="W401" i="15" s="1"/>
  <c r="T401" i="15"/>
  <c r="V401" i="15" s="1"/>
  <c r="S401" i="15"/>
  <c r="B401" i="15"/>
  <c r="AF400" i="15"/>
  <c r="W400" i="15"/>
  <c r="T400" i="15"/>
  <c r="V400" i="15" s="1"/>
  <c r="S400" i="15"/>
  <c r="B400" i="15"/>
  <c r="AF399" i="15"/>
  <c r="W399" i="15" s="1"/>
  <c r="T399" i="15"/>
  <c r="V399" i="15" s="1"/>
  <c r="S399" i="15"/>
  <c r="B399" i="15"/>
  <c r="U398" i="15"/>
  <c r="S398" i="15"/>
  <c r="R398" i="15"/>
  <c r="Q398" i="15"/>
  <c r="L398" i="15"/>
  <c r="K398" i="15"/>
  <c r="J398" i="15"/>
  <c r="I398" i="15"/>
  <c r="T398" i="15" s="1"/>
  <c r="AJ397" i="15"/>
  <c r="W397" i="15"/>
  <c r="T397" i="15"/>
  <c r="V397" i="15" s="1"/>
  <c r="S397" i="15"/>
  <c r="S396" i="15" s="1"/>
  <c r="B397" i="15"/>
  <c r="U396" i="15"/>
  <c r="V396" i="15" s="1"/>
  <c r="R396" i="15"/>
  <c r="Q396" i="15"/>
  <c r="L396" i="15"/>
  <c r="K396" i="15"/>
  <c r="J396" i="15"/>
  <c r="I396" i="15"/>
  <c r="T396" i="15" s="1"/>
  <c r="AN395" i="15"/>
  <c r="T395" i="15"/>
  <c r="V395" i="15" s="1"/>
  <c r="S395" i="15"/>
  <c r="B395" i="15"/>
  <c r="AF394" i="15"/>
  <c r="W394" i="15" s="1"/>
  <c r="T394" i="15"/>
  <c r="V394" i="15" s="1"/>
  <c r="S394" i="15"/>
  <c r="B394" i="15"/>
  <c r="AJ393" i="15"/>
  <c r="W393" i="15"/>
  <c r="T393" i="15"/>
  <c r="V393" i="15" s="1"/>
  <c r="S393" i="15"/>
  <c r="B393" i="15"/>
  <c r="AJ392" i="15"/>
  <c r="W392" i="15" s="1"/>
  <c r="T392" i="15"/>
  <c r="V392" i="15" s="1"/>
  <c r="S392" i="15"/>
  <c r="B392" i="15"/>
  <c r="U391" i="15"/>
  <c r="S391" i="15"/>
  <c r="R391" i="15"/>
  <c r="Q391" i="15"/>
  <c r="L391" i="15"/>
  <c r="K391" i="15"/>
  <c r="J391" i="15"/>
  <c r="I391" i="15"/>
  <c r="T391" i="15" s="1"/>
  <c r="AF390" i="15"/>
  <c r="W390" i="15"/>
  <c r="T390" i="15"/>
  <c r="V390" i="15" s="1"/>
  <c r="S390" i="15"/>
  <c r="S389" i="15" s="1"/>
  <c r="B390" i="15"/>
  <c r="U389" i="15"/>
  <c r="V389" i="15" s="1"/>
  <c r="R389" i="15"/>
  <c r="Q389" i="15"/>
  <c r="L389" i="15"/>
  <c r="K389" i="15"/>
  <c r="J389" i="15"/>
  <c r="I389" i="15"/>
  <c r="T389" i="15" s="1"/>
  <c r="W388" i="15"/>
  <c r="T388" i="15"/>
  <c r="V388" i="15" s="1"/>
  <c r="S388" i="15"/>
  <c r="B388" i="15"/>
  <c r="AF387" i="15"/>
  <c r="W387" i="15" s="1"/>
  <c r="V387" i="15"/>
  <c r="T387" i="15"/>
  <c r="S387" i="15"/>
  <c r="S386" i="15" s="1"/>
  <c r="B387" i="15"/>
  <c r="U386" i="15"/>
  <c r="R386" i="15"/>
  <c r="Q386" i="15"/>
  <c r="L386" i="15"/>
  <c r="K386" i="15"/>
  <c r="J386" i="15"/>
  <c r="I386" i="15"/>
  <c r="T386" i="15" s="1"/>
  <c r="V386" i="15" s="1"/>
  <c r="AF385" i="15"/>
  <c r="T385" i="15"/>
  <c r="W385" i="15" s="1"/>
  <c r="S385" i="15"/>
  <c r="B385" i="15"/>
  <c r="AN384" i="15"/>
  <c r="V384" i="15"/>
  <c r="T384" i="15"/>
  <c r="W384" i="15" s="1"/>
  <c r="S384" i="15"/>
  <c r="B384" i="15"/>
  <c r="AJ383" i="15"/>
  <c r="W383" i="15" s="1"/>
  <c r="T383" i="15"/>
  <c r="V383" i="15" s="1"/>
  <c r="S383" i="15"/>
  <c r="B383" i="15"/>
  <c r="AF382" i="15"/>
  <c r="W382" i="15" s="1"/>
  <c r="V382" i="15"/>
  <c r="T382" i="15"/>
  <c r="S382" i="15"/>
  <c r="S381" i="15" s="1"/>
  <c r="B382" i="15"/>
  <c r="U381" i="15"/>
  <c r="R381" i="15"/>
  <c r="Q381" i="15"/>
  <c r="L381" i="15"/>
  <c r="K381" i="15"/>
  <c r="J381" i="15"/>
  <c r="I381" i="15"/>
  <c r="T381" i="15" s="1"/>
  <c r="V381" i="15" s="1"/>
  <c r="AF380" i="15"/>
  <c r="W380" i="15" s="1"/>
  <c r="T380" i="15"/>
  <c r="V380" i="15" s="1"/>
  <c r="S380" i="15"/>
  <c r="S379" i="15" s="1"/>
  <c r="B380" i="15"/>
  <c r="U379" i="15"/>
  <c r="R379" i="15"/>
  <c r="Q379" i="15"/>
  <c r="L379" i="15"/>
  <c r="K379" i="15"/>
  <c r="J379" i="15"/>
  <c r="I379" i="15"/>
  <c r="T379" i="15" s="1"/>
  <c r="V379" i="15" s="1"/>
  <c r="AJ378" i="15"/>
  <c r="AF378" i="15"/>
  <c r="W378" i="15" s="1"/>
  <c r="T378" i="15"/>
  <c r="V378" i="15" s="1"/>
  <c r="S378" i="15"/>
  <c r="B378" i="15"/>
  <c r="U377" i="15"/>
  <c r="S377" i="15"/>
  <c r="R377" i="15"/>
  <c r="Q377" i="15"/>
  <c r="L377" i="15"/>
  <c r="K377" i="15"/>
  <c r="J377" i="15"/>
  <c r="I377" i="15"/>
  <c r="T377" i="15" s="1"/>
  <c r="T376" i="15"/>
  <c r="W376" i="15" s="1"/>
  <c r="S376" i="15"/>
  <c r="B376" i="15"/>
  <c r="AF375" i="15"/>
  <c r="W375" i="15" s="1"/>
  <c r="V375" i="15"/>
  <c r="T375" i="15"/>
  <c r="S375" i="15"/>
  <c r="S374" i="15" s="1"/>
  <c r="B375" i="15"/>
  <c r="U374" i="15"/>
  <c r="R374" i="15"/>
  <c r="Q374" i="15"/>
  <c r="L374" i="15"/>
  <c r="K374" i="15"/>
  <c r="J374" i="15"/>
  <c r="I374" i="15"/>
  <c r="T374" i="15" s="1"/>
  <c r="V374" i="15" s="1"/>
  <c r="AF373" i="15"/>
  <c r="W373" i="15" s="1"/>
  <c r="T373" i="15"/>
  <c r="V373" i="15" s="1"/>
  <c r="S373" i="15"/>
  <c r="B373" i="15"/>
  <c r="AF372" i="15"/>
  <c r="W372" i="15" s="1"/>
  <c r="V372" i="15"/>
  <c r="T372" i="15"/>
  <c r="S372" i="15"/>
  <c r="B372" i="15"/>
  <c r="W371" i="15"/>
  <c r="T371" i="15"/>
  <c r="V371" i="15" s="1"/>
  <c r="S371" i="15"/>
  <c r="B371" i="15"/>
  <c r="AF370" i="15"/>
  <c r="W370" i="15" s="1"/>
  <c r="U370" i="15"/>
  <c r="V370" i="15" s="1"/>
  <c r="T370" i="15"/>
  <c r="S370" i="15"/>
  <c r="B370" i="15"/>
  <c r="AF369" i="15"/>
  <c r="W369" i="15" s="1"/>
  <c r="T369" i="15"/>
  <c r="V369" i="15" s="1"/>
  <c r="S369" i="15"/>
  <c r="B369" i="15"/>
  <c r="AF368" i="15"/>
  <c r="W368" i="15" s="1"/>
  <c r="V368" i="15"/>
  <c r="T368" i="15"/>
  <c r="S368" i="15"/>
  <c r="B368" i="15"/>
  <c r="AJ367" i="15"/>
  <c r="W367" i="15" s="1"/>
  <c r="T367" i="15"/>
  <c r="V367" i="15" s="1"/>
  <c r="S367" i="15"/>
  <c r="B367" i="15"/>
  <c r="W366" i="15"/>
  <c r="T366" i="15"/>
  <c r="V366" i="15" s="1"/>
  <c r="S366" i="15"/>
  <c r="B366" i="15"/>
  <c r="AF365" i="15"/>
  <c r="W365" i="15"/>
  <c r="T365" i="15"/>
  <c r="V365" i="15" s="1"/>
  <c r="S365" i="15"/>
  <c r="B365" i="15"/>
  <c r="AF364" i="15"/>
  <c r="W364" i="15" s="1"/>
  <c r="T364" i="15"/>
  <c r="V364" i="15" s="1"/>
  <c r="S364" i="15"/>
  <c r="B364" i="15"/>
  <c r="AF363" i="15"/>
  <c r="W363" i="15"/>
  <c r="T363" i="15"/>
  <c r="V363" i="15" s="1"/>
  <c r="S363" i="15"/>
  <c r="B363" i="15"/>
  <c r="AF362" i="15"/>
  <c r="W362" i="15" s="1"/>
  <c r="T362" i="15"/>
  <c r="V362" i="15" s="1"/>
  <c r="S362" i="15"/>
  <c r="B362" i="15"/>
  <c r="AF361" i="15"/>
  <c r="W361" i="15"/>
  <c r="T361" i="15"/>
  <c r="V361" i="15" s="1"/>
  <c r="S361" i="15"/>
  <c r="B361" i="15"/>
  <c r="V360" i="15"/>
  <c r="T360" i="15"/>
  <c r="W360" i="15" s="1"/>
  <c r="S360" i="15"/>
  <c r="S359" i="15" s="1"/>
  <c r="B360" i="15"/>
  <c r="R359" i="15"/>
  <c r="Q359" i="15"/>
  <c r="L359" i="15"/>
  <c r="K359" i="15"/>
  <c r="J359" i="15"/>
  <c r="I359" i="15"/>
  <c r="T359" i="15" s="1"/>
  <c r="AJ358" i="15"/>
  <c r="AF358" i="15"/>
  <c r="W358" i="15" s="1"/>
  <c r="T358" i="15"/>
  <c r="V358" i="15" s="1"/>
  <c r="S358" i="15"/>
  <c r="B358" i="15"/>
  <c r="U357" i="15"/>
  <c r="S357" i="15"/>
  <c r="R357" i="15"/>
  <c r="Q357" i="15"/>
  <c r="L357" i="15"/>
  <c r="K357" i="15"/>
  <c r="J357" i="15"/>
  <c r="I357" i="15"/>
  <c r="T357" i="15" s="1"/>
  <c r="W356" i="15"/>
  <c r="V356" i="15"/>
  <c r="T356" i="15"/>
  <c r="S356" i="15"/>
  <c r="B356" i="15"/>
  <c r="AF355" i="15"/>
  <c r="W355" i="15" s="1"/>
  <c r="T355" i="15"/>
  <c r="V355" i="15" s="1"/>
  <c r="S355" i="15"/>
  <c r="B355" i="15"/>
  <c r="U354" i="15"/>
  <c r="R354" i="15"/>
  <c r="Q354" i="15"/>
  <c r="L354" i="15"/>
  <c r="K354" i="15"/>
  <c r="J354" i="15"/>
  <c r="I354" i="15"/>
  <c r="T354" i="15" s="1"/>
  <c r="V354" i="15" s="1"/>
  <c r="AF353" i="15"/>
  <c r="W353" i="15" s="1"/>
  <c r="V353" i="15"/>
  <c r="T353" i="15"/>
  <c r="S353" i="15"/>
  <c r="B353" i="15"/>
  <c r="W352" i="15"/>
  <c r="T352" i="15"/>
  <c r="V352" i="15" s="1"/>
  <c r="S352" i="15"/>
  <c r="B352" i="15"/>
  <c r="V351" i="15"/>
  <c r="T351" i="15"/>
  <c r="W351" i="15" s="1"/>
  <c r="S351" i="15"/>
  <c r="S350" i="15" s="1"/>
  <c r="B351" i="15"/>
  <c r="U350" i="15"/>
  <c r="R350" i="15"/>
  <c r="Q350" i="15"/>
  <c r="L350" i="15"/>
  <c r="K350" i="15"/>
  <c r="J350" i="15"/>
  <c r="I350" i="15"/>
  <c r="T350" i="15" s="1"/>
  <c r="V350" i="15" s="1"/>
  <c r="AF349" i="15"/>
  <c r="T349" i="15"/>
  <c r="W349" i="15" s="1"/>
  <c r="S349" i="15"/>
  <c r="B349" i="15"/>
  <c r="AF348" i="15"/>
  <c r="W348" i="15" s="1"/>
  <c r="V348" i="15"/>
  <c r="T348" i="15"/>
  <c r="S348" i="15"/>
  <c r="S347" i="15" s="1"/>
  <c r="B348" i="15"/>
  <c r="U347" i="15"/>
  <c r="R347" i="15"/>
  <c r="Q347" i="15"/>
  <c r="L347" i="15"/>
  <c r="K347" i="15"/>
  <c r="J347" i="15"/>
  <c r="I347" i="15"/>
  <c r="T347" i="15" s="1"/>
  <c r="V347" i="15" s="1"/>
  <c r="AJ346" i="15"/>
  <c r="W346" i="15" s="1"/>
  <c r="T346" i="15"/>
  <c r="V346" i="15" s="1"/>
  <c r="S346" i="15"/>
  <c r="B346" i="15"/>
  <c r="AJ345" i="15"/>
  <c r="W345" i="15" s="1"/>
  <c r="V345" i="15"/>
  <c r="T345" i="15"/>
  <c r="S345" i="15"/>
  <c r="S344" i="15" s="1"/>
  <c r="B345" i="15"/>
  <c r="U344" i="15"/>
  <c r="R344" i="15"/>
  <c r="Q344" i="15"/>
  <c r="L344" i="15"/>
  <c r="K344" i="15"/>
  <c r="J344" i="15"/>
  <c r="I344" i="15"/>
  <c r="T344" i="15" s="1"/>
  <c r="V344" i="15" s="1"/>
  <c r="AF343" i="15"/>
  <c r="W343" i="15" s="1"/>
  <c r="T343" i="15"/>
  <c r="V343" i="15" s="1"/>
  <c r="S343" i="15"/>
  <c r="B343" i="15"/>
  <c r="AJ342" i="15"/>
  <c r="W342" i="15" s="1"/>
  <c r="V342" i="15"/>
  <c r="T342" i="15"/>
  <c r="S342" i="15"/>
  <c r="B342" i="15"/>
  <c r="AL341" i="15"/>
  <c r="W341" i="15" s="1"/>
  <c r="T341" i="15"/>
  <c r="V341" i="15" s="1"/>
  <c r="S341" i="15"/>
  <c r="B341" i="15"/>
  <c r="T340" i="15"/>
  <c r="V340" i="15" s="1"/>
  <c r="S340" i="15"/>
  <c r="B340" i="15"/>
  <c r="V339" i="15"/>
  <c r="T339" i="15"/>
  <c r="W339" i="15" s="1"/>
  <c r="S339" i="15"/>
  <c r="S338" i="15" s="1"/>
  <c r="B339" i="15"/>
  <c r="U338" i="15"/>
  <c r="R338" i="15"/>
  <c r="Q338" i="15"/>
  <c r="L338" i="15"/>
  <c r="K338" i="15"/>
  <c r="J338" i="15"/>
  <c r="I338" i="15"/>
  <c r="T338" i="15" s="1"/>
  <c r="V338" i="15" s="1"/>
  <c r="AJ337" i="15"/>
  <c r="W337" i="15" s="1"/>
  <c r="T337" i="15"/>
  <c r="V337" i="15" s="1"/>
  <c r="S337" i="15"/>
  <c r="B337" i="15"/>
  <c r="AF336" i="15"/>
  <c r="W336" i="15" s="1"/>
  <c r="V336" i="15"/>
  <c r="T336" i="15"/>
  <c r="S336" i="15"/>
  <c r="B336" i="15"/>
  <c r="AF335" i="15"/>
  <c r="W335" i="15" s="1"/>
  <c r="T335" i="15"/>
  <c r="V335" i="15" s="1"/>
  <c r="S335" i="15"/>
  <c r="B335" i="15"/>
  <c r="AF334" i="15"/>
  <c r="W334" i="15" s="1"/>
  <c r="V334" i="15"/>
  <c r="T334" i="15"/>
  <c r="S334" i="15"/>
  <c r="B334" i="15"/>
  <c r="AF333" i="15"/>
  <c r="W333" i="15" s="1"/>
  <c r="T333" i="15"/>
  <c r="V333" i="15" s="1"/>
  <c r="S333" i="15"/>
  <c r="B333" i="15"/>
  <c r="AL332" i="15"/>
  <c r="W332" i="15" s="1"/>
  <c r="T332" i="15"/>
  <c r="V332" i="15" s="1"/>
  <c r="S332" i="15"/>
  <c r="B332" i="15"/>
  <c r="AJ331" i="15"/>
  <c r="W331" i="15"/>
  <c r="T331" i="15"/>
  <c r="V331" i="15" s="1"/>
  <c r="S331" i="15"/>
  <c r="B331" i="15"/>
  <c r="W330" i="15"/>
  <c r="T330" i="15"/>
  <c r="V330" i="15" s="1"/>
  <c r="S330" i="15"/>
  <c r="B330" i="15"/>
  <c r="AJ329" i="15"/>
  <c r="W329" i="15" s="1"/>
  <c r="V329" i="15"/>
  <c r="T329" i="15"/>
  <c r="S329" i="15"/>
  <c r="B329" i="15"/>
  <c r="AN328" i="15"/>
  <c r="W328" i="15" s="1"/>
  <c r="T328" i="15"/>
  <c r="V328" i="15" s="1"/>
  <c r="S328" i="15"/>
  <c r="B328" i="15"/>
  <c r="AF327" i="15"/>
  <c r="W327" i="15"/>
  <c r="T327" i="15"/>
  <c r="V327" i="15" s="1"/>
  <c r="S327" i="15"/>
  <c r="B327" i="15"/>
  <c r="AF326" i="15"/>
  <c r="W326" i="15" s="1"/>
  <c r="T326" i="15"/>
  <c r="V326" i="15" s="1"/>
  <c r="S326" i="15"/>
  <c r="B326" i="15"/>
  <c r="AF325" i="15"/>
  <c r="W325" i="15"/>
  <c r="T325" i="15"/>
  <c r="V325" i="15" s="1"/>
  <c r="S325" i="15"/>
  <c r="B325" i="15"/>
  <c r="AF324" i="15"/>
  <c r="W324" i="15" s="1"/>
  <c r="T324" i="15"/>
  <c r="V324" i="15" s="1"/>
  <c r="S324" i="15"/>
  <c r="B324" i="15"/>
  <c r="AJ323" i="15"/>
  <c r="W323" i="15"/>
  <c r="T323" i="15"/>
  <c r="V323" i="15" s="1"/>
  <c r="S323" i="15"/>
  <c r="B323" i="15"/>
  <c r="AF322" i="15"/>
  <c r="W322" i="15" s="1"/>
  <c r="T322" i="15"/>
  <c r="V322" i="15" s="1"/>
  <c r="S322" i="15"/>
  <c r="B322" i="15"/>
  <c r="U321" i="15"/>
  <c r="S321" i="15"/>
  <c r="R321" i="15"/>
  <c r="Q321" i="15"/>
  <c r="L321" i="15"/>
  <c r="K321" i="15"/>
  <c r="J321" i="15"/>
  <c r="I321" i="15"/>
  <c r="T321" i="15" s="1"/>
  <c r="AF320" i="15"/>
  <c r="W320" i="15"/>
  <c r="T320" i="15"/>
  <c r="V320" i="15" s="1"/>
  <c r="S320" i="15"/>
  <c r="B320" i="15"/>
  <c r="AF319" i="15"/>
  <c r="W319" i="15" s="1"/>
  <c r="T319" i="15"/>
  <c r="V319" i="15" s="1"/>
  <c r="S319" i="15"/>
  <c r="B319" i="15"/>
  <c r="AF318" i="15"/>
  <c r="W318" i="15"/>
  <c r="T318" i="15"/>
  <c r="V318" i="15" s="1"/>
  <c r="S318" i="15"/>
  <c r="B318" i="15"/>
  <c r="AJ317" i="15"/>
  <c r="W317" i="15" s="1"/>
  <c r="T317" i="15"/>
  <c r="V317" i="15" s="1"/>
  <c r="S317" i="15"/>
  <c r="B317" i="15"/>
  <c r="AJ316" i="15"/>
  <c r="W316" i="15"/>
  <c r="T316" i="15"/>
  <c r="V316" i="15" s="1"/>
  <c r="S316" i="15"/>
  <c r="B316" i="15"/>
  <c r="AD315" i="15"/>
  <c r="W315" i="15" s="1"/>
  <c r="T315" i="15"/>
  <c r="V315" i="15" s="1"/>
  <c r="S315" i="15"/>
  <c r="B315" i="15"/>
  <c r="AF314" i="15"/>
  <c r="W314" i="15"/>
  <c r="T314" i="15"/>
  <c r="V314" i="15" s="1"/>
  <c r="S314" i="15"/>
  <c r="B314" i="15"/>
  <c r="AF313" i="15"/>
  <c r="W313" i="15" s="1"/>
  <c r="T313" i="15"/>
  <c r="V313" i="15" s="1"/>
  <c r="S313" i="15"/>
  <c r="B313" i="15"/>
  <c r="T312" i="15"/>
  <c r="W312" i="15" s="1"/>
  <c r="S312" i="15"/>
  <c r="B312" i="15"/>
  <c r="AD311" i="15"/>
  <c r="W311" i="15" s="1"/>
  <c r="V311" i="15"/>
  <c r="T311" i="15"/>
  <c r="S311" i="15"/>
  <c r="B311" i="15"/>
  <c r="AF310" i="15"/>
  <c r="W310" i="15" s="1"/>
  <c r="T310" i="15"/>
  <c r="V310" i="15" s="1"/>
  <c r="S310" i="15"/>
  <c r="B310" i="15"/>
  <c r="AF309" i="15"/>
  <c r="W309" i="15" s="1"/>
  <c r="T309" i="15"/>
  <c r="V309" i="15" s="1"/>
  <c r="S309" i="15"/>
  <c r="B309" i="15"/>
  <c r="AF308" i="15"/>
  <c r="W308" i="15"/>
  <c r="T308" i="15"/>
  <c r="V308" i="15" s="1"/>
  <c r="S308" i="15"/>
  <c r="B308" i="15"/>
  <c r="AF307" i="15"/>
  <c r="W307" i="15" s="1"/>
  <c r="T307" i="15"/>
  <c r="V307" i="15" s="1"/>
  <c r="S307" i="15"/>
  <c r="B307" i="15"/>
  <c r="AF306" i="15"/>
  <c r="W306" i="15"/>
  <c r="T306" i="15"/>
  <c r="V306" i="15" s="1"/>
  <c r="S306" i="15"/>
  <c r="S305" i="15" s="1"/>
  <c r="B306" i="15"/>
  <c r="U305" i="15"/>
  <c r="R305" i="15"/>
  <c r="Q305" i="15"/>
  <c r="L305" i="15"/>
  <c r="K305" i="15"/>
  <c r="J305" i="15"/>
  <c r="I305" i="15"/>
  <c r="T305" i="15" s="1"/>
  <c r="AF304" i="15"/>
  <c r="W304" i="15" s="1"/>
  <c r="T304" i="15"/>
  <c r="V304" i="15" s="1"/>
  <c r="S304" i="15"/>
  <c r="B304" i="15"/>
  <c r="U303" i="15"/>
  <c r="S303" i="15"/>
  <c r="R303" i="15"/>
  <c r="Q303" i="15"/>
  <c r="L303" i="15"/>
  <c r="K303" i="15"/>
  <c r="J303" i="15"/>
  <c r="I303" i="15"/>
  <c r="T303" i="15" s="1"/>
  <c r="W302" i="15"/>
  <c r="V302" i="15"/>
  <c r="T302" i="15"/>
  <c r="S302" i="15"/>
  <c r="B302" i="15"/>
  <c r="T301" i="15"/>
  <c r="V301" i="15" s="1"/>
  <c r="S301" i="15"/>
  <c r="B301" i="15"/>
  <c r="W300" i="15"/>
  <c r="V300" i="15"/>
  <c r="T300" i="15"/>
  <c r="S300" i="15"/>
  <c r="B300" i="15"/>
  <c r="W299" i="15"/>
  <c r="T299" i="15"/>
  <c r="V299" i="15" s="1"/>
  <c r="S299" i="15"/>
  <c r="B299" i="15"/>
  <c r="AF298" i="15"/>
  <c r="W298" i="15" s="1"/>
  <c r="T298" i="15"/>
  <c r="V298" i="15" s="1"/>
  <c r="S298" i="15"/>
  <c r="B298" i="15"/>
  <c r="U297" i="15"/>
  <c r="S297" i="15"/>
  <c r="R297" i="15"/>
  <c r="Q297" i="15"/>
  <c r="L297" i="15"/>
  <c r="K297" i="15"/>
  <c r="J297" i="15"/>
  <c r="I297" i="15"/>
  <c r="T297" i="15" s="1"/>
  <c r="AH296" i="15"/>
  <c r="W296" i="15"/>
  <c r="T296" i="15"/>
  <c r="V296" i="15" s="1"/>
  <c r="S296" i="15"/>
  <c r="B296" i="15"/>
  <c r="W295" i="15"/>
  <c r="T295" i="15"/>
  <c r="V295" i="15" s="1"/>
  <c r="S295" i="15"/>
  <c r="B295" i="15"/>
  <c r="AJ294" i="15"/>
  <c r="W294" i="15" s="1"/>
  <c r="V294" i="15"/>
  <c r="T294" i="15"/>
  <c r="S294" i="15"/>
  <c r="B294" i="15"/>
  <c r="AJ293" i="15"/>
  <c r="W293" i="15" s="1"/>
  <c r="T293" i="15"/>
  <c r="V293" i="15" s="1"/>
  <c r="S293" i="15"/>
  <c r="B293" i="15"/>
  <c r="AJ292" i="15"/>
  <c r="W292" i="15" s="1"/>
  <c r="V292" i="15"/>
  <c r="T292" i="15"/>
  <c r="S292" i="15"/>
  <c r="S291" i="15" s="1"/>
  <c r="B292" i="15"/>
  <c r="U291" i="15"/>
  <c r="R291" i="15"/>
  <c r="Q291" i="15"/>
  <c r="L291" i="15"/>
  <c r="K291" i="15"/>
  <c r="J291" i="15"/>
  <c r="I291" i="15"/>
  <c r="T291" i="15" s="1"/>
  <c r="V291" i="15" s="1"/>
  <c r="AF290" i="15"/>
  <c r="W290" i="15" s="1"/>
  <c r="T290" i="15"/>
  <c r="V290" i="15" s="1"/>
  <c r="S290" i="15"/>
  <c r="B290" i="15"/>
  <c r="AF289" i="15"/>
  <c r="W289" i="15" s="1"/>
  <c r="V289" i="15"/>
  <c r="T289" i="15"/>
  <c r="S289" i="15"/>
  <c r="S288" i="15" s="1"/>
  <c r="B289" i="15"/>
  <c r="U288" i="15"/>
  <c r="R288" i="15"/>
  <c r="Q288" i="15"/>
  <c r="L288" i="15"/>
  <c r="K288" i="15"/>
  <c r="J288" i="15"/>
  <c r="I288" i="15"/>
  <c r="T288" i="15" s="1"/>
  <c r="V288" i="15" s="1"/>
  <c r="W287" i="15"/>
  <c r="T287" i="15"/>
  <c r="V287" i="15" s="1"/>
  <c r="S287" i="15"/>
  <c r="S286" i="15" s="1"/>
  <c r="B287" i="15"/>
  <c r="U286" i="15"/>
  <c r="R286" i="15"/>
  <c r="Q286" i="15"/>
  <c r="L286" i="15"/>
  <c r="K286" i="15"/>
  <c r="J286" i="15"/>
  <c r="I286" i="15"/>
  <c r="T286" i="15" s="1"/>
  <c r="AF285" i="15"/>
  <c r="W285" i="15" s="1"/>
  <c r="T285" i="15"/>
  <c r="V285" i="15" s="1"/>
  <c r="S285" i="15"/>
  <c r="B285" i="15"/>
  <c r="AF284" i="15"/>
  <c r="W284" i="15"/>
  <c r="T284" i="15"/>
  <c r="V284" i="15" s="1"/>
  <c r="S284" i="15"/>
  <c r="B284" i="15"/>
  <c r="W283" i="15"/>
  <c r="T283" i="15"/>
  <c r="V283" i="15" s="1"/>
  <c r="S283" i="15"/>
  <c r="B283" i="15"/>
  <c r="AF282" i="15"/>
  <c r="W282" i="15" s="1"/>
  <c r="V282" i="15"/>
  <c r="T282" i="15"/>
  <c r="S282" i="15"/>
  <c r="S281" i="15" s="1"/>
  <c r="B282" i="15"/>
  <c r="U281" i="15"/>
  <c r="R281" i="15"/>
  <c r="Q281" i="15"/>
  <c r="L281" i="15"/>
  <c r="K281" i="15"/>
  <c r="J281" i="15"/>
  <c r="I281" i="15"/>
  <c r="T281" i="15" s="1"/>
  <c r="V281" i="15" s="1"/>
  <c r="AF280" i="15"/>
  <c r="W280" i="15" s="1"/>
  <c r="T280" i="15"/>
  <c r="V280" i="15" s="1"/>
  <c r="S280" i="15"/>
  <c r="B280" i="15"/>
  <c r="AF279" i="15"/>
  <c r="W279" i="15" s="1"/>
  <c r="V279" i="15"/>
  <c r="T279" i="15"/>
  <c r="S279" i="15"/>
  <c r="B279" i="15"/>
  <c r="AJ278" i="15"/>
  <c r="W278" i="15" s="1"/>
  <c r="T278" i="15"/>
  <c r="V278" i="15" s="1"/>
  <c r="S278" i="15"/>
  <c r="B278" i="15"/>
  <c r="AF277" i="15"/>
  <c r="W277" i="15" s="1"/>
  <c r="V277" i="15"/>
  <c r="T277" i="15"/>
  <c r="S277" i="15"/>
  <c r="B277" i="15"/>
  <c r="AF276" i="15"/>
  <c r="W276" i="15" s="1"/>
  <c r="T276" i="15"/>
  <c r="V276" i="15" s="1"/>
  <c r="S276" i="15"/>
  <c r="B276" i="15"/>
  <c r="AJ275" i="15"/>
  <c r="AF275" i="15"/>
  <c r="W275" i="15" s="1"/>
  <c r="T275" i="15"/>
  <c r="V275" i="15" s="1"/>
  <c r="S275" i="15"/>
  <c r="B275" i="15"/>
  <c r="U274" i="15"/>
  <c r="S274" i="15"/>
  <c r="R274" i="15"/>
  <c r="Q274" i="15"/>
  <c r="L274" i="15"/>
  <c r="K274" i="15"/>
  <c r="J274" i="15"/>
  <c r="I274" i="15"/>
  <c r="T274" i="15" s="1"/>
  <c r="AF273" i="15"/>
  <c r="W273" i="15"/>
  <c r="T273" i="15"/>
  <c r="V273" i="15" s="1"/>
  <c r="S273" i="15"/>
  <c r="B273" i="15"/>
  <c r="AF272" i="15"/>
  <c r="W272" i="15" s="1"/>
  <c r="T272" i="15"/>
  <c r="V272" i="15" s="1"/>
  <c r="S272" i="15"/>
  <c r="B272" i="15"/>
  <c r="AF271" i="15"/>
  <c r="W271" i="15"/>
  <c r="T271" i="15"/>
  <c r="V271" i="15" s="1"/>
  <c r="S271" i="15"/>
  <c r="B271" i="15"/>
  <c r="AF270" i="15"/>
  <c r="W270" i="15" s="1"/>
  <c r="T270" i="15"/>
  <c r="V270" i="15" s="1"/>
  <c r="S270" i="15"/>
  <c r="B270" i="15"/>
  <c r="AF269" i="15"/>
  <c r="W269" i="15"/>
  <c r="T269" i="15"/>
  <c r="V269" i="15" s="1"/>
  <c r="S269" i="15"/>
  <c r="S268" i="15" s="1"/>
  <c r="B269" i="15"/>
  <c r="U268" i="15"/>
  <c r="R268" i="15"/>
  <c r="Q268" i="15"/>
  <c r="L268" i="15"/>
  <c r="K268" i="15"/>
  <c r="J268" i="15"/>
  <c r="I268" i="15"/>
  <c r="T268" i="15" s="1"/>
  <c r="AF267" i="15"/>
  <c r="W267" i="15" s="1"/>
  <c r="T267" i="15"/>
  <c r="V267" i="15" s="1"/>
  <c r="S267" i="15"/>
  <c r="B267" i="15"/>
  <c r="AF266" i="15"/>
  <c r="W266" i="15"/>
  <c r="T266" i="15"/>
  <c r="V266" i="15" s="1"/>
  <c r="S266" i="15"/>
  <c r="B266" i="15"/>
  <c r="AF265" i="15"/>
  <c r="W265" i="15" s="1"/>
  <c r="T265" i="15"/>
  <c r="V265" i="15" s="1"/>
  <c r="S265" i="15"/>
  <c r="B265" i="15"/>
  <c r="AF264" i="15"/>
  <c r="W264" i="15"/>
  <c r="T264" i="15"/>
  <c r="V264" i="15" s="1"/>
  <c r="S264" i="15"/>
  <c r="B264" i="15"/>
  <c r="AF263" i="15"/>
  <c r="W263" i="15" s="1"/>
  <c r="T263" i="15"/>
  <c r="V263" i="15" s="1"/>
  <c r="S263" i="15"/>
  <c r="B263" i="15"/>
  <c r="W262" i="15"/>
  <c r="V262" i="15"/>
  <c r="T262" i="15"/>
  <c r="S262" i="15"/>
  <c r="B262" i="15"/>
  <c r="AF261" i="15"/>
  <c r="W261" i="15" s="1"/>
  <c r="T261" i="15"/>
  <c r="V261" i="15" s="1"/>
  <c r="S261" i="15"/>
  <c r="B261" i="15"/>
  <c r="AF260" i="15"/>
  <c r="W260" i="15" s="1"/>
  <c r="V260" i="15"/>
  <c r="T260" i="15"/>
  <c r="S260" i="15"/>
  <c r="B260" i="15"/>
  <c r="AF259" i="15"/>
  <c r="W259" i="15" s="1"/>
  <c r="T259" i="15"/>
  <c r="V259" i="15" s="1"/>
  <c r="S259" i="15"/>
  <c r="B259" i="15"/>
  <c r="W258" i="15"/>
  <c r="T258" i="15"/>
  <c r="V258" i="15" s="1"/>
  <c r="S258" i="15"/>
  <c r="B258" i="15"/>
  <c r="AF257" i="15"/>
  <c r="W257" i="15"/>
  <c r="T257" i="15"/>
  <c r="V257" i="15" s="1"/>
  <c r="S257" i="15"/>
  <c r="B257" i="15"/>
  <c r="AJ256" i="15"/>
  <c r="W256" i="15" s="1"/>
  <c r="T256" i="15"/>
  <c r="V256" i="15" s="1"/>
  <c r="S256" i="15"/>
  <c r="B256" i="15"/>
  <c r="AF255" i="15"/>
  <c r="W255" i="15"/>
  <c r="T255" i="15"/>
  <c r="V255" i="15" s="1"/>
  <c r="S255" i="15"/>
  <c r="B255" i="15"/>
  <c r="AF254" i="15"/>
  <c r="W254" i="15" s="1"/>
  <c r="T254" i="15"/>
  <c r="V254" i="15" s="1"/>
  <c r="S254" i="15"/>
  <c r="B254" i="15"/>
  <c r="AF253" i="15"/>
  <c r="W253" i="15"/>
  <c r="T253" i="15"/>
  <c r="V253" i="15" s="1"/>
  <c r="S253" i="15"/>
  <c r="B253" i="15"/>
  <c r="AF252" i="15"/>
  <c r="W252" i="15" s="1"/>
  <c r="T252" i="15"/>
  <c r="V252" i="15" s="1"/>
  <c r="S252" i="15"/>
  <c r="B252" i="15"/>
  <c r="AF251" i="15"/>
  <c r="W251" i="15"/>
  <c r="T251" i="15"/>
  <c r="V251" i="15" s="1"/>
  <c r="S251" i="15"/>
  <c r="B251" i="15"/>
  <c r="AF250" i="15"/>
  <c r="W250" i="15" s="1"/>
  <c r="T250" i="15"/>
  <c r="V250" i="15" s="1"/>
  <c r="S250" i="15"/>
  <c r="B250" i="15"/>
  <c r="AD249" i="15"/>
  <c r="W249" i="15"/>
  <c r="T249" i="15"/>
  <c r="V249" i="15" s="1"/>
  <c r="S249" i="15"/>
  <c r="B249" i="15"/>
  <c r="AF248" i="15"/>
  <c r="W248" i="15" s="1"/>
  <c r="T248" i="15"/>
  <c r="V248" i="15" s="1"/>
  <c r="S248" i="15"/>
  <c r="B248" i="15"/>
  <c r="AF247" i="15"/>
  <c r="W247" i="15"/>
  <c r="T247" i="15"/>
  <c r="V247" i="15" s="1"/>
  <c r="S247" i="15"/>
  <c r="B247" i="15"/>
  <c r="AF246" i="15"/>
  <c r="W246" i="15" s="1"/>
  <c r="T246" i="15"/>
  <c r="V246" i="15" s="1"/>
  <c r="S246" i="15"/>
  <c r="B246" i="15"/>
  <c r="AD245" i="15"/>
  <c r="W245" i="15"/>
  <c r="T245" i="15"/>
  <c r="V245" i="15" s="1"/>
  <c r="S245" i="15"/>
  <c r="B245" i="15"/>
  <c r="V244" i="15"/>
  <c r="T244" i="15"/>
  <c r="W244" i="15" s="1"/>
  <c r="S244" i="15"/>
  <c r="B244" i="15"/>
  <c r="AN243" i="15"/>
  <c r="W243" i="15" s="1"/>
  <c r="T243" i="15"/>
  <c r="V243" i="15" s="1"/>
  <c r="S243" i="15"/>
  <c r="B243" i="15"/>
  <c r="AD242" i="15"/>
  <c r="W242" i="15" s="1"/>
  <c r="V242" i="15"/>
  <c r="T242" i="15"/>
  <c r="S242" i="15"/>
  <c r="S241" i="15" s="1"/>
  <c r="B242" i="15"/>
  <c r="U241" i="15"/>
  <c r="R241" i="15"/>
  <c r="Q241" i="15"/>
  <c r="L241" i="15"/>
  <c r="K241" i="15"/>
  <c r="J241" i="15"/>
  <c r="I241" i="15"/>
  <c r="T241" i="15" s="1"/>
  <c r="V241" i="15" s="1"/>
  <c r="AD240" i="15"/>
  <c r="W240" i="15" s="1"/>
  <c r="T240" i="15"/>
  <c r="V240" i="15" s="1"/>
  <c r="S240" i="15"/>
  <c r="B240" i="15"/>
  <c r="W239" i="15"/>
  <c r="T239" i="15"/>
  <c r="V239" i="15" s="1"/>
  <c r="S239" i="15"/>
  <c r="B239" i="15"/>
  <c r="T238" i="15"/>
  <c r="W238" i="15" s="1"/>
  <c r="S238" i="15"/>
  <c r="B238" i="15"/>
  <c r="AJ237" i="15"/>
  <c r="W237" i="15" s="1"/>
  <c r="V237" i="15"/>
  <c r="T237" i="15"/>
  <c r="S237" i="15"/>
  <c r="B237" i="15"/>
  <c r="AF236" i="15"/>
  <c r="W236" i="15" s="1"/>
  <c r="T236" i="15"/>
  <c r="V236" i="15" s="1"/>
  <c r="S236" i="15"/>
  <c r="B236" i="15"/>
  <c r="U235" i="15"/>
  <c r="R235" i="15"/>
  <c r="Q235" i="15"/>
  <c r="L235" i="15"/>
  <c r="K235" i="15"/>
  <c r="J235" i="15"/>
  <c r="I235" i="15"/>
  <c r="T235" i="15" s="1"/>
  <c r="V235" i="15" s="1"/>
  <c r="AJ234" i="15"/>
  <c r="AF234" i="15"/>
  <c r="W234" i="15" s="1"/>
  <c r="U234" i="15"/>
  <c r="V234" i="15" s="1"/>
  <c r="T234" i="15"/>
  <c r="S234" i="15"/>
  <c r="B234" i="15"/>
  <c r="AD233" i="15"/>
  <c r="W233" i="15" s="1"/>
  <c r="T233" i="15"/>
  <c r="V233" i="15" s="1"/>
  <c r="S233" i="15"/>
  <c r="B233" i="15"/>
  <c r="AD232" i="15"/>
  <c r="W232" i="15" s="1"/>
  <c r="V232" i="15"/>
  <c r="T232" i="15"/>
  <c r="S232" i="15"/>
  <c r="B232" i="15"/>
  <c r="AD231" i="15"/>
  <c r="W231" i="15" s="1"/>
  <c r="T231" i="15"/>
  <c r="V231" i="15" s="1"/>
  <c r="S231" i="15"/>
  <c r="B231" i="15"/>
  <c r="W230" i="15"/>
  <c r="T230" i="15"/>
  <c r="V230" i="15" s="1"/>
  <c r="S230" i="15"/>
  <c r="B230" i="15"/>
  <c r="AD229" i="15"/>
  <c r="W229" i="15"/>
  <c r="T229" i="15"/>
  <c r="V229" i="15" s="1"/>
  <c r="S229" i="15"/>
  <c r="B229" i="15"/>
  <c r="AD228" i="15"/>
  <c r="W228" i="15" s="1"/>
  <c r="T228" i="15"/>
  <c r="V228" i="15" s="1"/>
  <c r="S228" i="15"/>
  <c r="B228" i="15"/>
  <c r="AD227" i="15"/>
  <c r="W227" i="15"/>
  <c r="T227" i="15"/>
  <c r="V227" i="15" s="1"/>
  <c r="S227" i="15"/>
  <c r="B227" i="15"/>
  <c r="AD226" i="15"/>
  <c r="W226" i="15" s="1"/>
  <c r="T226" i="15"/>
  <c r="V226" i="15" s="1"/>
  <c r="S226" i="15"/>
  <c r="B226" i="15"/>
  <c r="AD225" i="15"/>
  <c r="W225" i="15"/>
  <c r="T225" i="15"/>
  <c r="V225" i="15" s="1"/>
  <c r="S225" i="15"/>
  <c r="B225" i="15"/>
  <c r="AD224" i="15"/>
  <c r="W224" i="15" s="1"/>
  <c r="T224" i="15"/>
  <c r="V224" i="15" s="1"/>
  <c r="S224" i="15"/>
  <c r="B224" i="15"/>
  <c r="AD223" i="15"/>
  <c r="W223" i="15"/>
  <c r="T223" i="15"/>
  <c r="V223" i="15" s="1"/>
  <c r="S223" i="15"/>
  <c r="B223" i="15"/>
  <c r="AD222" i="15"/>
  <c r="W222" i="15" s="1"/>
  <c r="T222" i="15"/>
  <c r="V222" i="15" s="1"/>
  <c r="S222" i="15"/>
  <c r="B222" i="15"/>
  <c r="AD221" i="15"/>
  <c r="W221" i="15"/>
  <c r="T221" i="15"/>
  <c r="V221" i="15" s="1"/>
  <c r="S221" i="15"/>
  <c r="B221" i="15"/>
  <c r="AF220" i="15"/>
  <c r="W220" i="15" s="1"/>
  <c r="T220" i="15"/>
  <c r="V220" i="15" s="1"/>
  <c r="S220" i="15"/>
  <c r="B220" i="15"/>
  <c r="AD219" i="15"/>
  <c r="W219" i="15"/>
  <c r="T219" i="15"/>
  <c r="V219" i="15" s="1"/>
  <c r="S219" i="15"/>
  <c r="B219" i="15"/>
  <c r="AJ218" i="15"/>
  <c r="W218" i="15" s="1"/>
  <c r="T218" i="15"/>
  <c r="V218" i="15" s="1"/>
  <c r="S218" i="15"/>
  <c r="B218" i="15"/>
  <c r="AJ217" i="15"/>
  <c r="W217" i="15"/>
  <c r="T217" i="15"/>
  <c r="V217" i="15" s="1"/>
  <c r="S217" i="15"/>
  <c r="B217" i="15"/>
  <c r="AD216" i="15"/>
  <c r="W216" i="15" s="1"/>
  <c r="T216" i="15"/>
  <c r="V216" i="15" s="1"/>
  <c r="S216" i="15"/>
  <c r="B216" i="15"/>
  <c r="AJ215" i="15"/>
  <c r="W215" i="15"/>
  <c r="T215" i="15"/>
  <c r="V215" i="15" s="1"/>
  <c r="S215" i="15"/>
  <c r="B215" i="15"/>
  <c r="AF214" i="15"/>
  <c r="W214" i="15" s="1"/>
  <c r="T214" i="15"/>
  <c r="V214" i="15" s="1"/>
  <c r="S214" i="15"/>
  <c r="B214" i="15"/>
  <c r="W213" i="15"/>
  <c r="V213" i="15"/>
  <c r="T213" i="15"/>
  <c r="S213" i="15"/>
  <c r="B213" i="15"/>
  <c r="AF212" i="15"/>
  <c r="W212" i="15" s="1"/>
  <c r="T212" i="15"/>
  <c r="V212" i="15" s="1"/>
  <c r="S212" i="15"/>
  <c r="B212" i="15"/>
  <c r="W211" i="15"/>
  <c r="T211" i="15"/>
  <c r="V211" i="15" s="1"/>
  <c r="S211" i="15"/>
  <c r="B211" i="15"/>
  <c r="AJ210" i="15"/>
  <c r="W210" i="15"/>
  <c r="T210" i="15"/>
  <c r="V210" i="15" s="1"/>
  <c r="S210" i="15"/>
  <c r="B210" i="15"/>
  <c r="AF209" i="15"/>
  <c r="W209" i="15" s="1"/>
  <c r="T209" i="15"/>
  <c r="V209" i="15" s="1"/>
  <c r="S209" i="15"/>
  <c r="B209" i="15"/>
  <c r="AF208" i="15"/>
  <c r="W208" i="15"/>
  <c r="T208" i="15"/>
  <c r="V208" i="15" s="1"/>
  <c r="S208" i="15"/>
  <c r="B208" i="15"/>
  <c r="V207" i="15"/>
  <c r="T207" i="15"/>
  <c r="W207" i="15" s="1"/>
  <c r="S207" i="15"/>
  <c r="B207" i="15"/>
  <c r="AF206" i="15"/>
  <c r="W206" i="15" s="1"/>
  <c r="T206" i="15"/>
  <c r="V206" i="15" s="1"/>
  <c r="S206" i="15"/>
  <c r="B206" i="15"/>
  <c r="W205" i="15"/>
  <c r="T205" i="15"/>
  <c r="V205" i="15" s="1"/>
  <c r="S205" i="15"/>
  <c r="B205" i="15"/>
  <c r="AD204" i="15"/>
  <c r="W204" i="15"/>
  <c r="T204" i="15"/>
  <c r="V204" i="15" s="1"/>
  <c r="S204" i="15"/>
  <c r="B204" i="15"/>
  <c r="AD203" i="15"/>
  <c r="W203" i="15" s="1"/>
  <c r="T203" i="15"/>
  <c r="V203" i="15" s="1"/>
  <c r="S203" i="15"/>
  <c r="B203" i="15"/>
  <c r="AD202" i="15"/>
  <c r="W202" i="15"/>
  <c r="T202" i="15"/>
  <c r="V202" i="15" s="1"/>
  <c r="S202" i="15"/>
  <c r="B202" i="15"/>
  <c r="AD201" i="15"/>
  <c r="W201" i="15" s="1"/>
  <c r="T201" i="15"/>
  <c r="V201" i="15" s="1"/>
  <c r="S201" i="15"/>
  <c r="B201" i="15"/>
  <c r="AF200" i="15"/>
  <c r="W200" i="15"/>
  <c r="T200" i="15"/>
  <c r="V200" i="15" s="1"/>
  <c r="S200" i="15"/>
  <c r="B200" i="15"/>
  <c r="AF199" i="15"/>
  <c r="W199" i="15" s="1"/>
  <c r="T199" i="15"/>
  <c r="V199" i="15" s="1"/>
  <c r="S199" i="15"/>
  <c r="B199" i="15"/>
  <c r="AJ198" i="15"/>
  <c r="W198" i="15"/>
  <c r="T198" i="15"/>
  <c r="V198" i="15" s="1"/>
  <c r="S198" i="15"/>
  <c r="S197" i="15" s="1"/>
  <c r="B198" i="15"/>
  <c r="U197" i="15"/>
  <c r="V197" i="15" s="1"/>
  <c r="R197" i="15"/>
  <c r="Q197" i="15"/>
  <c r="L197" i="15"/>
  <c r="K197" i="15"/>
  <c r="J197" i="15"/>
  <c r="I197" i="15"/>
  <c r="T197" i="15" s="1"/>
  <c r="AD196" i="15"/>
  <c r="W196" i="15" s="1"/>
  <c r="T196" i="15"/>
  <c r="V196" i="15" s="1"/>
  <c r="S196" i="15"/>
  <c r="B196" i="15"/>
  <c r="AF195" i="15"/>
  <c r="W195" i="15"/>
  <c r="T195" i="15"/>
  <c r="V195" i="15" s="1"/>
  <c r="S195" i="15"/>
  <c r="B195" i="15"/>
  <c r="AF194" i="15"/>
  <c r="W194" i="15" s="1"/>
  <c r="T194" i="15"/>
  <c r="V194" i="15" s="1"/>
  <c r="S194" i="15"/>
  <c r="B194" i="15"/>
  <c r="AF193" i="15"/>
  <c r="W193" i="15"/>
  <c r="T193" i="15"/>
  <c r="V193" i="15" s="1"/>
  <c r="S193" i="15"/>
  <c r="B193" i="15"/>
  <c r="AD192" i="15"/>
  <c r="W192" i="15" s="1"/>
  <c r="T192" i="15"/>
  <c r="V192" i="15" s="1"/>
  <c r="S192" i="15"/>
  <c r="B192" i="15"/>
  <c r="AF191" i="15"/>
  <c r="W191" i="15"/>
  <c r="T191" i="15"/>
  <c r="V191" i="15" s="1"/>
  <c r="S191" i="15"/>
  <c r="B191" i="15"/>
  <c r="AF190" i="15"/>
  <c r="W190" i="15" s="1"/>
  <c r="T190" i="15"/>
  <c r="V190" i="15" s="1"/>
  <c r="S190" i="15"/>
  <c r="B190" i="15"/>
  <c r="AF189" i="15"/>
  <c r="W189" i="15"/>
  <c r="T189" i="15"/>
  <c r="V189" i="15" s="1"/>
  <c r="S189" i="15"/>
  <c r="B189" i="15"/>
  <c r="AF188" i="15"/>
  <c r="W188" i="15" s="1"/>
  <c r="T188" i="15"/>
  <c r="V188" i="15" s="1"/>
  <c r="S188" i="15"/>
  <c r="B188" i="15"/>
  <c r="AF187" i="15"/>
  <c r="W187" i="15"/>
  <c r="T187" i="15"/>
  <c r="V187" i="15" s="1"/>
  <c r="S187" i="15"/>
  <c r="B187" i="15"/>
  <c r="AF186" i="15"/>
  <c r="W186" i="15" s="1"/>
  <c r="T186" i="15"/>
  <c r="V186" i="15" s="1"/>
  <c r="S186" i="15"/>
  <c r="B186" i="15"/>
  <c r="AF185" i="15"/>
  <c r="W185" i="15"/>
  <c r="T185" i="15"/>
  <c r="V185" i="15" s="1"/>
  <c r="S185" i="15"/>
  <c r="B185" i="15"/>
  <c r="AF184" i="15"/>
  <c r="W184" i="15" s="1"/>
  <c r="T184" i="15"/>
  <c r="V184" i="15" s="1"/>
  <c r="S184" i="15"/>
  <c r="B184" i="15"/>
  <c r="AF183" i="15"/>
  <c r="W183" i="15"/>
  <c r="T183" i="15"/>
  <c r="V183" i="15" s="1"/>
  <c r="S183" i="15"/>
  <c r="B183" i="15"/>
  <c r="V182" i="15"/>
  <c r="T182" i="15"/>
  <c r="W182" i="15" s="1"/>
  <c r="S182" i="15"/>
  <c r="B182" i="15"/>
  <c r="W181" i="15"/>
  <c r="T181" i="15"/>
  <c r="V181" i="15" s="1"/>
  <c r="S181" i="15"/>
  <c r="B181" i="15"/>
  <c r="AD180" i="15"/>
  <c r="W180" i="15" s="1"/>
  <c r="T180" i="15"/>
  <c r="V180" i="15" s="1"/>
  <c r="S180" i="15"/>
  <c r="B180" i="15"/>
  <c r="AD179" i="15"/>
  <c r="W179" i="15"/>
  <c r="T179" i="15"/>
  <c r="V179" i="15" s="1"/>
  <c r="S179" i="15"/>
  <c r="B179" i="15"/>
  <c r="AD178" i="15"/>
  <c r="W178" i="15" s="1"/>
  <c r="T178" i="15"/>
  <c r="V178" i="15" s="1"/>
  <c r="S178" i="15"/>
  <c r="B178" i="15"/>
  <c r="W177" i="15"/>
  <c r="V177" i="15"/>
  <c r="T177" i="15"/>
  <c r="S177" i="15"/>
  <c r="B177" i="15"/>
  <c r="W176" i="15"/>
  <c r="T176" i="15"/>
  <c r="V176" i="15" s="1"/>
  <c r="S176" i="15"/>
  <c r="B176" i="15"/>
  <c r="AF175" i="15"/>
  <c r="W175" i="15" s="1"/>
  <c r="T175" i="15"/>
  <c r="V175" i="15" s="1"/>
  <c r="S175" i="15"/>
  <c r="B175" i="15"/>
  <c r="W174" i="15"/>
  <c r="V174" i="15"/>
  <c r="T174" i="15"/>
  <c r="S174" i="15"/>
  <c r="B174" i="15"/>
  <c r="AD173" i="15"/>
  <c r="W173" i="15" s="1"/>
  <c r="T173" i="15"/>
  <c r="V173" i="15" s="1"/>
  <c r="S173" i="15"/>
  <c r="B173" i="15"/>
  <c r="AH172" i="15"/>
  <c r="W172" i="15" s="1"/>
  <c r="V172" i="15"/>
  <c r="T172" i="15"/>
  <c r="S172" i="15"/>
  <c r="B172" i="15"/>
  <c r="AL171" i="15"/>
  <c r="W171" i="15" s="1"/>
  <c r="T171" i="15"/>
  <c r="V171" i="15" s="1"/>
  <c r="S171" i="15"/>
  <c r="B171" i="15"/>
  <c r="AD170" i="15"/>
  <c r="W170" i="15" s="1"/>
  <c r="V170" i="15"/>
  <c r="T170" i="15"/>
  <c r="S170" i="15"/>
  <c r="B170" i="15"/>
  <c r="AF169" i="15"/>
  <c r="W169" i="15" s="1"/>
  <c r="T169" i="15"/>
  <c r="V169" i="15" s="1"/>
  <c r="S169" i="15"/>
  <c r="B169" i="15"/>
  <c r="W168" i="15"/>
  <c r="T168" i="15"/>
  <c r="V168" i="15" s="1"/>
  <c r="S168" i="15"/>
  <c r="B168" i="15"/>
  <c r="AF167" i="15"/>
  <c r="W167" i="15"/>
  <c r="T167" i="15"/>
  <c r="V167" i="15" s="1"/>
  <c r="S167" i="15"/>
  <c r="B167" i="15"/>
  <c r="AF166" i="15"/>
  <c r="W166" i="15" s="1"/>
  <c r="T166" i="15"/>
  <c r="V166" i="15" s="1"/>
  <c r="S166" i="15"/>
  <c r="B166" i="15"/>
  <c r="AF165" i="15"/>
  <c r="W165" i="15"/>
  <c r="T165" i="15"/>
  <c r="V165" i="15" s="1"/>
  <c r="S165" i="15"/>
  <c r="B165" i="15"/>
  <c r="W164" i="15"/>
  <c r="T164" i="15"/>
  <c r="V164" i="15" s="1"/>
  <c r="S164" i="15"/>
  <c r="B164" i="15"/>
  <c r="AF163" i="15"/>
  <c r="W163" i="15" s="1"/>
  <c r="V163" i="15"/>
  <c r="T163" i="15"/>
  <c r="S163" i="15"/>
  <c r="B163" i="15"/>
  <c r="AF162" i="15"/>
  <c r="W162" i="15" s="1"/>
  <c r="T162" i="15"/>
  <c r="V162" i="15" s="1"/>
  <c r="S162" i="15"/>
  <c r="B162" i="15"/>
  <c r="AF161" i="15"/>
  <c r="W161" i="15" s="1"/>
  <c r="V161" i="15"/>
  <c r="T161" i="15"/>
  <c r="S161" i="15"/>
  <c r="B161" i="15"/>
  <c r="AF160" i="15"/>
  <c r="W160" i="15" s="1"/>
  <c r="T160" i="15"/>
  <c r="V160" i="15" s="1"/>
  <c r="S160" i="15"/>
  <c r="B160" i="15"/>
  <c r="AD159" i="15"/>
  <c r="W159" i="15" s="1"/>
  <c r="V159" i="15"/>
  <c r="T159" i="15"/>
  <c r="S159" i="15"/>
  <c r="B159" i="15"/>
  <c r="AF158" i="15"/>
  <c r="W158" i="15" s="1"/>
  <c r="T158" i="15"/>
  <c r="V158" i="15" s="1"/>
  <c r="S158" i="15"/>
  <c r="B158" i="15"/>
  <c r="AD157" i="15"/>
  <c r="W157" i="15" s="1"/>
  <c r="V157" i="15"/>
  <c r="T157" i="15"/>
  <c r="S157" i="15"/>
  <c r="B157" i="15"/>
  <c r="AF156" i="15"/>
  <c r="W156" i="15" s="1"/>
  <c r="T156" i="15"/>
  <c r="V156" i="15" s="1"/>
  <c r="S156" i="15"/>
  <c r="B156" i="15"/>
  <c r="AF155" i="15"/>
  <c r="W155" i="15" s="1"/>
  <c r="V155" i="15"/>
  <c r="T155" i="15"/>
  <c r="S155" i="15"/>
  <c r="B155" i="15"/>
  <c r="AF154" i="15"/>
  <c r="W154" i="15" s="1"/>
  <c r="T154" i="15"/>
  <c r="V154" i="15" s="1"/>
  <c r="S154" i="15"/>
  <c r="B154" i="15"/>
  <c r="W153" i="15"/>
  <c r="T153" i="15"/>
  <c r="V153" i="15" s="1"/>
  <c r="S153" i="15"/>
  <c r="B153" i="15"/>
  <c r="AF152" i="15"/>
  <c r="W152" i="15"/>
  <c r="T152" i="15"/>
  <c r="V152" i="15" s="1"/>
  <c r="S152" i="15"/>
  <c r="S151" i="15" s="1"/>
  <c r="B152" i="15"/>
  <c r="U151" i="15"/>
  <c r="V151" i="15" s="1"/>
  <c r="R151" i="15"/>
  <c r="Q151" i="15"/>
  <c r="L151" i="15"/>
  <c r="K151" i="15"/>
  <c r="J151" i="15"/>
  <c r="I151" i="15"/>
  <c r="T151" i="15" s="1"/>
  <c r="AJ150" i="15"/>
  <c r="T150" i="15"/>
  <c r="V150" i="15" s="1"/>
  <c r="S150" i="15"/>
  <c r="B150" i="15"/>
  <c r="AF149" i="15"/>
  <c r="T149" i="15"/>
  <c r="V149" i="15" s="1"/>
  <c r="S149" i="15"/>
  <c r="B149" i="15"/>
  <c r="AF148" i="15"/>
  <c r="W148" i="15" s="1"/>
  <c r="T148" i="15"/>
  <c r="V148" i="15" s="1"/>
  <c r="S148" i="15"/>
  <c r="B148" i="15"/>
  <c r="AF147" i="15"/>
  <c r="W147" i="15"/>
  <c r="T147" i="15"/>
  <c r="V147" i="15" s="1"/>
  <c r="S147" i="15"/>
  <c r="B147" i="15"/>
  <c r="W146" i="15"/>
  <c r="T146" i="15"/>
  <c r="V146" i="15" s="1"/>
  <c r="S146" i="15"/>
  <c r="B146" i="15"/>
  <c r="W145" i="15"/>
  <c r="T145" i="15"/>
  <c r="V145" i="15" s="1"/>
  <c r="S145" i="15"/>
  <c r="B145" i="15"/>
  <c r="W144" i="15"/>
  <c r="V144" i="15"/>
  <c r="T144" i="15"/>
  <c r="S144" i="15"/>
  <c r="B144" i="15"/>
  <c r="AD143" i="15"/>
  <c r="W143" i="15" s="1"/>
  <c r="T143" i="15"/>
  <c r="V143" i="15" s="1"/>
  <c r="S143" i="15"/>
  <c r="B143" i="15"/>
  <c r="AJ142" i="15"/>
  <c r="W142" i="15" s="1"/>
  <c r="V142" i="15"/>
  <c r="T142" i="15"/>
  <c r="S142" i="15"/>
  <c r="B142" i="15"/>
  <c r="AJ141" i="15"/>
  <c r="W141" i="15" s="1"/>
  <c r="T141" i="15"/>
  <c r="V141" i="15" s="1"/>
  <c r="S141" i="15"/>
  <c r="B141" i="15"/>
  <c r="W140" i="15"/>
  <c r="T140" i="15"/>
  <c r="V140" i="15" s="1"/>
  <c r="S140" i="15"/>
  <c r="B140" i="15"/>
  <c r="AJ139" i="15"/>
  <c r="W139" i="15"/>
  <c r="T139" i="15"/>
  <c r="V139" i="15" s="1"/>
  <c r="S139" i="15"/>
  <c r="B139" i="15"/>
  <c r="W138" i="15"/>
  <c r="T138" i="15"/>
  <c r="V138" i="15" s="1"/>
  <c r="S138" i="15"/>
  <c r="B138" i="15"/>
  <c r="AJ137" i="15"/>
  <c r="W137" i="15" s="1"/>
  <c r="V137" i="15"/>
  <c r="T137" i="15"/>
  <c r="S137" i="15"/>
  <c r="B137" i="15"/>
  <c r="AJ136" i="15"/>
  <c r="W136" i="15" s="1"/>
  <c r="T136" i="15"/>
  <c r="V136" i="15" s="1"/>
  <c r="S136" i="15"/>
  <c r="B136" i="15"/>
  <c r="W135" i="15"/>
  <c r="T135" i="15"/>
  <c r="V135" i="15" s="1"/>
  <c r="S135" i="15"/>
  <c r="B135" i="15"/>
  <c r="W134" i="15"/>
  <c r="V134" i="15"/>
  <c r="T134" i="15"/>
  <c r="S134" i="15"/>
  <c r="B134" i="15"/>
  <c r="T133" i="15"/>
  <c r="V133" i="15" s="1"/>
  <c r="S133" i="15"/>
  <c r="B133" i="15"/>
  <c r="AF132" i="15"/>
  <c r="W132" i="15"/>
  <c r="T132" i="15"/>
  <c r="U132" i="15" s="1"/>
  <c r="S132" i="15"/>
  <c r="B132" i="15"/>
  <c r="AF131" i="15"/>
  <c r="W131" i="15" s="1"/>
  <c r="V131" i="15"/>
  <c r="T131" i="15"/>
  <c r="S131" i="15"/>
  <c r="B131" i="15"/>
  <c r="AF130" i="15"/>
  <c r="W130" i="15" s="1"/>
  <c r="T130" i="15"/>
  <c r="V130" i="15" s="1"/>
  <c r="S130" i="15"/>
  <c r="B130" i="15"/>
  <c r="AF129" i="15"/>
  <c r="W129" i="15" s="1"/>
  <c r="V129" i="15"/>
  <c r="T129" i="15"/>
  <c r="S129" i="15"/>
  <c r="B129" i="15"/>
  <c r="AF128" i="15"/>
  <c r="W128" i="15" s="1"/>
  <c r="T128" i="15"/>
  <c r="V128" i="15" s="1"/>
  <c r="S128" i="15"/>
  <c r="B128" i="15"/>
  <c r="AF127" i="15"/>
  <c r="W127" i="15" s="1"/>
  <c r="V127" i="15"/>
  <c r="T127" i="15"/>
  <c r="S127" i="15"/>
  <c r="B127" i="15"/>
  <c r="AF126" i="15"/>
  <c r="W126" i="15" s="1"/>
  <c r="T126" i="15"/>
  <c r="V126" i="15" s="1"/>
  <c r="S126" i="15"/>
  <c r="B126" i="15"/>
  <c r="AF125" i="15"/>
  <c r="W125" i="15" s="1"/>
  <c r="V125" i="15"/>
  <c r="T125" i="15"/>
  <c r="S125" i="15"/>
  <c r="B125" i="15"/>
  <c r="T124" i="15"/>
  <c r="V124" i="15" s="1"/>
  <c r="S124" i="15"/>
  <c r="B124" i="15"/>
  <c r="AF123" i="15"/>
  <c r="W123" i="15"/>
  <c r="T123" i="15"/>
  <c r="V123" i="15" s="1"/>
  <c r="S123" i="15"/>
  <c r="B123" i="15"/>
  <c r="AF122" i="15"/>
  <c r="W122" i="15" s="1"/>
  <c r="T122" i="15"/>
  <c r="V122" i="15" s="1"/>
  <c r="S122" i="15"/>
  <c r="B122" i="15"/>
  <c r="AF121" i="15"/>
  <c r="W121" i="15"/>
  <c r="T121" i="15"/>
  <c r="V121" i="15" s="1"/>
  <c r="S121" i="15"/>
  <c r="S120" i="15" s="1"/>
  <c r="B121" i="15"/>
  <c r="R120" i="15"/>
  <c r="Q120" i="15"/>
  <c r="L120" i="15"/>
  <c r="K120" i="15"/>
  <c r="J120" i="15"/>
  <c r="I120" i="15"/>
  <c r="T120" i="15" s="1"/>
  <c r="AF119" i="15"/>
  <c r="W119" i="15" s="1"/>
  <c r="T119" i="15"/>
  <c r="V119" i="15" s="1"/>
  <c r="S119" i="15"/>
  <c r="B119" i="15"/>
  <c r="AD118" i="15"/>
  <c r="W118" i="15"/>
  <c r="T118" i="15"/>
  <c r="V118" i="15" s="1"/>
  <c r="S118" i="15"/>
  <c r="B118" i="15"/>
  <c r="AD117" i="15"/>
  <c r="W117" i="15" s="1"/>
  <c r="T117" i="15"/>
  <c r="V117" i="15" s="1"/>
  <c r="S117" i="15"/>
  <c r="B117" i="15"/>
  <c r="AD116" i="15"/>
  <c r="W116" i="15"/>
  <c r="T116" i="15"/>
  <c r="V116" i="15" s="1"/>
  <c r="S116" i="15"/>
  <c r="B116" i="15"/>
  <c r="AD115" i="15"/>
  <c r="W115" i="15" s="1"/>
  <c r="T115" i="15"/>
  <c r="V115" i="15" s="1"/>
  <c r="S115" i="15"/>
  <c r="B115" i="15"/>
  <c r="AD114" i="15"/>
  <c r="W114" i="15"/>
  <c r="T114" i="15"/>
  <c r="V114" i="15" s="1"/>
  <c r="S114" i="15"/>
  <c r="B114" i="15"/>
  <c r="AD113" i="15"/>
  <c r="W113" i="15" s="1"/>
  <c r="T113" i="15"/>
  <c r="V113" i="15" s="1"/>
  <c r="S113" i="15"/>
  <c r="B113" i="15"/>
  <c r="AF112" i="15"/>
  <c r="W112" i="15"/>
  <c r="T112" i="15"/>
  <c r="V112" i="15" s="1"/>
  <c r="S112" i="15"/>
  <c r="B112" i="15"/>
  <c r="AJ111" i="15"/>
  <c r="W111" i="15" s="1"/>
  <c r="T111" i="15"/>
  <c r="V111" i="15" s="1"/>
  <c r="S111" i="15"/>
  <c r="B111" i="15"/>
  <c r="AD110" i="15"/>
  <c r="W110" i="15"/>
  <c r="T110" i="15"/>
  <c r="V110" i="15" s="1"/>
  <c r="S110" i="15"/>
  <c r="B110" i="15"/>
  <c r="AF109" i="15"/>
  <c r="W109" i="15" s="1"/>
  <c r="T109" i="15"/>
  <c r="V109" i="15" s="1"/>
  <c r="S109" i="15"/>
  <c r="B109" i="15"/>
  <c r="AJ108" i="15"/>
  <c r="W108" i="15"/>
  <c r="T108" i="15"/>
  <c r="V108" i="15" s="1"/>
  <c r="S108" i="15"/>
  <c r="B108" i="15"/>
  <c r="AF107" i="15"/>
  <c r="W107" i="15" s="1"/>
  <c r="T107" i="15"/>
  <c r="V107" i="15" s="1"/>
  <c r="S107" i="15"/>
  <c r="B107" i="15"/>
  <c r="AJ106" i="15"/>
  <c r="W106" i="15"/>
  <c r="T106" i="15"/>
  <c r="V106" i="15" s="1"/>
  <c r="S106" i="15"/>
  <c r="B106" i="15"/>
  <c r="AF105" i="15"/>
  <c r="W105" i="15" s="1"/>
  <c r="T105" i="15"/>
  <c r="V105" i="15" s="1"/>
  <c r="S105" i="15"/>
  <c r="B105" i="15"/>
  <c r="AF104" i="15"/>
  <c r="W104" i="15"/>
  <c r="T104" i="15"/>
  <c r="V104" i="15" s="1"/>
  <c r="S104" i="15"/>
  <c r="B104" i="15"/>
  <c r="AF103" i="15"/>
  <c r="W103" i="15" s="1"/>
  <c r="T103" i="15"/>
  <c r="V103" i="15" s="1"/>
  <c r="S103" i="15"/>
  <c r="B103" i="15"/>
  <c r="AF102" i="15"/>
  <c r="W102" i="15"/>
  <c r="T102" i="15"/>
  <c r="V102" i="15" s="1"/>
  <c r="S102" i="15"/>
  <c r="B102" i="15"/>
  <c r="AF101" i="15"/>
  <c r="W101" i="15" s="1"/>
  <c r="T101" i="15"/>
  <c r="V101" i="15" s="1"/>
  <c r="S101" i="15"/>
  <c r="B101" i="15"/>
  <c r="AF100" i="15"/>
  <c r="W100" i="15"/>
  <c r="T100" i="15"/>
  <c r="V100" i="15" s="1"/>
  <c r="S100" i="15"/>
  <c r="B100" i="15"/>
  <c r="AF99" i="15"/>
  <c r="W99" i="15" s="1"/>
  <c r="T99" i="15"/>
  <c r="V99" i="15" s="1"/>
  <c r="S99" i="15"/>
  <c r="B99" i="15"/>
  <c r="AF98" i="15"/>
  <c r="W98" i="15"/>
  <c r="T98" i="15"/>
  <c r="V98" i="15" s="1"/>
  <c r="S98" i="15"/>
  <c r="B98" i="15"/>
  <c r="AF97" i="15"/>
  <c r="W97" i="15" s="1"/>
  <c r="T97" i="15"/>
  <c r="V97" i="15" s="1"/>
  <c r="S97" i="15"/>
  <c r="B97" i="15"/>
  <c r="AF96" i="15"/>
  <c r="W96" i="15"/>
  <c r="T96" i="15"/>
  <c r="V96" i="15" s="1"/>
  <c r="S96" i="15"/>
  <c r="B96" i="15"/>
  <c r="AJ95" i="15"/>
  <c r="W95" i="15" s="1"/>
  <c r="T95" i="15"/>
  <c r="V95" i="15" s="1"/>
  <c r="S95" i="15"/>
  <c r="B95" i="15"/>
  <c r="AJ94" i="15"/>
  <c r="W94" i="15"/>
  <c r="T94" i="15"/>
  <c r="V94" i="15" s="1"/>
  <c r="S94" i="15"/>
  <c r="B94" i="15"/>
  <c r="AF93" i="15"/>
  <c r="W93" i="15" s="1"/>
  <c r="T93" i="15"/>
  <c r="V93" i="15" s="1"/>
  <c r="S93" i="15"/>
  <c r="B93" i="15"/>
  <c r="AH92" i="15"/>
  <c r="W92" i="15"/>
  <c r="T92" i="15"/>
  <c r="V92" i="15" s="1"/>
  <c r="S92" i="15"/>
  <c r="B92" i="15"/>
  <c r="AJ91" i="15"/>
  <c r="W91" i="15" s="1"/>
  <c r="T91" i="15"/>
  <c r="V91" i="15" s="1"/>
  <c r="S91" i="15"/>
  <c r="B91" i="15"/>
  <c r="AF90" i="15"/>
  <c r="W90" i="15"/>
  <c r="T90" i="15"/>
  <c r="V90" i="15" s="1"/>
  <c r="S90" i="15"/>
  <c r="B90" i="15"/>
  <c r="AJ89" i="15"/>
  <c r="W89" i="15" s="1"/>
  <c r="T89" i="15"/>
  <c r="V89" i="15" s="1"/>
  <c r="S89" i="15"/>
  <c r="B89" i="15"/>
  <c r="AJ88" i="15"/>
  <c r="W88" i="15"/>
  <c r="T88" i="15"/>
  <c r="V88" i="15" s="1"/>
  <c r="S88" i="15"/>
  <c r="B88" i="15"/>
  <c r="AJ87" i="15"/>
  <c r="W87" i="15" s="1"/>
  <c r="T87" i="15"/>
  <c r="V87" i="15" s="1"/>
  <c r="S87" i="15"/>
  <c r="B87" i="15"/>
  <c r="AJ86" i="15"/>
  <c r="W86" i="15"/>
  <c r="T86" i="15"/>
  <c r="V86" i="15" s="1"/>
  <c r="S86" i="15"/>
  <c r="B86" i="15"/>
  <c r="AF85" i="15"/>
  <c r="W85" i="15" s="1"/>
  <c r="T85" i="15"/>
  <c r="V85" i="15" s="1"/>
  <c r="S85" i="15"/>
  <c r="B85" i="15"/>
  <c r="W84" i="15"/>
  <c r="V84" i="15"/>
  <c r="T84" i="15"/>
  <c r="S84" i="15"/>
  <c r="B84" i="15"/>
  <c r="AD83" i="15"/>
  <c r="W83" i="15" s="1"/>
  <c r="T83" i="15"/>
  <c r="V83" i="15" s="1"/>
  <c r="S83" i="15"/>
  <c r="B83" i="15"/>
  <c r="AD82" i="15"/>
  <c r="W82" i="15" s="1"/>
  <c r="V82" i="15"/>
  <c r="T82" i="15"/>
  <c r="S82" i="15"/>
  <c r="B82" i="15"/>
  <c r="AF81" i="15"/>
  <c r="W81" i="15" s="1"/>
  <c r="T81" i="15"/>
  <c r="V81" i="15" s="1"/>
  <c r="S81" i="15"/>
  <c r="B81" i="15"/>
  <c r="AF80" i="15"/>
  <c r="W80" i="15" s="1"/>
  <c r="V80" i="15"/>
  <c r="T80" i="15"/>
  <c r="S80" i="15"/>
  <c r="B80" i="15"/>
  <c r="AF79" i="15"/>
  <c r="W79" i="15" s="1"/>
  <c r="T79" i="15"/>
  <c r="V79" i="15" s="1"/>
  <c r="S79" i="15"/>
  <c r="B79" i="15"/>
  <c r="AF78" i="15"/>
  <c r="W78" i="15" s="1"/>
  <c r="V78" i="15"/>
  <c r="T78" i="15"/>
  <c r="S78" i="15"/>
  <c r="B78" i="15"/>
  <c r="AJ77" i="15"/>
  <c r="W77" i="15" s="1"/>
  <c r="T77" i="15"/>
  <c r="V77" i="15" s="1"/>
  <c r="S77" i="15"/>
  <c r="B77" i="15"/>
  <c r="AF76" i="15"/>
  <c r="W76" i="15" s="1"/>
  <c r="V76" i="15"/>
  <c r="T76" i="15"/>
  <c r="S76" i="15"/>
  <c r="B76" i="15"/>
  <c r="AJ75" i="15"/>
  <c r="W75" i="15" s="1"/>
  <c r="T75" i="15"/>
  <c r="V75" i="15" s="1"/>
  <c r="S75" i="15"/>
  <c r="B75" i="15"/>
  <c r="AF74" i="15"/>
  <c r="W74" i="15" s="1"/>
  <c r="V74" i="15"/>
  <c r="T74" i="15"/>
  <c r="S74" i="15"/>
  <c r="B74" i="15"/>
  <c r="AF73" i="15"/>
  <c r="W73" i="15" s="1"/>
  <c r="T73" i="15"/>
  <c r="V73" i="15" s="1"/>
  <c r="S73" i="15"/>
  <c r="B73" i="15"/>
  <c r="AF72" i="15"/>
  <c r="W72" i="15" s="1"/>
  <c r="V72" i="15"/>
  <c r="T72" i="15"/>
  <c r="S72" i="15"/>
  <c r="B72" i="15"/>
  <c r="AN71" i="15"/>
  <c r="W71" i="15" s="1"/>
  <c r="T71" i="15"/>
  <c r="V71" i="15" s="1"/>
  <c r="S71" i="15"/>
  <c r="B71" i="15"/>
  <c r="AJ70" i="15"/>
  <c r="W70" i="15" s="1"/>
  <c r="V70" i="15"/>
  <c r="T70" i="15"/>
  <c r="S70" i="15"/>
  <c r="B70" i="15"/>
  <c r="AF69" i="15"/>
  <c r="W69" i="15" s="1"/>
  <c r="T69" i="15"/>
  <c r="V69" i="15" s="1"/>
  <c r="S69" i="15"/>
  <c r="B69" i="15"/>
  <c r="AF68" i="15"/>
  <c r="W68" i="15" s="1"/>
  <c r="V68" i="15"/>
  <c r="T68" i="15"/>
  <c r="S68" i="15"/>
  <c r="B68" i="15"/>
  <c r="AF67" i="15"/>
  <c r="W67" i="15" s="1"/>
  <c r="T67" i="15"/>
  <c r="V67" i="15" s="1"/>
  <c r="S67" i="15"/>
  <c r="B67" i="15"/>
  <c r="AJ66" i="15"/>
  <c r="W66" i="15" s="1"/>
  <c r="V66" i="15"/>
  <c r="T66" i="15"/>
  <c r="S66" i="15"/>
  <c r="B66" i="15"/>
  <c r="AJ65" i="15"/>
  <c r="W65" i="15" s="1"/>
  <c r="T65" i="15"/>
  <c r="V65" i="15" s="1"/>
  <c r="S65" i="15"/>
  <c r="B65" i="15"/>
  <c r="AD64" i="15"/>
  <c r="W64" i="15" s="1"/>
  <c r="V64" i="15"/>
  <c r="T64" i="15"/>
  <c r="S64" i="15"/>
  <c r="B64" i="15"/>
  <c r="AJ63" i="15"/>
  <c r="W63" i="15" s="1"/>
  <c r="T63" i="15"/>
  <c r="V63" i="15" s="1"/>
  <c r="S63" i="15"/>
  <c r="B63" i="15"/>
  <c r="AF62" i="15"/>
  <c r="W62" i="15" s="1"/>
  <c r="V62" i="15"/>
  <c r="T62" i="15"/>
  <c r="S62" i="15"/>
  <c r="B62" i="15"/>
  <c r="AF61" i="15"/>
  <c r="W61" i="15" s="1"/>
  <c r="T61" i="15"/>
  <c r="V61" i="15" s="1"/>
  <c r="S61" i="15"/>
  <c r="B61" i="15"/>
  <c r="AF60" i="15"/>
  <c r="W60" i="15" s="1"/>
  <c r="V60" i="15"/>
  <c r="T60" i="15"/>
  <c r="S60" i="15"/>
  <c r="B60" i="15"/>
  <c r="AF59" i="15"/>
  <c r="W59" i="15" s="1"/>
  <c r="T59" i="15"/>
  <c r="V59" i="15" s="1"/>
  <c r="S59" i="15"/>
  <c r="B59" i="15"/>
  <c r="AF58" i="15"/>
  <c r="W58" i="15" s="1"/>
  <c r="V58" i="15"/>
  <c r="T58" i="15"/>
  <c r="S58" i="15"/>
  <c r="B58" i="15"/>
  <c r="AF57" i="15"/>
  <c r="W57" i="15" s="1"/>
  <c r="T57" i="15"/>
  <c r="V57" i="15" s="1"/>
  <c r="S57" i="15"/>
  <c r="B57" i="15"/>
  <c r="AF56" i="15"/>
  <c r="W56" i="15" s="1"/>
  <c r="V56" i="15"/>
  <c r="T56" i="15"/>
  <c r="S56" i="15"/>
  <c r="B56" i="15"/>
  <c r="AF55" i="15"/>
  <c r="W55" i="15" s="1"/>
  <c r="T55" i="15"/>
  <c r="V55" i="15" s="1"/>
  <c r="S55" i="15"/>
  <c r="B55" i="15"/>
  <c r="AF54" i="15"/>
  <c r="W54" i="15" s="1"/>
  <c r="V54" i="15"/>
  <c r="T54" i="15"/>
  <c r="S54" i="15"/>
  <c r="B54" i="15"/>
  <c r="AF53" i="15"/>
  <c r="W53" i="15" s="1"/>
  <c r="T53" i="15"/>
  <c r="V53" i="15" s="1"/>
  <c r="S53" i="15"/>
  <c r="B53" i="15"/>
  <c r="AF52" i="15"/>
  <c r="W52" i="15" s="1"/>
  <c r="V52" i="15"/>
  <c r="T52" i="15"/>
  <c r="S52" i="15"/>
  <c r="B52" i="15"/>
  <c r="AF51" i="15"/>
  <c r="W51" i="15" s="1"/>
  <c r="T51" i="15"/>
  <c r="V51" i="15" s="1"/>
  <c r="S51" i="15"/>
  <c r="B51" i="15"/>
  <c r="AF50" i="15"/>
  <c r="W50" i="15" s="1"/>
  <c r="V50" i="15"/>
  <c r="T50" i="15"/>
  <c r="S50" i="15"/>
  <c r="B50" i="15"/>
  <c r="AF49" i="15"/>
  <c r="W49" i="15" s="1"/>
  <c r="T49" i="15"/>
  <c r="V49" i="15" s="1"/>
  <c r="S49" i="15"/>
  <c r="B49" i="15"/>
  <c r="AF48" i="15"/>
  <c r="W48" i="15" s="1"/>
  <c r="V48" i="15"/>
  <c r="T48" i="15"/>
  <c r="S48" i="15"/>
  <c r="B48" i="15"/>
  <c r="AF47" i="15"/>
  <c r="W47" i="15" s="1"/>
  <c r="T47" i="15"/>
  <c r="V47" i="15" s="1"/>
  <c r="S47" i="15"/>
  <c r="B47" i="15"/>
  <c r="AD46" i="15"/>
  <c r="W46" i="15" s="1"/>
  <c r="V46" i="15"/>
  <c r="T46" i="15"/>
  <c r="S46" i="15"/>
  <c r="B46" i="15"/>
  <c r="AJ45" i="15"/>
  <c r="W45" i="15" s="1"/>
  <c r="T45" i="15"/>
  <c r="V45" i="15" s="1"/>
  <c r="S45" i="15"/>
  <c r="B45" i="15"/>
  <c r="AF44" i="15"/>
  <c r="W44" i="15" s="1"/>
  <c r="V44" i="15"/>
  <c r="T44" i="15"/>
  <c r="S44" i="15"/>
  <c r="B44" i="15"/>
  <c r="AF43" i="15"/>
  <c r="W43" i="15" s="1"/>
  <c r="T43" i="15"/>
  <c r="V43" i="15" s="1"/>
  <c r="S43" i="15"/>
  <c r="B43" i="15"/>
  <c r="AD42" i="15"/>
  <c r="W42" i="15" s="1"/>
  <c r="V42" i="15"/>
  <c r="T42" i="15"/>
  <c r="S42" i="15"/>
  <c r="B42" i="15"/>
  <c r="AD41" i="15"/>
  <c r="W41" i="15" s="1"/>
  <c r="T41" i="15"/>
  <c r="V41" i="15" s="1"/>
  <c r="S41" i="15"/>
  <c r="B41" i="15"/>
  <c r="AD40" i="15"/>
  <c r="W40" i="15" s="1"/>
  <c r="V40" i="15"/>
  <c r="T40" i="15"/>
  <c r="S40" i="15"/>
  <c r="B40" i="15"/>
  <c r="AD39" i="15"/>
  <c r="W39" i="15" s="1"/>
  <c r="T39" i="15"/>
  <c r="V39" i="15" s="1"/>
  <c r="S39" i="15"/>
  <c r="B39" i="15"/>
  <c r="AF38" i="15"/>
  <c r="W38" i="15" s="1"/>
  <c r="V38" i="15"/>
  <c r="T38" i="15"/>
  <c r="S38" i="15"/>
  <c r="B38" i="15"/>
  <c r="AF37" i="15"/>
  <c r="W37" i="15" s="1"/>
  <c r="T37" i="15"/>
  <c r="V37" i="15" s="1"/>
  <c r="S37" i="15"/>
  <c r="B37" i="15"/>
  <c r="T36" i="15"/>
  <c r="V36" i="15" s="1"/>
  <c r="S36" i="15"/>
  <c r="B36" i="15"/>
  <c r="W35" i="15"/>
  <c r="T35" i="15"/>
  <c r="V35" i="15" s="1"/>
  <c r="S35" i="15"/>
  <c r="B35" i="15"/>
  <c r="AF34" i="15"/>
  <c r="W34" i="15" s="1"/>
  <c r="V34" i="15"/>
  <c r="T34" i="15"/>
  <c r="S34" i="15"/>
  <c r="B34" i="15"/>
  <c r="AF33" i="15"/>
  <c r="W33" i="15" s="1"/>
  <c r="T33" i="15"/>
  <c r="V33" i="15" s="1"/>
  <c r="S33" i="15"/>
  <c r="B33" i="15"/>
  <c r="AF32" i="15"/>
  <c r="W32" i="15" s="1"/>
  <c r="V32" i="15"/>
  <c r="T32" i="15"/>
  <c r="S32" i="15"/>
  <c r="B32" i="15"/>
  <c r="AF31" i="15"/>
  <c r="W31" i="15" s="1"/>
  <c r="T31" i="15"/>
  <c r="V31" i="15" s="1"/>
  <c r="S31" i="15"/>
  <c r="B31" i="15"/>
  <c r="AF30" i="15"/>
  <c r="W30" i="15" s="1"/>
  <c r="V30" i="15"/>
  <c r="T30" i="15"/>
  <c r="S30" i="15"/>
  <c r="B30" i="15"/>
  <c r="AD29" i="15"/>
  <c r="W29" i="15" s="1"/>
  <c r="T29" i="15"/>
  <c r="V29" i="15" s="1"/>
  <c r="S29" i="15"/>
  <c r="B29" i="15"/>
  <c r="AF28" i="15"/>
  <c r="W28" i="15" s="1"/>
  <c r="V28" i="15"/>
  <c r="T28" i="15"/>
  <c r="S28" i="15"/>
  <c r="B28" i="15"/>
  <c r="AF27" i="15"/>
  <c r="W27" i="15" s="1"/>
  <c r="T27" i="15"/>
  <c r="V27" i="15" s="1"/>
  <c r="S27" i="15"/>
  <c r="B27" i="15"/>
  <c r="AF26" i="15"/>
  <c r="W26" i="15" s="1"/>
  <c r="V26" i="15"/>
  <c r="T26" i="15"/>
  <c r="S26" i="15"/>
  <c r="B26" i="15"/>
  <c r="AF25" i="15"/>
  <c r="W25" i="15" s="1"/>
  <c r="T25" i="15"/>
  <c r="V25" i="15" s="1"/>
  <c r="S25" i="15"/>
  <c r="B25" i="15"/>
  <c r="AF24" i="15"/>
  <c r="W24" i="15" s="1"/>
  <c r="V24" i="15"/>
  <c r="T24" i="15"/>
  <c r="S24" i="15"/>
  <c r="B24" i="15"/>
  <c r="AF23" i="15"/>
  <c r="W23" i="15" s="1"/>
  <c r="T23" i="15"/>
  <c r="V23" i="15" s="1"/>
  <c r="S23" i="15"/>
  <c r="B23" i="15"/>
  <c r="AF22" i="15"/>
  <c r="W22" i="15" s="1"/>
  <c r="V22" i="15"/>
  <c r="T22" i="15"/>
  <c r="S22" i="15"/>
  <c r="B22" i="15"/>
  <c r="AF21" i="15"/>
  <c r="W21" i="15" s="1"/>
  <c r="T21" i="15"/>
  <c r="V21" i="15" s="1"/>
  <c r="S21" i="15"/>
  <c r="B21" i="15"/>
  <c r="AJ20" i="15"/>
  <c r="W20" i="15" s="1"/>
  <c r="V20" i="15"/>
  <c r="T20" i="15"/>
  <c r="S20" i="15"/>
  <c r="B20" i="15"/>
  <c r="AF19" i="15"/>
  <c r="W19" i="15" s="1"/>
  <c r="T19" i="15"/>
  <c r="V19" i="15" s="1"/>
  <c r="S19" i="15"/>
  <c r="B19" i="15"/>
  <c r="AD18" i="15"/>
  <c r="W18" i="15" s="1"/>
  <c r="V18" i="15"/>
  <c r="T18" i="15"/>
  <c r="S18" i="15"/>
  <c r="B18" i="15"/>
  <c r="AF17" i="15"/>
  <c r="W17" i="15" s="1"/>
  <c r="T17" i="15"/>
  <c r="V17" i="15" s="1"/>
  <c r="S17" i="15"/>
  <c r="B17" i="15"/>
  <c r="AF16" i="15"/>
  <c r="W16" i="15" s="1"/>
  <c r="V16" i="15"/>
  <c r="T16" i="15"/>
  <c r="S16" i="15"/>
  <c r="S15" i="15" s="1"/>
  <c r="B16" i="15"/>
  <c r="U15" i="15"/>
  <c r="R15" i="15"/>
  <c r="Q15" i="15"/>
  <c r="Q14" i="15" s="1"/>
  <c r="Q13" i="15" s="1"/>
  <c r="L15" i="15"/>
  <c r="L14" i="15" s="1"/>
  <c r="L13" i="15" s="1"/>
  <c r="K15" i="15"/>
  <c r="K14" i="15" s="1"/>
  <c r="K13" i="15" s="1"/>
  <c r="J15" i="15"/>
  <c r="I15" i="15"/>
  <c r="T15" i="15" s="1"/>
  <c r="R14" i="15"/>
  <c r="J14" i="15"/>
  <c r="P13" i="15"/>
  <c r="AE1298" i="14"/>
  <c r="F1298" i="14" s="1"/>
  <c r="AG1297" i="14"/>
  <c r="AF1297" i="14"/>
  <c r="AD1297" i="14"/>
  <c r="AC1297" i="14"/>
  <c r="AB1297" i="14"/>
  <c r="AA1297" i="14"/>
  <c r="Z1297" i="14"/>
  <c r="Y1297" i="14"/>
  <c r="X1297" i="14"/>
  <c r="W1297" i="14"/>
  <c r="V1297" i="14"/>
  <c r="U1297" i="14"/>
  <c r="T1297" i="14"/>
  <c r="S1297" i="14"/>
  <c r="R1297" i="14"/>
  <c r="Q1297" i="14"/>
  <c r="P1297" i="14"/>
  <c r="O1297" i="14"/>
  <c r="N1297" i="14"/>
  <c r="M1297" i="14"/>
  <c r="L1297" i="14"/>
  <c r="K1297" i="14"/>
  <c r="J1297" i="14"/>
  <c r="I1297" i="14"/>
  <c r="H1297" i="14"/>
  <c r="G1297" i="14"/>
  <c r="AE1296" i="14"/>
  <c r="F1296" i="14" s="1"/>
  <c r="AG1295" i="14"/>
  <c r="AF1295" i="14"/>
  <c r="AD1295" i="14"/>
  <c r="AC1295" i="14"/>
  <c r="AB1295" i="14"/>
  <c r="AA1295" i="14"/>
  <c r="Z1295" i="14"/>
  <c r="Y1295" i="14"/>
  <c r="X1295" i="14"/>
  <c r="W1295" i="14"/>
  <c r="V1295" i="14"/>
  <c r="U1295" i="14"/>
  <c r="T1295" i="14"/>
  <c r="S1295" i="14"/>
  <c r="R1295" i="14"/>
  <c r="Q1295" i="14"/>
  <c r="P1295" i="14"/>
  <c r="O1295" i="14"/>
  <c r="N1295" i="14"/>
  <c r="M1295" i="14"/>
  <c r="L1295" i="14"/>
  <c r="K1295" i="14"/>
  <c r="J1295" i="14"/>
  <c r="I1295" i="14"/>
  <c r="H1295" i="14"/>
  <c r="G1295" i="14"/>
  <c r="AE1294" i="14"/>
  <c r="F1294" i="14" s="1"/>
  <c r="F1293" i="14"/>
  <c r="E1293" i="14"/>
  <c r="F1292" i="14"/>
  <c r="E1292" i="14"/>
  <c r="AG1291" i="14"/>
  <c r="AF1291" i="14"/>
  <c r="AD1291" i="14"/>
  <c r="AC1291" i="14"/>
  <c r="AB1291" i="14"/>
  <c r="AA1291" i="14"/>
  <c r="Z1291" i="14"/>
  <c r="Y1291" i="14"/>
  <c r="X1291" i="14"/>
  <c r="W1291" i="14"/>
  <c r="V1291" i="14"/>
  <c r="U1291" i="14"/>
  <c r="T1291" i="14"/>
  <c r="S1291" i="14"/>
  <c r="R1291" i="14"/>
  <c r="Q1291" i="14"/>
  <c r="P1291" i="14"/>
  <c r="O1291" i="14"/>
  <c r="N1291" i="14"/>
  <c r="M1291" i="14"/>
  <c r="L1291" i="14"/>
  <c r="K1291" i="14"/>
  <c r="J1291" i="14"/>
  <c r="I1291" i="14"/>
  <c r="H1291" i="14"/>
  <c r="G1291" i="14"/>
  <c r="AG1290" i="14"/>
  <c r="AF1290" i="14"/>
  <c r="AD1290" i="14"/>
  <c r="AC1290" i="14"/>
  <c r="AB1290" i="14"/>
  <c r="AA1290" i="14"/>
  <c r="Z1290" i="14"/>
  <c r="Y1290" i="14"/>
  <c r="X1290" i="14"/>
  <c r="W1290" i="14"/>
  <c r="V1290" i="14"/>
  <c r="U1290" i="14"/>
  <c r="T1290" i="14"/>
  <c r="S1290" i="14"/>
  <c r="R1290" i="14"/>
  <c r="Q1290" i="14"/>
  <c r="P1290" i="14"/>
  <c r="O1290" i="14"/>
  <c r="N1290" i="14"/>
  <c r="M1290" i="14"/>
  <c r="L1290" i="14"/>
  <c r="K1290" i="14"/>
  <c r="J1290" i="14"/>
  <c r="I1290" i="14"/>
  <c r="H1290" i="14"/>
  <c r="G1290" i="14"/>
  <c r="F1288" i="14"/>
  <c r="E1288" i="14"/>
  <c r="AG1287" i="14"/>
  <c r="AF1287" i="14"/>
  <c r="AE1287" i="14"/>
  <c r="AD1287" i="14"/>
  <c r="AC1287" i="14"/>
  <c r="AB1287" i="14"/>
  <c r="AA1287" i="14"/>
  <c r="Z1287" i="14"/>
  <c r="Y1287" i="14"/>
  <c r="X1287" i="14"/>
  <c r="W1287" i="14"/>
  <c r="V1287" i="14"/>
  <c r="U1287" i="14"/>
  <c r="T1287" i="14"/>
  <c r="S1287" i="14"/>
  <c r="R1287" i="14"/>
  <c r="Q1287" i="14"/>
  <c r="P1287" i="14"/>
  <c r="O1287" i="14"/>
  <c r="N1287" i="14"/>
  <c r="M1287" i="14"/>
  <c r="L1287" i="14"/>
  <c r="K1287" i="14"/>
  <c r="J1287" i="14"/>
  <c r="I1287" i="14"/>
  <c r="H1287" i="14"/>
  <c r="G1287" i="14"/>
  <c r="F1287" i="14"/>
  <c r="E1287" i="14" s="1"/>
  <c r="F1286" i="14"/>
  <c r="E1286" i="14" s="1"/>
  <c r="AG1285" i="14"/>
  <c r="AF1285" i="14"/>
  <c r="AE1285" i="14"/>
  <c r="AD1285" i="14"/>
  <c r="AC1285" i="14"/>
  <c r="AB1285" i="14"/>
  <c r="AA1285" i="14"/>
  <c r="Z1285" i="14"/>
  <c r="Y1285" i="14"/>
  <c r="X1285" i="14"/>
  <c r="W1285" i="14"/>
  <c r="V1285" i="14"/>
  <c r="U1285" i="14"/>
  <c r="T1285" i="14"/>
  <c r="S1285" i="14"/>
  <c r="R1285" i="14"/>
  <c r="Q1285" i="14"/>
  <c r="P1285" i="14"/>
  <c r="O1285" i="14"/>
  <c r="N1285" i="14"/>
  <c r="M1285" i="14"/>
  <c r="L1285" i="14"/>
  <c r="K1285" i="14"/>
  <c r="J1285" i="14"/>
  <c r="I1285" i="14"/>
  <c r="H1285" i="14"/>
  <c r="G1285" i="14"/>
  <c r="F1285" i="14" s="1"/>
  <c r="F1284" i="14"/>
  <c r="E1284" i="14"/>
  <c r="AG1283" i="14"/>
  <c r="AF1283" i="14"/>
  <c r="AE1283" i="14"/>
  <c r="AD1283" i="14"/>
  <c r="AC1283" i="14"/>
  <c r="AB1283" i="14"/>
  <c r="AA1283" i="14"/>
  <c r="Z1283" i="14"/>
  <c r="Y1283" i="14"/>
  <c r="X1283" i="14"/>
  <c r="W1283" i="14"/>
  <c r="V1283" i="14"/>
  <c r="U1283" i="14"/>
  <c r="T1283" i="14"/>
  <c r="S1283" i="14"/>
  <c r="R1283" i="14"/>
  <c r="Q1283" i="14"/>
  <c r="P1283" i="14"/>
  <c r="O1283" i="14"/>
  <c r="N1283" i="14"/>
  <c r="M1283" i="14"/>
  <c r="L1283" i="14"/>
  <c r="K1283" i="14"/>
  <c r="J1283" i="14"/>
  <c r="I1283" i="14"/>
  <c r="H1283" i="14"/>
  <c r="G1283" i="14"/>
  <c r="F1283" i="14"/>
  <c r="E1283" i="14" s="1"/>
  <c r="AG1282" i="14"/>
  <c r="AF1282" i="14"/>
  <c r="AE1282" i="14"/>
  <c r="AD1282" i="14"/>
  <c r="AC1282" i="14"/>
  <c r="AB1282" i="14"/>
  <c r="AA1282" i="14"/>
  <c r="Z1282" i="14"/>
  <c r="Y1282" i="14"/>
  <c r="X1282" i="14"/>
  <c r="W1282" i="14"/>
  <c r="V1282" i="14"/>
  <c r="U1282" i="14"/>
  <c r="T1282" i="14"/>
  <c r="S1282" i="14"/>
  <c r="R1282" i="14"/>
  <c r="Q1282" i="14"/>
  <c r="P1282" i="14"/>
  <c r="O1282" i="14"/>
  <c r="N1282" i="14"/>
  <c r="M1282" i="14"/>
  <c r="L1282" i="14"/>
  <c r="K1282" i="14"/>
  <c r="J1282" i="14"/>
  <c r="I1282" i="14"/>
  <c r="H1282" i="14"/>
  <c r="G1282" i="14"/>
  <c r="EW1280" i="14"/>
  <c r="CM1280" i="14"/>
  <c r="CJ1280" i="14"/>
  <c r="AV1279" i="14"/>
  <c r="AE1279" i="14"/>
  <c r="F1279" i="14"/>
  <c r="E1279" i="14" s="1"/>
  <c r="B1279" i="14"/>
  <c r="AG1278" i="14"/>
  <c r="AF1278" i="14"/>
  <c r="AE1278" i="14"/>
  <c r="AD1278" i="14"/>
  <c r="AC1278" i="14"/>
  <c r="AB1278" i="14"/>
  <c r="AA1278" i="14"/>
  <c r="Z1278" i="14"/>
  <c r="Y1278" i="14"/>
  <c r="X1278" i="14"/>
  <c r="W1278" i="14"/>
  <c r="V1278" i="14"/>
  <c r="U1278" i="14"/>
  <c r="T1278" i="14"/>
  <c r="S1278" i="14"/>
  <c r="R1278" i="14"/>
  <c r="Q1278" i="14"/>
  <c r="P1278" i="14"/>
  <c r="O1278" i="14"/>
  <c r="N1278" i="14"/>
  <c r="M1278" i="14"/>
  <c r="L1278" i="14"/>
  <c r="K1278" i="14"/>
  <c r="J1278" i="14"/>
  <c r="I1278" i="14"/>
  <c r="H1278" i="14"/>
  <c r="G1278" i="14"/>
  <c r="F1278" i="14"/>
  <c r="E1278" i="14"/>
  <c r="AE1277" i="14"/>
  <c r="F1277" i="14"/>
  <c r="E1277" i="14" s="1"/>
  <c r="B1277" i="14"/>
  <c r="AE1276" i="14"/>
  <c r="F1276" i="14" s="1"/>
  <c r="B1276" i="14"/>
  <c r="AE1275" i="14"/>
  <c r="F1275" i="14"/>
  <c r="E1275" i="14" s="1"/>
  <c r="B1275" i="14"/>
  <c r="AG1274" i="14"/>
  <c r="AF1274" i="14"/>
  <c r="AE1274" i="14"/>
  <c r="AD1274" i="14"/>
  <c r="AC1274" i="14"/>
  <c r="AB1274" i="14"/>
  <c r="AA1274" i="14"/>
  <c r="Z1274" i="14"/>
  <c r="Y1274" i="14"/>
  <c r="X1274" i="14"/>
  <c r="W1274" i="14"/>
  <c r="V1274" i="14"/>
  <c r="U1274" i="14"/>
  <c r="T1274" i="14"/>
  <c r="S1274" i="14"/>
  <c r="R1274" i="14"/>
  <c r="Q1274" i="14"/>
  <c r="P1274" i="14"/>
  <c r="O1274" i="14"/>
  <c r="N1274" i="14"/>
  <c r="M1274" i="14"/>
  <c r="L1274" i="14"/>
  <c r="K1274" i="14"/>
  <c r="J1274" i="14"/>
  <c r="I1274" i="14"/>
  <c r="H1274" i="14"/>
  <c r="G1274" i="14"/>
  <c r="P1273" i="14"/>
  <c r="AE1273" i="14" s="1"/>
  <c r="AE1272" i="14" s="1"/>
  <c r="B1273" i="14"/>
  <c r="AG1272" i="14"/>
  <c r="AF1272" i="14"/>
  <c r="AD1272" i="14"/>
  <c r="AC1272" i="14"/>
  <c r="AB1272" i="14"/>
  <c r="AA1272" i="14"/>
  <c r="Z1272" i="14"/>
  <c r="Y1272" i="14"/>
  <c r="X1272" i="14"/>
  <c r="W1272" i="14"/>
  <c r="V1272" i="14"/>
  <c r="U1272" i="14"/>
  <c r="T1272" i="14"/>
  <c r="S1272" i="14"/>
  <c r="R1272" i="14"/>
  <c r="Q1272" i="14"/>
  <c r="P1272" i="14"/>
  <c r="O1272" i="14"/>
  <c r="N1272" i="14"/>
  <c r="M1272" i="14"/>
  <c r="L1272" i="14"/>
  <c r="K1272" i="14"/>
  <c r="J1272" i="14"/>
  <c r="I1272" i="14"/>
  <c r="H1272" i="14"/>
  <c r="G1272" i="14"/>
  <c r="T1271" i="14"/>
  <c r="AE1271" i="14" s="1"/>
  <c r="AE1270" i="14" s="1"/>
  <c r="B1271" i="14"/>
  <c r="AG1270" i="14"/>
  <c r="AF1270" i="14"/>
  <c r="AD1270" i="14"/>
  <c r="AC1270" i="14"/>
  <c r="AB1270" i="14"/>
  <c r="AA1270" i="14"/>
  <c r="Z1270" i="14"/>
  <c r="Y1270" i="14"/>
  <c r="X1270" i="14"/>
  <c r="W1270" i="14"/>
  <c r="V1270" i="14"/>
  <c r="U1270" i="14"/>
  <c r="T1270" i="14"/>
  <c r="S1270" i="14"/>
  <c r="R1270" i="14"/>
  <c r="Q1270" i="14"/>
  <c r="P1270" i="14"/>
  <c r="O1270" i="14"/>
  <c r="N1270" i="14"/>
  <c r="M1270" i="14"/>
  <c r="L1270" i="14"/>
  <c r="K1270" i="14"/>
  <c r="J1270" i="14"/>
  <c r="I1270" i="14"/>
  <c r="H1270" i="14"/>
  <c r="G1270" i="14"/>
  <c r="P1269" i="14"/>
  <c r="AE1269" i="14" s="1"/>
  <c r="AE1268" i="14" s="1"/>
  <c r="B1269" i="14"/>
  <c r="AG1268" i="14"/>
  <c r="AF1268" i="14"/>
  <c r="AD1268" i="14"/>
  <c r="AC1268" i="14"/>
  <c r="AB1268" i="14"/>
  <c r="AA1268" i="14"/>
  <c r="Z1268" i="14"/>
  <c r="Y1268" i="14"/>
  <c r="X1268" i="14"/>
  <c r="W1268" i="14"/>
  <c r="V1268" i="14"/>
  <c r="U1268" i="14"/>
  <c r="T1268" i="14"/>
  <c r="S1268" i="14"/>
  <c r="R1268" i="14"/>
  <c r="Q1268" i="14"/>
  <c r="P1268" i="14"/>
  <c r="O1268" i="14"/>
  <c r="N1268" i="14"/>
  <c r="M1268" i="14"/>
  <c r="L1268" i="14"/>
  <c r="K1268" i="14"/>
  <c r="J1268" i="14"/>
  <c r="I1268" i="14"/>
  <c r="H1268" i="14"/>
  <c r="G1268" i="14"/>
  <c r="AE1267" i="14"/>
  <c r="F1267" i="14"/>
  <c r="E1267" i="14" s="1"/>
  <c r="B1267" i="14"/>
  <c r="AE1266" i="14"/>
  <c r="F1266" i="14" s="1"/>
  <c r="E1266" i="14" s="1"/>
  <c r="B1266" i="14"/>
  <c r="AE1265" i="14"/>
  <c r="F1265" i="14"/>
  <c r="E1265" i="14" s="1"/>
  <c r="B1265" i="14"/>
  <c r="AG1264" i="14"/>
  <c r="AF1264" i="14"/>
  <c r="AE1264" i="14"/>
  <c r="AD1264" i="14"/>
  <c r="AC1264" i="14"/>
  <c r="AB1264" i="14"/>
  <c r="AA1264" i="14"/>
  <c r="Z1264" i="14"/>
  <c r="Y1264" i="14"/>
  <c r="X1264" i="14"/>
  <c r="W1264" i="14"/>
  <c r="V1264" i="14"/>
  <c r="U1264" i="14"/>
  <c r="T1264" i="14"/>
  <c r="S1264" i="14"/>
  <c r="R1264" i="14"/>
  <c r="Q1264" i="14"/>
  <c r="P1264" i="14"/>
  <c r="O1264" i="14"/>
  <c r="N1264" i="14"/>
  <c r="M1264" i="14"/>
  <c r="L1264" i="14"/>
  <c r="K1264" i="14"/>
  <c r="J1264" i="14"/>
  <c r="I1264" i="14"/>
  <c r="H1264" i="14"/>
  <c r="G1264" i="14"/>
  <c r="AE1263" i="14"/>
  <c r="F1263" i="14" s="1"/>
  <c r="E1263" i="14" s="1"/>
  <c r="B1263" i="14"/>
  <c r="AE1262" i="14"/>
  <c r="F1262" i="14"/>
  <c r="E1262" i="14" s="1"/>
  <c r="B1262" i="14"/>
  <c r="AG1261" i="14"/>
  <c r="AF1261" i="14"/>
  <c r="AE1261" i="14"/>
  <c r="AD1261" i="14"/>
  <c r="AC1261" i="14"/>
  <c r="AB1261" i="14"/>
  <c r="AA1261" i="14"/>
  <c r="Z1261" i="14"/>
  <c r="Y1261" i="14"/>
  <c r="X1261" i="14"/>
  <c r="W1261" i="14"/>
  <c r="V1261" i="14"/>
  <c r="U1261" i="14"/>
  <c r="T1261" i="14"/>
  <c r="S1261" i="14"/>
  <c r="R1261" i="14"/>
  <c r="Q1261" i="14"/>
  <c r="P1261" i="14"/>
  <c r="O1261" i="14"/>
  <c r="N1261" i="14"/>
  <c r="M1261" i="14"/>
  <c r="L1261" i="14"/>
  <c r="K1261" i="14"/>
  <c r="J1261" i="14"/>
  <c r="I1261" i="14"/>
  <c r="H1261" i="14"/>
  <c r="G1261" i="14"/>
  <c r="AE1260" i="14"/>
  <c r="F1260" i="14" s="1"/>
  <c r="B1260" i="14"/>
  <c r="AG1259" i="14"/>
  <c r="AF1259" i="14"/>
  <c r="AD1259" i="14"/>
  <c r="AC1259" i="14"/>
  <c r="AB1259" i="14"/>
  <c r="AA1259" i="14"/>
  <c r="Z1259" i="14"/>
  <c r="Y1259" i="14"/>
  <c r="X1259" i="14"/>
  <c r="W1259" i="14"/>
  <c r="V1259" i="14"/>
  <c r="U1259" i="14"/>
  <c r="T1259" i="14"/>
  <c r="S1259" i="14"/>
  <c r="R1259" i="14"/>
  <c r="Q1259" i="14"/>
  <c r="P1259" i="14"/>
  <c r="O1259" i="14"/>
  <c r="N1259" i="14"/>
  <c r="M1259" i="14"/>
  <c r="L1259" i="14"/>
  <c r="K1259" i="14"/>
  <c r="J1259" i="14"/>
  <c r="I1259" i="14"/>
  <c r="H1259" i="14"/>
  <c r="G1259" i="14"/>
  <c r="AE1258" i="14"/>
  <c r="F1258" i="14"/>
  <c r="E1258" i="14" s="1"/>
  <c r="B1258" i="14"/>
  <c r="AG1257" i="14"/>
  <c r="AF1257" i="14"/>
  <c r="AE1257" i="14"/>
  <c r="AD1257" i="14"/>
  <c r="AC1257" i="14"/>
  <c r="AB1257" i="14"/>
  <c r="AA1257" i="14"/>
  <c r="Z1257" i="14"/>
  <c r="Y1257" i="14"/>
  <c r="X1257" i="14"/>
  <c r="W1257" i="14"/>
  <c r="V1257" i="14"/>
  <c r="U1257" i="14"/>
  <c r="T1257" i="14"/>
  <c r="S1257" i="14"/>
  <c r="R1257" i="14"/>
  <c r="Q1257" i="14"/>
  <c r="P1257" i="14"/>
  <c r="O1257" i="14"/>
  <c r="N1257" i="14"/>
  <c r="M1257" i="14"/>
  <c r="L1257" i="14"/>
  <c r="K1257" i="14"/>
  <c r="J1257" i="14"/>
  <c r="I1257" i="14"/>
  <c r="H1257" i="14"/>
  <c r="G1257" i="14"/>
  <c r="AE1256" i="14"/>
  <c r="F1256" i="14" s="1"/>
  <c r="E1256" i="14" s="1"/>
  <c r="B1256" i="14"/>
  <c r="AE1255" i="14"/>
  <c r="F1255" i="14"/>
  <c r="E1255" i="14" s="1"/>
  <c r="B1255" i="14"/>
  <c r="AG1254" i="14"/>
  <c r="AF1254" i="14"/>
  <c r="AE1254" i="14"/>
  <c r="AD1254" i="14"/>
  <c r="AC1254" i="14"/>
  <c r="AB1254" i="14"/>
  <c r="AA1254" i="14"/>
  <c r="Z1254" i="14"/>
  <c r="Y1254" i="14"/>
  <c r="X1254" i="14"/>
  <c r="W1254" i="14"/>
  <c r="V1254" i="14"/>
  <c r="U1254" i="14"/>
  <c r="T1254" i="14"/>
  <c r="S1254" i="14"/>
  <c r="R1254" i="14"/>
  <c r="Q1254" i="14"/>
  <c r="P1254" i="14"/>
  <c r="O1254" i="14"/>
  <c r="N1254" i="14"/>
  <c r="M1254" i="14"/>
  <c r="L1254" i="14"/>
  <c r="K1254" i="14"/>
  <c r="J1254" i="14"/>
  <c r="I1254" i="14"/>
  <c r="H1254" i="14"/>
  <c r="G1254" i="14"/>
  <c r="AV1253" i="14"/>
  <c r="AE1253" i="14"/>
  <c r="P1253" i="14"/>
  <c r="F1253" i="14"/>
  <c r="E1253" i="14" s="1"/>
  <c r="B1253" i="14"/>
  <c r="AE1252" i="14"/>
  <c r="T1252" i="14"/>
  <c r="F1252" i="14"/>
  <c r="E1252" i="14" s="1"/>
  <c r="B1252" i="14"/>
  <c r="AE1251" i="14"/>
  <c r="R1251" i="14"/>
  <c r="F1251" i="14"/>
  <c r="E1251" i="14" s="1"/>
  <c r="B1251" i="14"/>
  <c r="AG1250" i="14"/>
  <c r="AF1250" i="14"/>
  <c r="AE1250" i="14"/>
  <c r="AD1250" i="14"/>
  <c r="AC1250" i="14"/>
  <c r="AB1250" i="14"/>
  <c r="AA1250" i="14"/>
  <c r="Z1250" i="14"/>
  <c r="Y1250" i="14"/>
  <c r="X1250" i="14"/>
  <c r="W1250" i="14"/>
  <c r="V1250" i="14"/>
  <c r="U1250" i="14"/>
  <c r="T1250" i="14"/>
  <c r="S1250" i="14"/>
  <c r="R1250" i="14"/>
  <c r="Q1250" i="14"/>
  <c r="P1250" i="14"/>
  <c r="O1250" i="14"/>
  <c r="N1250" i="14"/>
  <c r="M1250" i="14"/>
  <c r="L1250" i="14"/>
  <c r="K1250" i="14"/>
  <c r="J1250" i="14"/>
  <c r="I1250" i="14"/>
  <c r="H1250" i="14"/>
  <c r="G1250" i="14"/>
  <c r="F1250" i="14"/>
  <c r="E1250" i="14"/>
  <c r="AE1249" i="14"/>
  <c r="F1249" i="14"/>
  <c r="E1249" i="14" s="1"/>
  <c r="B1249" i="14"/>
  <c r="AE1248" i="14"/>
  <c r="F1248" i="14" s="1"/>
  <c r="E1248" i="14" s="1"/>
  <c r="B1248" i="14"/>
  <c r="AE1247" i="14"/>
  <c r="F1247" i="14"/>
  <c r="E1247" i="14" s="1"/>
  <c r="B1247" i="14"/>
  <c r="AG1246" i="14"/>
  <c r="AF1246" i="14"/>
  <c r="AE1246" i="14"/>
  <c r="AD1246" i="14"/>
  <c r="AC1246" i="14"/>
  <c r="AB1246" i="14"/>
  <c r="AA1246" i="14"/>
  <c r="Z1246" i="14"/>
  <c r="Y1246" i="14"/>
  <c r="X1246" i="14"/>
  <c r="W1246" i="14"/>
  <c r="V1246" i="14"/>
  <c r="U1246" i="14"/>
  <c r="T1246" i="14"/>
  <c r="S1246" i="14"/>
  <c r="R1246" i="14"/>
  <c r="Q1246" i="14"/>
  <c r="P1246" i="14"/>
  <c r="O1246" i="14"/>
  <c r="N1246" i="14"/>
  <c r="M1246" i="14"/>
  <c r="L1246" i="14"/>
  <c r="K1246" i="14"/>
  <c r="J1246" i="14"/>
  <c r="I1246" i="14"/>
  <c r="H1246" i="14"/>
  <c r="G1246" i="14"/>
  <c r="AE1245" i="14"/>
  <c r="F1245" i="14" s="1"/>
  <c r="E1245" i="14" s="1"/>
  <c r="B1245" i="14"/>
  <c r="AE1244" i="14"/>
  <c r="F1244" i="14"/>
  <c r="E1244" i="14" s="1"/>
  <c r="B1244" i="14"/>
  <c r="AE1243" i="14"/>
  <c r="F1243" i="14" s="1"/>
  <c r="B1243" i="14"/>
  <c r="AG1242" i="14"/>
  <c r="AF1242" i="14"/>
  <c r="AE1242" i="14"/>
  <c r="AD1242" i="14"/>
  <c r="AC1242" i="14"/>
  <c r="AB1242" i="14"/>
  <c r="AA1242" i="14"/>
  <c r="Z1242" i="14"/>
  <c r="Y1242" i="14"/>
  <c r="X1242" i="14"/>
  <c r="W1242" i="14"/>
  <c r="V1242" i="14"/>
  <c r="U1242" i="14"/>
  <c r="T1242" i="14"/>
  <c r="S1242" i="14"/>
  <c r="R1242" i="14"/>
  <c r="Q1242" i="14"/>
  <c r="P1242" i="14"/>
  <c r="O1242" i="14"/>
  <c r="N1242" i="14"/>
  <c r="M1242" i="14"/>
  <c r="L1242" i="14"/>
  <c r="K1242" i="14"/>
  <c r="J1242" i="14"/>
  <c r="I1242" i="14"/>
  <c r="H1242" i="14"/>
  <c r="G1242" i="14"/>
  <c r="AE1241" i="14"/>
  <c r="F1241" i="14"/>
  <c r="E1241" i="14" s="1"/>
  <c r="B1241" i="14"/>
  <c r="AE1240" i="14"/>
  <c r="F1240" i="14" s="1"/>
  <c r="B1240" i="14"/>
  <c r="AG1239" i="14"/>
  <c r="AF1239" i="14"/>
  <c r="AD1239" i="14"/>
  <c r="AC1239" i="14"/>
  <c r="AB1239" i="14"/>
  <c r="AA1239" i="14"/>
  <c r="Z1239" i="14"/>
  <c r="Y1239" i="14"/>
  <c r="X1239" i="14"/>
  <c r="W1239" i="14"/>
  <c r="V1239" i="14"/>
  <c r="U1239" i="14"/>
  <c r="T1239" i="14"/>
  <c r="S1239" i="14"/>
  <c r="R1239" i="14"/>
  <c r="Q1239" i="14"/>
  <c r="P1239" i="14"/>
  <c r="O1239" i="14"/>
  <c r="N1239" i="14"/>
  <c r="M1239" i="14"/>
  <c r="L1239" i="14"/>
  <c r="K1239" i="14"/>
  <c r="J1239" i="14"/>
  <c r="I1239" i="14"/>
  <c r="H1239" i="14"/>
  <c r="G1239" i="14"/>
  <c r="AE1238" i="14"/>
  <c r="F1238" i="14"/>
  <c r="E1238" i="14" s="1"/>
  <c r="B1238" i="14"/>
  <c r="AG1237" i="14"/>
  <c r="AF1237" i="14"/>
  <c r="AE1237" i="14"/>
  <c r="AD1237" i="14"/>
  <c r="AC1237" i="14"/>
  <c r="AB1237" i="14"/>
  <c r="AA1237" i="14"/>
  <c r="Z1237" i="14"/>
  <c r="Y1237" i="14"/>
  <c r="X1237" i="14"/>
  <c r="W1237" i="14"/>
  <c r="V1237" i="14"/>
  <c r="U1237" i="14"/>
  <c r="T1237" i="14"/>
  <c r="S1237" i="14"/>
  <c r="R1237" i="14"/>
  <c r="Q1237" i="14"/>
  <c r="P1237" i="14"/>
  <c r="O1237" i="14"/>
  <c r="N1237" i="14"/>
  <c r="M1237" i="14"/>
  <c r="L1237" i="14"/>
  <c r="K1237" i="14"/>
  <c r="J1237" i="14"/>
  <c r="I1237" i="14"/>
  <c r="H1237" i="14"/>
  <c r="G1237" i="14"/>
  <c r="AE1236" i="14"/>
  <c r="B1236" i="14"/>
  <c r="AG1235" i="14"/>
  <c r="AF1235" i="14"/>
  <c r="AD1235" i="14"/>
  <c r="AC1235" i="14"/>
  <c r="AB1235" i="14"/>
  <c r="AA1235" i="14"/>
  <c r="Z1235" i="14"/>
  <c r="Y1235" i="14"/>
  <c r="X1235" i="14"/>
  <c r="W1235" i="14"/>
  <c r="V1235" i="14"/>
  <c r="U1235" i="14"/>
  <c r="T1235" i="14"/>
  <c r="S1235" i="14"/>
  <c r="R1235" i="14"/>
  <c r="Q1235" i="14"/>
  <c r="P1235" i="14"/>
  <c r="O1235" i="14"/>
  <c r="N1235" i="14"/>
  <c r="M1235" i="14"/>
  <c r="L1235" i="14"/>
  <c r="K1235" i="14"/>
  <c r="J1235" i="14"/>
  <c r="I1235" i="14"/>
  <c r="H1235" i="14"/>
  <c r="G1235" i="14"/>
  <c r="AE1234" i="14"/>
  <c r="B1234" i="14"/>
  <c r="AG1233" i="14"/>
  <c r="AF1233" i="14"/>
  <c r="AD1233" i="14"/>
  <c r="AC1233" i="14"/>
  <c r="AB1233" i="14"/>
  <c r="AA1233" i="14"/>
  <c r="Z1233" i="14"/>
  <c r="Y1233" i="14"/>
  <c r="X1233" i="14"/>
  <c r="W1233" i="14"/>
  <c r="V1233" i="14"/>
  <c r="U1233" i="14"/>
  <c r="T1233" i="14"/>
  <c r="S1233" i="14"/>
  <c r="R1233" i="14"/>
  <c r="Q1233" i="14"/>
  <c r="P1233" i="14"/>
  <c r="O1233" i="14"/>
  <c r="N1233" i="14"/>
  <c r="M1233" i="14"/>
  <c r="L1233" i="14"/>
  <c r="K1233" i="14"/>
  <c r="J1233" i="14"/>
  <c r="I1233" i="14"/>
  <c r="H1233" i="14"/>
  <c r="G1233" i="14"/>
  <c r="AE1232" i="14"/>
  <c r="F1232" i="14"/>
  <c r="E1232" i="14" s="1"/>
  <c r="B1232" i="14"/>
  <c r="AE1231" i="14"/>
  <c r="F1231" i="14" s="1"/>
  <c r="B1231" i="14"/>
  <c r="AE1230" i="14"/>
  <c r="F1230" i="14"/>
  <c r="E1230" i="14" s="1"/>
  <c r="B1230" i="14"/>
  <c r="AG1229" i="14"/>
  <c r="AF1229" i="14"/>
  <c r="AE1229" i="14"/>
  <c r="AD1229" i="14"/>
  <c r="AC1229" i="14"/>
  <c r="AB1229" i="14"/>
  <c r="AA1229" i="14"/>
  <c r="Z1229" i="14"/>
  <c r="Y1229" i="14"/>
  <c r="X1229" i="14"/>
  <c r="W1229" i="14"/>
  <c r="V1229" i="14"/>
  <c r="U1229" i="14"/>
  <c r="T1229" i="14"/>
  <c r="S1229" i="14"/>
  <c r="R1229" i="14"/>
  <c r="Q1229" i="14"/>
  <c r="P1229" i="14"/>
  <c r="O1229" i="14"/>
  <c r="N1229" i="14"/>
  <c r="M1229" i="14"/>
  <c r="L1229" i="14"/>
  <c r="K1229" i="14"/>
  <c r="J1229" i="14"/>
  <c r="I1229" i="14"/>
  <c r="H1229" i="14"/>
  <c r="G1229" i="14"/>
  <c r="AE1228" i="14"/>
  <c r="F1228" i="14"/>
  <c r="E1228" i="14" s="1"/>
  <c r="B1228" i="14"/>
  <c r="AG1227" i="14"/>
  <c r="AF1227" i="14"/>
  <c r="AE1227" i="14"/>
  <c r="AD1227" i="14"/>
  <c r="AC1227" i="14"/>
  <c r="AB1227" i="14"/>
  <c r="AA1227" i="14"/>
  <c r="Z1227" i="14"/>
  <c r="Y1227" i="14"/>
  <c r="X1227" i="14"/>
  <c r="W1227" i="14"/>
  <c r="V1227" i="14"/>
  <c r="U1227" i="14"/>
  <c r="T1227" i="14"/>
  <c r="S1227" i="14"/>
  <c r="R1227" i="14"/>
  <c r="Q1227" i="14"/>
  <c r="P1227" i="14"/>
  <c r="O1227" i="14"/>
  <c r="N1227" i="14"/>
  <c r="M1227" i="14"/>
  <c r="L1227" i="14"/>
  <c r="K1227" i="14"/>
  <c r="J1227" i="14"/>
  <c r="I1227" i="14"/>
  <c r="H1227" i="14"/>
  <c r="G1227" i="14"/>
  <c r="F1227" i="14"/>
  <c r="E1227" i="14"/>
  <c r="AE1226" i="14"/>
  <c r="F1226" i="14"/>
  <c r="E1226" i="14" s="1"/>
  <c r="B1226" i="14"/>
  <c r="AG1225" i="14"/>
  <c r="AF1225" i="14"/>
  <c r="AE1225" i="14"/>
  <c r="AD1225" i="14"/>
  <c r="AC1225" i="14"/>
  <c r="AB1225" i="14"/>
  <c r="AA1225" i="14"/>
  <c r="Z1225" i="14"/>
  <c r="Y1225" i="14"/>
  <c r="X1225" i="14"/>
  <c r="W1225" i="14"/>
  <c r="V1225" i="14"/>
  <c r="U1225" i="14"/>
  <c r="T1225" i="14"/>
  <c r="S1225" i="14"/>
  <c r="R1225" i="14"/>
  <c r="Q1225" i="14"/>
  <c r="P1225" i="14"/>
  <c r="O1225" i="14"/>
  <c r="N1225" i="14"/>
  <c r="M1225" i="14"/>
  <c r="L1225" i="14"/>
  <c r="K1225" i="14"/>
  <c r="J1225" i="14"/>
  <c r="I1225" i="14"/>
  <c r="H1225" i="14"/>
  <c r="G1225" i="14"/>
  <c r="F1225" i="14"/>
  <c r="E1225" i="14"/>
  <c r="V1224" i="14"/>
  <c r="AE1224" i="14" s="1"/>
  <c r="AE1223" i="14" s="1"/>
  <c r="B1224" i="14"/>
  <c r="AG1223" i="14"/>
  <c r="AF1223" i="14"/>
  <c r="AD1223" i="14"/>
  <c r="AC1223" i="14"/>
  <c r="AB1223" i="14"/>
  <c r="AA1223" i="14"/>
  <c r="Z1223" i="14"/>
  <c r="Y1223" i="14"/>
  <c r="X1223" i="14"/>
  <c r="W1223" i="14"/>
  <c r="V1223" i="14"/>
  <c r="U1223" i="14"/>
  <c r="T1223" i="14"/>
  <c r="S1223" i="14"/>
  <c r="R1223" i="14"/>
  <c r="Q1223" i="14"/>
  <c r="P1223" i="14"/>
  <c r="O1223" i="14"/>
  <c r="N1223" i="14"/>
  <c r="M1223" i="14"/>
  <c r="L1223" i="14"/>
  <c r="K1223" i="14"/>
  <c r="J1223" i="14"/>
  <c r="I1223" i="14"/>
  <c r="H1223" i="14"/>
  <c r="G1223" i="14"/>
  <c r="AE1222" i="14"/>
  <c r="F1222" i="14"/>
  <c r="E1222" i="14" s="1"/>
  <c r="B1222" i="14"/>
  <c r="AE1221" i="14"/>
  <c r="F1221" i="14" s="1"/>
  <c r="E1221" i="14" s="1"/>
  <c r="B1221" i="14"/>
  <c r="AE1220" i="14"/>
  <c r="F1220" i="14"/>
  <c r="E1220" i="14" s="1"/>
  <c r="B1220" i="14"/>
  <c r="AG1219" i="14"/>
  <c r="AF1219" i="14"/>
  <c r="AE1219" i="14"/>
  <c r="AD1219" i="14"/>
  <c r="AC1219" i="14"/>
  <c r="AB1219" i="14"/>
  <c r="AA1219" i="14"/>
  <c r="Z1219" i="14"/>
  <c r="Y1219" i="14"/>
  <c r="X1219" i="14"/>
  <c r="W1219" i="14"/>
  <c r="V1219" i="14"/>
  <c r="U1219" i="14"/>
  <c r="T1219" i="14"/>
  <c r="S1219" i="14"/>
  <c r="R1219" i="14"/>
  <c r="Q1219" i="14"/>
  <c r="P1219" i="14"/>
  <c r="O1219" i="14"/>
  <c r="N1219" i="14"/>
  <c r="M1219" i="14"/>
  <c r="L1219" i="14"/>
  <c r="K1219" i="14"/>
  <c r="J1219" i="14"/>
  <c r="I1219" i="14"/>
  <c r="H1219" i="14"/>
  <c r="G1219" i="14"/>
  <c r="AE1218" i="14"/>
  <c r="F1218" i="14" s="1"/>
  <c r="B1218" i="14"/>
  <c r="AG1217" i="14"/>
  <c r="AF1217" i="14"/>
  <c r="AE1217" i="14"/>
  <c r="AD1217" i="14"/>
  <c r="AC1217" i="14"/>
  <c r="AB1217" i="14"/>
  <c r="AA1217" i="14"/>
  <c r="Z1217" i="14"/>
  <c r="Y1217" i="14"/>
  <c r="X1217" i="14"/>
  <c r="W1217" i="14"/>
  <c r="V1217" i="14"/>
  <c r="U1217" i="14"/>
  <c r="T1217" i="14"/>
  <c r="S1217" i="14"/>
  <c r="R1217" i="14"/>
  <c r="Q1217" i="14"/>
  <c r="P1217" i="14"/>
  <c r="O1217" i="14"/>
  <c r="N1217" i="14"/>
  <c r="M1217" i="14"/>
  <c r="L1217" i="14"/>
  <c r="K1217" i="14"/>
  <c r="J1217" i="14"/>
  <c r="I1217" i="14"/>
  <c r="H1217" i="14"/>
  <c r="G1217" i="14"/>
  <c r="P1216" i="14"/>
  <c r="AE1216" i="14" s="1"/>
  <c r="AE1215" i="14" s="1"/>
  <c r="B1216" i="14"/>
  <c r="AG1215" i="14"/>
  <c r="AF1215" i="14"/>
  <c r="AD1215" i="14"/>
  <c r="AC1215" i="14"/>
  <c r="AB1215" i="14"/>
  <c r="AA1215" i="14"/>
  <c r="Z1215" i="14"/>
  <c r="Y1215" i="14"/>
  <c r="X1215" i="14"/>
  <c r="W1215" i="14"/>
  <c r="V1215" i="14"/>
  <c r="U1215" i="14"/>
  <c r="T1215" i="14"/>
  <c r="S1215" i="14"/>
  <c r="R1215" i="14"/>
  <c r="Q1215" i="14"/>
  <c r="P1215" i="14"/>
  <c r="O1215" i="14"/>
  <c r="N1215" i="14"/>
  <c r="M1215" i="14"/>
  <c r="L1215" i="14"/>
  <c r="K1215" i="14"/>
  <c r="J1215" i="14"/>
  <c r="I1215" i="14"/>
  <c r="H1215" i="14"/>
  <c r="G1215" i="14"/>
  <c r="AE1214" i="14"/>
  <c r="F1214" i="14"/>
  <c r="E1214" i="14" s="1"/>
  <c r="B1214" i="14"/>
  <c r="AG1213" i="14"/>
  <c r="AF1213" i="14"/>
  <c r="AE1213" i="14"/>
  <c r="AD1213" i="14"/>
  <c r="AC1213" i="14"/>
  <c r="AB1213" i="14"/>
  <c r="AA1213" i="14"/>
  <c r="Z1213" i="14"/>
  <c r="Y1213" i="14"/>
  <c r="X1213" i="14"/>
  <c r="W1213" i="14"/>
  <c r="V1213" i="14"/>
  <c r="U1213" i="14"/>
  <c r="T1213" i="14"/>
  <c r="S1213" i="14"/>
  <c r="R1213" i="14"/>
  <c r="Q1213" i="14"/>
  <c r="P1213" i="14"/>
  <c r="O1213" i="14"/>
  <c r="N1213" i="14"/>
  <c r="M1213" i="14"/>
  <c r="L1213" i="14"/>
  <c r="K1213" i="14"/>
  <c r="J1213" i="14"/>
  <c r="I1213" i="14"/>
  <c r="H1213" i="14"/>
  <c r="G1213" i="14"/>
  <c r="AE1212" i="14"/>
  <c r="F1212" i="14" s="1"/>
  <c r="B1212" i="14"/>
  <c r="AG1211" i="14"/>
  <c r="AF1211" i="14"/>
  <c r="AD1211" i="14"/>
  <c r="AC1211" i="14"/>
  <c r="AB1211" i="14"/>
  <c r="AA1211" i="14"/>
  <c r="Z1211" i="14"/>
  <c r="Y1211" i="14"/>
  <c r="X1211" i="14"/>
  <c r="W1211" i="14"/>
  <c r="V1211" i="14"/>
  <c r="U1211" i="14"/>
  <c r="T1211" i="14"/>
  <c r="S1211" i="14"/>
  <c r="R1211" i="14"/>
  <c r="Q1211" i="14"/>
  <c r="P1211" i="14"/>
  <c r="O1211" i="14"/>
  <c r="N1211" i="14"/>
  <c r="M1211" i="14"/>
  <c r="L1211" i="14"/>
  <c r="K1211" i="14"/>
  <c r="J1211" i="14"/>
  <c r="I1211" i="14"/>
  <c r="H1211" i="14"/>
  <c r="G1211" i="14"/>
  <c r="AE1210" i="14"/>
  <c r="F1210" i="14"/>
  <c r="E1210" i="14" s="1"/>
  <c r="B1210" i="14"/>
  <c r="AG1209" i="14"/>
  <c r="AF1209" i="14"/>
  <c r="AE1209" i="14"/>
  <c r="AD1209" i="14"/>
  <c r="AC1209" i="14"/>
  <c r="AB1209" i="14"/>
  <c r="AA1209" i="14"/>
  <c r="Z1209" i="14"/>
  <c r="Y1209" i="14"/>
  <c r="X1209" i="14"/>
  <c r="W1209" i="14"/>
  <c r="V1209" i="14"/>
  <c r="U1209" i="14"/>
  <c r="T1209" i="14"/>
  <c r="S1209" i="14"/>
  <c r="R1209" i="14"/>
  <c r="Q1209" i="14"/>
  <c r="P1209" i="14"/>
  <c r="O1209" i="14"/>
  <c r="N1209" i="14"/>
  <c r="M1209" i="14"/>
  <c r="L1209" i="14"/>
  <c r="K1209" i="14"/>
  <c r="J1209" i="14"/>
  <c r="I1209" i="14"/>
  <c r="H1209" i="14"/>
  <c r="G1209" i="14"/>
  <c r="AE1208" i="14"/>
  <c r="F1208" i="14" s="1"/>
  <c r="B1208" i="14"/>
  <c r="AG1207" i="14"/>
  <c r="AF1207" i="14"/>
  <c r="AD1207" i="14"/>
  <c r="AC1207" i="14"/>
  <c r="AB1207" i="14"/>
  <c r="AA1207" i="14"/>
  <c r="Z1207" i="14"/>
  <c r="Y1207" i="14"/>
  <c r="X1207" i="14"/>
  <c r="W1207" i="14"/>
  <c r="V1207" i="14"/>
  <c r="U1207" i="14"/>
  <c r="T1207" i="14"/>
  <c r="S1207" i="14"/>
  <c r="R1207" i="14"/>
  <c r="Q1207" i="14"/>
  <c r="P1207" i="14"/>
  <c r="O1207" i="14"/>
  <c r="N1207" i="14"/>
  <c r="M1207" i="14"/>
  <c r="L1207" i="14"/>
  <c r="K1207" i="14"/>
  <c r="J1207" i="14"/>
  <c r="I1207" i="14"/>
  <c r="H1207" i="14"/>
  <c r="G1207" i="14"/>
  <c r="AE1206" i="14"/>
  <c r="F1206" i="14"/>
  <c r="E1206" i="14" s="1"/>
  <c r="B1206" i="14"/>
  <c r="AE1205" i="14"/>
  <c r="F1205" i="14" s="1"/>
  <c r="E1205" i="14" s="1"/>
  <c r="B1205" i="14"/>
  <c r="AE1204" i="14"/>
  <c r="F1204" i="14"/>
  <c r="E1204" i="14" s="1"/>
  <c r="B1204" i="14"/>
  <c r="AG1203" i="14"/>
  <c r="AF1203" i="14"/>
  <c r="AE1203" i="14"/>
  <c r="AD1203" i="14"/>
  <c r="AC1203" i="14"/>
  <c r="AB1203" i="14"/>
  <c r="AA1203" i="14"/>
  <c r="Z1203" i="14"/>
  <c r="Y1203" i="14"/>
  <c r="X1203" i="14"/>
  <c r="W1203" i="14"/>
  <c r="V1203" i="14"/>
  <c r="U1203" i="14"/>
  <c r="T1203" i="14"/>
  <c r="S1203" i="14"/>
  <c r="R1203" i="14"/>
  <c r="Q1203" i="14"/>
  <c r="P1203" i="14"/>
  <c r="O1203" i="14"/>
  <c r="N1203" i="14"/>
  <c r="M1203" i="14"/>
  <c r="L1203" i="14"/>
  <c r="K1203" i="14"/>
  <c r="J1203" i="14"/>
  <c r="I1203" i="14"/>
  <c r="H1203" i="14"/>
  <c r="G1203" i="14"/>
  <c r="AE1202" i="14"/>
  <c r="F1202" i="14" s="1"/>
  <c r="B1202" i="14"/>
  <c r="AG1201" i="14"/>
  <c r="AF1201" i="14"/>
  <c r="AD1201" i="14"/>
  <c r="AC1201" i="14"/>
  <c r="AB1201" i="14"/>
  <c r="AA1201" i="14"/>
  <c r="Z1201" i="14"/>
  <c r="Y1201" i="14"/>
  <c r="X1201" i="14"/>
  <c r="W1201" i="14"/>
  <c r="V1201" i="14"/>
  <c r="U1201" i="14"/>
  <c r="T1201" i="14"/>
  <c r="S1201" i="14"/>
  <c r="R1201" i="14"/>
  <c r="Q1201" i="14"/>
  <c r="P1201" i="14"/>
  <c r="O1201" i="14"/>
  <c r="N1201" i="14"/>
  <c r="M1201" i="14"/>
  <c r="L1201" i="14"/>
  <c r="K1201" i="14"/>
  <c r="J1201" i="14"/>
  <c r="I1201" i="14"/>
  <c r="H1201" i="14"/>
  <c r="G1201" i="14"/>
  <c r="AE1200" i="14"/>
  <c r="F1200" i="14"/>
  <c r="E1200" i="14" s="1"/>
  <c r="B1200" i="14"/>
  <c r="AE1199" i="14"/>
  <c r="F1199" i="14" s="1"/>
  <c r="B1199" i="14"/>
  <c r="AG1198" i="14"/>
  <c r="AF1198" i="14"/>
  <c r="AD1198" i="14"/>
  <c r="AC1198" i="14"/>
  <c r="AB1198" i="14"/>
  <c r="AA1198" i="14"/>
  <c r="Z1198" i="14"/>
  <c r="Y1198" i="14"/>
  <c r="X1198" i="14"/>
  <c r="W1198" i="14"/>
  <c r="V1198" i="14"/>
  <c r="U1198" i="14"/>
  <c r="T1198" i="14"/>
  <c r="S1198" i="14"/>
  <c r="R1198" i="14"/>
  <c r="Q1198" i="14"/>
  <c r="P1198" i="14"/>
  <c r="O1198" i="14"/>
  <c r="N1198" i="14"/>
  <c r="M1198" i="14"/>
  <c r="L1198" i="14"/>
  <c r="K1198" i="14"/>
  <c r="J1198" i="14"/>
  <c r="I1198" i="14"/>
  <c r="H1198" i="14"/>
  <c r="G1198" i="14"/>
  <c r="AE1197" i="14"/>
  <c r="F1197" i="14"/>
  <c r="E1197" i="14" s="1"/>
  <c r="B1197" i="14"/>
  <c r="AE1196" i="14"/>
  <c r="F1196" i="14" s="1"/>
  <c r="E1196" i="14" s="1"/>
  <c r="B1196" i="14"/>
  <c r="AE1195" i="14"/>
  <c r="F1195" i="14"/>
  <c r="E1195" i="14" s="1"/>
  <c r="B1195" i="14"/>
  <c r="AG1194" i="14"/>
  <c r="AF1194" i="14"/>
  <c r="AE1194" i="14"/>
  <c r="AD1194" i="14"/>
  <c r="AC1194" i="14"/>
  <c r="AB1194" i="14"/>
  <c r="AA1194" i="14"/>
  <c r="Z1194" i="14"/>
  <c r="Y1194" i="14"/>
  <c r="X1194" i="14"/>
  <c r="W1194" i="14"/>
  <c r="V1194" i="14"/>
  <c r="U1194" i="14"/>
  <c r="T1194" i="14"/>
  <c r="S1194" i="14"/>
  <c r="R1194" i="14"/>
  <c r="Q1194" i="14"/>
  <c r="P1194" i="14"/>
  <c r="O1194" i="14"/>
  <c r="N1194" i="14"/>
  <c r="M1194" i="14"/>
  <c r="L1194" i="14"/>
  <c r="K1194" i="14"/>
  <c r="J1194" i="14"/>
  <c r="I1194" i="14"/>
  <c r="H1194" i="14"/>
  <c r="G1194" i="14"/>
  <c r="AE1193" i="14"/>
  <c r="F1193" i="14" s="1"/>
  <c r="E1193" i="14" s="1"/>
  <c r="B1193" i="14"/>
  <c r="AE1192" i="14"/>
  <c r="F1192" i="14"/>
  <c r="E1192" i="14" s="1"/>
  <c r="B1192" i="14"/>
  <c r="AG1191" i="14"/>
  <c r="AF1191" i="14"/>
  <c r="AE1191" i="14"/>
  <c r="AD1191" i="14"/>
  <c r="AC1191" i="14"/>
  <c r="AB1191" i="14"/>
  <c r="AA1191" i="14"/>
  <c r="Z1191" i="14"/>
  <c r="Y1191" i="14"/>
  <c r="X1191" i="14"/>
  <c r="W1191" i="14"/>
  <c r="V1191" i="14"/>
  <c r="U1191" i="14"/>
  <c r="T1191" i="14"/>
  <c r="S1191" i="14"/>
  <c r="R1191" i="14"/>
  <c r="Q1191" i="14"/>
  <c r="P1191" i="14"/>
  <c r="O1191" i="14"/>
  <c r="N1191" i="14"/>
  <c r="M1191" i="14"/>
  <c r="L1191" i="14"/>
  <c r="K1191" i="14"/>
  <c r="J1191" i="14"/>
  <c r="I1191" i="14"/>
  <c r="H1191" i="14"/>
  <c r="G1191" i="14"/>
  <c r="W1190" i="14"/>
  <c r="AE1190" i="14" s="1"/>
  <c r="B1190" i="14"/>
  <c r="P1189" i="14"/>
  <c r="AE1189" i="14" s="1"/>
  <c r="B1189" i="14"/>
  <c r="P1188" i="14"/>
  <c r="AE1188" i="14" s="1"/>
  <c r="B1188" i="14"/>
  <c r="P1187" i="14"/>
  <c r="AE1187" i="14" s="1"/>
  <c r="B1187" i="14"/>
  <c r="AE1186" i="14"/>
  <c r="F1186" i="14"/>
  <c r="E1186" i="14" s="1"/>
  <c r="B1186" i="14"/>
  <c r="AE1185" i="14"/>
  <c r="P1185" i="14"/>
  <c r="F1185" i="14"/>
  <c r="E1185" i="14" s="1"/>
  <c r="B1185" i="14"/>
  <c r="AG1184" i="14"/>
  <c r="AF1184" i="14"/>
  <c r="AD1184" i="14"/>
  <c r="AC1184" i="14"/>
  <c r="AB1184" i="14"/>
  <c r="AA1184" i="14"/>
  <c r="Z1184" i="14"/>
  <c r="Y1184" i="14"/>
  <c r="X1184" i="14"/>
  <c r="W1184" i="14"/>
  <c r="V1184" i="14"/>
  <c r="U1184" i="14"/>
  <c r="T1184" i="14"/>
  <c r="S1184" i="14"/>
  <c r="R1184" i="14"/>
  <c r="Q1184" i="14"/>
  <c r="P1184" i="14"/>
  <c r="O1184" i="14"/>
  <c r="N1184" i="14"/>
  <c r="M1184" i="14"/>
  <c r="L1184" i="14"/>
  <c r="K1184" i="14"/>
  <c r="J1184" i="14"/>
  <c r="I1184" i="14"/>
  <c r="H1184" i="14"/>
  <c r="G1184" i="14"/>
  <c r="AE1183" i="14"/>
  <c r="F1183" i="14"/>
  <c r="E1183" i="14" s="1"/>
  <c r="B1183" i="14"/>
  <c r="AG1182" i="14"/>
  <c r="AF1182" i="14"/>
  <c r="AE1182" i="14"/>
  <c r="AD1182" i="14"/>
  <c r="AC1182" i="14"/>
  <c r="AB1182" i="14"/>
  <c r="AA1182" i="14"/>
  <c r="Z1182" i="14"/>
  <c r="Y1182" i="14"/>
  <c r="X1182" i="14"/>
  <c r="W1182" i="14"/>
  <c r="V1182" i="14"/>
  <c r="U1182" i="14"/>
  <c r="T1182" i="14"/>
  <c r="S1182" i="14"/>
  <c r="R1182" i="14"/>
  <c r="Q1182" i="14"/>
  <c r="P1182" i="14"/>
  <c r="O1182" i="14"/>
  <c r="N1182" i="14"/>
  <c r="M1182" i="14"/>
  <c r="L1182" i="14"/>
  <c r="K1182" i="14"/>
  <c r="J1182" i="14"/>
  <c r="I1182" i="14"/>
  <c r="H1182" i="14"/>
  <c r="G1182" i="14"/>
  <c r="AE1181" i="14"/>
  <c r="P1181" i="14"/>
  <c r="F1181" i="14"/>
  <c r="E1181" i="14" s="1"/>
  <c r="B1181" i="14"/>
  <c r="AG1180" i="14"/>
  <c r="AF1180" i="14"/>
  <c r="AE1180" i="14"/>
  <c r="AD1180" i="14"/>
  <c r="AC1180" i="14"/>
  <c r="AB1180" i="14"/>
  <c r="AA1180" i="14"/>
  <c r="Z1180" i="14"/>
  <c r="Y1180" i="14"/>
  <c r="X1180" i="14"/>
  <c r="W1180" i="14"/>
  <c r="V1180" i="14"/>
  <c r="U1180" i="14"/>
  <c r="T1180" i="14"/>
  <c r="S1180" i="14"/>
  <c r="R1180" i="14"/>
  <c r="Q1180" i="14"/>
  <c r="P1180" i="14"/>
  <c r="O1180" i="14"/>
  <c r="N1180" i="14"/>
  <c r="M1180" i="14"/>
  <c r="L1180" i="14"/>
  <c r="K1180" i="14"/>
  <c r="J1180" i="14"/>
  <c r="I1180" i="14"/>
  <c r="H1180" i="14"/>
  <c r="G1180" i="14"/>
  <c r="AE1179" i="14"/>
  <c r="F1179" i="14" s="1"/>
  <c r="B1179" i="14"/>
  <c r="AG1178" i="14"/>
  <c r="AF1178" i="14"/>
  <c r="AD1178" i="14"/>
  <c r="AC1178" i="14"/>
  <c r="AB1178" i="14"/>
  <c r="AA1178" i="14"/>
  <c r="Z1178" i="14"/>
  <c r="Y1178" i="14"/>
  <c r="X1178" i="14"/>
  <c r="W1178" i="14"/>
  <c r="V1178" i="14"/>
  <c r="U1178" i="14"/>
  <c r="T1178" i="14"/>
  <c r="S1178" i="14"/>
  <c r="R1178" i="14"/>
  <c r="Q1178" i="14"/>
  <c r="P1178" i="14"/>
  <c r="O1178" i="14"/>
  <c r="N1178" i="14"/>
  <c r="M1178" i="14"/>
  <c r="L1178" i="14"/>
  <c r="K1178" i="14"/>
  <c r="J1178" i="14"/>
  <c r="I1178" i="14"/>
  <c r="H1178" i="14"/>
  <c r="G1178" i="14"/>
  <c r="AE1177" i="14"/>
  <c r="F1177" i="14"/>
  <c r="E1177" i="14" s="1"/>
  <c r="B1177" i="14"/>
  <c r="AE1176" i="14"/>
  <c r="F1176" i="14" s="1"/>
  <c r="B1176" i="14"/>
  <c r="AG1175" i="14"/>
  <c r="AF1175" i="14"/>
  <c r="AD1175" i="14"/>
  <c r="AC1175" i="14"/>
  <c r="AB1175" i="14"/>
  <c r="AA1175" i="14"/>
  <c r="Z1175" i="14"/>
  <c r="Y1175" i="14"/>
  <c r="X1175" i="14"/>
  <c r="W1175" i="14"/>
  <c r="V1175" i="14"/>
  <c r="U1175" i="14"/>
  <c r="T1175" i="14"/>
  <c r="S1175" i="14"/>
  <c r="R1175" i="14"/>
  <c r="Q1175" i="14"/>
  <c r="P1175" i="14"/>
  <c r="O1175" i="14"/>
  <c r="N1175" i="14"/>
  <c r="M1175" i="14"/>
  <c r="L1175" i="14"/>
  <c r="K1175" i="14"/>
  <c r="J1175" i="14"/>
  <c r="I1175" i="14"/>
  <c r="H1175" i="14"/>
  <c r="G1175" i="14"/>
  <c r="P1174" i="14"/>
  <c r="AE1174" i="14" s="1"/>
  <c r="AE1172" i="14" s="1"/>
  <c r="B1174" i="14"/>
  <c r="AE1173" i="14"/>
  <c r="F1173" i="14"/>
  <c r="E1173" i="14" s="1"/>
  <c r="B1173" i="14"/>
  <c r="AG1172" i="14"/>
  <c r="AF1172" i="14"/>
  <c r="AD1172" i="14"/>
  <c r="AC1172" i="14"/>
  <c r="AB1172" i="14"/>
  <c r="AA1172" i="14"/>
  <c r="Z1172" i="14"/>
  <c r="Y1172" i="14"/>
  <c r="X1172" i="14"/>
  <c r="W1172" i="14"/>
  <c r="V1172" i="14"/>
  <c r="U1172" i="14"/>
  <c r="T1172" i="14"/>
  <c r="S1172" i="14"/>
  <c r="R1172" i="14"/>
  <c r="Q1172" i="14"/>
  <c r="O1172" i="14"/>
  <c r="N1172" i="14"/>
  <c r="M1172" i="14"/>
  <c r="L1172" i="14"/>
  <c r="K1172" i="14"/>
  <c r="J1172" i="14"/>
  <c r="I1172" i="14"/>
  <c r="H1172" i="14"/>
  <c r="G1172" i="14"/>
  <c r="AE1171" i="14"/>
  <c r="F1171" i="14" s="1"/>
  <c r="E1171" i="14" s="1"/>
  <c r="B1171" i="14"/>
  <c r="AG1170" i="14"/>
  <c r="AF1170" i="14"/>
  <c r="AD1170" i="14"/>
  <c r="AC1170" i="14"/>
  <c r="AB1170" i="14"/>
  <c r="AA1170" i="14"/>
  <c r="Z1170" i="14"/>
  <c r="Y1170" i="14"/>
  <c r="X1170" i="14"/>
  <c r="W1170" i="14"/>
  <c r="V1170" i="14"/>
  <c r="U1170" i="14"/>
  <c r="T1170" i="14"/>
  <c r="S1170" i="14"/>
  <c r="R1170" i="14"/>
  <c r="Q1170" i="14"/>
  <c r="P1170" i="14"/>
  <c r="O1170" i="14"/>
  <c r="N1170" i="14"/>
  <c r="M1170" i="14"/>
  <c r="L1170" i="14"/>
  <c r="K1170" i="14"/>
  <c r="J1170" i="14"/>
  <c r="I1170" i="14"/>
  <c r="H1170" i="14"/>
  <c r="G1170" i="14"/>
  <c r="F1170" i="14"/>
  <c r="E1170" i="14" s="1"/>
  <c r="AE1169" i="14"/>
  <c r="F1169" i="14"/>
  <c r="B1169" i="14"/>
  <c r="AG1168" i="14"/>
  <c r="AF1168" i="14"/>
  <c r="AE1168" i="14"/>
  <c r="AD1168" i="14"/>
  <c r="AC1168" i="14"/>
  <c r="AB1168" i="14"/>
  <c r="AA1168" i="14"/>
  <c r="Z1168" i="14"/>
  <c r="Y1168" i="14"/>
  <c r="X1168" i="14"/>
  <c r="W1168" i="14"/>
  <c r="V1168" i="14"/>
  <c r="U1168" i="14"/>
  <c r="T1168" i="14"/>
  <c r="S1168" i="14"/>
  <c r="R1168" i="14"/>
  <c r="Q1168" i="14"/>
  <c r="P1168" i="14"/>
  <c r="O1168" i="14"/>
  <c r="N1168" i="14"/>
  <c r="M1168" i="14"/>
  <c r="L1168" i="14"/>
  <c r="K1168" i="14"/>
  <c r="J1168" i="14"/>
  <c r="I1168" i="14"/>
  <c r="H1168" i="14"/>
  <c r="G1168" i="14"/>
  <c r="AE1167" i="14"/>
  <c r="B1167" i="14"/>
  <c r="AG1166" i="14"/>
  <c r="AF1166" i="14"/>
  <c r="AD1166" i="14"/>
  <c r="AC1166" i="14"/>
  <c r="AB1166" i="14"/>
  <c r="AA1166" i="14"/>
  <c r="Z1166" i="14"/>
  <c r="Y1166" i="14"/>
  <c r="X1166" i="14"/>
  <c r="W1166" i="14"/>
  <c r="V1166" i="14"/>
  <c r="U1166" i="14"/>
  <c r="T1166" i="14"/>
  <c r="S1166" i="14"/>
  <c r="R1166" i="14"/>
  <c r="Q1166" i="14"/>
  <c r="P1166" i="14"/>
  <c r="O1166" i="14"/>
  <c r="N1166" i="14"/>
  <c r="M1166" i="14"/>
  <c r="L1166" i="14"/>
  <c r="K1166" i="14"/>
  <c r="J1166" i="14"/>
  <c r="I1166" i="14"/>
  <c r="H1166" i="14"/>
  <c r="G1166" i="14"/>
  <c r="AE1165" i="14"/>
  <c r="F1165" i="14"/>
  <c r="E1165" i="14" s="1"/>
  <c r="B1165" i="14"/>
  <c r="AE1164" i="14"/>
  <c r="F1164" i="14" s="1"/>
  <c r="E1164" i="14" s="1"/>
  <c r="B1164" i="14"/>
  <c r="AE1163" i="14"/>
  <c r="F1163" i="14"/>
  <c r="B1163" i="14"/>
  <c r="AG1162" i="14"/>
  <c r="AF1162" i="14"/>
  <c r="AE1162" i="14"/>
  <c r="AD1162" i="14"/>
  <c r="AC1162" i="14"/>
  <c r="AB1162" i="14"/>
  <c r="AA1162" i="14"/>
  <c r="Z1162" i="14"/>
  <c r="Y1162" i="14"/>
  <c r="X1162" i="14"/>
  <c r="W1162" i="14"/>
  <c r="V1162" i="14"/>
  <c r="U1162" i="14"/>
  <c r="T1162" i="14"/>
  <c r="S1162" i="14"/>
  <c r="R1162" i="14"/>
  <c r="Q1162" i="14"/>
  <c r="P1162" i="14"/>
  <c r="O1162" i="14"/>
  <c r="N1162" i="14"/>
  <c r="M1162" i="14"/>
  <c r="L1162" i="14"/>
  <c r="K1162" i="14"/>
  <c r="J1162" i="14"/>
  <c r="I1162" i="14"/>
  <c r="H1162" i="14"/>
  <c r="G1162" i="14"/>
  <c r="AE1161" i="14"/>
  <c r="F1161" i="14"/>
  <c r="E1161" i="14" s="1"/>
  <c r="B1161" i="14"/>
  <c r="F1160" i="14"/>
  <c r="E1160" i="14" s="1"/>
  <c r="B1160" i="14"/>
  <c r="AV1159" i="14"/>
  <c r="AE1159" i="14"/>
  <c r="F1159" i="14" s="1"/>
  <c r="E1159" i="14" s="1"/>
  <c r="B1159" i="14"/>
  <c r="AE1158" i="14"/>
  <c r="F1158" i="14"/>
  <c r="E1158" i="14" s="1"/>
  <c r="B1158" i="14"/>
  <c r="AE1157" i="14"/>
  <c r="F1157" i="14" s="1"/>
  <c r="E1157" i="14" s="1"/>
  <c r="B1157" i="14"/>
  <c r="AE1156" i="14"/>
  <c r="F1156" i="14"/>
  <c r="E1156" i="14" s="1"/>
  <c r="B1156" i="14"/>
  <c r="AG1155" i="14"/>
  <c r="AF1155" i="14"/>
  <c r="AE1155" i="14"/>
  <c r="AD1155" i="14"/>
  <c r="AC1155" i="14"/>
  <c r="AB1155" i="14"/>
  <c r="AA1155" i="14"/>
  <c r="Z1155" i="14"/>
  <c r="Y1155" i="14"/>
  <c r="X1155" i="14"/>
  <c r="W1155" i="14"/>
  <c r="V1155" i="14"/>
  <c r="U1155" i="14"/>
  <c r="T1155" i="14"/>
  <c r="S1155" i="14"/>
  <c r="R1155" i="14"/>
  <c r="Q1155" i="14"/>
  <c r="P1155" i="14"/>
  <c r="O1155" i="14"/>
  <c r="N1155" i="14"/>
  <c r="M1155" i="14"/>
  <c r="L1155" i="14"/>
  <c r="K1155" i="14"/>
  <c r="J1155" i="14"/>
  <c r="I1155" i="14"/>
  <c r="H1155" i="14"/>
  <c r="G1155" i="14"/>
  <c r="AE1154" i="14"/>
  <c r="F1154" i="14" s="1"/>
  <c r="B1154" i="14"/>
  <c r="AG1153" i="14"/>
  <c r="AF1153" i="14"/>
  <c r="AE1153" i="14"/>
  <c r="AD1153" i="14"/>
  <c r="AC1153" i="14"/>
  <c r="AB1153" i="14"/>
  <c r="AA1153" i="14"/>
  <c r="Z1153" i="14"/>
  <c r="Y1153" i="14"/>
  <c r="X1153" i="14"/>
  <c r="W1153" i="14"/>
  <c r="V1153" i="14"/>
  <c r="U1153" i="14"/>
  <c r="T1153" i="14"/>
  <c r="S1153" i="14"/>
  <c r="R1153" i="14"/>
  <c r="Q1153" i="14"/>
  <c r="P1153" i="14"/>
  <c r="O1153" i="14"/>
  <c r="N1153" i="14"/>
  <c r="M1153" i="14"/>
  <c r="L1153" i="14"/>
  <c r="K1153" i="14"/>
  <c r="J1153" i="14"/>
  <c r="I1153" i="14"/>
  <c r="H1153" i="14"/>
  <c r="G1153" i="14"/>
  <c r="AE1152" i="14"/>
  <c r="F1152" i="14"/>
  <c r="E1152" i="14" s="1"/>
  <c r="B1152" i="14"/>
  <c r="AG1151" i="14"/>
  <c r="AF1151" i="14"/>
  <c r="AE1151" i="14"/>
  <c r="AD1151" i="14"/>
  <c r="AC1151" i="14"/>
  <c r="AB1151" i="14"/>
  <c r="AA1151" i="14"/>
  <c r="Z1151" i="14"/>
  <c r="Y1151" i="14"/>
  <c r="X1151" i="14"/>
  <c r="W1151" i="14"/>
  <c r="V1151" i="14"/>
  <c r="U1151" i="14"/>
  <c r="T1151" i="14"/>
  <c r="S1151" i="14"/>
  <c r="R1151" i="14"/>
  <c r="Q1151" i="14"/>
  <c r="P1151" i="14"/>
  <c r="O1151" i="14"/>
  <c r="N1151" i="14"/>
  <c r="M1151" i="14"/>
  <c r="L1151" i="14"/>
  <c r="K1151" i="14"/>
  <c r="J1151" i="14"/>
  <c r="I1151" i="14"/>
  <c r="H1151" i="14"/>
  <c r="G1151" i="14"/>
  <c r="AE1150" i="14"/>
  <c r="F1150" i="14" s="1"/>
  <c r="B1150" i="14"/>
  <c r="AE1149" i="14"/>
  <c r="F1149" i="14"/>
  <c r="E1149" i="14" s="1"/>
  <c r="B1149" i="14"/>
  <c r="AG1148" i="14"/>
  <c r="AF1148" i="14"/>
  <c r="AE1148" i="14"/>
  <c r="AD1148" i="14"/>
  <c r="AC1148" i="14"/>
  <c r="AB1148" i="14"/>
  <c r="AA1148" i="14"/>
  <c r="Z1148" i="14"/>
  <c r="Y1148" i="14"/>
  <c r="X1148" i="14"/>
  <c r="W1148" i="14"/>
  <c r="V1148" i="14"/>
  <c r="U1148" i="14"/>
  <c r="T1148" i="14"/>
  <c r="S1148" i="14"/>
  <c r="R1148" i="14"/>
  <c r="Q1148" i="14"/>
  <c r="P1148" i="14"/>
  <c r="O1148" i="14"/>
  <c r="N1148" i="14"/>
  <c r="M1148" i="14"/>
  <c r="L1148" i="14"/>
  <c r="K1148" i="14"/>
  <c r="J1148" i="14"/>
  <c r="I1148" i="14"/>
  <c r="H1148" i="14"/>
  <c r="G1148" i="14"/>
  <c r="AE1147" i="14"/>
  <c r="F1147" i="14"/>
  <c r="E1147" i="14" s="1"/>
  <c r="B1147" i="14"/>
  <c r="AG1146" i="14"/>
  <c r="AF1146" i="14"/>
  <c r="AE1146" i="14"/>
  <c r="AD1146" i="14"/>
  <c r="AC1146" i="14"/>
  <c r="AB1146" i="14"/>
  <c r="AA1146" i="14"/>
  <c r="Z1146" i="14"/>
  <c r="Y1146" i="14"/>
  <c r="X1146" i="14"/>
  <c r="W1146" i="14"/>
  <c r="V1146" i="14"/>
  <c r="U1146" i="14"/>
  <c r="T1146" i="14"/>
  <c r="S1146" i="14"/>
  <c r="R1146" i="14"/>
  <c r="Q1146" i="14"/>
  <c r="P1146" i="14"/>
  <c r="O1146" i="14"/>
  <c r="N1146" i="14"/>
  <c r="M1146" i="14"/>
  <c r="L1146" i="14"/>
  <c r="K1146" i="14"/>
  <c r="J1146" i="14"/>
  <c r="I1146" i="14"/>
  <c r="H1146" i="14"/>
  <c r="G1146" i="14"/>
  <c r="F1146" i="14"/>
  <c r="E1146" i="14"/>
  <c r="AE1145" i="14"/>
  <c r="F1145" i="14"/>
  <c r="E1145" i="14" s="1"/>
  <c r="B1145" i="14"/>
  <c r="AG1144" i="14"/>
  <c r="AF1144" i="14"/>
  <c r="AE1144" i="14"/>
  <c r="AD1144" i="14"/>
  <c r="AC1144" i="14"/>
  <c r="AB1144" i="14"/>
  <c r="AA1144" i="14"/>
  <c r="Z1144" i="14"/>
  <c r="Y1144" i="14"/>
  <c r="X1144" i="14"/>
  <c r="W1144" i="14"/>
  <c r="V1144" i="14"/>
  <c r="U1144" i="14"/>
  <c r="T1144" i="14"/>
  <c r="S1144" i="14"/>
  <c r="R1144" i="14"/>
  <c r="Q1144" i="14"/>
  <c r="P1144" i="14"/>
  <c r="O1144" i="14"/>
  <c r="N1144" i="14"/>
  <c r="M1144" i="14"/>
  <c r="L1144" i="14"/>
  <c r="K1144" i="14"/>
  <c r="J1144" i="14"/>
  <c r="I1144" i="14"/>
  <c r="H1144" i="14"/>
  <c r="G1144" i="14"/>
  <c r="AE1143" i="14"/>
  <c r="F1143" i="14" s="1"/>
  <c r="B1143" i="14"/>
  <c r="AE1142" i="14"/>
  <c r="F1142" i="14"/>
  <c r="E1142" i="14" s="1"/>
  <c r="B1142" i="14"/>
  <c r="AG1141" i="14"/>
  <c r="AF1141" i="14"/>
  <c r="AE1141" i="14"/>
  <c r="AD1141" i="14"/>
  <c r="AC1141" i="14"/>
  <c r="AB1141" i="14"/>
  <c r="AA1141" i="14"/>
  <c r="Z1141" i="14"/>
  <c r="Y1141" i="14"/>
  <c r="X1141" i="14"/>
  <c r="W1141" i="14"/>
  <c r="V1141" i="14"/>
  <c r="U1141" i="14"/>
  <c r="T1141" i="14"/>
  <c r="S1141" i="14"/>
  <c r="R1141" i="14"/>
  <c r="Q1141" i="14"/>
  <c r="P1141" i="14"/>
  <c r="O1141" i="14"/>
  <c r="N1141" i="14"/>
  <c r="M1141" i="14"/>
  <c r="L1141" i="14"/>
  <c r="K1141" i="14"/>
  <c r="J1141" i="14"/>
  <c r="I1141" i="14"/>
  <c r="H1141" i="14"/>
  <c r="G1141" i="14"/>
  <c r="AE1140" i="14"/>
  <c r="F1140" i="14" s="1"/>
  <c r="B1140" i="14"/>
  <c r="AE1139" i="14"/>
  <c r="F1139" i="14"/>
  <c r="E1139" i="14" s="1"/>
  <c r="B1139" i="14"/>
  <c r="AE1138" i="14"/>
  <c r="F1138" i="14"/>
  <c r="E1138" i="14" s="1"/>
  <c r="B1138" i="14"/>
  <c r="AG1137" i="14"/>
  <c r="AF1137" i="14"/>
  <c r="AE1137" i="14"/>
  <c r="AD1137" i="14"/>
  <c r="AC1137" i="14"/>
  <c r="AB1137" i="14"/>
  <c r="AA1137" i="14"/>
  <c r="Z1137" i="14"/>
  <c r="Y1137" i="14"/>
  <c r="X1137" i="14"/>
  <c r="W1137" i="14"/>
  <c r="V1137" i="14"/>
  <c r="U1137" i="14"/>
  <c r="T1137" i="14"/>
  <c r="S1137" i="14"/>
  <c r="R1137" i="14"/>
  <c r="Q1137" i="14"/>
  <c r="P1137" i="14"/>
  <c r="O1137" i="14"/>
  <c r="N1137" i="14"/>
  <c r="M1137" i="14"/>
  <c r="L1137" i="14"/>
  <c r="K1137" i="14"/>
  <c r="J1137" i="14"/>
  <c r="I1137" i="14"/>
  <c r="H1137" i="14"/>
  <c r="G1137" i="14"/>
  <c r="AE1136" i="14"/>
  <c r="F1136" i="14"/>
  <c r="E1136" i="14" s="1"/>
  <c r="B1136" i="14"/>
  <c r="AE1135" i="14"/>
  <c r="F1135" i="14" s="1"/>
  <c r="B1135" i="14"/>
  <c r="AG1134" i="14"/>
  <c r="AF1134" i="14"/>
  <c r="AD1134" i="14"/>
  <c r="AC1134" i="14"/>
  <c r="AB1134" i="14"/>
  <c r="AA1134" i="14"/>
  <c r="Z1134" i="14"/>
  <c r="Y1134" i="14"/>
  <c r="X1134" i="14"/>
  <c r="W1134" i="14"/>
  <c r="V1134" i="14"/>
  <c r="U1134" i="14"/>
  <c r="T1134" i="14"/>
  <c r="S1134" i="14"/>
  <c r="R1134" i="14"/>
  <c r="Q1134" i="14"/>
  <c r="P1134" i="14"/>
  <c r="O1134" i="14"/>
  <c r="N1134" i="14"/>
  <c r="M1134" i="14"/>
  <c r="L1134" i="14"/>
  <c r="K1134" i="14"/>
  <c r="J1134" i="14"/>
  <c r="I1134" i="14"/>
  <c r="H1134" i="14"/>
  <c r="G1134" i="14"/>
  <c r="AE1133" i="14"/>
  <c r="F1133" i="14"/>
  <c r="E1133" i="14" s="1"/>
  <c r="B1133" i="14"/>
  <c r="AE1132" i="14"/>
  <c r="F1132" i="14" s="1"/>
  <c r="E1132" i="14" s="1"/>
  <c r="B1132" i="14"/>
  <c r="AE1131" i="14"/>
  <c r="F1131" i="14"/>
  <c r="E1131" i="14" s="1"/>
  <c r="B1131" i="14"/>
  <c r="AE1130" i="14"/>
  <c r="F1130" i="14" s="1"/>
  <c r="E1130" i="14" s="1"/>
  <c r="B1130" i="14"/>
  <c r="AE1129" i="14"/>
  <c r="F1129" i="14"/>
  <c r="E1129" i="14" s="1"/>
  <c r="B1129" i="14"/>
  <c r="AE1128" i="14"/>
  <c r="P1128" i="14"/>
  <c r="F1128" i="14"/>
  <c r="E1128" i="14" s="1"/>
  <c r="B1128" i="14"/>
  <c r="AE1127" i="14"/>
  <c r="F1127" i="14" s="1"/>
  <c r="E1127" i="14" s="1"/>
  <c r="B1127" i="14"/>
  <c r="AE1126" i="14"/>
  <c r="F1126" i="14"/>
  <c r="E1126" i="14" s="1"/>
  <c r="B1126" i="14"/>
  <c r="AG1125" i="14"/>
  <c r="AF1125" i="14"/>
  <c r="AE1125" i="14"/>
  <c r="AD1125" i="14"/>
  <c r="AC1125" i="14"/>
  <c r="AB1125" i="14"/>
  <c r="AA1125" i="14"/>
  <c r="Z1125" i="14"/>
  <c r="Y1125" i="14"/>
  <c r="X1125" i="14"/>
  <c r="W1125" i="14"/>
  <c r="V1125" i="14"/>
  <c r="U1125" i="14"/>
  <c r="T1125" i="14"/>
  <c r="S1125" i="14"/>
  <c r="R1125" i="14"/>
  <c r="Q1125" i="14"/>
  <c r="P1125" i="14"/>
  <c r="O1125" i="14"/>
  <c r="N1125" i="14"/>
  <c r="M1125" i="14"/>
  <c r="L1125" i="14"/>
  <c r="K1125" i="14"/>
  <c r="J1125" i="14"/>
  <c r="I1125" i="14"/>
  <c r="H1125" i="14"/>
  <c r="G1125" i="14"/>
  <c r="AE1124" i="14"/>
  <c r="F1124" i="14" s="1"/>
  <c r="E1124" i="14" s="1"/>
  <c r="B1124" i="14"/>
  <c r="AE1123" i="14"/>
  <c r="F1123" i="14"/>
  <c r="E1123" i="14" s="1"/>
  <c r="B1123" i="14"/>
  <c r="AG1122" i="14"/>
  <c r="AF1122" i="14"/>
  <c r="AE1122" i="14"/>
  <c r="AD1122" i="14"/>
  <c r="AC1122" i="14"/>
  <c r="AB1122" i="14"/>
  <c r="AA1122" i="14"/>
  <c r="Z1122" i="14"/>
  <c r="Y1122" i="14"/>
  <c r="X1122" i="14"/>
  <c r="W1122" i="14"/>
  <c r="V1122" i="14"/>
  <c r="U1122" i="14"/>
  <c r="T1122" i="14"/>
  <c r="S1122" i="14"/>
  <c r="R1122" i="14"/>
  <c r="Q1122" i="14"/>
  <c r="P1122" i="14"/>
  <c r="O1122" i="14"/>
  <c r="N1122" i="14"/>
  <c r="M1122" i="14"/>
  <c r="L1122" i="14"/>
  <c r="K1122" i="14"/>
  <c r="J1122" i="14"/>
  <c r="I1122" i="14"/>
  <c r="H1122" i="14"/>
  <c r="G1122" i="14"/>
  <c r="AE1121" i="14"/>
  <c r="F1121" i="14"/>
  <c r="E1121" i="14" s="1"/>
  <c r="B1121" i="14"/>
  <c r="AE1120" i="14"/>
  <c r="F1120" i="14" s="1"/>
  <c r="E1120" i="14" s="1"/>
  <c r="B1120" i="14"/>
  <c r="P1119" i="14"/>
  <c r="AE1119" i="14" s="1"/>
  <c r="B1119" i="14"/>
  <c r="P1118" i="14"/>
  <c r="AE1118" i="14" s="1"/>
  <c r="B1118" i="14"/>
  <c r="AE1117" i="14"/>
  <c r="F1117" i="14"/>
  <c r="E1117" i="14" s="1"/>
  <c r="B1117" i="14"/>
  <c r="AE1116" i="14"/>
  <c r="F1116" i="14" s="1"/>
  <c r="E1116" i="14" s="1"/>
  <c r="B1116" i="14"/>
  <c r="AV1115" i="14"/>
  <c r="AE1115" i="14"/>
  <c r="F1115" i="14"/>
  <c r="E1115" i="14" s="1"/>
  <c r="B1115" i="14"/>
  <c r="F1114" i="14"/>
  <c r="E1114" i="14" s="1"/>
  <c r="B1114" i="14"/>
  <c r="AE1113" i="14"/>
  <c r="F1113" i="14" s="1"/>
  <c r="E1113" i="14" s="1"/>
  <c r="B1113" i="14"/>
  <c r="AE1112" i="14"/>
  <c r="F1112" i="14"/>
  <c r="E1112" i="14" s="1"/>
  <c r="B1112" i="14"/>
  <c r="AE1111" i="14"/>
  <c r="F1111" i="14" s="1"/>
  <c r="B1111" i="14"/>
  <c r="AG1110" i="14"/>
  <c r="AF1110" i="14"/>
  <c r="AD1110" i="14"/>
  <c r="AC1110" i="14"/>
  <c r="AB1110" i="14"/>
  <c r="AA1110" i="14"/>
  <c r="Z1110" i="14"/>
  <c r="Y1110" i="14"/>
  <c r="X1110" i="14"/>
  <c r="W1110" i="14"/>
  <c r="V1110" i="14"/>
  <c r="U1110" i="14"/>
  <c r="T1110" i="14"/>
  <c r="S1110" i="14"/>
  <c r="R1110" i="14"/>
  <c r="Q1110" i="14"/>
  <c r="P1110" i="14"/>
  <c r="O1110" i="14"/>
  <c r="N1110" i="14"/>
  <c r="M1110" i="14"/>
  <c r="L1110" i="14"/>
  <c r="K1110" i="14"/>
  <c r="J1110" i="14"/>
  <c r="I1110" i="14"/>
  <c r="H1110" i="14"/>
  <c r="G1110" i="14"/>
  <c r="F1109" i="14"/>
  <c r="E1109" i="14"/>
  <c r="B1109" i="14"/>
  <c r="AE1108" i="14"/>
  <c r="F1108" i="14"/>
  <c r="E1108" i="14" s="1"/>
  <c r="B1108" i="14"/>
  <c r="AE1107" i="14"/>
  <c r="F1107" i="14" s="1"/>
  <c r="E1107" i="14" s="1"/>
  <c r="B1107" i="14"/>
  <c r="AE1106" i="14"/>
  <c r="F1106" i="14"/>
  <c r="E1106" i="14" s="1"/>
  <c r="B1106" i="14"/>
  <c r="AE1105" i="14"/>
  <c r="F1105" i="14" s="1"/>
  <c r="E1105" i="14" s="1"/>
  <c r="B1105" i="14"/>
  <c r="AE1104" i="14"/>
  <c r="F1104" i="14"/>
  <c r="E1104" i="14" s="1"/>
  <c r="B1104" i="14"/>
  <c r="AE1103" i="14"/>
  <c r="F1103" i="14" s="1"/>
  <c r="E1103" i="14" s="1"/>
  <c r="B1103" i="14"/>
  <c r="AE1102" i="14"/>
  <c r="F1102" i="14"/>
  <c r="E1102" i="14" s="1"/>
  <c r="B1102" i="14"/>
  <c r="AE1101" i="14"/>
  <c r="F1101" i="14" s="1"/>
  <c r="E1101" i="14" s="1"/>
  <c r="B1101" i="14"/>
  <c r="AE1100" i="14"/>
  <c r="F1100" i="14"/>
  <c r="E1100" i="14" s="1"/>
  <c r="B1100" i="14"/>
  <c r="AE1099" i="14"/>
  <c r="F1099" i="14" s="1"/>
  <c r="E1099" i="14" s="1"/>
  <c r="B1099" i="14"/>
  <c r="AE1098" i="14"/>
  <c r="F1098" i="14"/>
  <c r="E1098" i="14" s="1"/>
  <c r="B1098" i="14"/>
  <c r="AV1097" i="14"/>
  <c r="F1097" i="14"/>
  <c r="E1097" i="14" s="1"/>
  <c r="B1097" i="14"/>
  <c r="AE1096" i="14"/>
  <c r="F1096" i="14" s="1"/>
  <c r="E1096" i="14" s="1"/>
  <c r="B1096" i="14"/>
  <c r="AE1095" i="14"/>
  <c r="F1095" i="14"/>
  <c r="E1095" i="14" s="1"/>
  <c r="B1095" i="14"/>
  <c r="AE1094" i="14"/>
  <c r="F1094" i="14" s="1"/>
  <c r="E1094" i="14" s="1"/>
  <c r="B1094" i="14"/>
  <c r="AE1093" i="14"/>
  <c r="F1093" i="14"/>
  <c r="E1093" i="14" s="1"/>
  <c r="B1093" i="14"/>
  <c r="AE1092" i="14"/>
  <c r="F1092" i="14" s="1"/>
  <c r="E1092" i="14" s="1"/>
  <c r="B1092" i="14"/>
  <c r="AE1091" i="14"/>
  <c r="F1091" i="14"/>
  <c r="E1091" i="14" s="1"/>
  <c r="B1091" i="14"/>
  <c r="AE1090" i="14"/>
  <c r="F1090" i="14" s="1"/>
  <c r="E1090" i="14" s="1"/>
  <c r="B1090" i="14"/>
  <c r="AE1089" i="14"/>
  <c r="F1089" i="14"/>
  <c r="E1089" i="14" s="1"/>
  <c r="B1089" i="14"/>
  <c r="AE1088" i="14"/>
  <c r="F1088" i="14" s="1"/>
  <c r="E1088" i="14" s="1"/>
  <c r="B1088" i="14"/>
  <c r="AE1087" i="14"/>
  <c r="F1087" i="14"/>
  <c r="E1087" i="14" s="1"/>
  <c r="B1087" i="14"/>
  <c r="AE1086" i="14"/>
  <c r="F1086" i="14" s="1"/>
  <c r="E1086" i="14" s="1"/>
  <c r="B1086" i="14"/>
  <c r="I1085" i="14"/>
  <c r="AE1085" i="14" s="1"/>
  <c r="AE1083" i="14" s="1"/>
  <c r="B1085" i="14"/>
  <c r="AE1084" i="14"/>
  <c r="F1084" i="14"/>
  <c r="E1084" i="14" s="1"/>
  <c r="B1084" i="14"/>
  <c r="AG1083" i="14"/>
  <c r="AF1083" i="14"/>
  <c r="AD1083" i="14"/>
  <c r="AC1083" i="14"/>
  <c r="AB1083" i="14"/>
  <c r="AA1083" i="14"/>
  <c r="Z1083" i="14"/>
  <c r="Y1083" i="14"/>
  <c r="X1083" i="14"/>
  <c r="W1083" i="14"/>
  <c r="V1083" i="14"/>
  <c r="U1083" i="14"/>
  <c r="T1083" i="14"/>
  <c r="S1083" i="14"/>
  <c r="R1083" i="14"/>
  <c r="Q1083" i="14"/>
  <c r="P1083" i="14"/>
  <c r="O1083" i="14"/>
  <c r="N1083" i="14"/>
  <c r="M1083" i="14"/>
  <c r="L1083" i="14"/>
  <c r="K1083" i="14"/>
  <c r="J1083" i="14"/>
  <c r="I1083" i="14"/>
  <c r="H1083" i="14"/>
  <c r="G1083" i="14"/>
  <c r="AE1082" i="14"/>
  <c r="F1082" i="14"/>
  <c r="E1082" i="14" s="1"/>
  <c r="B1082" i="14"/>
  <c r="AE1081" i="14"/>
  <c r="F1081" i="14" s="1"/>
  <c r="E1081" i="14" s="1"/>
  <c r="B1081" i="14"/>
  <c r="P1080" i="14"/>
  <c r="AE1080" i="14" s="1"/>
  <c r="AE1068" i="14" s="1"/>
  <c r="B1080" i="14"/>
  <c r="AE1079" i="14"/>
  <c r="F1079" i="14"/>
  <c r="E1079" i="14" s="1"/>
  <c r="B1079" i="14"/>
  <c r="AE1078" i="14"/>
  <c r="P1078" i="14"/>
  <c r="F1078" i="14"/>
  <c r="E1078" i="14" s="1"/>
  <c r="B1078" i="14"/>
  <c r="AE1077" i="14"/>
  <c r="F1077" i="14" s="1"/>
  <c r="E1077" i="14" s="1"/>
  <c r="B1077" i="14"/>
  <c r="AE1076" i="14"/>
  <c r="F1076" i="14"/>
  <c r="E1076" i="14" s="1"/>
  <c r="B1076" i="14"/>
  <c r="AE1075" i="14"/>
  <c r="F1075" i="14" s="1"/>
  <c r="E1075" i="14" s="1"/>
  <c r="B1075" i="14"/>
  <c r="AE1074" i="14"/>
  <c r="F1074" i="14"/>
  <c r="E1074" i="14" s="1"/>
  <c r="B1074" i="14"/>
  <c r="AE1073" i="14"/>
  <c r="F1073" i="14" s="1"/>
  <c r="E1073" i="14" s="1"/>
  <c r="B1073" i="14"/>
  <c r="AE1072" i="14"/>
  <c r="F1072" i="14"/>
  <c r="E1072" i="14" s="1"/>
  <c r="B1072" i="14"/>
  <c r="AE1071" i="14"/>
  <c r="F1071" i="14" s="1"/>
  <c r="E1071" i="14" s="1"/>
  <c r="B1071" i="14"/>
  <c r="AE1070" i="14"/>
  <c r="F1070" i="14"/>
  <c r="E1070" i="14" s="1"/>
  <c r="B1070" i="14"/>
  <c r="AE1069" i="14"/>
  <c r="F1069" i="14" s="1"/>
  <c r="B1069" i="14"/>
  <c r="AG1068" i="14"/>
  <c r="AF1068" i="14"/>
  <c r="AD1068" i="14"/>
  <c r="AC1068" i="14"/>
  <c r="AB1068" i="14"/>
  <c r="AA1068" i="14"/>
  <c r="Z1068" i="14"/>
  <c r="Y1068" i="14"/>
  <c r="X1068" i="14"/>
  <c r="W1068" i="14"/>
  <c r="V1068" i="14"/>
  <c r="U1068" i="14"/>
  <c r="T1068" i="14"/>
  <c r="S1068" i="14"/>
  <c r="R1068" i="14"/>
  <c r="Q1068" i="14"/>
  <c r="P1068" i="14"/>
  <c r="O1068" i="14"/>
  <c r="N1068" i="14"/>
  <c r="M1068" i="14"/>
  <c r="L1068" i="14"/>
  <c r="K1068" i="14"/>
  <c r="J1068" i="14"/>
  <c r="I1068" i="14"/>
  <c r="H1068" i="14"/>
  <c r="G1068" i="14"/>
  <c r="F1067" i="14"/>
  <c r="E1067" i="14" s="1"/>
  <c r="B1067" i="14"/>
  <c r="F1066" i="14"/>
  <c r="E1066" i="14" s="1"/>
  <c r="B1066" i="14"/>
  <c r="F1065" i="14"/>
  <c r="E1065" i="14" s="1"/>
  <c r="B1065" i="14"/>
  <c r="F1064" i="14"/>
  <c r="E1064" i="14" s="1"/>
  <c r="B1064" i="14"/>
  <c r="F1063" i="14"/>
  <c r="E1063" i="14" s="1"/>
  <c r="B1063" i="14"/>
  <c r="F1062" i="14"/>
  <c r="E1062" i="14"/>
  <c r="B1062" i="14"/>
  <c r="F1061" i="14"/>
  <c r="E1061" i="14"/>
  <c r="B1061" i="14"/>
  <c r="F1060" i="14"/>
  <c r="E1060" i="14"/>
  <c r="B1060" i="14"/>
  <c r="F1059" i="14"/>
  <c r="E1059" i="14" s="1"/>
  <c r="B1059" i="14"/>
  <c r="F1058" i="14"/>
  <c r="E1058" i="14" s="1"/>
  <c r="B1058" i="14"/>
  <c r="F1057" i="14"/>
  <c r="E1057" i="14"/>
  <c r="B1057" i="14"/>
  <c r="F1056" i="14"/>
  <c r="E1056" i="14" s="1"/>
  <c r="B1056" i="14"/>
  <c r="F1055" i="14"/>
  <c r="E1055" i="14"/>
  <c r="B1055" i="14"/>
  <c r="F1054" i="14"/>
  <c r="E1054" i="14"/>
  <c r="B1054" i="14"/>
  <c r="F1053" i="14"/>
  <c r="E1053" i="14"/>
  <c r="B1053" i="14"/>
  <c r="F1052" i="14"/>
  <c r="E1052" i="14"/>
  <c r="B1052" i="14"/>
  <c r="F1051" i="14"/>
  <c r="E1051" i="14"/>
  <c r="B1051" i="14"/>
  <c r="F1050" i="14"/>
  <c r="E1050" i="14"/>
  <c r="B1050" i="14"/>
  <c r="F1049" i="14"/>
  <c r="E1049" i="14"/>
  <c r="B1049" i="14"/>
  <c r="F1048" i="14"/>
  <c r="E1048" i="14"/>
  <c r="B1048" i="14"/>
  <c r="F1047" i="14"/>
  <c r="E1047" i="14"/>
  <c r="B1047" i="14"/>
  <c r="F1046" i="14"/>
  <c r="E1046" i="14" s="1"/>
  <c r="B1046" i="14"/>
  <c r="F1045" i="14"/>
  <c r="E1045" i="14"/>
  <c r="B1045" i="14"/>
  <c r="F1044" i="14"/>
  <c r="E1044" i="14" s="1"/>
  <c r="B1044" i="14"/>
  <c r="F1043" i="14"/>
  <c r="E1043" i="14" s="1"/>
  <c r="B1043" i="14"/>
  <c r="F1042" i="14"/>
  <c r="E1042" i="14" s="1"/>
  <c r="B1042" i="14"/>
  <c r="F1041" i="14"/>
  <c r="E1041" i="14" s="1"/>
  <c r="B1041" i="14"/>
  <c r="F1040" i="14"/>
  <c r="E1040" i="14" s="1"/>
  <c r="B1040" i="14"/>
  <c r="F1039" i="14"/>
  <c r="E1039" i="14" s="1"/>
  <c r="B1039" i="14"/>
  <c r="F1038" i="14"/>
  <c r="E1038" i="14" s="1"/>
  <c r="B1038" i="14"/>
  <c r="F1037" i="14"/>
  <c r="E1037" i="14"/>
  <c r="B1037" i="14"/>
  <c r="F1036" i="14"/>
  <c r="E1036" i="14"/>
  <c r="B1036" i="14"/>
  <c r="F1035" i="14"/>
  <c r="E1035" i="14"/>
  <c r="B1035" i="14"/>
  <c r="F1034" i="14"/>
  <c r="E1034" i="14"/>
  <c r="B1034" i="14"/>
  <c r="F1033" i="14"/>
  <c r="E1033" i="14"/>
  <c r="B1033" i="14"/>
  <c r="F1032" i="14"/>
  <c r="E1032" i="14"/>
  <c r="B1032" i="14"/>
  <c r="F1031" i="14"/>
  <c r="E1031" i="14"/>
  <c r="B1031" i="14"/>
  <c r="F1030" i="14"/>
  <c r="E1030" i="14"/>
  <c r="B1030" i="14"/>
  <c r="F1029" i="14"/>
  <c r="E1029" i="14" s="1"/>
  <c r="B1029" i="14"/>
  <c r="F1028" i="14"/>
  <c r="E1028" i="14"/>
  <c r="B1028" i="14"/>
  <c r="F1027" i="14"/>
  <c r="E1027" i="14"/>
  <c r="B1027" i="14"/>
  <c r="F1026" i="14"/>
  <c r="E1026" i="14"/>
  <c r="B1026" i="14"/>
  <c r="F1025" i="14"/>
  <c r="E1025" i="14"/>
  <c r="B1025" i="14"/>
  <c r="F1024" i="14"/>
  <c r="E1024" i="14"/>
  <c r="B1024" i="14"/>
  <c r="F1023" i="14"/>
  <c r="E1023" i="14"/>
  <c r="B1023" i="14"/>
  <c r="F1022" i="14"/>
  <c r="E1022" i="14"/>
  <c r="B1022" i="14"/>
  <c r="F1021" i="14"/>
  <c r="E1021" i="14"/>
  <c r="B1021" i="14"/>
  <c r="F1020" i="14"/>
  <c r="E1020" i="14"/>
  <c r="B1020" i="14"/>
  <c r="F1019" i="14"/>
  <c r="E1019" i="14" s="1"/>
  <c r="B1019" i="14"/>
  <c r="F1018" i="14"/>
  <c r="E1018" i="14" s="1"/>
  <c r="B1018" i="14"/>
  <c r="F1017" i="14"/>
  <c r="E1017" i="14" s="1"/>
  <c r="B1017" i="14"/>
  <c r="F1016" i="14"/>
  <c r="E1016" i="14" s="1"/>
  <c r="B1016" i="14"/>
  <c r="F1015" i="14"/>
  <c r="E1015" i="14" s="1"/>
  <c r="B1015" i="14"/>
  <c r="F1014" i="14"/>
  <c r="E1014" i="14" s="1"/>
  <c r="B1014" i="14"/>
  <c r="F1013" i="14"/>
  <c r="E1013" i="14"/>
  <c r="B1013" i="14"/>
  <c r="F1012" i="14"/>
  <c r="E1012" i="14"/>
  <c r="B1012" i="14"/>
  <c r="F1011" i="14"/>
  <c r="E1011" i="14" s="1"/>
  <c r="B1011" i="14"/>
  <c r="F1010" i="14"/>
  <c r="E1010" i="14" s="1"/>
  <c r="B1010" i="14"/>
  <c r="F1009" i="14"/>
  <c r="E1009" i="14" s="1"/>
  <c r="B1009" i="14"/>
  <c r="F1008" i="14"/>
  <c r="E1008" i="14" s="1"/>
  <c r="B1008" i="14"/>
  <c r="F1007" i="14"/>
  <c r="E1007" i="14" s="1"/>
  <c r="B1007" i="14"/>
  <c r="F1006" i="14"/>
  <c r="E1006" i="14" s="1"/>
  <c r="B1006" i="14"/>
  <c r="AG1005" i="14"/>
  <c r="AF1005" i="14"/>
  <c r="AE1005" i="14"/>
  <c r="AD1005" i="14"/>
  <c r="AC1005" i="14"/>
  <c r="AB1005" i="14"/>
  <c r="AA1005" i="14"/>
  <c r="Z1005" i="14"/>
  <c r="Y1005" i="14"/>
  <c r="X1005" i="14"/>
  <c r="W1005" i="14"/>
  <c r="V1005" i="14"/>
  <c r="U1005" i="14"/>
  <c r="T1005" i="14"/>
  <c r="S1005" i="14"/>
  <c r="R1005" i="14"/>
  <c r="Q1005" i="14"/>
  <c r="P1005" i="14"/>
  <c r="O1005" i="14"/>
  <c r="N1005" i="14"/>
  <c r="M1005" i="14"/>
  <c r="L1005" i="14"/>
  <c r="K1005" i="14"/>
  <c r="J1005" i="14"/>
  <c r="I1005" i="14"/>
  <c r="H1005" i="14"/>
  <c r="G1005" i="14"/>
  <c r="F1005" i="14"/>
  <c r="E1005" i="14" s="1"/>
  <c r="AG1004" i="14"/>
  <c r="AF1004" i="14"/>
  <c r="AD1004" i="14"/>
  <c r="AC1004" i="14"/>
  <c r="AB1004" i="14"/>
  <c r="AA1004" i="14"/>
  <c r="Z1004" i="14"/>
  <c r="Y1004" i="14"/>
  <c r="X1004" i="14"/>
  <c r="W1004" i="14"/>
  <c r="V1004" i="14"/>
  <c r="U1004" i="14"/>
  <c r="T1004" i="14"/>
  <c r="S1004" i="14"/>
  <c r="R1004" i="14"/>
  <c r="Q1004" i="14"/>
  <c r="O1004" i="14"/>
  <c r="N1004" i="14"/>
  <c r="M1004" i="14"/>
  <c r="L1004" i="14"/>
  <c r="K1004" i="14"/>
  <c r="J1004" i="14"/>
  <c r="I1004" i="14"/>
  <c r="H1004" i="14"/>
  <c r="G1004" i="14"/>
  <c r="AE1003" i="14"/>
  <c r="F1003" i="14" s="1"/>
  <c r="B1003" i="14"/>
  <c r="AG1002" i="14"/>
  <c r="AF1002" i="14"/>
  <c r="AE1002" i="14"/>
  <c r="AD1002" i="14"/>
  <c r="AC1002" i="14"/>
  <c r="AB1002" i="14"/>
  <c r="AA1002" i="14"/>
  <c r="Z1002" i="14"/>
  <c r="Y1002" i="14"/>
  <c r="X1002" i="14"/>
  <c r="W1002" i="14"/>
  <c r="V1002" i="14"/>
  <c r="U1002" i="14"/>
  <c r="T1002" i="14"/>
  <c r="S1002" i="14"/>
  <c r="R1002" i="14"/>
  <c r="Q1002" i="14"/>
  <c r="P1002" i="14"/>
  <c r="O1002" i="14"/>
  <c r="N1002" i="14"/>
  <c r="M1002" i="14"/>
  <c r="L1002" i="14"/>
  <c r="K1002" i="14"/>
  <c r="J1002" i="14"/>
  <c r="I1002" i="14"/>
  <c r="H1002" i="14"/>
  <c r="G1002" i="14"/>
  <c r="AE1001" i="14"/>
  <c r="AE1000" i="14" s="1"/>
  <c r="P1001" i="14"/>
  <c r="F1001" i="14"/>
  <c r="E1001" i="14" s="1"/>
  <c r="B1001" i="14"/>
  <c r="AG1000" i="14"/>
  <c r="AF1000" i="14"/>
  <c r="AD1000" i="14"/>
  <c r="AC1000" i="14"/>
  <c r="AB1000" i="14"/>
  <c r="AA1000" i="14"/>
  <c r="Z1000" i="14"/>
  <c r="Y1000" i="14"/>
  <c r="X1000" i="14"/>
  <c r="W1000" i="14"/>
  <c r="V1000" i="14"/>
  <c r="U1000" i="14"/>
  <c r="T1000" i="14"/>
  <c r="S1000" i="14"/>
  <c r="R1000" i="14"/>
  <c r="Q1000" i="14"/>
  <c r="P1000" i="14"/>
  <c r="O1000" i="14"/>
  <c r="N1000" i="14"/>
  <c r="M1000" i="14"/>
  <c r="L1000" i="14"/>
  <c r="K1000" i="14"/>
  <c r="J1000" i="14"/>
  <c r="I1000" i="14"/>
  <c r="H1000" i="14"/>
  <c r="G1000" i="14"/>
  <c r="F1000" i="14"/>
  <c r="E1000" i="14" s="1"/>
  <c r="F999" i="14"/>
  <c r="E999" i="14" s="1"/>
  <c r="B999" i="14"/>
  <c r="F998" i="14"/>
  <c r="E998" i="14"/>
  <c r="B998" i="14"/>
  <c r="F997" i="14"/>
  <c r="E997" i="14" s="1"/>
  <c r="B997" i="14"/>
  <c r="P996" i="14"/>
  <c r="AE996" i="14" s="1"/>
  <c r="AE995" i="14" s="1"/>
  <c r="B996" i="14"/>
  <c r="AG995" i="14"/>
  <c r="AF995" i="14"/>
  <c r="AD995" i="14"/>
  <c r="AC995" i="14"/>
  <c r="AB995" i="14"/>
  <c r="AA995" i="14"/>
  <c r="Z995" i="14"/>
  <c r="Y995" i="14"/>
  <c r="X995" i="14"/>
  <c r="W995" i="14"/>
  <c r="V995" i="14"/>
  <c r="U995" i="14"/>
  <c r="T995" i="14"/>
  <c r="S995" i="14"/>
  <c r="R995" i="14"/>
  <c r="Q995" i="14"/>
  <c r="O995" i="14"/>
  <c r="N995" i="14"/>
  <c r="M995" i="14"/>
  <c r="L995" i="14"/>
  <c r="K995" i="14"/>
  <c r="J995" i="14"/>
  <c r="I995" i="14"/>
  <c r="H995" i="14"/>
  <c r="G995" i="14"/>
  <c r="AE994" i="14"/>
  <c r="I994" i="14"/>
  <c r="F994" i="14"/>
  <c r="E994" i="14" s="1"/>
  <c r="B994" i="14"/>
  <c r="AE993" i="14"/>
  <c r="F993" i="14"/>
  <c r="E993" i="14" s="1"/>
  <c r="B993" i="14"/>
  <c r="AE992" i="14"/>
  <c r="F992" i="14"/>
  <c r="E992" i="14" s="1"/>
  <c r="B992" i="14"/>
  <c r="I991" i="14"/>
  <c r="AE991" i="14" s="1"/>
  <c r="B991" i="14"/>
  <c r="AE990" i="14"/>
  <c r="P990" i="14"/>
  <c r="F990" i="14"/>
  <c r="E990" i="14" s="1"/>
  <c r="B990" i="14"/>
  <c r="P989" i="14"/>
  <c r="AE989" i="14" s="1"/>
  <c r="AE988" i="14" s="1"/>
  <c r="B989" i="14"/>
  <c r="AG988" i="14"/>
  <c r="AF988" i="14"/>
  <c r="AD988" i="14"/>
  <c r="AC988" i="14"/>
  <c r="AB988" i="14"/>
  <c r="AA988" i="14"/>
  <c r="Z988" i="14"/>
  <c r="Y988" i="14"/>
  <c r="X988" i="14"/>
  <c r="W988" i="14"/>
  <c r="V988" i="14"/>
  <c r="U988" i="14"/>
  <c r="T988" i="14"/>
  <c r="S988" i="14"/>
  <c r="R988" i="14"/>
  <c r="Q988" i="14"/>
  <c r="P988" i="14"/>
  <c r="O988" i="14"/>
  <c r="N988" i="14"/>
  <c r="M988" i="14"/>
  <c r="L988" i="14"/>
  <c r="K988" i="14"/>
  <c r="J988" i="14"/>
  <c r="I988" i="14"/>
  <c r="H988" i="14"/>
  <c r="G988" i="14"/>
  <c r="AE987" i="14"/>
  <c r="F987" i="14" s="1"/>
  <c r="B987" i="14"/>
  <c r="AG986" i="14"/>
  <c r="AF986" i="14"/>
  <c r="AE986" i="14"/>
  <c r="AD986" i="14"/>
  <c r="AC986" i="14"/>
  <c r="AB986" i="14"/>
  <c r="AA986" i="14"/>
  <c r="Z986" i="14"/>
  <c r="Y986" i="14"/>
  <c r="X986" i="14"/>
  <c r="W986" i="14"/>
  <c r="V986" i="14"/>
  <c r="U986" i="14"/>
  <c r="T986" i="14"/>
  <c r="S986" i="14"/>
  <c r="R986" i="14"/>
  <c r="Q986" i="14"/>
  <c r="P986" i="14"/>
  <c r="O986" i="14"/>
  <c r="N986" i="14"/>
  <c r="M986" i="14"/>
  <c r="L986" i="14"/>
  <c r="K986" i="14"/>
  <c r="J986" i="14"/>
  <c r="I986" i="14"/>
  <c r="H986" i="14"/>
  <c r="G986" i="14"/>
  <c r="AE985" i="14"/>
  <c r="AE984" i="14" s="1"/>
  <c r="P985" i="14"/>
  <c r="F985" i="14"/>
  <c r="E985" i="14" s="1"/>
  <c r="B985" i="14"/>
  <c r="AG984" i="14"/>
  <c r="AF984" i="14"/>
  <c r="AD984" i="14"/>
  <c r="AC984" i="14"/>
  <c r="AB984" i="14"/>
  <c r="AA984" i="14"/>
  <c r="Z984" i="14"/>
  <c r="Y984" i="14"/>
  <c r="X984" i="14"/>
  <c r="W984" i="14"/>
  <c r="V984" i="14"/>
  <c r="U984" i="14"/>
  <c r="T984" i="14"/>
  <c r="S984" i="14"/>
  <c r="R984" i="14"/>
  <c r="Q984" i="14"/>
  <c r="P984" i="14"/>
  <c r="O984" i="14"/>
  <c r="N984" i="14"/>
  <c r="M984" i="14"/>
  <c r="L984" i="14"/>
  <c r="K984" i="14"/>
  <c r="J984" i="14"/>
  <c r="I984" i="14"/>
  <c r="H984" i="14"/>
  <c r="G984" i="14"/>
  <c r="F984" i="14"/>
  <c r="E984" i="14" s="1"/>
  <c r="AE983" i="14"/>
  <c r="F983" i="14"/>
  <c r="E983" i="14" s="1"/>
  <c r="B983" i="14"/>
  <c r="P982" i="14"/>
  <c r="AE982" i="14" s="1"/>
  <c r="AE978" i="14" s="1"/>
  <c r="B982" i="14"/>
  <c r="AE981" i="14"/>
  <c r="F981" i="14" s="1"/>
  <c r="E981" i="14" s="1"/>
  <c r="B981" i="14"/>
  <c r="AE980" i="14"/>
  <c r="P980" i="14"/>
  <c r="F980" i="14"/>
  <c r="E980" i="14" s="1"/>
  <c r="B980" i="14"/>
  <c r="AF979" i="14"/>
  <c r="AE979" i="14"/>
  <c r="F979" i="14" s="1"/>
  <c r="B979" i="14"/>
  <c r="AG978" i="14"/>
  <c r="AF978" i="14"/>
  <c r="AD978" i="14"/>
  <c r="AC978" i="14"/>
  <c r="AB978" i="14"/>
  <c r="AA978" i="14"/>
  <c r="Z978" i="14"/>
  <c r="Y978" i="14"/>
  <c r="X978" i="14"/>
  <c r="W978" i="14"/>
  <c r="V978" i="14"/>
  <c r="U978" i="14"/>
  <c r="T978" i="14"/>
  <c r="S978" i="14"/>
  <c r="R978" i="14"/>
  <c r="Q978" i="14"/>
  <c r="P978" i="14"/>
  <c r="O978" i="14"/>
  <c r="N978" i="14"/>
  <c r="M978" i="14"/>
  <c r="L978" i="14"/>
  <c r="K978" i="14"/>
  <c r="J978" i="14"/>
  <c r="I978" i="14"/>
  <c r="H978" i="14"/>
  <c r="G978" i="14"/>
  <c r="P977" i="14"/>
  <c r="AE977" i="14" s="1"/>
  <c r="AE976" i="14" s="1"/>
  <c r="B977" i="14"/>
  <c r="AG976" i="14"/>
  <c r="AF976" i="14"/>
  <c r="AD976" i="14"/>
  <c r="AC976" i="14"/>
  <c r="AB976" i="14"/>
  <c r="AA976" i="14"/>
  <c r="Z976" i="14"/>
  <c r="Y976" i="14"/>
  <c r="X976" i="14"/>
  <c r="W976" i="14"/>
  <c r="V976" i="14"/>
  <c r="U976" i="14"/>
  <c r="T976" i="14"/>
  <c r="S976" i="14"/>
  <c r="R976" i="14"/>
  <c r="Q976" i="14"/>
  <c r="O976" i="14"/>
  <c r="N976" i="14"/>
  <c r="M976" i="14"/>
  <c r="L976" i="14"/>
  <c r="K976" i="14"/>
  <c r="J976" i="14"/>
  <c r="I976" i="14"/>
  <c r="H976" i="14"/>
  <c r="G976" i="14"/>
  <c r="AE975" i="14"/>
  <c r="AE974" i="14" s="1"/>
  <c r="J975" i="14"/>
  <c r="F975" i="14"/>
  <c r="E975" i="14" s="1"/>
  <c r="B975" i="14"/>
  <c r="AG974" i="14"/>
  <c r="AF974" i="14"/>
  <c r="AD974" i="14"/>
  <c r="AC974" i="14"/>
  <c r="AB974" i="14"/>
  <c r="AA974" i="14"/>
  <c r="Z974" i="14"/>
  <c r="Y974" i="14"/>
  <c r="X974" i="14"/>
  <c r="W974" i="14"/>
  <c r="V974" i="14"/>
  <c r="U974" i="14"/>
  <c r="T974" i="14"/>
  <c r="S974" i="14"/>
  <c r="R974" i="14"/>
  <c r="Q974" i="14"/>
  <c r="P974" i="14"/>
  <c r="O974" i="14"/>
  <c r="N974" i="14"/>
  <c r="M974" i="14"/>
  <c r="L974" i="14"/>
  <c r="K974" i="14"/>
  <c r="J974" i="14"/>
  <c r="I974" i="14"/>
  <c r="H974" i="14"/>
  <c r="G974" i="14"/>
  <c r="F974" i="14"/>
  <c r="E974" i="14" s="1"/>
  <c r="AE973" i="14"/>
  <c r="AE972" i="14" s="1"/>
  <c r="P973" i="14"/>
  <c r="F973" i="14"/>
  <c r="E973" i="14" s="1"/>
  <c r="B973" i="14"/>
  <c r="AG972" i="14"/>
  <c r="AF972" i="14"/>
  <c r="AD972" i="14"/>
  <c r="AC972" i="14"/>
  <c r="AB972" i="14"/>
  <c r="AA972" i="14"/>
  <c r="Z972" i="14"/>
  <c r="Y972" i="14"/>
  <c r="X972" i="14"/>
  <c r="W972" i="14"/>
  <c r="V972" i="14"/>
  <c r="U972" i="14"/>
  <c r="T972" i="14"/>
  <c r="S972" i="14"/>
  <c r="R972" i="14"/>
  <c r="Q972" i="14"/>
  <c r="P972" i="14"/>
  <c r="O972" i="14"/>
  <c r="N972" i="14"/>
  <c r="M972" i="14"/>
  <c r="L972" i="14"/>
  <c r="K972" i="14"/>
  <c r="J972" i="14"/>
  <c r="I972" i="14"/>
  <c r="H972" i="14"/>
  <c r="G972" i="14"/>
  <c r="F972" i="14"/>
  <c r="E972" i="14" s="1"/>
  <c r="AE971" i="14"/>
  <c r="AE970" i="14" s="1"/>
  <c r="P971" i="14"/>
  <c r="F971" i="14"/>
  <c r="E971" i="14" s="1"/>
  <c r="B971" i="14"/>
  <c r="AG970" i="14"/>
  <c r="AF970" i="14"/>
  <c r="AD970" i="14"/>
  <c r="AC970" i="14"/>
  <c r="AB970" i="14"/>
  <c r="AA970" i="14"/>
  <c r="Z970" i="14"/>
  <c r="Y970" i="14"/>
  <c r="X970" i="14"/>
  <c r="W970" i="14"/>
  <c r="V970" i="14"/>
  <c r="U970" i="14"/>
  <c r="T970" i="14"/>
  <c r="S970" i="14"/>
  <c r="R970" i="14"/>
  <c r="Q970" i="14"/>
  <c r="P970" i="14"/>
  <c r="O970" i="14"/>
  <c r="N970" i="14"/>
  <c r="M970" i="14"/>
  <c r="L970" i="14"/>
  <c r="K970" i="14"/>
  <c r="J970" i="14"/>
  <c r="I970" i="14"/>
  <c r="H970" i="14"/>
  <c r="G970" i="14"/>
  <c r="F970" i="14"/>
  <c r="E970" i="14" s="1"/>
  <c r="T969" i="14"/>
  <c r="P969" i="14"/>
  <c r="AE969" i="14" s="1"/>
  <c r="B969" i="14"/>
  <c r="AE968" i="14"/>
  <c r="F968" i="14"/>
  <c r="E968" i="14" s="1"/>
  <c r="B968" i="14"/>
  <c r="AE967" i="14"/>
  <c r="F967" i="14"/>
  <c r="E967" i="14" s="1"/>
  <c r="B967" i="14"/>
  <c r="AG966" i="14"/>
  <c r="AF966" i="14"/>
  <c r="AD966" i="14"/>
  <c r="AC966" i="14"/>
  <c r="AB966" i="14"/>
  <c r="AA966" i="14"/>
  <c r="Z966" i="14"/>
  <c r="Y966" i="14"/>
  <c r="X966" i="14"/>
  <c r="W966" i="14"/>
  <c r="V966" i="14"/>
  <c r="U966" i="14"/>
  <c r="T966" i="14"/>
  <c r="S966" i="14"/>
  <c r="R966" i="14"/>
  <c r="Q966" i="14"/>
  <c r="P966" i="14"/>
  <c r="O966" i="14"/>
  <c r="N966" i="14"/>
  <c r="M966" i="14"/>
  <c r="L966" i="14"/>
  <c r="K966" i="14"/>
  <c r="J966" i="14"/>
  <c r="I966" i="14"/>
  <c r="H966" i="14"/>
  <c r="G966" i="14"/>
  <c r="AE965" i="14"/>
  <c r="F965" i="14" s="1"/>
  <c r="E965" i="14" s="1"/>
  <c r="B965" i="14"/>
  <c r="CF964" i="14"/>
  <c r="P964" i="14"/>
  <c r="AE964" i="14" s="1"/>
  <c r="B964" i="14"/>
  <c r="P963" i="14"/>
  <c r="AE963" i="14" s="1"/>
  <c r="AE960" i="14" s="1"/>
  <c r="B963" i="14"/>
  <c r="AV962" i="14"/>
  <c r="AE962" i="14"/>
  <c r="F962" i="14" s="1"/>
  <c r="E962" i="14" s="1"/>
  <c r="B962" i="14"/>
  <c r="AE961" i="14"/>
  <c r="F961" i="14" s="1"/>
  <c r="B961" i="14"/>
  <c r="AG960" i="14"/>
  <c r="AF960" i="14"/>
  <c r="AD960" i="14"/>
  <c r="AC960" i="14"/>
  <c r="AB960" i="14"/>
  <c r="AA960" i="14"/>
  <c r="Z960" i="14"/>
  <c r="Y960" i="14"/>
  <c r="X960" i="14"/>
  <c r="W960" i="14"/>
  <c r="V960" i="14"/>
  <c r="U960" i="14"/>
  <c r="T960" i="14"/>
  <c r="S960" i="14"/>
  <c r="R960" i="14"/>
  <c r="Q960" i="14"/>
  <c r="O960" i="14"/>
  <c r="N960" i="14"/>
  <c r="M960" i="14"/>
  <c r="L960" i="14"/>
  <c r="K960" i="14"/>
  <c r="J960" i="14"/>
  <c r="I960" i="14"/>
  <c r="H960" i="14"/>
  <c r="G960" i="14"/>
  <c r="P959" i="14"/>
  <c r="AE959" i="14" s="1"/>
  <c r="AE954" i="14" s="1"/>
  <c r="B959" i="14"/>
  <c r="CF958" i="14"/>
  <c r="AE958" i="14"/>
  <c r="F958" i="14"/>
  <c r="E958" i="14" s="1"/>
  <c r="B958" i="14"/>
  <c r="CF957" i="14"/>
  <c r="AE957" i="14"/>
  <c r="F957" i="14" s="1"/>
  <c r="E957" i="14" s="1"/>
  <c r="B957" i="14"/>
  <c r="AE956" i="14"/>
  <c r="F956" i="14"/>
  <c r="E956" i="14" s="1"/>
  <c r="B956" i="14"/>
  <c r="AE955" i="14"/>
  <c r="F955" i="14"/>
  <c r="E955" i="14" s="1"/>
  <c r="B955" i="14"/>
  <c r="AG954" i="14"/>
  <c r="AF954" i="14"/>
  <c r="AD954" i="14"/>
  <c r="AC954" i="14"/>
  <c r="AB954" i="14"/>
  <c r="AA954" i="14"/>
  <c r="Z954" i="14"/>
  <c r="Y954" i="14"/>
  <c r="X954" i="14"/>
  <c r="W954" i="14"/>
  <c r="V954" i="14"/>
  <c r="U954" i="14"/>
  <c r="T954" i="14"/>
  <c r="S954" i="14"/>
  <c r="R954" i="14"/>
  <c r="Q954" i="14"/>
  <c r="O954" i="14"/>
  <c r="N954" i="14"/>
  <c r="M954" i="14"/>
  <c r="L954" i="14"/>
  <c r="K954" i="14"/>
  <c r="J954" i="14"/>
  <c r="I954" i="14"/>
  <c r="H954" i="14"/>
  <c r="G954" i="14"/>
  <c r="AE953" i="14"/>
  <c r="P953" i="14"/>
  <c r="F953" i="14"/>
  <c r="E953" i="14" s="1"/>
  <c r="B953" i="14"/>
  <c r="W952" i="14"/>
  <c r="AE952" i="14" s="1"/>
  <c r="AE950" i="14" s="1"/>
  <c r="B952" i="14"/>
  <c r="AE951" i="14"/>
  <c r="F951" i="14" s="1"/>
  <c r="B951" i="14"/>
  <c r="AG950" i="14"/>
  <c r="AF950" i="14"/>
  <c r="AD950" i="14"/>
  <c r="AC950" i="14"/>
  <c r="AB950" i="14"/>
  <c r="AA950" i="14"/>
  <c r="Z950" i="14"/>
  <c r="Y950" i="14"/>
  <c r="X950" i="14"/>
  <c r="W950" i="14"/>
  <c r="V950" i="14"/>
  <c r="U950" i="14"/>
  <c r="T950" i="14"/>
  <c r="S950" i="14"/>
  <c r="R950" i="14"/>
  <c r="Q950" i="14"/>
  <c r="P950" i="14"/>
  <c r="O950" i="14"/>
  <c r="N950" i="14"/>
  <c r="M950" i="14"/>
  <c r="L950" i="14"/>
  <c r="K950" i="14"/>
  <c r="J950" i="14"/>
  <c r="I950" i="14"/>
  <c r="H950" i="14"/>
  <c r="G950" i="14"/>
  <c r="P949" i="14"/>
  <c r="AE949" i="14" s="1"/>
  <c r="AE948" i="14" s="1"/>
  <c r="B949" i="14"/>
  <c r="AG948" i="14"/>
  <c r="AF948" i="14"/>
  <c r="AD948" i="14"/>
  <c r="AC948" i="14"/>
  <c r="AB948" i="14"/>
  <c r="AA948" i="14"/>
  <c r="Z948" i="14"/>
  <c r="Y948" i="14"/>
  <c r="X948" i="14"/>
  <c r="W948" i="14"/>
  <c r="V948" i="14"/>
  <c r="U948" i="14"/>
  <c r="T948" i="14"/>
  <c r="S948" i="14"/>
  <c r="R948" i="14"/>
  <c r="Q948" i="14"/>
  <c r="O948" i="14"/>
  <c r="N948" i="14"/>
  <c r="M948" i="14"/>
  <c r="L948" i="14"/>
  <c r="K948" i="14"/>
  <c r="J948" i="14"/>
  <c r="I948" i="14"/>
  <c r="H948" i="14"/>
  <c r="G948" i="14"/>
  <c r="AE947" i="14"/>
  <c r="F947" i="14"/>
  <c r="E947" i="14" s="1"/>
  <c r="B947" i="14"/>
  <c r="AG946" i="14"/>
  <c r="AF946" i="14"/>
  <c r="AE946" i="14"/>
  <c r="AD946" i="14"/>
  <c r="AC946" i="14"/>
  <c r="AB946" i="14"/>
  <c r="AA946" i="14"/>
  <c r="Z946" i="14"/>
  <c r="Y946" i="14"/>
  <c r="X946" i="14"/>
  <c r="W946" i="14"/>
  <c r="V946" i="14"/>
  <c r="U946" i="14"/>
  <c r="T946" i="14"/>
  <c r="S946" i="14"/>
  <c r="R946" i="14"/>
  <c r="Q946" i="14"/>
  <c r="P946" i="14"/>
  <c r="O946" i="14"/>
  <c r="N946" i="14"/>
  <c r="M946" i="14"/>
  <c r="L946" i="14"/>
  <c r="K946" i="14"/>
  <c r="J946" i="14"/>
  <c r="I946" i="14"/>
  <c r="H946" i="14"/>
  <c r="G946" i="14"/>
  <c r="F946" i="14"/>
  <c r="E946" i="14" s="1"/>
  <c r="AE945" i="14"/>
  <c r="AE944" i="14" s="1"/>
  <c r="P945" i="14"/>
  <c r="F945" i="14"/>
  <c r="E945" i="14" s="1"/>
  <c r="B945" i="14"/>
  <c r="AG944" i="14"/>
  <c r="AF944" i="14"/>
  <c r="AD944" i="14"/>
  <c r="AC944" i="14"/>
  <c r="AB944" i="14"/>
  <c r="AA944" i="14"/>
  <c r="Z944" i="14"/>
  <c r="Y944" i="14"/>
  <c r="X944" i="14"/>
  <c r="W944" i="14"/>
  <c r="V944" i="14"/>
  <c r="U944" i="14"/>
  <c r="T944" i="14"/>
  <c r="S944" i="14"/>
  <c r="R944" i="14"/>
  <c r="Q944" i="14"/>
  <c r="P944" i="14"/>
  <c r="O944" i="14"/>
  <c r="N944" i="14"/>
  <c r="M944" i="14"/>
  <c r="L944" i="14"/>
  <c r="K944" i="14"/>
  <c r="J944" i="14"/>
  <c r="I944" i="14"/>
  <c r="H944" i="14"/>
  <c r="G944" i="14"/>
  <c r="F944" i="14"/>
  <c r="E944" i="14" s="1"/>
  <c r="AE943" i="14"/>
  <c r="F943" i="14" s="1"/>
  <c r="B943" i="14"/>
  <c r="AE942" i="14"/>
  <c r="AE941" i="14" s="1"/>
  <c r="P942" i="14"/>
  <c r="F942" i="14"/>
  <c r="E942" i="14" s="1"/>
  <c r="B942" i="14"/>
  <c r="AG941" i="14"/>
  <c r="AF941" i="14"/>
  <c r="AD941" i="14"/>
  <c r="AC941" i="14"/>
  <c r="AB941" i="14"/>
  <c r="AA941" i="14"/>
  <c r="Z941" i="14"/>
  <c r="Y941" i="14"/>
  <c r="X941" i="14"/>
  <c r="W941" i="14"/>
  <c r="V941" i="14"/>
  <c r="U941" i="14"/>
  <c r="T941" i="14"/>
  <c r="S941" i="14"/>
  <c r="R941" i="14"/>
  <c r="Q941" i="14"/>
  <c r="P941" i="14"/>
  <c r="O941" i="14"/>
  <c r="N941" i="14"/>
  <c r="M941" i="14"/>
  <c r="L941" i="14"/>
  <c r="K941" i="14"/>
  <c r="J941" i="14"/>
  <c r="I941" i="14"/>
  <c r="H941" i="14"/>
  <c r="G941" i="14"/>
  <c r="P940" i="14"/>
  <c r="AE940" i="14" s="1"/>
  <c r="AE939" i="14" s="1"/>
  <c r="B940" i="14"/>
  <c r="AG939" i="14"/>
  <c r="AF939" i="14"/>
  <c r="AD939" i="14"/>
  <c r="AC939" i="14"/>
  <c r="AB939" i="14"/>
  <c r="AA939" i="14"/>
  <c r="Z939" i="14"/>
  <c r="Y939" i="14"/>
  <c r="X939" i="14"/>
  <c r="W939" i="14"/>
  <c r="V939" i="14"/>
  <c r="U939" i="14"/>
  <c r="T939" i="14"/>
  <c r="S939" i="14"/>
  <c r="R939" i="14"/>
  <c r="Q939" i="14"/>
  <c r="O939" i="14"/>
  <c r="N939" i="14"/>
  <c r="M939" i="14"/>
  <c r="L939" i="14"/>
  <c r="K939" i="14"/>
  <c r="J939" i="14"/>
  <c r="I939" i="14"/>
  <c r="H939" i="14"/>
  <c r="G939" i="14"/>
  <c r="AE938" i="14"/>
  <c r="F938" i="14"/>
  <c r="E938" i="14" s="1"/>
  <c r="B938" i="14"/>
  <c r="AE937" i="14"/>
  <c r="F937" i="14"/>
  <c r="E937" i="14" s="1"/>
  <c r="B937" i="14"/>
  <c r="AE936" i="14"/>
  <c r="F936" i="14"/>
  <c r="E936" i="14" s="1"/>
  <c r="B936" i="14"/>
  <c r="AG935" i="14"/>
  <c r="AF935" i="14"/>
  <c r="AE935" i="14"/>
  <c r="AD935" i="14"/>
  <c r="AC935" i="14"/>
  <c r="AB935" i="14"/>
  <c r="AA935" i="14"/>
  <c r="Z935" i="14"/>
  <c r="Y935" i="14"/>
  <c r="X935" i="14"/>
  <c r="W935" i="14"/>
  <c r="V935" i="14"/>
  <c r="U935" i="14"/>
  <c r="T935" i="14"/>
  <c r="S935" i="14"/>
  <c r="R935" i="14"/>
  <c r="Q935" i="14"/>
  <c r="P935" i="14"/>
  <c r="O935" i="14"/>
  <c r="N935" i="14"/>
  <c r="M935" i="14"/>
  <c r="L935" i="14"/>
  <c r="K935" i="14"/>
  <c r="J935" i="14"/>
  <c r="I935" i="14"/>
  <c r="H935" i="14"/>
  <c r="G935" i="14"/>
  <c r="F935" i="14"/>
  <c r="E935" i="14" s="1"/>
  <c r="AE934" i="14"/>
  <c r="F934" i="14" s="1"/>
  <c r="B934" i="14"/>
  <c r="AE933" i="14"/>
  <c r="F933" i="14" s="1"/>
  <c r="E933" i="14" s="1"/>
  <c r="B933" i="14"/>
  <c r="AE932" i="14"/>
  <c r="P932" i="14"/>
  <c r="F932" i="14"/>
  <c r="E932" i="14" s="1"/>
  <c r="B932" i="14"/>
  <c r="AE931" i="14"/>
  <c r="F931" i="14"/>
  <c r="E931" i="14" s="1"/>
  <c r="B931" i="14"/>
  <c r="P930" i="14"/>
  <c r="AE930" i="14" s="1"/>
  <c r="B930" i="14"/>
  <c r="AE929" i="14"/>
  <c r="P929" i="14"/>
  <c r="F929" i="14"/>
  <c r="E929" i="14" s="1"/>
  <c r="B929" i="14"/>
  <c r="P928" i="14"/>
  <c r="AE928" i="14" s="1"/>
  <c r="AE927" i="14" s="1"/>
  <c r="B928" i="14"/>
  <c r="AG927" i="14"/>
  <c r="AF927" i="14"/>
  <c r="AD927" i="14"/>
  <c r="AC927" i="14"/>
  <c r="AB927" i="14"/>
  <c r="AA927" i="14"/>
  <c r="Z927" i="14"/>
  <c r="Y927" i="14"/>
  <c r="X927" i="14"/>
  <c r="W927" i="14"/>
  <c r="V927" i="14"/>
  <c r="U927" i="14"/>
  <c r="T927" i="14"/>
  <c r="S927" i="14"/>
  <c r="R927" i="14"/>
  <c r="Q927" i="14"/>
  <c r="O927" i="14"/>
  <c r="N927" i="14"/>
  <c r="M927" i="14"/>
  <c r="L927" i="14"/>
  <c r="K927" i="14"/>
  <c r="J927" i="14"/>
  <c r="I927" i="14"/>
  <c r="H927" i="14"/>
  <c r="G927" i="14"/>
  <c r="AE926" i="14"/>
  <c r="F926" i="14"/>
  <c r="E926" i="14" s="1"/>
  <c r="B926" i="14"/>
  <c r="AG925" i="14"/>
  <c r="AF925" i="14"/>
  <c r="AE925" i="14"/>
  <c r="AD925" i="14"/>
  <c r="AC925" i="14"/>
  <c r="AB925" i="14"/>
  <c r="AA925" i="14"/>
  <c r="Z925" i="14"/>
  <c r="Y925" i="14"/>
  <c r="X925" i="14"/>
  <c r="W925" i="14"/>
  <c r="V925" i="14"/>
  <c r="U925" i="14"/>
  <c r="T925" i="14"/>
  <c r="S925" i="14"/>
  <c r="R925" i="14"/>
  <c r="Q925" i="14"/>
  <c r="P925" i="14"/>
  <c r="O925" i="14"/>
  <c r="N925" i="14"/>
  <c r="M925" i="14"/>
  <c r="L925" i="14"/>
  <c r="K925" i="14"/>
  <c r="J925" i="14"/>
  <c r="I925" i="14"/>
  <c r="H925" i="14"/>
  <c r="G925" i="14"/>
  <c r="F925" i="14"/>
  <c r="E925" i="14" s="1"/>
  <c r="J924" i="14"/>
  <c r="AE924" i="14" s="1"/>
  <c r="AE921" i="14" s="1"/>
  <c r="B924" i="14"/>
  <c r="AE923" i="14"/>
  <c r="F923" i="14" s="1"/>
  <c r="E923" i="14" s="1"/>
  <c r="B923" i="14"/>
  <c r="AE922" i="14"/>
  <c r="F922" i="14" s="1"/>
  <c r="B922" i="14"/>
  <c r="AG921" i="14"/>
  <c r="AF921" i="14"/>
  <c r="AD921" i="14"/>
  <c r="AC921" i="14"/>
  <c r="AB921" i="14"/>
  <c r="AA921" i="14"/>
  <c r="Z921" i="14"/>
  <c r="Y921" i="14"/>
  <c r="X921" i="14"/>
  <c r="W921" i="14"/>
  <c r="V921" i="14"/>
  <c r="U921" i="14"/>
  <c r="T921" i="14"/>
  <c r="S921" i="14"/>
  <c r="R921" i="14"/>
  <c r="Q921" i="14"/>
  <c r="P921" i="14"/>
  <c r="O921" i="14"/>
  <c r="N921" i="14"/>
  <c r="M921" i="14"/>
  <c r="L921" i="14"/>
  <c r="K921" i="14"/>
  <c r="I921" i="14"/>
  <c r="H921" i="14"/>
  <c r="G921" i="14"/>
  <c r="AE920" i="14"/>
  <c r="I920" i="14"/>
  <c r="F920" i="14"/>
  <c r="E920" i="14" s="1"/>
  <c r="B920" i="14"/>
  <c r="AE919" i="14"/>
  <c r="F919" i="14"/>
  <c r="E919" i="14" s="1"/>
  <c r="B919" i="14"/>
  <c r="AE918" i="14"/>
  <c r="P918" i="14"/>
  <c r="F918" i="14"/>
  <c r="E918" i="14" s="1"/>
  <c r="B918" i="14"/>
  <c r="P917" i="14"/>
  <c r="AE917" i="14" s="1"/>
  <c r="AE915" i="14" s="1"/>
  <c r="B917" i="14"/>
  <c r="AE916" i="14"/>
  <c r="F916" i="14" s="1"/>
  <c r="B916" i="14"/>
  <c r="AG915" i="14"/>
  <c r="AF915" i="14"/>
  <c r="AD915" i="14"/>
  <c r="AC915" i="14"/>
  <c r="AB915" i="14"/>
  <c r="AA915" i="14"/>
  <c r="Z915" i="14"/>
  <c r="Y915" i="14"/>
  <c r="X915" i="14"/>
  <c r="W915" i="14"/>
  <c r="V915" i="14"/>
  <c r="U915" i="14"/>
  <c r="T915" i="14"/>
  <c r="S915" i="14"/>
  <c r="R915" i="14"/>
  <c r="Q915" i="14"/>
  <c r="O915" i="14"/>
  <c r="N915" i="14"/>
  <c r="M915" i="14"/>
  <c r="L915" i="14"/>
  <c r="K915" i="14"/>
  <c r="J915" i="14"/>
  <c r="I915" i="14"/>
  <c r="H915" i="14"/>
  <c r="G915" i="14"/>
  <c r="AE914" i="14"/>
  <c r="F914" i="14"/>
  <c r="E914" i="14" s="1"/>
  <c r="B914" i="14"/>
  <c r="AG913" i="14"/>
  <c r="AF913" i="14"/>
  <c r="AE913" i="14"/>
  <c r="AD913" i="14"/>
  <c r="AC913" i="14"/>
  <c r="AB913" i="14"/>
  <c r="AA913" i="14"/>
  <c r="Z913" i="14"/>
  <c r="Y913" i="14"/>
  <c r="X913" i="14"/>
  <c r="W913" i="14"/>
  <c r="V913" i="14"/>
  <c r="U913" i="14"/>
  <c r="T913" i="14"/>
  <c r="S913" i="14"/>
  <c r="R913" i="14"/>
  <c r="Q913" i="14"/>
  <c r="P913" i="14"/>
  <c r="O913" i="14"/>
  <c r="N913" i="14"/>
  <c r="M913" i="14"/>
  <c r="L913" i="14"/>
  <c r="K913" i="14"/>
  <c r="J913" i="14"/>
  <c r="I913" i="14"/>
  <c r="H913" i="14"/>
  <c r="G913" i="14"/>
  <c r="F913" i="14"/>
  <c r="E913" i="14" s="1"/>
  <c r="CF912" i="14"/>
  <c r="P912" i="14"/>
  <c r="AE912" i="14" s="1"/>
  <c r="AE910" i="14" s="1"/>
  <c r="B912" i="14"/>
  <c r="AE911" i="14"/>
  <c r="F911" i="14" s="1"/>
  <c r="B911" i="14"/>
  <c r="AG910" i="14"/>
  <c r="AF910" i="14"/>
  <c r="AD910" i="14"/>
  <c r="AC910" i="14"/>
  <c r="AB910" i="14"/>
  <c r="AA910" i="14"/>
  <c r="Z910" i="14"/>
  <c r="Y910" i="14"/>
  <c r="X910" i="14"/>
  <c r="W910" i="14"/>
  <c r="V910" i="14"/>
  <c r="U910" i="14"/>
  <c r="T910" i="14"/>
  <c r="S910" i="14"/>
  <c r="R910" i="14"/>
  <c r="Q910" i="14"/>
  <c r="O910" i="14"/>
  <c r="N910" i="14"/>
  <c r="M910" i="14"/>
  <c r="L910" i="14"/>
  <c r="K910" i="14"/>
  <c r="J910" i="14"/>
  <c r="I910" i="14"/>
  <c r="H910" i="14"/>
  <c r="G910" i="14"/>
  <c r="AE909" i="14"/>
  <c r="F909" i="14"/>
  <c r="E909" i="14" s="1"/>
  <c r="B909" i="14"/>
  <c r="P908" i="14"/>
  <c r="AE908" i="14" s="1"/>
  <c r="B908" i="14"/>
  <c r="AE907" i="14"/>
  <c r="F907" i="14"/>
  <c r="E907" i="14" s="1"/>
  <c r="B907" i="14"/>
  <c r="P906" i="14"/>
  <c r="AE906" i="14" s="1"/>
  <c r="B906" i="14"/>
  <c r="AG905" i="14"/>
  <c r="AF905" i="14"/>
  <c r="AD905" i="14"/>
  <c r="AC905" i="14"/>
  <c r="AB905" i="14"/>
  <c r="AA905" i="14"/>
  <c r="Z905" i="14"/>
  <c r="Y905" i="14"/>
  <c r="X905" i="14"/>
  <c r="W905" i="14"/>
  <c r="V905" i="14"/>
  <c r="U905" i="14"/>
  <c r="T905" i="14"/>
  <c r="S905" i="14"/>
  <c r="R905" i="14"/>
  <c r="Q905" i="14"/>
  <c r="O905" i="14"/>
  <c r="N905" i="14"/>
  <c r="M905" i="14"/>
  <c r="L905" i="14"/>
  <c r="K905" i="14"/>
  <c r="J905" i="14"/>
  <c r="I905" i="14"/>
  <c r="H905" i="14"/>
  <c r="G905" i="14"/>
  <c r="AE904" i="14"/>
  <c r="F904" i="14"/>
  <c r="E904" i="14" s="1"/>
  <c r="B904" i="14"/>
  <c r="AG903" i="14"/>
  <c r="AF903" i="14"/>
  <c r="AE903" i="14"/>
  <c r="AD903" i="14"/>
  <c r="AC903" i="14"/>
  <c r="AB903" i="14"/>
  <c r="AA903" i="14"/>
  <c r="Z903" i="14"/>
  <c r="Y903" i="14"/>
  <c r="X903" i="14"/>
  <c r="W903" i="14"/>
  <c r="V903" i="14"/>
  <c r="U903" i="14"/>
  <c r="T903" i="14"/>
  <c r="S903" i="14"/>
  <c r="R903" i="14"/>
  <c r="Q903" i="14"/>
  <c r="P903" i="14"/>
  <c r="O903" i="14"/>
  <c r="N903" i="14"/>
  <c r="M903" i="14"/>
  <c r="L903" i="14"/>
  <c r="K903" i="14"/>
  <c r="J903" i="14"/>
  <c r="I903" i="14"/>
  <c r="H903" i="14"/>
  <c r="G903" i="14"/>
  <c r="F903" i="14"/>
  <c r="E903" i="14" s="1"/>
  <c r="AE902" i="14"/>
  <c r="F902" i="14" s="1"/>
  <c r="F901" i="14" s="1"/>
  <c r="E902" i="14"/>
  <c r="B902" i="14"/>
  <c r="AG901" i="14"/>
  <c r="AF901" i="14"/>
  <c r="AE901" i="14"/>
  <c r="AD901" i="14"/>
  <c r="AC901" i="14"/>
  <c r="AB901" i="14"/>
  <c r="AA901" i="14"/>
  <c r="Z901" i="14"/>
  <c r="Y901" i="14"/>
  <c r="X901" i="14"/>
  <c r="W901" i="14"/>
  <c r="V901" i="14"/>
  <c r="U901" i="14"/>
  <c r="T901" i="14"/>
  <c r="S901" i="14"/>
  <c r="R901" i="14"/>
  <c r="Q901" i="14"/>
  <c r="P901" i="14"/>
  <c r="O901" i="14"/>
  <c r="N901" i="14"/>
  <c r="M901" i="14"/>
  <c r="L901" i="14"/>
  <c r="K901" i="14"/>
  <c r="J901" i="14"/>
  <c r="I901" i="14"/>
  <c r="H901" i="14"/>
  <c r="G901" i="14"/>
  <c r="E901" i="14"/>
  <c r="AE900" i="14"/>
  <c r="F900" i="14"/>
  <c r="E900" i="14" s="1"/>
  <c r="B900" i="14"/>
  <c r="AG899" i="14"/>
  <c r="AF899" i="14"/>
  <c r="AE899" i="14"/>
  <c r="AD899" i="14"/>
  <c r="AC899" i="14"/>
  <c r="AB899" i="14"/>
  <c r="AA899" i="14"/>
  <c r="Z899" i="14"/>
  <c r="Y899" i="14"/>
  <c r="X899" i="14"/>
  <c r="W899" i="14"/>
  <c r="V899" i="14"/>
  <c r="U899" i="14"/>
  <c r="T899" i="14"/>
  <c r="S899" i="14"/>
  <c r="R899" i="14"/>
  <c r="Q899" i="14"/>
  <c r="P899" i="14"/>
  <c r="O899" i="14"/>
  <c r="N899" i="14"/>
  <c r="M899" i="14"/>
  <c r="L899" i="14"/>
  <c r="K899" i="14"/>
  <c r="J899" i="14"/>
  <c r="I899" i="14"/>
  <c r="H899" i="14"/>
  <c r="G899" i="14"/>
  <c r="F899" i="14"/>
  <c r="E899" i="14" s="1"/>
  <c r="CF898" i="14"/>
  <c r="W898" i="14"/>
  <c r="B898" i="14"/>
  <c r="CF897" i="14"/>
  <c r="P897" i="14"/>
  <c r="B897" i="14"/>
  <c r="AE896" i="14"/>
  <c r="P896" i="14"/>
  <c r="F896" i="14"/>
  <c r="E896" i="14" s="1"/>
  <c r="B896" i="14"/>
  <c r="AG895" i="14"/>
  <c r="AF895" i="14"/>
  <c r="AD895" i="14"/>
  <c r="AC895" i="14"/>
  <c r="AB895" i="14"/>
  <c r="AA895" i="14"/>
  <c r="Z895" i="14"/>
  <c r="Y895" i="14"/>
  <c r="X895" i="14"/>
  <c r="V895" i="14"/>
  <c r="U895" i="14"/>
  <c r="T895" i="14"/>
  <c r="S895" i="14"/>
  <c r="R895" i="14"/>
  <c r="Q895" i="14"/>
  <c r="P895" i="14"/>
  <c r="O895" i="14"/>
  <c r="N895" i="14"/>
  <c r="M895" i="14"/>
  <c r="L895" i="14"/>
  <c r="K895" i="14"/>
  <c r="J895" i="14"/>
  <c r="I895" i="14"/>
  <c r="H895" i="14"/>
  <c r="G895" i="14"/>
  <c r="AE894" i="14"/>
  <c r="AE893" i="14" s="1"/>
  <c r="P894" i="14"/>
  <c r="F894" i="14"/>
  <c r="E894" i="14" s="1"/>
  <c r="B894" i="14"/>
  <c r="AG893" i="14"/>
  <c r="AF893" i="14"/>
  <c r="AD893" i="14"/>
  <c r="AC893" i="14"/>
  <c r="AB893" i="14"/>
  <c r="AA893" i="14"/>
  <c r="Z893" i="14"/>
  <c r="Y893" i="14"/>
  <c r="X893" i="14"/>
  <c r="W893" i="14"/>
  <c r="V893" i="14"/>
  <c r="U893" i="14"/>
  <c r="T893" i="14"/>
  <c r="S893" i="14"/>
  <c r="R893" i="14"/>
  <c r="Q893" i="14"/>
  <c r="P893" i="14"/>
  <c r="O893" i="14"/>
  <c r="N893" i="14"/>
  <c r="M893" i="14"/>
  <c r="L893" i="14"/>
  <c r="K893" i="14"/>
  <c r="J893" i="14"/>
  <c r="I893" i="14"/>
  <c r="H893" i="14"/>
  <c r="G893" i="14"/>
  <c r="F893" i="14"/>
  <c r="E893" i="14" s="1"/>
  <c r="AE892" i="14"/>
  <c r="F892" i="14" s="1"/>
  <c r="E892" i="14" s="1"/>
  <c r="B892" i="14"/>
  <c r="AE891" i="14"/>
  <c r="P891" i="14"/>
  <c r="F891" i="14"/>
  <c r="E891" i="14" s="1"/>
  <c r="B891" i="14"/>
  <c r="P890" i="14"/>
  <c r="B890" i="14"/>
  <c r="AG889" i="14"/>
  <c r="AF889" i="14"/>
  <c r="AD889" i="14"/>
  <c r="AC889" i="14"/>
  <c r="AB889" i="14"/>
  <c r="AA889" i="14"/>
  <c r="Z889" i="14"/>
  <c r="Y889" i="14"/>
  <c r="X889" i="14"/>
  <c r="W889" i="14"/>
  <c r="V889" i="14"/>
  <c r="U889" i="14"/>
  <c r="T889" i="14"/>
  <c r="S889" i="14"/>
  <c r="R889" i="14"/>
  <c r="Q889" i="14"/>
  <c r="O889" i="14"/>
  <c r="N889" i="14"/>
  <c r="M889" i="14"/>
  <c r="L889" i="14"/>
  <c r="K889" i="14"/>
  <c r="J889" i="14"/>
  <c r="I889" i="14"/>
  <c r="H889" i="14"/>
  <c r="G889" i="14"/>
  <c r="AE888" i="14"/>
  <c r="F888" i="14"/>
  <c r="E888" i="14" s="1"/>
  <c r="B888" i="14"/>
  <c r="CF887" i="14"/>
  <c r="P887" i="14"/>
  <c r="AE887" i="14" s="1"/>
  <c r="B887" i="14"/>
  <c r="AE886" i="14"/>
  <c r="F886" i="14" s="1"/>
  <c r="E886" i="14" s="1"/>
  <c r="B886" i="14"/>
  <c r="P885" i="14"/>
  <c r="AE885" i="14" s="1"/>
  <c r="B885" i="14"/>
  <c r="AE884" i="14"/>
  <c r="F884" i="14" s="1"/>
  <c r="E884" i="14" s="1"/>
  <c r="B884" i="14"/>
  <c r="AE883" i="14"/>
  <c r="P883" i="14"/>
  <c r="F883" i="14"/>
  <c r="E883" i="14" s="1"/>
  <c r="B883" i="14"/>
  <c r="P882" i="14"/>
  <c r="AE882" i="14" s="1"/>
  <c r="B882" i="14"/>
  <c r="AE881" i="14"/>
  <c r="AE880" i="14" s="1"/>
  <c r="P881" i="14"/>
  <c r="F881" i="14"/>
  <c r="E881" i="14" s="1"/>
  <c r="B881" i="14"/>
  <c r="AG880" i="14"/>
  <c r="AF880" i="14"/>
  <c r="AD880" i="14"/>
  <c r="AC880" i="14"/>
  <c r="AB880" i="14"/>
  <c r="AA880" i="14"/>
  <c r="Z880" i="14"/>
  <c r="Y880" i="14"/>
  <c r="X880" i="14"/>
  <c r="W880" i="14"/>
  <c r="V880" i="14"/>
  <c r="U880" i="14"/>
  <c r="T880" i="14"/>
  <c r="S880" i="14"/>
  <c r="R880" i="14"/>
  <c r="Q880" i="14"/>
  <c r="P880" i="14"/>
  <c r="O880" i="14"/>
  <c r="N880" i="14"/>
  <c r="M880" i="14"/>
  <c r="L880" i="14"/>
  <c r="K880" i="14"/>
  <c r="J880" i="14"/>
  <c r="I880" i="14"/>
  <c r="H880" i="14"/>
  <c r="G880" i="14"/>
  <c r="CF879" i="14"/>
  <c r="AE879" i="14"/>
  <c r="AE877" i="14" s="1"/>
  <c r="P879" i="14"/>
  <c r="F879" i="14"/>
  <c r="E879" i="14" s="1"/>
  <c r="B879" i="14"/>
  <c r="AE878" i="14"/>
  <c r="F878" i="14"/>
  <c r="E878" i="14" s="1"/>
  <c r="B878" i="14"/>
  <c r="AG877" i="14"/>
  <c r="AF877" i="14"/>
  <c r="AD877" i="14"/>
  <c r="AC877" i="14"/>
  <c r="AB877" i="14"/>
  <c r="AA877" i="14"/>
  <c r="Z877" i="14"/>
  <c r="Y877" i="14"/>
  <c r="X877" i="14"/>
  <c r="W877" i="14"/>
  <c r="V877" i="14"/>
  <c r="U877" i="14"/>
  <c r="T877" i="14"/>
  <c r="S877" i="14"/>
  <c r="R877" i="14"/>
  <c r="Q877" i="14"/>
  <c r="P877" i="14"/>
  <c r="O877" i="14"/>
  <c r="N877" i="14"/>
  <c r="M877" i="14"/>
  <c r="L877" i="14"/>
  <c r="K877" i="14"/>
  <c r="J877" i="14"/>
  <c r="I877" i="14"/>
  <c r="H877" i="14"/>
  <c r="G877" i="14"/>
  <c r="F877" i="14"/>
  <c r="E877" i="14" s="1"/>
  <c r="AE876" i="14"/>
  <c r="F876" i="14" s="1"/>
  <c r="E876" i="14" s="1"/>
  <c r="B876" i="14"/>
  <c r="AE875" i="14"/>
  <c r="F875" i="14" s="1"/>
  <c r="B875" i="14"/>
  <c r="AG874" i="14"/>
  <c r="AF874" i="14"/>
  <c r="AE874" i="14"/>
  <c r="AD874" i="14"/>
  <c r="AC874" i="14"/>
  <c r="AB874" i="14"/>
  <c r="AA874" i="14"/>
  <c r="Z874" i="14"/>
  <c r="Y874" i="14"/>
  <c r="X874" i="14"/>
  <c r="W874" i="14"/>
  <c r="V874" i="14"/>
  <c r="U874" i="14"/>
  <c r="T874" i="14"/>
  <c r="S874" i="14"/>
  <c r="R874" i="14"/>
  <c r="Q874" i="14"/>
  <c r="P874" i="14"/>
  <c r="O874" i="14"/>
  <c r="N874" i="14"/>
  <c r="M874" i="14"/>
  <c r="L874" i="14"/>
  <c r="K874" i="14"/>
  <c r="J874" i="14"/>
  <c r="I874" i="14"/>
  <c r="H874" i="14"/>
  <c r="G874" i="14"/>
  <c r="AE873" i="14"/>
  <c r="F873" i="14"/>
  <c r="E873" i="14" s="1"/>
  <c r="B873" i="14"/>
  <c r="AE872" i="14"/>
  <c r="F872" i="14"/>
  <c r="E872" i="14" s="1"/>
  <c r="B872" i="14"/>
  <c r="AG871" i="14"/>
  <c r="AF871" i="14"/>
  <c r="AE871" i="14"/>
  <c r="AD871" i="14"/>
  <c r="AC871" i="14"/>
  <c r="AB871" i="14"/>
  <c r="AA871" i="14"/>
  <c r="Z871" i="14"/>
  <c r="Y871" i="14"/>
  <c r="X871" i="14"/>
  <c r="W871" i="14"/>
  <c r="V871" i="14"/>
  <c r="U871" i="14"/>
  <c r="T871" i="14"/>
  <c r="S871" i="14"/>
  <c r="R871" i="14"/>
  <c r="Q871" i="14"/>
  <c r="P871" i="14"/>
  <c r="O871" i="14"/>
  <c r="N871" i="14"/>
  <c r="M871" i="14"/>
  <c r="L871" i="14"/>
  <c r="K871" i="14"/>
  <c r="J871" i="14"/>
  <c r="I871" i="14"/>
  <c r="H871" i="14"/>
  <c r="G871" i="14"/>
  <c r="F871" i="14"/>
  <c r="E871" i="14" s="1"/>
  <c r="W870" i="14"/>
  <c r="AE870" i="14" s="1"/>
  <c r="B870" i="14"/>
  <c r="AE869" i="14"/>
  <c r="AE867" i="14" s="1"/>
  <c r="T869" i="14"/>
  <c r="F869" i="14"/>
  <c r="E869" i="14" s="1"/>
  <c r="B869" i="14"/>
  <c r="AE868" i="14"/>
  <c r="F868" i="14"/>
  <c r="E868" i="14" s="1"/>
  <c r="B868" i="14"/>
  <c r="AG867" i="14"/>
  <c r="AF867" i="14"/>
  <c r="AD867" i="14"/>
  <c r="AC867" i="14"/>
  <c r="AB867" i="14"/>
  <c r="AA867" i="14"/>
  <c r="Z867" i="14"/>
  <c r="Y867" i="14"/>
  <c r="X867" i="14"/>
  <c r="V867" i="14"/>
  <c r="U867" i="14"/>
  <c r="T867" i="14"/>
  <c r="S867" i="14"/>
  <c r="R867" i="14"/>
  <c r="Q867" i="14"/>
  <c r="P867" i="14"/>
  <c r="O867" i="14"/>
  <c r="N867" i="14"/>
  <c r="M867" i="14"/>
  <c r="L867" i="14"/>
  <c r="K867" i="14"/>
  <c r="J867" i="14"/>
  <c r="I867" i="14"/>
  <c r="H867" i="14"/>
  <c r="G867" i="14"/>
  <c r="P866" i="14"/>
  <c r="AE866" i="14" s="1"/>
  <c r="B866" i="14"/>
  <c r="AE865" i="14"/>
  <c r="AE864" i="14" s="1"/>
  <c r="W865" i="14"/>
  <c r="F865" i="14"/>
  <c r="E865" i="14" s="1"/>
  <c r="B865" i="14"/>
  <c r="AG864" i="14"/>
  <c r="AF864" i="14"/>
  <c r="AD864" i="14"/>
  <c r="AC864" i="14"/>
  <c r="AB864" i="14"/>
  <c r="AA864" i="14"/>
  <c r="Z864" i="14"/>
  <c r="Y864" i="14"/>
  <c r="X864" i="14"/>
  <c r="W864" i="14"/>
  <c r="V864" i="14"/>
  <c r="U864" i="14"/>
  <c r="T864" i="14"/>
  <c r="S864" i="14"/>
  <c r="R864" i="14"/>
  <c r="Q864" i="14"/>
  <c r="P864" i="14"/>
  <c r="O864" i="14"/>
  <c r="N864" i="14"/>
  <c r="M864" i="14"/>
  <c r="L864" i="14"/>
  <c r="K864" i="14"/>
  <c r="J864" i="14"/>
  <c r="I864" i="14"/>
  <c r="H864" i="14"/>
  <c r="G864" i="14"/>
  <c r="AE863" i="14"/>
  <c r="F863" i="14" s="1"/>
  <c r="E863" i="14" s="1"/>
  <c r="B863" i="14"/>
  <c r="AE862" i="14"/>
  <c r="F862" i="14"/>
  <c r="E862" i="14" s="1"/>
  <c r="B862" i="14"/>
  <c r="AE861" i="14"/>
  <c r="F861" i="14"/>
  <c r="E861" i="14" s="1"/>
  <c r="B861" i="14"/>
  <c r="AE860" i="14"/>
  <c r="F860" i="14"/>
  <c r="E860" i="14" s="1"/>
  <c r="B860" i="14"/>
  <c r="AE859" i="14"/>
  <c r="F859" i="14"/>
  <c r="E859" i="14" s="1"/>
  <c r="B859" i="14"/>
  <c r="AE858" i="14"/>
  <c r="F858" i="14"/>
  <c r="E858" i="14" s="1"/>
  <c r="B858" i="14"/>
  <c r="AE857" i="14"/>
  <c r="F857" i="14"/>
  <c r="E857" i="14" s="1"/>
  <c r="B857" i="14"/>
  <c r="AV856" i="14"/>
  <c r="P856" i="14"/>
  <c r="AE856" i="14" s="1"/>
  <c r="AE852" i="14" s="1"/>
  <c r="B856" i="14"/>
  <c r="AE855" i="14"/>
  <c r="F855" i="14" s="1"/>
  <c r="E855" i="14" s="1"/>
  <c r="B855" i="14"/>
  <c r="AE854" i="14"/>
  <c r="F854" i="14" s="1"/>
  <c r="E854" i="14" s="1"/>
  <c r="B854" i="14"/>
  <c r="AE853" i="14"/>
  <c r="F853" i="14" s="1"/>
  <c r="B853" i="14"/>
  <c r="AG852" i="14"/>
  <c r="AF852" i="14"/>
  <c r="AD852" i="14"/>
  <c r="AC852" i="14"/>
  <c r="AB852" i="14"/>
  <c r="AA852" i="14"/>
  <c r="Z852" i="14"/>
  <c r="Y852" i="14"/>
  <c r="X852" i="14"/>
  <c r="W852" i="14"/>
  <c r="V852" i="14"/>
  <c r="U852" i="14"/>
  <c r="T852" i="14"/>
  <c r="S852" i="14"/>
  <c r="R852" i="14"/>
  <c r="Q852" i="14"/>
  <c r="O852" i="14"/>
  <c r="N852" i="14"/>
  <c r="M852" i="14"/>
  <c r="L852" i="14"/>
  <c r="K852" i="14"/>
  <c r="J852" i="14"/>
  <c r="I852" i="14"/>
  <c r="H852" i="14"/>
  <c r="G852" i="14"/>
  <c r="AE851" i="14"/>
  <c r="F851" i="14"/>
  <c r="E851" i="14" s="1"/>
  <c r="B851" i="14"/>
  <c r="AG850" i="14"/>
  <c r="AF850" i="14"/>
  <c r="AE850" i="14"/>
  <c r="AD850" i="14"/>
  <c r="AC850" i="14"/>
  <c r="AB850" i="14"/>
  <c r="AA850" i="14"/>
  <c r="Z850" i="14"/>
  <c r="Y850" i="14"/>
  <c r="X850" i="14"/>
  <c r="W850" i="14"/>
  <c r="V850" i="14"/>
  <c r="U850" i="14"/>
  <c r="T850" i="14"/>
  <c r="S850" i="14"/>
  <c r="R850" i="14"/>
  <c r="Q850" i="14"/>
  <c r="P850" i="14"/>
  <c r="O850" i="14"/>
  <c r="N850" i="14"/>
  <c r="M850" i="14"/>
  <c r="L850" i="14"/>
  <c r="K850" i="14"/>
  <c r="J850" i="14"/>
  <c r="I850" i="14"/>
  <c r="H850" i="14"/>
  <c r="G850" i="14"/>
  <c r="AE849" i="14"/>
  <c r="F849" i="14" s="1"/>
  <c r="E849" i="14" s="1"/>
  <c r="B849" i="14"/>
  <c r="AE848" i="14"/>
  <c r="F848" i="14"/>
  <c r="E848" i="14" s="1"/>
  <c r="B848" i="14"/>
  <c r="CF847" i="14"/>
  <c r="AE847" i="14"/>
  <c r="P847" i="14"/>
  <c r="F847" i="14"/>
  <c r="E847" i="14" s="1"/>
  <c r="B847" i="14"/>
  <c r="AF846" i="14"/>
  <c r="AE846" i="14"/>
  <c r="F846" i="14" s="1"/>
  <c r="B846" i="14"/>
  <c r="AG845" i="14"/>
  <c r="AF845" i="14"/>
  <c r="AD845" i="14"/>
  <c r="AC845" i="14"/>
  <c r="AB845" i="14"/>
  <c r="AA845" i="14"/>
  <c r="Z845" i="14"/>
  <c r="Y845" i="14"/>
  <c r="X845" i="14"/>
  <c r="W845" i="14"/>
  <c r="V845" i="14"/>
  <c r="U845" i="14"/>
  <c r="T845" i="14"/>
  <c r="S845" i="14"/>
  <c r="R845" i="14"/>
  <c r="Q845" i="14"/>
  <c r="P845" i="14"/>
  <c r="O845" i="14"/>
  <c r="N845" i="14"/>
  <c r="M845" i="14"/>
  <c r="L845" i="14"/>
  <c r="K845" i="14"/>
  <c r="J845" i="14"/>
  <c r="I845" i="14"/>
  <c r="H845" i="14"/>
  <c r="G845" i="14"/>
  <c r="AE844" i="14"/>
  <c r="F844" i="14" s="1"/>
  <c r="B844" i="14"/>
  <c r="AG843" i="14"/>
  <c r="AF843" i="14"/>
  <c r="AD843" i="14"/>
  <c r="AC843" i="14"/>
  <c r="AB843" i="14"/>
  <c r="AA843" i="14"/>
  <c r="Z843" i="14"/>
  <c r="Y843" i="14"/>
  <c r="X843" i="14"/>
  <c r="W843" i="14"/>
  <c r="V843" i="14"/>
  <c r="U843" i="14"/>
  <c r="T843" i="14"/>
  <c r="S843" i="14"/>
  <c r="R843" i="14"/>
  <c r="Q843" i="14"/>
  <c r="P843" i="14"/>
  <c r="O843" i="14"/>
  <c r="N843" i="14"/>
  <c r="M843" i="14"/>
  <c r="L843" i="14"/>
  <c r="K843" i="14"/>
  <c r="J843" i="14"/>
  <c r="I843" i="14"/>
  <c r="H843" i="14"/>
  <c r="G843" i="14"/>
  <c r="AE842" i="14"/>
  <c r="F842" i="14" s="1"/>
  <c r="B842" i="14"/>
  <c r="AG841" i="14"/>
  <c r="AF841" i="14"/>
  <c r="AD841" i="14"/>
  <c r="AC841" i="14"/>
  <c r="AB841" i="14"/>
  <c r="AA841" i="14"/>
  <c r="Z841" i="14"/>
  <c r="Y841" i="14"/>
  <c r="X841" i="14"/>
  <c r="W841" i="14"/>
  <c r="V841" i="14"/>
  <c r="U841" i="14"/>
  <c r="T841" i="14"/>
  <c r="S841" i="14"/>
  <c r="R841" i="14"/>
  <c r="Q841" i="14"/>
  <c r="P841" i="14"/>
  <c r="O841" i="14"/>
  <c r="N841" i="14"/>
  <c r="M841" i="14"/>
  <c r="L841" i="14"/>
  <c r="K841" i="14"/>
  <c r="J841" i="14"/>
  <c r="I841" i="14"/>
  <c r="H841" i="14"/>
  <c r="G841" i="14"/>
  <c r="AE840" i="14"/>
  <c r="F840" i="14" s="1"/>
  <c r="B840" i="14"/>
  <c r="AG839" i="14"/>
  <c r="AF839" i="14"/>
  <c r="AD839" i="14"/>
  <c r="AC839" i="14"/>
  <c r="AB839" i="14"/>
  <c r="AA839" i="14"/>
  <c r="Z839" i="14"/>
  <c r="Y839" i="14"/>
  <c r="X839" i="14"/>
  <c r="W839" i="14"/>
  <c r="V839" i="14"/>
  <c r="U839" i="14"/>
  <c r="T839" i="14"/>
  <c r="S839" i="14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AE838" i="14"/>
  <c r="F838" i="14" s="1"/>
  <c r="B838" i="14"/>
  <c r="AG837" i="14"/>
  <c r="AF837" i="14"/>
  <c r="AE837" i="14"/>
  <c r="AD837" i="14"/>
  <c r="AC837" i="14"/>
  <c r="AB837" i="14"/>
  <c r="AA837" i="14"/>
  <c r="Z837" i="14"/>
  <c r="Y837" i="14"/>
  <c r="X837" i="14"/>
  <c r="W837" i="14"/>
  <c r="V837" i="14"/>
  <c r="U837" i="14"/>
  <c r="T837" i="14"/>
  <c r="S837" i="14"/>
  <c r="R837" i="14"/>
  <c r="Q837" i="14"/>
  <c r="P837" i="14"/>
  <c r="O837" i="14"/>
  <c r="N837" i="14"/>
  <c r="M837" i="14"/>
  <c r="L837" i="14"/>
  <c r="K837" i="14"/>
  <c r="J837" i="14"/>
  <c r="I837" i="14"/>
  <c r="H837" i="14"/>
  <c r="G837" i="14"/>
  <c r="AE836" i="14"/>
  <c r="F836" i="14"/>
  <c r="E836" i="14" s="1"/>
  <c r="B836" i="14"/>
  <c r="AG835" i="14"/>
  <c r="AF835" i="14"/>
  <c r="AE835" i="14"/>
  <c r="AD835" i="14"/>
  <c r="AC835" i="14"/>
  <c r="AB835" i="14"/>
  <c r="AA835" i="14"/>
  <c r="Z835" i="14"/>
  <c r="Y835" i="14"/>
  <c r="X835" i="14"/>
  <c r="W835" i="14"/>
  <c r="V835" i="14"/>
  <c r="U835" i="14"/>
  <c r="T835" i="14"/>
  <c r="S835" i="14"/>
  <c r="R835" i="14"/>
  <c r="Q835" i="14"/>
  <c r="P835" i="14"/>
  <c r="O835" i="14"/>
  <c r="N835" i="14"/>
  <c r="M835" i="14"/>
  <c r="L835" i="14"/>
  <c r="K835" i="14"/>
  <c r="J835" i="14"/>
  <c r="I835" i="14"/>
  <c r="H835" i="14"/>
  <c r="G835" i="14"/>
  <c r="F835" i="14"/>
  <c r="E835" i="14" s="1"/>
  <c r="AE834" i="14"/>
  <c r="F834" i="14" s="1"/>
  <c r="B834" i="14"/>
  <c r="AE833" i="14"/>
  <c r="F833" i="14"/>
  <c r="E833" i="14" s="1"/>
  <c r="B833" i="14"/>
  <c r="AE832" i="14"/>
  <c r="F832" i="14"/>
  <c r="E832" i="14" s="1"/>
  <c r="B832" i="14"/>
  <c r="AG831" i="14"/>
  <c r="AF831" i="14"/>
  <c r="AD831" i="14"/>
  <c r="AC831" i="14"/>
  <c r="AB831" i="14"/>
  <c r="AA831" i="14"/>
  <c r="Z831" i="14"/>
  <c r="Y831" i="14"/>
  <c r="X831" i="14"/>
  <c r="W831" i="14"/>
  <c r="V831" i="14"/>
  <c r="U831" i="14"/>
  <c r="T831" i="14"/>
  <c r="S831" i="14"/>
  <c r="R831" i="14"/>
  <c r="Q831" i="14"/>
  <c r="P831" i="14"/>
  <c r="O831" i="14"/>
  <c r="N831" i="14"/>
  <c r="M831" i="14"/>
  <c r="L831" i="14"/>
  <c r="K831" i="14"/>
  <c r="J831" i="14"/>
  <c r="I831" i="14"/>
  <c r="H831" i="14"/>
  <c r="G831" i="14"/>
  <c r="T830" i="14"/>
  <c r="AE830" i="14" s="1"/>
  <c r="AE828" i="14" s="1"/>
  <c r="B830" i="14"/>
  <c r="AE829" i="14"/>
  <c r="F829" i="14"/>
  <c r="E829" i="14" s="1"/>
  <c r="B829" i="14"/>
  <c r="AG828" i="14"/>
  <c r="AF828" i="14"/>
  <c r="AD828" i="14"/>
  <c r="AC828" i="14"/>
  <c r="AB828" i="14"/>
  <c r="AA828" i="14"/>
  <c r="Z828" i="14"/>
  <c r="Y828" i="14"/>
  <c r="X828" i="14"/>
  <c r="W828" i="14"/>
  <c r="V828" i="14"/>
  <c r="U828" i="14"/>
  <c r="T828" i="14"/>
  <c r="S828" i="14"/>
  <c r="R828" i="14"/>
  <c r="Q828" i="14"/>
  <c r="P828" i="14"/>
  <c r="O828" i="14"/>
  <c r="N828" i="14"/>
  <c r="M828" i="14"/>
  <c r="L828" i="14"/>
  <c r="K828" i="14"/>
  <c r="J828" i="14"/>
  <c r="I828" i="14"/>
  <c r="H828" i="14"/>
  <c r="G828" i="14"/>
  <c r="AE827" i="14"/>
  <c r="F827" i="14"/>
  <c r="E827" i="14" s="1"/>
  <c r="B827" i="14"/>
  <c r="AE826" i="14"/>
  <c r="F826" i="14" s="1"/>
  <c r="E826" i="14" s="1"/>
  <c r="B826" i="14"/>
  <c r="AE825" i="14"/>
  <c r="F825" i="14"/>
  <c r="E825" i="14" s="1"/>
  <c r="B825" i="14"/>
  <c r="AE824" i="14"/>
  <c r="F824" i="14"/>
  <c r="E824" i="14" s="1"/>
  <c r="B824" i="14"/>
  <c r="AE823" i="14"/>
  <c r="F823" i="14"/>
  <c r="E823" i="14" s="1"/>
  <c r="B823" i="14"/>
  <c r="T822" i="14"/>
  <c r="AE822" i="14" s="1"/>
  <c r="AE817" i="14" s="1"/>
  <c r="B822" i="14"/>
  <c r="AE821" i="14"/>
  <c r="F821" i="14"/>
  <c r="E821" i="14" s="1"/>
  <c r="B821" i="14"/>
  <c r="AE820" i="14"/>
  <c r="F820" i="14" s="1"/>
  <c r="E820" i="14" s="1"/>
  <c r="B820" i="14"/>
  <c r="AE819" i="14"/>
  <c r="F819" i="14" s="1"/>
  <c r="E819" i="14" s="1"/>
  <c r="B819" i="14"/>
  <c r="AV818" i="14"/>
  <c r="AE818" i="14"/>
  <c r="P818" i="14"/>
  <c r="F818" i="14"/>
  <c r="E818" i="14" s="1"/>
  <c r="B818" i="14"/>
  <c r="AG817" i="14"/>
  <c r="AF817" i="14"/>
  <c r="AD817" i="14"/>
  <c r="AC817" i="14"/>
  <c r="AB817" i="14"/>
  <c r="AA817" i="14"/>
  <c r="Z817" i="14"/>
  <c r="Y817" i="14"/>
  <c r="X817" i="14"/>
  <c r="W817" i="14"/>
  <c r="V817" i="14"/>
  <c r="U817" i="14"/>
  <c r="S817" i="14"/>
  <c r="R817" i="14"/>
  <c r="Q817" i="14"/>
  <c r="P817" i="14"/>
  <c r="O817" i="14"/>
  <c r="N817" i="14"/>
  <c r="M817" i="14"/>
  <c r="L817" i="14"/>
  <c r="K817" i="14"/>
  <c r="J817" i="14"/>
  <c r="I817" i="14"/>
  <c r="H817" i="14"/>
  <c r="G817" i="14"/>
  <c r="AE816" i="14"/>
  <c r="T816" i="14"/>
  <c r="F816" i="14"/>
  <c r="E816" i="14" s="1"/>
  <c r="B816" i="14"/>
  <c r="V815" i="14"/>
  <c r="AE815" i="14" s="1"/>
  <c r="B815" i="14"/>
  <c r="AE814" i="14"/>
  <c r="P814" i="14"/>
  <c r="F814" i="14"/>
  <c r="E814" i="14" s="1"/>
  <c r="B814" i="14"/>
  <c r="CF813" i="14"/>
  <c r="AE813" i="14"/>
  <c r="P813" i="14"/>
  <c r="F813" i="14"/>
  <c r="E813" i="14" s="1"/>
  <c r="B813" i="14"/>
  <c r="AE812" i="14"/>
  <c r="F812" i="14"/>
  <c r="E812" i="14" s="1"/>
  <c r="B812" i="14"/>
  <c r="AE811" i="14"/>
  <c r="F811" i="14"/>
  <c r="E811" i="14" s="1"/>
  <c r="B811" i="14"/>
  <c r="P810" i="14"/>
  <c r="AE810" i="14" s="1"/>
  <c r="B810" i="14"/>
  <c r="CF809" i="14"/>
  <c r="AE809" i="14"/>
  <c r="F809" i="14"/>
  <c r="E809" i="14" s="1"/>
  <c r="B809" i="14"/>
  <c r="AE808" i="14"/>
  <c r="F808" i="14"/>
  <c r="E808" i="14" s="1"/>
  <c r="B808" i="14"/>
  <c r="AE807" i="14"/>
  <c r="F807" i="14"/>
  <c r="E807" i="14" s="1"/>
  <c r="B807" i="14"/>
  <c r="P806" i="14"/>
  <c r="AE806" i="14" s="1"/>
  <c r="B806" i="14"/>
  <c r="AE805" i="14"/>
  <c r="F805" i="14" s="1"/>
  <c r="E805" i="14" s="1"/>
  <c r="B805" i="14"/>
  <c r="AE804" i="14"/>
  <c r="F804" i="14" s="1"/>
  <c r="E804" i="14" s="1"/>
  <c r="B804" i="14"/>
  <c r="AV803" i="14"/>
  <c r="AE803" i="14"/>
  <c r="F803" i="14" s="1"/>
  <c r="B803" i="14"/>
  <c r="AG802" i="14"/>
  <c r="AF802" i="14"/>
  <c r="AD802" i="14"/>
  <c r="AC802" i="14"/>
  <c r="AB802" i="14"/>
  <c r="AA802" i="14"/>
  <c r="Z802" i="14"/>
  <c r="Y802" i="14"/>
  <c r="X802" i="14"/>
  <c r="W802" i="14"/>
  <c r="U802" i="14"/>
  <c r="T802" i="14"/>
  <c r="S802" i="14"/>
  <c r="R802" i="14"/>
  <c r="Q802" i="14"/>
  <c r="O802" i="14"/>
  <c r="N802" i="14"/>
  <c r="M802" i="14"/>
  <c r="L802" i="14"/>
  <c r="K802" i="14"/>
  <c r="J802" i="14"/>
  <c r="I802" i="14"/>
  <c r="H802" i="14"/>
  <c r="G802" i="14"/>
  <c r="P801" i="14"/>
  <c r="AE801" i="14" s="1"/>
  <c r="AE800" i="14" s="1"/>
  <c r="B801" i="14"/>
  <c r="AG800" i="14"/>
  <c r="AF800" i="14"/>
  <c r="AD800" i="14"/>
  <c r="AC800" i="14"/>
  <c r="AB800" i="14"/>
  <c r="AA800" i="14"/>
  <c r="Z800" i="14"/>
  <c r="Y800" i="14"/>
  <c r="X800" i="14"/>
  <c r="W800" i="14"/>
  <c r="V800" i="14"/>
  <c r="U800" i="14"/>
  <c r="T800" i="14"/>
  <c r="S800" i="14"/>
  <c r="R800" i="14"/>
  <c r="Q800" i="14"/>
  <c r="O800" i="14"/>
  <c r="N800" i="14"/>
  <c r="M800" i="14"/>
  <c r="L800" i="14"/>
  <c r="K800" i="14"/>
  <c r="J800" i="14"/>
  <c r="I800" i="14"/>
  <c r="H800" i="14"/>
  <c r="G800" i="14"/>
  <c r="AE799" i="14"/>
  <c r="F799" i="14"/>
  <c r="E799" i="14" s="1"/>
  <c r="B799" i="14"/>
  <c r="AG798" i="14"/>
  <c r="AF798" i="14"/>
  <c r="AE798" i="14"/>
  <c r="AD798" i="14"/>
  <c r="AC798" i="14"/>
  <c r="AB798" i="14"/>
  <c r="AA798" i="14"/>
  <c r="Z798" i="14"/>
  <c r="Y798" i="14"/>
  <c r="X798" i="14"/>
  <c r="W798" i="14"/>
  <c r="V798" i="14"/>
  <c r="U798" i="14"/>
  <c r="T798" i="14"/>
  <c r="S798" i="14"/>
  <c r="R798" i="14"/>
  <c r="Q798" i="14"/>
  <c r="P798" i="14"/>
  <c r="O798" i="14"/>
  <c r="N798" i="14"/>
  <c r="M798" i="14"/>
  <c r="L798" i="14"/>
  <c r="K798" i="14"/>
  <c r="J798" i="14"/>
  <c r="I798" i="14"/>
  <c r="H798" i="14"/>
  <c r="G798" i="14"/>
  <c r="F798" i="14"/>
  <c r="E798" i="14" s="1"/>
  <c r="AE797" i="14"/>
  <c r="F797" i="14" s="1"/>
  <c r="E797" i="14" s="1"/>
  <c r="B797" i="14"/>
  <c r="AE796" i="14"/>
  <c r="F796" i="14" s="1"/>
  <c r="E796" i="14" s="1"/>
  <c r="B796" i="14"/>
  <c r="AE795" i="14"/>
  <c r="F795" i="14" s="1"/>
  <c r="B795" i="14"/>
  <c r="AG794" i="14"/>
  <c r="AF794" i="14"/>
  <c r="AE794" i="14"/>
  <c r="AD794" i="14"/>
  <c r="AC794" i="14"/>
  <c r="AB794" i="14"/>
  <c r="AA794" i="14"/>
  <c r="Z794" i="14"/>
  <c r="Y794" i="14"/>
  <c r="X794" i="14"/>
  <c r="W794" i="14"/>
  <c r="V794" i="14"/>
  <c r="U794" i="14"/>
  <c r="T794" i="14"/>
  <c r="S794" i="14"/>
  <c r="R794" i="14"/>
  <c r="Q794" i="14"/>
  <c r="P794" i="14"/>
  <c r="O794" i="14"/>
  <c r="N794" i="14"/>
  <c r="M794" i="14"/>
  <c r="L794" i="14"/>
  <c r="K794" i="14"/>
  <c r="J794" i="14"/>
  <c r="I794" i="14"/>
  <c r="H794" i="14"/>
  <c r="G794" i="14"/>
  <c r="AE793" i="14"/>
  <c r="F793" i="14"/>
  <c r="E793" i="14" s="1"/>
  <c r="B793" i="14"/>
  <c r="AG792" i="14"/>
  <c r="AF792" i="14"/>
  <c r="AE792" i="14"/>
  <c r="AD792" i="14"/>
  <c r="AC792" i="14"/>
  <c r="AB792" i="14"/>
  <c r="AA792" i="14"/>
  <c r="Z792" i="14"/>
  <c r="Y792" i="14"/>
  <c r="X792" i="14"/>
  <c r="W792" i="14"/>
  <c r="V792" i="14"/>
  <c r="U792" i="14"/>
  <c r="T792" i="14"/>
  <c r="S792" i="14"/>
  <c r="R792" i="14"/>
  <c r="Q792" i="14"/>
  <c r="P792" i="14"/>
  <c r="O792" i="14"/>
  <c r="N792" i="14"/>
  <c r="M792" i="14"/>
  <c r="L792" i="14"/>
  <c r="K792" i="14"/>
  <c r="J792" i="14"/>
  <c r="I792" i="14"/>
  <c r="H792" i="14"/>
  <c r="G792" i="14"/>
  <c r="F792" i="14"/>
  <c r="E792" i="14" s="1"/>
  <c r="AE791" i="14"/>
  <c r="F791" i="14" s="1"/>
  <c r="B791" i="14"/>
  <c r="AE790" i="14"/>
  <c r="AE787" i="14" s="1"/>
  <c r="I790" i="14"/>
  <c r="F790" i="14"/>
  <c r="E790" i="14" s="1"/>
  <c r="B790" i="14"/>
  <c r="AE789" i="14"/>
  <c r="F789" i="14"/>
  <c r="E789" i="14" s="1"/>
  <c r="B789" i="14"/>
  <c r="AE788" i="14"/>
  <c r="F788" i="14"/>
  <c r="E788" i="14" s="1"/>
  <c r="B788" i="14"/>
  <c r="AG787" i="14"/>
  <c r="AF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AE786" i="14"/>
  <c r="F786" i="14" s="1"/>
  <c r="E786" i="14" s="1"/>
  <c r="B786" i="14"/>
  <c r="AE785" i="14"/>
  <c r="F785" i="14" s="1"/>
  <c r="E785" i="14" s="1"/>
  <c r="B785" i="14"/>
  <c r="AE784" i="14"/>
  <c r="F784" i="14" s="1"/>
  <c r="E784" i="14" s="1"/>
  <c r="B784" i="14"/>
  <c r="AE783" i="14"/>
  <c r="F783" i="14" s="1"/>
  <c r="B783" i="14"/>
  <c r="AE782" i="14"/>
  <c r="AE779" i="14" s="1"/>
  <c r="P782" i="14"/>
  <c r="F782" i="14"/>
  <c r="E782" i="14" s="1"/>
  <c r="B782" i="14"/>
  <c r="AE781" i="14"/>
  <c r="F781" i="14"/>
  <c r="E781" i="14" s="1"/>
  <c r="B781" i="14"/>
  <c r="AE780" i="14"/>
  <c r="F780" i="14"/>
  <c r="E780" i="14" s="1"/>
  <c r="B780" i="14"/>
  <c r="AG779" i="14"/>
  <c r="AF779" i="14"/>
  <c r="AD779" i="14"/>
  <c r="AC779" i="14"/>
  <c r="AB779" i="14"/>
  <c r="AA779" i="14"/>
  <c r="Z779" i="14"/>
  <c r="Y779" i="14"/>
  <c r="X779" i="14"/>
  <c r="W779" i="14"/>
  <c r="V779" i="14"/>
  <c r="U779" i="14"/>
  <c r="T779" i="14"/>
  <c r="S779" i="14"/>
  <c r="R779" i="14"/>
  <c r="Q779" i="14"/>
  <c r="P779" i="14"/>
  <c r="O779" i="14"/>
  <c r="N779" i="14"/>
  <c r="M779" i="14"/>
  <c r="L779" i="14"/>
  <c r="K779" i="14"/>
  <c r="J779" i="14"/>
  <c r="I779" i="14"/>
  <c r="H779" i="14"/>
  <c r="G779" i="14"/>
  <c r="AE778" i="14"/>
  <c r="F778" i="14" s="1"/>
  <c r="E778" i="14" s="1"/>
  <c r="B778" i="14"/>
  <c r="CF777" i="14"/>
  <c r="AE777" i="14"/>
  <c r="F777" i="14"/>
  <c r="E777" i="14" s="1"/>
  <c r="B777" i="14"/>
  <c r="AE776" i="14"/>
  <c r="F776" i="14"/>
  <c r="E776" i="14" s="1"/>
  <c r="B776" i="14"/>
  <c r="AE775" i="14"/>
  <c r="P775" i="14"/>
  <c r="F775" i="14"/>
  <c r="E775" i="14" s="1"/>
  <c r="B775" i="14"/>
  <c r="AE774" i="14"/>
  <c r="F774" i="14" s="1"/>
  <c r="E774" i="14" s="1"/>
  <c r="B774" i="14"/>
  <c r="AE773" i="14"/>
  <c r="F773" i="14" s="1"/>
  <c r="E773" i="14" s="1"/>
  <c r="B773" i="14"/>
  <c r="AE772" i="14"/>
  <c r="F772" i="14" s="1"/>
  <c r="B772" i="14"/>
  <c r="AG771" i="14"/>
  <c r="AF771" i="14"/>
  <c r="AE771" i="14"/>
  <c r="AD771" i="14"/>
  <c r="AC771" i="14"/>
  <c r="AB771" i="14"/>
  <c r="AA771" i="14"/>
  <c r="Z771" i="14"/>
  <c r="Y771" i="14"/>
  <c r="X771" i="14"/>
  <c r="W771" i="14"/>
  <c r="V771" i="14"/>
  <c r="U771" i="14"/>
  <c r="T771" i="14"/>
  <c r="S771" i="14"/>
  <c r="R771" i="14"/>
  <c r="Q771" i="14"/>
  <c r="P771" i="14"/>
  <c r="O771" i="14"/>
  <c r="N771" i="14"/>
  <c r="M771" i="14"/>
  <c r="L771" i="14"/>
  <c r="K771" i="14"/>
  <c r="J771" i="14"/>
  <c r="I771" i="14"/>
  <c r="H771" i="14"/>
  <c r="G771" i="14"/>
  <c r="AF770" i="14"/>
  <c r="P770" i="14"/>
  <c r="AE770" i="14" s="1"/>
  <c r="B770" i="14"/>
  <c r="AF769" i="14"/>
  <c r="AE769" i="14"/>
  <c r="P769" i="14"/>
  <c r="F769" i="14"/>
  <c r="E769" i="14" s="1"/>
  <c r="B769" i="14"/>
  <c r="AE768" i="14"/>
  <c r="P768" i="14"/>
  <c r="F768" i="14"/>
  <c r="E768" i="14" s="1"/>
  <c r="B768" i="14"/>
  <c r="AE767" i="14"/>
  <c r="F767" i="14" s="1"/>
  <c r="E767" i="14" s="1"/>
  <c r="B767" i="14"/>
  <c r="I766" i="14"/>
  <c r="AE766" i="14" s="1"/>
  <c r="B766" i="14"/>
  <c r="AE765" i="14"/>
  <c r="W765" i="14"/>
  <c r="F765" i="14"/>
  <c r="E765" i="14" s="1"/>
  <c r="B765" i="14"/>
  <c r="AE764" i="14"/>
  <c r="F764" i="14" s="1"/>
  <c r="E764" i="14" s="1"/>
  <c r="B764" i="14"/>
  <c r="V763" i="14"/>
  <c r="T763" i="14"/>
  <c r="AE763" i="14" s="1"/>
  <c r="B763" i="14"/>
  <c r="AE762" i="14"/>
  <c r="F762" i="14"/>
  <c r="E762" i="14" s="1"/>
  <c r="B762" i="14"/>
  <c r="AE761" i="14"/>
  <c r="F761" i="14" s="1"/>
  <c r="E761" i="14" s="1"/>
  <c r="B761" i="14"/>
  <c r="AE760" i="14"/>
  <c r="F760" i="14"/>
  <c r="E760" i="14" s="1"/>
  <c r="B760" i="14"/>
  <c r="AE759" i="14"/>
  <c r="F759" i="14" s="1"/>
  <c r="E759" i="14" s="1"/>
  <c r="B759" i="14"/>
  <c r="P758" i="14"/>
  <c r="AE758" i="14" s="1"/>
  <c r="B758" i="14"/>
  <c r="AE757" i="14"/>
  <c r="F757" i="14" s="1"/>
  <c r="E757" i="14" s="1"/>
  <c r="B757" i="14"/>
  <c r="AE756" i="14"/>
  <c r="F756" i="14" s="1"/>
  <c r="E756" i="14" s="1"/>
  <c r="B756" i="14"/>
  <c r="F755" i="14"/>
  <c r="E755" i="14" s="1"/>
  <c r="B755" i="14"/>
  <c r="AE754" i="14"/>
  <c r="F754" i="14"/>
  <c r="E754" i="14" s="1"/>
  <c r="B754" i="14"/>
  <c r="AE753" i="14"/>
  <c r="F753" i="14"/>
  <c r="E753" i="14" s="1"/>
  <c r="B753" i="14"/>
  <c r="AE752" i="14"/>
  <c r="F752" i="14"/>
  <c r="E752" i="14" s="1"/>
  <c r="B752" i="14"/>
  <c r="AV751" i="14"/>
  <c r="AE751" i="14"/>
  <c r="F751" i="14"/>
  <c r="E751" i="14" s="1"/>
  <c r="B751" i="14"/>
  <c r="AE750" i="14"/>
  <c r="F750" i="14"/>
  <c r="E750" i="14" s="1"/>
  <c r="B750" i="14"/>
  <c r="AV749" i="14"/>
  <c r="AE749" i="14"/>
  <c r="F749" i="14"/>
  <c r="E749" i="14" s="1"/>
  <c r="B749" i="14"/>
  <c r="AE748" i="14"/>
  <c r="F748" i="14"/>
  <c r="E748" i="14" s="1"/>
  <c r="B748" i="14"/>
  <c r="AE747" i="14"/>
  <c r="F747" i="14"/>
  <c r="E747" i="14" s="1"/>
  <c r="B747" i="14"/>
  <c r="AE746" i="14"/>
  <c r="F746" i="14"/>
  <c r="E746" i="14" s="1"/>
  <c r="B746" i="14"/>
  <c r="AG745" i="14"/>
  <c r="AF745" i="14"/>
  <c r="AD745" i="14"/>
  <c r="AC745" i="14"/>
  <c r="AB745" i="14"/>
  <c r="AA745" i="14"/>
  <c r="Z745" i="14"/>
  <c r="Y745" i="14"/>
  <c r="X745" i="14"/>
  <c r="W745" i="14"/>
  <c r="V745" i="14"/>
  <c r="U745" i="14"/>
  <c r="T745" i="14"/>
  <c r="S745" i="14"/>
  <c r="R745" i="14"/>
  <c r="Q745" i="14"/>
  <c r="O745" i="14"/>
  <c r="N745" i="14"/>
  <c r="M745" i="14"/>
  <c r="L745" i="14"/>
  <c r="K745" i="14"/>
  <c r="J745" i="14"/>
  <c r="I745" i="14"/>
  <c r="H745" i="14"/>
  <c r="G745" i="14"/>
  <c r="AE744" i="14"/>
  <c r="F744" i="14"/>
  <c r="E744" i="14" s="1"/>
  <c r="B744" i="14"/>
  <c r="F743" i="14"/>
  <c r="E743" i="14" s="1"/>
  <c r="B743" i="14"/>
  <c r="AE742" i="14"/>
  <c r="F742" i="14"/>
  <c r="E742" i="14" s="1"/>
  <c r="B742" i="14"/>
  <c r="AE741" i="14"/>
  <c r="AE737" i="14" s="1"/>
  <c r="I741" i="14"/>
  <c r="F741" i="14"/>
  <c r="E741" i="14" s="1"/>
  <c r="B741" i="14"/>
  <c r="AE740" i="14"/>
  <c r="F740" i="14"/>
  <c r="E740" i="14" s="1"/>
  <c r="B740" i="14"/>
  <c r="AE739" i="14"/>
  <c r="F739" i="14"/>
  <c r="E739" i="14" s="1"/>
  <c r="B739" i="14"/>
  <c r="F738" i="14"/>
  <c r="E738" i="14"/>
  <c r="B738" i="14"/>
  <c r="AG737" i="14"/>
  <c r="AF737" i="14"/>
  <c r="AD737" i="14"/>
  <c r="AC737" i="14"/>
  <c r="AB737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CD737" i="14" s="1"/>
  <c r="F736" i="14"/>
  <c r="E736" i="14"/>
  <c r="B736" i="14"/>
  <c r="F735" i="14"/>
  <c r="E735" i="14"/>
  <c r="B735" i="14"/>
  <c r="CF734" i="14"/>
  <c r="AE734" i="14"/>
  <c r="P734" i="14"/>
  <c r="F734" i="14"/>
  <c r="E734" i="14" s="1"/>
  <c r="B734" i="14"/>
  <c r="AE733" i="14"/>
  <c r="F733" i="14" s="1"/>
  <c r="E733" i="14"/>
  <c r="B733" i="14"/>
  <c r="P732" i="14"/>
  <c r="B732" i="14"/>
  <c r="AE731" i="14"/>
  <c r="F731" i="14"/>
  <c r="E731" i="14" s="1"/>
  <c r="B731" i="14"/>
  <c r="AE730" i="14"/>
  <c r="F730" i="14"/>
  <c r="E730" i="14" s="1"/>
  <c r="B730" i="14"/>
  <c r="I729" i="14"/>
  <c r="AE729" i="14" s="1"/>
  <c r="F729" i="14"/>
  <c r="E729" i="14" s="1"/>
  <c r="B729" i="14"/>
  <c r="AE728" i="14"/>
  <c r="F728" i="14"/>
  <c r="E728" i="14" s="1"/>
  <c r="B728" i="14"/>
  <c r="AE727" i="14"/>
  <c r="F727" i="14"/>
  <c r="E727" i="14" s="1"/>
  <c r="B727" i="14"/>
  <c r="AE726" i="14"/>
  <c r="F726" i="14" s="1"/>
  <c r="E726" i="14" s="1"/>
  <c r="B726" i="14"/>
  <c r="CF725" i="14"/>
  <c r="AE725" i="14"/>
  <c r="F725" i="14" s="1"/>
  <c r="E725" i="14" s="1"/>
  <c r="B725" i="14"/>
  <c r="AE724" i="14"/>
  <c r="P724" i="14"/>
  <c r="F724" i="14" s="1"/>
  <c r="E724" i="14" s="1"/>
  <c r="B724" i="14"/>
  <c r="AE723" i="14"/>
  <c r="F723" i="14"/>
  <c r="E723" i="14" s="1"/>
  <c r="B723" i="14"/>
  <c r="P722" i="14"/>
  <c r="AE722" i="14" s="1"/>
  <c r="B722" i="14"/>
  <c r="AE721" i="14"/>
  <c r="F721" i="14" s="1"/>
  <c r="E721" i="14" s="1"/>
  <c r="B721" i="14"/>
  <c r="N720" i="14"/>
  <c r="F720" i="14" s="1"/>
  <c r="E720" i="14" s="1"/>
  <c r="B720" i="14"/>
  <c r="AE719" i="14"/>
  <c r="F719" i="14" s="1"/>
  <c r="B719" i="14"/>
  <c r="AG718" i="14"/>
  <c r="AF718" i="14"/>
  <c r="AD718" i="14"/>
  <c r="AC718" i="14"/>
  <c r="AB718" i="14"/>
  <c r="AA718" i="14"/>
  <c r="Z718" i="14"/>
  <c r="Y718" i="14"/>
  <c r="X718" i="14"/>
  <c r="W718" i="14"/>
  <c r="V718" i="14"/>
  <c r="U718" i="14"/>
  <c r="T718" i="14"/>
  <c r="S718" i="14"/>
  <c r="R718" i="14"/>
  <c r="Q718" i="14"/>
  <c r="O718" i="14"/>
  <c r="M718" i="14"/>
  <c r="L718" i="14"/>
  <c r="K718" i="14"/>
  <c r="J718" i="14"/>
  <c r="I718" i="14"/>
  <c r="H718" i="14"/>
  <c r="G718" i="14"/>
  <c r="AE717" i="14"/>
  <c r="F717" i="14" s="1"/>
  <c r="E717" i="14" s="1"/>
  <c r="B717" i="14"/>
  <c r="AE716" i="14"/>
  <c r="F716" i="14"/>
  <c r="E716" i="14" s="1"/>
  <c r="B716" i="14"/>
  <c r="AE715" i="14"/>
  <c r="F715" i="14" s="1"/>
  <c r="E715" i="14" s="1"/>
  <c r="B715" i="14"/>
  <c r="V714" i="14"/>
  <c r="AE714" i="14" s="1"/>
  <c r="B714" i="14"/>
  <c r="AE713" i="14"/>
  <c r="F713" i="14"/>
  <c r="E713" i="14" s="1"/>
  <c r="B713" i="14"/>
  <c r="AE712" i="14"/>
  <c r="F712" i="14" s="1"/>
  <c r="E712" i="14" s="1"/>
  <c r="B712" i="14"/>
  <c r="P711" i="14"/>
  <c r="AE711" i="14" s="1"/>
  <c r="B711" i="14"/>
  <c r="P710" i="14"/>
  <c r="AE710" i="14" s="1"/>
  <c r="B710" i="14"/>
  <c r="AE709" i="14"/>
  <c r="F709" i="14"/>
  <c r="E709" i="14" s="1"/>
  <c r="B709" i="14"/>
  <c r="AE708" i="14"/>
  <c r="F708" i="14" s="1"/>
  <c r="E708" i="14" s="1"/>
  <c r="B708" i="14"/>
  <c r="AE707" i="14"/>
  <c r="F707" i="14"/>
  <c r="E707" i="14" s="1"/>
  <c r="B707" i="14"/>
  <c r="AE706" i="14"/>
  <c r="F706" i="14" s="1"/>
  <c r="E706" i="14" s="1"/>
  <c r="B706" i="14"/>
  <c r="AE705" i="14"/>
  <c r="P705" i="14"/>
  <c r="F705" i="14"/>
  <c r="E705" i="14" s="1"/>
  <c r="B705" i="14"/>
  <c r="AE704" i="14"/>
  <c r="F704" i="14"/>
  <c r="E704" i="14" s="1"/>
  <c r="B704" i="14"/>
  <c r="AE703" i="14"/>
  <c r="F703" i="14"/>
  <c r="E703" i="14" s="1"/>
  <c r="B703" i="14"/>
  <c r="AE702" i="14"/>
  <c r="P702" i="14"/>
  <c r="F702" i="14"/>
  <c r="E702" i="14" s="1"/>
  <c r="B702" i="14"/>
  <c r="AE701" i="14"/>
  <c r="F701" i="14"/>
  <c r="E701" i="14" s="1"/>
  <c r="B701" i="14"/>
  <c r="AE700" i="14"/>
  <c r="F700" i="14"/>
  <c r="E700" i="14" s="1"/>
  <c r="B700" i="14"/>
  <c r="AE699" i="14"/>
  <c r="F699" i="14"/>
  <c r="E699" i="14" s="1"/>
  <c r="B699" i="14"/>
  <c r="AE698" i="14"/>
  <c r="F698" i="14"/>
  <c r="E698" i="14" s="1"/>
  <c r="B698" i="14"/>
  <c r="AE697" i="14"/>
  <c r="F697" i="14"/>
  <c r="E697" i="14" s="1"/>
  <c r="B697" i="14"/>
  <c r="AE696" i="14"/>
  <c r="F696" i="14"/>
  <c r="E696" i="14" s="1"/>
  <c r="B696" i="14"/>
  <c r="AE695" i="14"/>
  <c r="F695" i="14"/>
  <c r="E695" i="14" s="1"/>
  <c r="B695" i="14"/>
  <c r="P694" i="14"/>
  <c r="AE694" i="14" s="1"/>
  <c r="B694" i="14"/>
  <c r="AE693" i="14"/>
  <c r="P693" i="14"/>
  <c r="F693" i="14"/>
  <c r="E693" i="14" s="1"/>
  <c r="B693" i="14"/>
  <c r="AE692" i="14"/>
  <c r="F692" i="14"/>
  <c r="E692" i="14" s="1"/>
  <c r="B692" i="14"/>
  <c r="AE691" i="14"/>
  <c r="F691" i="14"/>
  <c r="E691" i="14" s="1"/>
  <c r="B691" i="14"/>
  <c r="AE690" i="14"/>
  <c r="F690" i="14"/>
  <c r="E690" i="14" s="1"/>
  <c r="B690" i="14"/>
  <c r="AE689" i="14"/>
  <c r="F689" i="14"/>
  <c r="E689" i="14" s="1"/>
  <c r="B689" i="14"/>
  <c r="P688" i="14"/>
  <c r="AE688" i="14" s="1"/>
  <c r="B688" i="14"/>
  <c r="AE687" i="14"/>
  <c r="P687" i="14"/>
  <c r="F687" i="14"/>
  <c r="E687" i="14" s="1"/>
  <c r="B687" i="14"/>
  <c r="AE686" i="14"/>
  <c r="F686" i="14"/>
  <c r="E686" i="14" s="1"/>
  <c r="B686" i="14"/>
  <c r="AE685" i="14"/>
  <c r="F685" i="14"/>
  <c r="E685" i="14" s="1"/>
  <c r="B685" i="14"/>
  <c r="AE684" i="14"/>
  <c r="F684" i="14"/>
  <c r="E684" i="14" s="1"/>
  <c r="B684" i="14"/>
  <c r="AE683" i="14"/>
  <c r="P683" i="14"/>
  <c r="F683" i="14"/>
  <c r="E683" i="14" s="1"/>
  <c r="B683" i="14"/>
  <c r="AE682" i="14"/>
  <c r="F682" i="14" s="1"/>
  <c r="E682" i="14" s="1"/>
  <c r="B682" i="14"/>
  <c r="AE681" i="14"/>
  <c r="F681" i="14" s="1"/>
  <c r="E681" i="14" s="1"/>
  <c r="B681" i="14"/>
  <c r="AE680" i="14"/>
  <c r="F680" i="14" s="1"/>
  <c r="E680" i="14" s="1"/>
  <c r="B680" i="14"/>
  <c r="AE679" i="14"/>
  <c r="F679" i="14" s="1"/>
  <c r="B679" i="14"/>
  <c r="AG678" i="14"/>
  <c r="AF678" i="14"/>
  <c r="AD678" i="14"/>
  <c r="AC678" i="14"/>
  <c r="AB678" i="14"/>
  <c r="AA678" i="14"/>
  <c r="Z678" i="14"/>
  <c r="Y678" i="14"/>
  <c r="X678" i="14"/>
  <c r="W678" i="14"/>
  <c r="V678" i="14"/>
  <c r="U678" i="14"/>
  <c r="T678" i="14"/>
  <c r="S678" i="14"/>
  <c r="R678" i="14"/>
  <c r="Q678" i="14"/>
  <c r="P678" i="14"/>
  <c r="O678" i="14"/>
  <c r="N678" i="14"/>
  <c r="M678" i="14"/>
  <c r="L678" i="14"/>
  <c r="K678" i="14"/>
  <c r="J678" i="14"/>
  <c r="I678" i="14"/>
  <c r="H678" i="14"/>
  <c r="G678" i="14"/>
  <c r="AE677" i="14"/>
  <c r="F677" i="14"/>
  <c r="E677" i="14" s="1"/>
  <c r="B677" i="14"/>
  <c r="CF676" i="14"/>
  <c r="AE676" i="14"/>
  <c r="F676" i="14"/>
  <c r="E676" i="14" s="1"/>
  <c r="B676" i="14"/>
  <c r="AE675" i="14"/>
  <c r="T675" i="14"/>
  <c r="F675" i="14"/>
  <c r="E675" i="14" s="1"/>
  <c r="B675" i="14"/>
  <c r="AE674" i="14"/>
  <c r="F674" i="14" s="1"/>
  <c r="E674" i="14" s="1"/>
  <c r="B674" i="14"/>
  <c r="AE673" i="14"/>
  <c r="F673" i="14"/>
  <c r="E673" i="14" s="1"/>
  <c r="B673" i="14"/>
  <c r="AE672" i="14"/>
  <c r="I672" i="14"/>
  <c r="F672" i="14"/>
  <c r="E672" i="14" s="1"/>
  <c r="B672" i="14"/>
  <c r="AE671" i="14"/>
  <c r="T671" i="14"/>
  <c r="F671" i="14"/>
  <c r="E671" i="14" s="1"/>
  <c r="B671" i="14"/>
  <c r="AE670" i="14"/>
  <c r="F670" i="14"/>
  <c r="E670" i="14" s="1"/>
  <c r="B670" i="14"/>
  <c r="AE669" i="14"/>
  <c r="F669" i="14" s="1"/>
  <c r="E669" i="14" s="1"/>
  <c r="B669" i="14"/>
  <c r="I668" i="14"/>
  <c r="AE668" i="14" s="1"/>
  <c r="AE647" i="14" s="1"/>
  <c r="B668" i="14"/>
  <c r="AE667" i="14"/>
  <c r="F667" i="14"/>
  <c r="E667" i="14" s="1"/>
  <c r="B667" i="14"/>
  <c r="AE666" i="14"/>
  <c r="I666" i="14"/>
  <c r="F666" i="14"/>
  <c r="E666" i="14" s="1"/>
  <c r="B666" i="14"/>
  <c r="AE665" i="14"/>
  <c r="I665" i="14"/>
  <c r="F665" i="14"/>
  <c r="E665" i="14" s="1"/>
  <c r="B665" i="14"/>
  <c r="AE664" i="14"/>
  <c r="P664" i="14"/>
  <c r="F664" i="14"/>
  <c r="E664" i="14" s="1"/>
  <c r="B664" i="14"/>
  <c r="AF663" i="14"/>
  <c r="AE663" i="14"/>
  <c r="F663" i="14"/>
  <c r="E663" i="14" s="1"/>
  <c r="B663" i="14"/>
  <c r="AE662" i="14"/>
  <c r="F662" i="14" s="1"/>
  <c r="E662" i="14" s="1"/>
  <c r="B662" i="14"/>
  <c r="AE661" i="14"/>
  <c r="F661" i="14"/>
  <c r="E661" i="14" s="1"/>
  <c r="B661" i="14"/>
  <c r="AE660" i="14"/>
  <c r="F660" i="14" s="1"/>
  <c r="E660" i="14" s="1"/>
  <c r="B660" i="14"/>
  <c r="AE659" i="14"/>
  <c r="F659" i="14" s="1"/>
  <c r="E659" i="14" s="1"/>
  <c r="B659" i="14"/>
  <c r="AE658" i="14"/>
  <c r="F658" i="14" s="1"/>
  <c r="E658" i="14" s="1"/>
  <c r="B658" i="14"/>
  <c r="AE657" i="14"/>
  <c r="F657" i="14" s="1"/>
  <c r="E657" i="14" s="1"/>
  <c r="B657" i="14"/>
  <c r="AE656" i="14"/>
  <c r="F656" i="14" s="1"/>
  <c r="B656" i="14"/>
  <c r="AE655" i="14"/>
  <c r="G655" i="14"/>
  <c r="F655" i="14"/>
  <c r="E655" i="14" s="1"/>
  <c r="B655" i="14"/>
  <c r="AE654" i="14"/>
  <c r="F654" i="14"/>
  <c r="E654" i="14" s="1"/>
  <c r="B654" i="14"/>
  <c r="AE653" i="14"/>
  <c r="F653" i="14"/>
  <c r="E653" i="14" s="1"/>
  <c r="B653" i="14"/>
  <c r="AE652" i="14"/>
  <c r="F652" i="14"/>
  <c r="E652" i="14" s="1"/>
  <c r="B652" i="14"/>
  <c r="AE651" i="14"/>
  <c r="F651" i="14"/>
  <c r="E651" i="14" s="1"/>
  <c r="B651" i="14"/>
  <c r="AE650" i="14"/>
  <c r="F650" i="14"/>
  <c r="E650" i="14" s="1"/>
  <c r="B650" i="14"/>
  <c r="AE649" i="14"/>
  <c r="F649" i="14"/>
  <c r="E649" i="14" s="1"/>
  <c r="B649" i="14"/>
  <c r="AE648" i="14"/>
  <c r="F648" i="14"/>
  <c r="E648" i="14" s="1"/>
  <c r="B648" i="14"/>
  <c r="AG647" i="14"/>
  <c r="AF647" i="14"/>
  <c r="AD647" i="14"/>
  <c r="AC647" i="14"/>
  <c r="AB647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6" i="14"/>
  <c r="E646" i="14"/>
  <c r="B646" i="14"/>
  <c r="F645" i="14"/>
  <c r="E645" i="14" s="1"/>
  <c r="B645" i="14"/>
  <c r="F644" i="14"/>
  <c r="E644" i="14"/>
  <c r="B644" i="14"/>
  <c r="F643" i="14"/>
  <c r="E643" i="14"/>
  <c r="B643" i="14"/>
  <c r="F642" i="14"/>
  <c r="E642" i="14"/>
  <c r="B642" i="14"/>
  <c r="CF641" i="14"/>
  <c r="F641" i="14"/>
  <c r="E641" i="14" s="1"/>
  <c r="B641" i="14"/>
  <c r="P640" i="14"/>
  <c r="F640" i="14"/>
  <c r="E640" i="14" s="1"/>
  <c r="B640" i="14"/>
  <c r="F639" i="14"/>
  <c r="E639" i="14"/>
  <c r="B639" i="14"/>
  <c r="F638" i="14"/>
  <c r="E638" i="14"/>
  <c r="B638" i="14"/>
  <c r="F637" i="14"/>
  <c r="E637" i="14" s="1"/>
  <c r="B637" i="14"/>
  <c r="F636" i="14"/>
  <c r="E636" i="14" s="1"/>
  <c r="B636" i="14"/>
  <c r="F635" i="14"/>
  <c r="E635" i="14" s="1"/>
  <c r="B635" i="14"/>
  <c r="F634" i="14"/>
  <c r="E634" i="14"/>
  <c r="B634" i="14"/>
  <c r="F633" i="14"/>
  <c r="E633" i="14" s="1"/>
  <c r="B633" i="14"/>
  <c r="F632" i="14"/>
  <c r="E632" i="14"/>
  <c r="B632" i="14"/>
  <c r="F631" i="14"/>
  <c r="E631" i="14" s="1"/>
  <c r="B631" i="14"/>
  <c r="F630" i="14"/>
  <c r="E630" i="14" s="1"/>
  <c r="B630" i="14"/>
  <c r="F629" i="14"/>
  <c r="E629" i="14" s="1"/>
  <c r="B629" i="14"/>
  <c r="F628" i="14"/>
  <c r="E628" i="14"/>
  <c r="B628" i="14"/>
  <c r="F627" i="14"/>
  <c r="E627" i="14"/>
  <c r="B627" i="14"/>
  <c r="F626" i="14"/>
  <c r="E626" i="14"/>
  <c r="B626" i="14"/>
  <c r="CF625" i="14"/>
  <c r="F625" i="14"/>
  <c r="E625" i="14"/>
  <c r="B625" i="14"/>
  <c r="F624" i="14"/>
  <c r="E624" i="14" s="1"/>
  <c r="B624" i="14"/>
  <c r="F623" i="14"/>
  <c r="E623" i="14"/>
  <c r="B623" i="14"/>
  <c r="F622" i="14"/>
  <c r="E622" i="14"/>
  <c r="B622" i="14"/>
  <c r="F621" i="14"/>
  <c r="E621" i="14"/>
  <c r="B621" i="14"/>
  <c r="F620" i="14"/>
  <c r="E620" i="14"/>
  <c r="B620" i="14"/>
  <c r="F619" i="14"/>
  <c r="E619" i="14"/>
  <c r="B619" i="14"/>
  <c r="F618" i="14"/>
  <c r="E618" i="14"/>
  <c r="B618" i="14"/>
  <c r="F617" i="14"/>
  <c r="E617" i="14"/>
  <c r="B617" i="14"/>
  <c r="F616" i="14"/>
  <c r="E616" i="14"/>
  <c r="B616" i="14"/>
  <c r="F615" i="14"/>
  <c r="E615" i="14"/>
  <c r="B615" i="14"/>
  <c r="F614" i="14"/>
  <c r="E614" i="14" s="1"/>
  <c r="B614" i="14"/>
  <c r="F613" i="14"/>
  <c r="E613" i="14"/>
  <c r="B613" i="14"/>
  <c r="F612" i="14"/>
  <c r="E612" i="14" s="1"/>
  <c r="B612" i="14"/>
  <c r="F611" i="14"/>
  <c r="E611" i="14"/>
  <c r="B611" i="14"/>
  <c r="F610" i="14"/>
  <c r="E610" i="14" s="1"/>
  <c r="B610" i="14"/>
  <c r="F609" i="14"/>
  <c r="E609" i="14" s="1"/>
  <c r="B609" i="14"/>
  <c r="F608" i="14"/>
  <c r="E608" i="14" s="1"/>
  <c r="B608" i="14"/>
  <c r="F607" i="14"/>
  <c r="E607" i="14" s="1"/>
  <c r="B607" i="14"/>
  <c r="F606" i="14"/>
  <c r="E606" i="14" s="1"/>
  <c r="B606" i="14"/>
  <c r="F605" i="14"/>
  <c r="E605" i="14" s="1"/>
  <c r="B605" i="14"/>
  <c r="CF604" i="14"/>
  <c r="F604" i="14"/>
  <c r="E604" i="14" s="1"/>
  <c r="B604" i="14"/>
  <c r="CF603" i="14"/>
  <c r="F603" i="14"/>
  <c r="E603" i="14" s="1"/>
  <c r="B603" i="14"/>
  <c r="F602" i="14"/>
  <c r="E602" i="14" s="1"/>
  <c r="B602" i="14"/>
  <c r="F601" i="14"/>
  <c r="E601" i="14" s="1"/>
  <c r="B601" i="14"/>
  <c r="F600" i="14"/>
  <c r="E600" i="14" s="1"/>
  <c r="B600" i="14"/>
  <c r="F599" i="14"/>
  <c r="E599" i="14"/>
  <c r="B599" i="14"/>
  <c r="F598" i="14"/>
  <c r="E598" i="14"/>
  <c r="B598" i="14"/>
  <c r="F597" i="14"/>
  <c r="E597" i="14"/>
  <c r="B597" i="14"/>
  <c r="F596" i="14"/>
  <c r="E596" i="14"/>
  <c r="B596" i="14"/>
  <c r="F595" i="14"/>
  <c r="E595" i="14"/>
  <c r="B595" i="14"/>
  <c r="F594" i="14"/>
  <c r="E594" i="14"/>
  <c r="B594" i="14"/>
  <c r="F593" i="14"/>
  <c r="E593" i="14"/>
  <c r="B593" i="14"/>
  <c r="F592" i="14"/>
  <c r="E592" i="14"/>
  <c r="B592" i="14"/>
  <c r="F591" i="14"/>
  <c r="E591" i="14" s="1"/>
  <c r="B591" i="14"/>
  <c r="F590" i="14"/>
  <c r="E590" i="14"/>
  <c r="B590" i="14"/>
  <c r="F589" i="14"/>
  <c r="E589" i="14" s="1"/>
  <c r="B589" i="14"/>
  <c r="F588" i="14"/>
  <c r="E588" i="14"/>
  <c r="B588" i="14"/>
  <c r="AE587" i="14"/>
  <c r="F587" i="14" s="1"/>
  <c r="B587" i="14"/>
  <c r="F586" i="14"/>
  <c r="E586" i="14"/>
  <c r="B586" i="14"/>
  <c r="F585" i="14"/>
  <c r="E585" i="14" s="1"/>
  <c r="B585" i="14"/>
  <c r="F584" i="14"/>
  <c r="E584" i="14"/>
  <c r="B584" i="14"/>
  <c r="F583" i="14"/>
  <c r="E583" i="14" s="1"/>
  <c r="B583" i="14"/>
  <c r="F582" i="14"/>
  <c r="E582" i="14" s="1"/>
  <c r="B582" i="14"/>
  <c r="F581" i="14"/>
  <c r="E581" i="14"/>
  <c r="B581" i="14"/>
  <c r="F580" i="14"/>
  <c r="E580" i="14" s="1"/>
  <c r="B580" i="14"/>
  <c r="F579" i="14"/>
  <c r="E579" i="14"/>
  <c r="B579" i="14"/>
  <c r="F578" i="14"/>
  <c r="E578" i="14" s="1"/>
  <c r="B578" i="14"/>
  <c r="F577" i="14"/>
  <c r="E577" i="14"/>
  <c r="B577" i="14"/>
  <c r="F576" i="14"/>
  <c r="E576" i="14" s="1"/>
  <c r="B576" i="14"/>
  <c r="F575" i="14"/>
  <c r="E575" i="14"/>
  <c r="B575" i="14"/>
  <c r="F574" i="14"/>
  <c r="E574" i="14" s="1"/>
  <c r="B574" i="14"/>
  <c r="F573" i="14"/>
  <c r="E573" i="14"/>
  <c r="B573" i="14"/>
  <c r="F572" i="14"/>
  <c r="E572" i="14"/>
  <c r="B572" i="14"/>
  <c r="F571" i="14"/>
  <c r="E571" i="14" s="1"/>
  <c r="B571" i="14"/>
  <c r="F570" i="14"/>
  <c r="E570" i="14"/>
  <c r="B570" i="14"/>
  <c r="F569" i="14"/>
  <c r="E569" i="14" s="1"/>
  <c r="B569" i="14"/>
  <c r="F568" i="14"/>
  <c r="E568" i="14"/>
  <c r="B568" i="14"/>
  <c r="F567" i="14"/>
  <c r="E567" i="14" s="1"/>
  <c r="B567" i="14"/>
  <c r="F566" i="14"/>
  <c r="E566" i="14"/>
  <c r="B566" i="14"/>
  <c r="F565" i="14"/>
  <c r="E565" i="14" s="1"/>
  <c r="B565" i="14"/>
  <c r="F564" i="14"/>
  <c r="E564" i="14"/>
  <c r="B564" i="14"/>
  <c r="F563" i="14"/>
  <c r="E563" i="14" s="1"/>
  <c r="B563" i="14"/>
  <c r="F562" i="14"/>
  <c r="E562" i="14"/>
  <c r="B562" i="14"/>
  <c r="F561" i="14"/>
  <c r="E561" i="14" s="1"/>
  <c r="B561" i="14"/>
  <c r="F560" i="14"/>
  <c r="E560" i="14" s="1"/>
  <c r="B560" i="14"/>
  <c r="F559" i="14"/>
  <c r="E559" i="14"/>
  <c r="B559" i="14"/>
  <c r="F558" i="14"/>
  <c r="E558" i="14" s="1"/>
  <c r="B558" i="14"/>
  <c r="AG557" i="14"/>
  <c r="AF557" i="14"/>
  <c r="AF556" i="14" s="1"/>
  <c r="AE557" i="14"/>
  <c r="AD557" i="14"/>
  <c r="AD556" i="14" s="1"/>
  <c r="AC557" i="14"/>
  <c r="AB557" i="14"/>
  <c r="AB556" i="14" s="1"/>
  <c r="AA557" i="14"/>
  <c r="Z557" i="14"/>
  <c r="Z556" i="14" s="1"/>
  <c r="Y557" i="14"/>
  <c r="X557" i="14"/>
  <c r="X556" i="14" s="1"/>
  <c r="W557" i="14"/>
  <c r="V557" i="14"/>
  <c r="U557" i="14"/>
  <c r="T557" i="14"/>
  <c r="S557" i="14"/>
  <c r="R557" i="14"/>
  <c r="R556" i="14" s="1"/>
  <c r="Q557" i="14"/>
  <c r="P557" i="14"/>
  <c r="O557" i="14"/>
  <c r="N557" i="14"/>
  <c r="M557" i="14"/>
  <c r="L557" i="14"/>
  <c r="L556" i="14" s="1"/>
  <c r="K557" i="14"/>
  <c r="J557" i="14"/>
  <c r="I557" i="14"/>
  <c r="H557" i="14"/>
  <c r="H556" i="14" s="1"/>
  <c r="G557" i="14"/>
  <c r="AG556" i="14"/>
  <c r="AC556" i="14"/>
  <c r="AA556" i="14"/>
  <c r="Y556" i="14"/>
  <c r="U556" i="14"/>
  <c r="S556" i="14"/>
  <c r="Q556" i="14"/>
  <c r="O556" i="14"/>
  <c r="M556" i="14"/>
  <c r="K556" i="14"/>
  <c r="I556" i="14"/>
  <c r="G556" i="14"/>
  <c r="AE555" i="14"/>
  <c r="F555" i="14"/>
  <c r="E555" i="14" s="1"/>
  <c r="B555" i="14"/>
  <c r="CF554" i="14"/>
  <c r="AE554" i="14"/>
  <c r="F554" i="14"/>
  <c r="E554" i="14" s="1"/>
  <c r="B554" i="14"/>
  <c r="AG553" i="14"/>
  <c r="AF553" i="14"/>
  <c r="AE553" i="14"/>
  <c r="AD553" i="14"/>
  <c r="AC553" i="14"/>
  <c r="AB553" i="14"/>
  <c r="AA553" i="14"/>
  <c r="Z553" i="14"/>
  <c r="Y553" i="14"/>
  <c r="X553" i="14"/>
  <c r="W553" i="14"/>
  <c r="V553" i="14"/>
  <c r="U553" i="14"/>
  <c r="T553" i="14"/>
  <c r="S553" i="14"/>
  <c r="R553" i="14"/>
  <c r="Q553" i="14"/>
  <c r="P553" i="14"/>
  <c r="O553" i="14"/>
  <c r="N553" i="14"/>
  <c r="M553" i="14"/>
  <c r="L553" i="14"/>
  <c r="K553" i="14"/>
  <c r="J553" i="14"/>
  <c r="I553" i="14"/>
  <c r="H553" i="14"/>
  <c r="G553" i="14"/>
  <c r="AE552" i="14"/>
  <c r="F552" i="14" s="1"/>
  <c r="E552" i="14" s="1"/>
  <c r="B552" i="14"/>
  <c r="AE551" i="14"/>
  <c r="F551" i="14"/>
  <c r="E551" i="14" s="1"/>
  <c r="B551" i="14"/>
  <c r="AG550" i="14"/>
  <c r="AF550" i="14"/>
  <c r="AE550" i="14"/>
  <c r="AD550" i="14"/>
  <c r="AC550" i="14"/>
  <c r="AB550" i="14"/>
  <c r="AA550" i="14"/>
  <c r="Z550" i="14"/>
  <c r="Y550" i="14"/>
  <c r="X550" i="14"/>
  <c r="W550" i="14"/>
  <c r="V550" i="14"/>
  <c r="U550" i="14"/>
  <c r="T550" i="14"/>
  <c r="S550" i="14"/>
  <c r="R550" i="14"/>
  <c r="Q550" i="14"/>
  <c r="P550" i="14"/>
  <c r="O550" i="14"/>
  <c r="N550" i="14"/>
  <c r="M550" i="14"/>
  <c r="L550" i="14"/>
  <c r="K550" i="14"/>
  <c r="J550" i="14"/>
  <c r="I550" i="14"/>
  <c r="H550" i="14"/>
  <c r="G550" i="14"/>
  <c r="F549" i="14"/>
  <c r="E549" i="14"/>
  <c r="B549" i="14"/>
  <c r="F548" i="14"/>
  <c r="E548" i="14" s="1"/>
  <c r="B548" i="14"/>
  <c r="AE547" i="14"/>
  <c r="F547" i="14"/>
  <c r="E547" i="14" s="1"/>
  <c r="B547" i="14"/>
  <c r="CF546" i="14"/>
  <c r="F546" i="14"/>
  <c r="E546" i="14"/>
  <c r="B546" i="14"/>
  <c r="AG545" i="14"/>
  <c r="AF545" i="14"/>
  <c r="AE545" i="14"/>
  <c r="AD545" i="14"/>
  <c r="AC545" i="14"/>
  <c r="AB545" i="14"/>
  <c r="AA545" i="14"/>
  <c r="Z545" i="14"/>
  <c r="Y545" i="14"/>
  <c r="X545" i="14"/>
  <c r="W545" i="14"/>
  <c r="V545" i="14"/>
  <c r="U545" i="14"/>
  <c r="T545" i="14"/>
  <c r="S545" i="14"/>
  <c r="R545" i="14"/>
  <c r="Q545" i="14"/>
  <c r="P545" i="14"/>
  <c r="O545" i="14"/>
  <c r="N545" i="14"/>
  <c r="M545" i="14"/>
  <c r="L545" i="14"/>
  <c r="K545" i="14"/>
  <c r="J545" i="14"/>
  <c r="I545" i="14"/>
  <c r="H545" i="14"/>
  <c r="G545" i="14"/>
  <c r="AE544" i="14"/>
  <c r="F544" i="14"/>
  <c r="E544" i="14" s="1"/>
  <c r="B544" i="14"/>
  <c r="AE543" i="14"/>
  <c r="F543" i="14"/>
  <c r="E543" i="14" s="1"/>
  <c r="B543" i="14"/>
  <c r="AE542" i="14"/>
  <c r="F542" i="14" s="1"/>
  <c r="E542" i="14" s="1"/>
  <c r="B542" i="14"/>
  <c r="AE541" i="14"/>
  <c r="F541" i="14"/>
  <c r="E541" i="14" s="1"/>
  <c r="B541" i="14"/>
  <c r="AE540" i="14"/>
  <c r="F540" i="14"/>
  <c r="E540" i="14" s="1"/>
  <c r="B540" i="14"/>
  <c r="AE539" i="14"/>
  <c r="F539" i="14" s="1"/>
  <c r="E539" i="14" s="1"/>
  <c r="B539" i="14"/>
  <c r="AE538" i="14"/>
  <c r="F538" i="14"/>
  <c r="E538" i="14" s="1"/>
  <c r="B538" i="14"/>
  <c r="AE537" i="14"/>
  <c r="F537" i="14" s="1"/>
  <c r="E537" i="14" s="1"/>
  <c r="B537" i="14"/>
  <c r="CF536" i="14"/>
  <c r="AE536" i="14"/>
  <c r="P536" i="14"/>
  <c r="F536" i="14"/>
  <c r="E536" i="14" s="1"/>
  <c r="B536" i="14"/>
  <c r="AG535" i="14"/>
  <c r="AF535" i="14"/>
  <c r="AE535" i="14"/>
  <c r="AD535" i="14"/>
  <c r="AC535" i="14"/>
  <c r="AB535" i="14"/>
  <c r="AA535" i="14"/>
  <c r="Z535" i="14"/>
  <c r="Y535" i="14"/>
  <c r="X535" i="14"/>
  <c r="W535" i="14"/>
  <c r="V535" i="14"/>
  <c r="U535" i="14"/>
  <c r="T535" i="14"/>
  <c r="S535" i="14"/>
  <c r="R535" i="14"/>
  <c r="Q535" i="14"/>
  <c r="P535" i="14"/>
  <c r="O535" i="14"/>
  <c r="N535" i="14"/>
  <c r="M535" i="14"/>
  <c r="L535" i="14"/>
  <c r="K535" i="14"/>
  <c r="J535" i="14"/>
  <c r="I535" i="14"/>
  <c r="H535" i="14"/>
  <c r="G535" i="14"/>
  <c r="CF534" i="14"/>
  <c r="F534" i="14"/>
  <c r="E534" i="14"/>
  <c r="B534" i="14"/>
  <c r="AG533" i="14"/>
  <c r="AF533" i="14"/>
  <c r="AE533" i="14"/>
  <c r="AD533" i="14"/>
  <c r="AC533" i="14"/>
  <c r="AB533" i="14"/>
  <c r="AA533" i="14"/>
  <c r="Z533" i="14"/>
  <c r="Y533" i="14"/>
  <c r="X533" i="14"/>
  <c r="W533" i="14"/>
  <c r="V533" i="14"/>
  <c r="U533" i="14"/>
  <c r="T533" i="14"/>
  <c r="S533" i="14"/>
  <c r="R533" i="14"/>
  <c r="Q533" i="14"/>
  <c r="P533" i="14"/>
  <c r="O533" i="14"/>
  <c r="N533" i="14"/>
  <c r="M533" i="14"/>
  <c r="L533" i="14"/>
  <c r="K533" i="14"/>
  <c r="J533" i="14"/>
  <c r="I533" i="14"/>
  <c r="H533" i="14"/>
  <c r="G533" i="14"/>
  <c r="F533" i="14"/>
  <c r="CD533" i="14" s="1"/>
  <c r="T532" i="14"/>
  <c r="AE532" i="14" s="1"/>
  <c r="AE530" i="14" s="1"/>
  <c r="B532" i="14"/>
  <c r="F531" i="14"/>
  <c r="E531" i="14" s="1"/>
  <c r="B531" i="14"/>
  <c r="AG530" i="14"/>
  <c r="AF530" i="14"/>
  <c r="AD530" i="14"/>
  <c r="AC530" i="14"/>
  <c r="AB530" i="14"/>
  <c r="AA530" i="14"/>
  <c r="Z530" i="14"/>
  <c r="Y530" i="14"/>
  <c r="X530" i="14"/>
  <c r="W530" i="14"/>
  <c r="V530" i="14"/>
  <c r="U530" i="14"/>
  <c r="S530" i="14"/>
  <c r="R530" i="14"/>
  <c r="Q530" i="14"/>
  <c r="P530" i="14"/>
  <c r="O530" i="14"/>
  <c r="N530" i="14"/>
  <c r="M530" i="14"/>
  <c r="L530" i="14"/>
  <c r="K530" i="14"/>
  <c r="J530" i="14"/>
  <c r="I530" i="14"/>
  <c r="H530" i="14"/>
  <c r="G530" i="14"/>
  <c r="CF529" i="14"/>
  <c r="F529" i="14"/>
  <c r="E529" i="14"/>
  <c r="B529" i="14"/>
  <c r="AG528" i="14"/>
  <c r="AF528" i="14"/>
  <c r="AE528" i="14"/>
  <c r="AD528" i="14"/>
  <c r="AC528" i="14"/>
  <c r="AB528" i="14"/>
  <c r="AA528" i="14"/>
  <c r="Z528" i="14"/>
  <c r="Y528" i="14"/>
  <c r="X528" i="14"/>
  <c r="W528" i="14"/>
  <c r="V528" i="14"/>
  <c r="U528" i="14"/>
  <c r="T528" i="14"/>
  <c r="S528" i="14"/>
  <c r="R528" i="14"/>
  <c r="Q528" i="14"/>
  <c r="P528" i="14"/>
  <c r="O528" i="14"/>
  <c r="N528" i="14"/>
  <c r="M528" i="14"/>
  <c r="L528" i="14"/>
  <c r="K528" i="14"/>
  <c r="J528" i="14"/>
  <c r="I528" i="14"/>
  <c r="H528" i="14"/>
  <c r="G528" i="14"/>
  <c r="F528" i="14"/>
  <c r="CD528" i="14" s="1"/>
  <c r="AE527" i="14"/>
  <c r="F527" i="14"/>
  <c r="E527" i="14" s="1"/>
  <c r="B527" i="14"/>
  <c r="CF526" i="14"/>
  <c r="F526" i="14"/>
  <c r="E526" i="14" s="1"/>
  <c r="B526" i="14"/>
  <c r="CF525" i="14"/>
  <c r="AE525" i="14"/>
  <c r="F525" i="14" s="1"/>
  <c r="E525" i="14" s="1"/>
  <c r="B525" i="14"/>
  <c r="AE524" i="14"/>
  <c r="F524" i="14" s="1"/>
  <c r="E524" i="14" s="1"/>
  <c r="B524" i="14"/>
  <c r="CF523" i="14"/>
  <c r="AE523" i="14"/>
  <c r="P523" i="14"/>
  <c r="F523" i="14"/>
  <c r="E523" i="14" s="1"/>
  <c r="B523" i="14"/>
  <c r="AG522" i="14"/>
  <c r="AF522" i="14"/>
  <c r="AE522" i="14"/>
  <c r="AD522" i="14"/>
  <c r="AC522" i="14"/>
  <c r="AB522" i="14"/>
  <c r="AA522" i="14"/>
  <c r="Z522" i="14"/>
  <c r="Y522" i="14"/>
  <c r="X522" i="14"/>
  <c r="W522" i="14"/>
  <c r="V522" i="14"/>
  <c r="U522" i="14"/>
  <c r="T522" i="14"/>
  <c r="S522" i="14"/>
  <c r="R522" i="14"/>
  <c r="Q522" i="14"/>
  <c r="P522" i="14"/>
  <c r="O522" i="14"/>
  <c r="N522" i="14"/>
  <c r="M522" i="14"/>
  <c r="L522" i="14"/>
  <c r="K522" i="14"/>
  <c r="J522" i="14"/>
  <c r="I522" i="14"/>
  <c r="H522" i="14"/>
  <c r="G522" i="14"/>
  <c r="AE521" i="14"/>
  <c r="F521" i="14"/>
  <c r="E521" i="14" s="1"/>
  <c r="B521" i="14"/>
  <c r="AE520" i="14"/>
  <c r="AE519" i="14" s="1"/>
  <c r="K520" i="14"/>
  <c r="F520" i="14"/>
  <c r="E520" i="14" s="1"/>
  <c r="B520" i="14"/>
  <c r="AG519" i="14"/>
  <c r="AF519" i="14"/>
  <c r="AD519" i="14"/>
  <c r="AC519" i="14"/>
  <c r="AB519" i="14"/>
  <c r="AA519" i="14"/>
  <c r="Z519" i="14"/>
  <c r="Y519" i="14"/>
  <c r="X519" i="14"/>
  <c r="W519" i="14"/>
  <c r="V519" i="14"/>
  <c r="U519" i="14"/>
  <c r="T519" i="14"/>
  <c r="S519" i="14"/>
  <c r="R519" i="14"/>
  <c r="Q519" i="14"/>
  <c r="P519" i="14"/>
  <c r="O519" i="14"/>
  <c r="N519" i="14"/>
  <c r="M519" i="14"/>
  <c r="L519" i="14"/>
  <c r="K519" i="14"/>
  <c r="J519" i="14"/>
  <c r="I519" i="14"/>
  <c r="H519" i="14"/>
  <c r="G519" i="14"/>
  <c r="F519" i="14"/>
  <c r="CD519" i="14" s="1"/>
  <c r="F518" i="14"/>
  <c r="E518" i="14" s="1"/>
  <c r="B518" i="14"/>
  <c r="AG517" i="14"/>
  <c r="AF517" i="14"/>
  <c r="AE517" i="14"/>
  <c r="AD517" i="14"/>
  <c r="AC517" i="14"/>
  <c r="AB517" i="14"/>
  <c r="AA517" i="14"/>
  <c r="Z517" i="14"/>
  <c r="Y517" i="14"/>
  <c r="X517" i="14"/>
  <c r="W517" i="14"/>
  <c r="V517" i="14"/>
  <c r="U517" i="14"/>
  <c r="T517" i="14"/>
  <c r="S517" i="14"/>
  <c r="R517" i="14"/>
  <c r="Q517" i="14"/>
  <c r="P517" i="14"/>
  <c r="O517" i="14"/>
  <c r="N517" i="14"/>
  <c r="M517" i="14"/>
  <c r="L517" i="14"/>
  <c r="K517" i="14"/>
  <c r="J517" i="14"/>
  <c r="I517" i="14"/>
  <c r="H517" i="14"/>
  <c r="G517" i="14"/>
  <c r="AE516" i="14"/>
  <c r="F516" i="14" s="1"/>
  <c r="E516" i="14" s="1"/>
  <c r="B516" i="14"/>
  <c r="F515" i="14"/>
  <c r="E515" i="14" s="1"/>
  <c r="B515" i="14"/>
  <c r="AG514" i="14"/>
  <c r="AF514" i="14"/>
  <c r="AE514" i="14"/>
  <c r="AD514" i="14"/>
  <c r="AC514" i="14"/>
  <c r="AB514" i="14"/>
  <c r="AA514" i="14"/>
  <c r="Z514" i="14"/>
  <c r="Y514" i="14"/>
  <c r="X514" i="14"/>
  <c r="W514" i="14"/>
  <c r="V514" i="14"/>
  <c r="U514" i="14"/>
  <c r="T514" i="14"/>
  <c r="S514" i="14"/>
  <c r="R514" i="14"/>
  <c r="Q514" i="14"/>
  <c r="P514" i="14"/>
  <c r="O514" i="14"/>
  <c r="N514" i="14"/>
  <c r="M514" i="14"/>
  <c r="L514" i="14"/>
  <c r="K514" i="14"/>
  <c r="J514" i="14"/>
  <c r="I514" i="14"/>
  <c r="H514" i="14"/>
  <c r="G514" i="14"/>
  <c r="AE513" i="14"/>
  <c r="F513" i="14"/>
  <c r="E513" i="14" s="1"/>
  <c r="B513" i="14"/>
  <c r="F512" i="14"/>
  <c r="E512" i="14"/>
  <c r="B512" i="14"/>
  <c r="AG511" i="14"/>
  <c r="AF511" i="14"/>
  <c r="AE511" i="14"/>
  <c r="AD511" i="14"/>
  <c r="AC511" i="14"/>
  <c r="AB511" i="14"/>
  <c r="AA511" i="14"/>
  <c r="Z511" i="14"/>
  <c r="Y511" i="14"/>
  <c r="X511" i="14"/>
  <c r="W511" i="14"/>
  <c r="V511" i="14"/>
  <c r="U511" i="14"/>
  <c r="T511" i="14"/>
  <c r="S511" i="14"/>
  <c r="R511" i="14"/>
  <c r="Q511" i="14"/>
  <c r="P511" i="14"/>
  <c r="O511" i="14"/>
  <c r="N511" i="14"/>
  <c r="M511" i="14"/>
  <c r="L511" i="14"/>
  <c r="K511" i="14"/>
  <c r="J511" i="14"/>
  <c r="I511" i="14"/>
  <c r="H511" i="14"/>
  <c r="G511" i="14"/>
  <c r="F511" i="14"/>
  <c r="CD511" i="14" s="1"/>
  <c r="CF510" i="14"/>
  <c r="F510" i="14"/>
  <c r="E510" i="14" s="1"/>
  <c r="B510" i="14"/>
  <c r="AG509" i="14"/>
  <c r="AF509" i="14"/>
  <c r="AE509" i="14"/>
  <c r="AD509" i="14"/>
  <c r="AC509" i="14"/>
  <c r="AB509" i="14"/>
  <c r="AA509" i="14"/>
  <c r="Z509" i="14"/>
  <c r="Y509" i="14"/>
  <c r="X509" i="14"/>
  <c r="W509" i="14"/>
  <c r="V509" i="14"/>
  <c r="U509" i="14"/>
  <c r="T509" i="14"/>
  <c r="S509" i="14"/>
  <c r="R509" i="14"/>
  <c r="Q509" i="14"/>
  <c r="P509" i="14"/>
  <c r="O509" i="14"/>
  <c r="N509" i="14"/>
  <c r="M509" i="14"/>
  <c r="L509" i="14"/>
  <c r="K509" i="14"/>
  <c r="J509" i="14"/>
  <c r="I509" i="14"/>
  <c r="H509" i="14"/>
  <c r="G509" i="14"/>
  <c r="CF508" i="14"/>
  <c r="AE508" i="14"/>
  <c r="F508" i="14" s="1"/>
  <c r="E508" i="14" s="1"/>
  <c r="B508" i="14"/>
  <c r="AE507" i="14"/>
  <c r="F507" i="14"/>
  <c r="E507" i="14" s="1"/>
  <c r="B507" i="14"/>
  <c r="AE506" i="14"/>
  <c r="F506" i="14" s="1"/>
  <c r="E506" i="14" s="1"/>
  <c r="B506" i="14"/>
  <c r="F505" i="14"/>
  <c r="E505" i="14" s="1"/>
  <c r="B505" i="14"/>
  <c r="F504" i="14"/>
  <c r="E504" i="14"/>
  <c r="B504" i="14"/>
  <c r="AG503" i="14"/>
  <c r="AF503" i="14"/>
  <c r="AE503" i="14"/>
  <c r="AD503" i="14"/>
  <c r="AC503" i="14"/>
  <c r="AB503" i="14"/>
  <c r="AA503" i="14"/>
  <c r="Z503" i="14"/>
  <c r="Y503" i="14"/>
  <c r="X503" i="14"/>
  <c r="W503" i="14"/>
  <c r="V503" i="14"/>
  <c r="U503" i="14"/>
  <c r="T503" i="14"/>
  <c r="S503" i="14"/>
  <c r="R503" i="14"/>
  <c r="Q503" i="14"/>
  <c r="P503" i="14"/>
  <c r="O503" i="14"/>
  <c r="N503" i="14"/>
  <c r="M503" i="14"/>
  <c r="L503" i="14"/>
  <c r="K503" i="14"/>
  <c r="J503" i="14"/>
  <c r="I503" i="14"/>
  <c r="H503" i="14"/>
  <c r="G503" i="14"/>
  <c r="F502" i="14"/>
  <c r="E502" i="14"/>
  <c r="B502" i="14"/>
  <c r="F501" i="14"/>
  <c r="E501" i="14" s="1"/>
  <c r="B501" i="14"/>
  <c r="F500" i="14"/>
  <c r="E500" i="14"/>
  <c r="B500" i="14"/>
  <c r="AE499" i="14"/>
  <c r="F499" i="14" s="1"/>
  <c r="B499" i="14"/>
  <c r="AG498" i="14"/>
  <c r="AF498" i="14"/>
  <c r="AE498" i="14"/>
  <c r="AD498" i="14"/>
  <c r="AC498" i="14"/>
  <c r="AB498" i="14"/>
  <c r="AA498" i="14"/>
  <c r="Z498" i="14"/>
  <c r="Y498" i="14"/>
  <c r="X498" i="14"/>
  <c r="W498" i="14"/>
  <c r="V498" i="14"/>
  <c r="U498" i="14"/>
  <c r="T498" i="14"/>
  <c r="S498" i="14"/>
  <c r="R498" i="14"/>
  <c r="Q498" i="14"/>
  <c r="P498" i="14"/>
  <c r="O498" i="14"/>
  <c r="N498" i="14"/>
  <c r="M498" i="14"/>
  <c r="L498" i="14"/>
  <c r="K498" i="14"/>
  <c r="J498" i="14"/>
  <c r="I498" i="14"/>
  <c r="H498" i="14"/>
  <c r="G498" i="14"/>
  <c r="AE497" i="14"/>
  <c r="T497" i="14"/>
  <c r="F497" i="14"/>
  <c r="E497" i="14" s="1"/>
  <c r="B497" i="14"/>
  <c r="AG496" i="14"/>
  <c r="AF496" i="14"/>
  <c r="AE496" i="14"/>
  <c r="AD496" i="14"/>
  <c r="AC496" i="14"/>
  <c r="AB496" i="14"/>
  <c r="AA496" i="14"/>
  <c r="Z496" i="14"/>
  <c r="Y496" i="14"/>
  <c r="X496" i="14"/>
  <c r="W496" i="14"/>
  <c r="V496" i="14"/>
  <c r="U496" i="14"/>
  <c r="T496" i="14"/>
  <c r="S496" i="14"/>
  <c r="R496" i="14"/>
  <c r="Q496" i="14"/>
  <c r="P496" i="14"/>
  <c r="O496" i="14"/>
  <c r="N496" i="14"/>
  <c r="M496" i="14"/>
  <c r="L496" i="14"/>
  <c r="K496" i="14"/>
  <c r="J496" i="14"/>
  <c r="I496" i="14"/>
  <c r="H496" i="14"/>
  <c r="G496" i="14"/>
  <c r="CF495" i="14"/>
  <c r="AE495" i="14"/>
  <c r="F495" i="14" s="1"/>
  <c r="B495" i="14"/>
  <c r="AG494" i="14"/>
  <c r="AF494" i="14"/>
  <c r="AD494" i="14"/>
  <c r="AC494" i="14"/>
  <c r="AB494" i="14"/>
  <c r="AA494" i="14"/>
  <c r="Z494" i="14"/>
  <c r="Y494" i="14"/>
  <c r="X494" i="14"/>
  <c r="W494" i="14"/>
  <c r="V494" i="14"/>
  <c r="U494" i="14"/>
  <c r="T494" i="14"/>
  <c r="S494" i="14"/>
  <c r="R494" i="14"/>
  <c r="Q494" i="14"/>
  <c r="P494" i="14"/>
  <c r="O494" i="14"/>
  <c r="N494" i="14"/>
  <c r="M494" i="14"/>
  <c r="L494" i="14"/>
  <c r="K494" i="14"/>
  <c r="J494" i="14"/>
  <c r="I494" i="14"/>
  <c r="H494" i="14"/>
  <c r="G494" i="14"/>
  <c r="AE493" i="14"/>
  <c r="F493" i="14"/>
  <c r="E493" i="14" s="1"/>
  <c r="B493" i="14"/>
  <c r="AE492" i="14"/>
  <c r="F492" i="14"/>
  <c r="E492" i="14" s="1"/>
  <c r="B492" i="14"/>
  <c r="CF491" i="14"/>
  <c r="AE491" i="14"/>
  <c r="P491" i="14"/>
  <c r="F491" i="14"/>
  <c r="E491" i="14" s="1"/>
  <c r="B491" i="14"/>
  <c r="CF490" i="14"/>
  <c r="AE490" i="14"/>
  <c r="F490" i="14" s="1"/>
  <c r="E490" i="14" s="1"/>
  <c r="B490" i="14"/>
  <c r="CF489" i="14"/>
  <c r="AE489" i="14"/>
  <c r="F489" i="14"/>
  <c r="E489" i="14" s="1"/>
  <c r="B489" i="14"/>
  <c r="AV488" i="14"/>
  <c r="AE488" i="14"/>
  <c r="F488" i="14"/>
  <c r="E488" i="14" s="1"/>
  <c r="B488" i="14"/>
  <c r="AE487" i="14"/>
  <c r="F487" i="14"/>
  <c r="E487" i="14" s="1"/>
  <c r="B487" i="14"/>
  <c r="CF486" i="14"/>
  <c r="F486" i="14"/>
  <c r="E486" i="14"/>
  <c r="B486" i="14"/>
  <c r="AG485" i="14"/>
  <c r="AF485" i="14"/>
  <c r="AE485" i="14"/>
  <c r="AD485" i="14"/>
  <c r="AC485" i="14"/>
  <c r="AB485" i="14"/>
  <c r="AA485" i="14"/>
  <c r="Z485" i="14"/>
  <c r="Y485" i="14"/>
  <c r="X485" i="14"/>
  <c r="W485" i="14"/>
  <c r="V485" i="14"/>
  <c r="U485" i="14"/>
  <c r="T485" i="14"/>
  <c r="S485" i="14"/>
  <c r="R485" i="14"/>
  <c r="Q485" i="14"/>
  <c r="P485" i="14"/>
  <c r="O485" i="14"/>
  <c r="N485" i="14"/>
  <c r="M485" i="14"/>
  <c r="L485" i="14"/>
  <c r="K485" i="14"/>
  <c r="J485" i="14"/>
  <c r="I485" i="14"/>
  <c r="H485" i="14"/>
  <c r="G485" i="14"/>
  <c r="CF484" i="14"/>
  <c r="AE484" i="14"/>
  <c r="F484" i="14"/>
  <c r="E484" i="14" s="1"/>
  <c r="B484" i="14"/>
  <c r="AE483" i="14"/>
  <c r="F483" i="14"/>
  <c r="E483" i="14" s="1"/>
  <c r="B483" i="14"/>
  <c r="AE482" i="14"/>
  <c r="F482" i="14" s="1"/>
  <c r="E482" i="14" s="1"/>
  <c r="B482" i="14"/>
  <c r="CF481" i="14"/>
  <c r="AE481" i="14"/>
  <c r="F481" i="14"/>
  <c r="E481" i="14" s="1"/>
  <c r="B481" i="14"/>
  <c r="CF480" i="14"/>
  <c r="AE480" i="14"/>
  <c r="F480" i="14" s="1"/>
  <c r="E480" i="14" s="1"/>
  <c r="B480" i="14"/>
  <c r="I479" i="14"/>
  <c r="B479" i="14"/>
  <c r="AE478" i="14"/>
  <c r="F478" i="14"/>
  <c r="E478" i="14" s="1"/>
  <c r="B478" i="14"/>
  <c r="AE477" i="14"/>
  <c r="B477" i="14"/>
  <c r="CF476" i="14"/>
  <c r="F476" i="14"/>
  <c r="E476" i="14" s="1"/>
  <c r="B476" i="14"/>
  <c r="AE475" i="14"/>
  <c r="F475" i="14"/>
  <c r="E475" i="14" s="1"/>
  <c r="B475" i="14"/>
  <c r="CF474" i="14"/>
  <c r="F474" i="14"/>
  <c r="E474" i="14"/>
  <c r="B474" i="14"/>
  <c r="AG473" i="14"/>
  <c r="AF473" i="14"/>
  <c r="AD473" i="14"/>
  <c r="AC473" i="14"/>
  <c r="AB473" i="14"/>
  <c r="AA473" i="14"/>
  <c r="Z473" i="14"/>
  <c r="Y473" i="14"/>
  <c r="X473" i="14"/>
  <c r="W473" i="14"/>
  <c r="V473" i="14"/>
  <c r="U473" i="14"/>
  <c r="T473" i="14"/>
  <c r="S473" i="14"/>
  <c r="R473" i="14"/>
  <c r="Q473" i="14"/>
  <c r="P473" i="14"/>
  <c r="O473" i="14"/>
  <c r="N473" i="14"/>
  <c r="M473" i="14"/>
  <c r="L473" i="14"/>
  <c r="K473" i="14"/>
  <c r="J473" i="14"/>
  <c r="H473" i="14"/>
  <c r="G473" i="14"/>
  <c r="AE472" i="14"/>
  <c r="F472" i="14"/>
  <c r="E472" i="14" s="1"/>
  <c r="B472" i="14"/>
  <c r="CF471" i="14"/>
  <c r="AE471" i="14"/>
  <c r="P471" i="14"/>
  <c r="F471" i="14"/>
  <c r="E471" i="14" s="1"/>
  <c r="B471" i="14"/>
  <c r="AE470" i="14"/>
  <c r="F470" i="14" s="1"/>
  <c r="E470" i="14" s="1"/>
  <c r="B470" i="14"/>
  <c r="CF469" i="14"/>
  <c r="F469" i="14"/>
  <c r="E469" i="14" s="1"/>
  <c r="B469" i="14"/>
  <c r="AE468" i="14"/>
  <c r="F468" i="14"/>
  <c r="E468" i="14" s="1"/>
  <c r="B468" i="14"/>
  <c r="AG467" i="14"/>
  <c r="AF467" i="14"/>
  <c r="AE467" i="14"/>
  <c r="AD467" i="14"/>
  <c r="AC467" i="14"/>
  <c r="AB467" i="14"/>
  <c r="AA467" i="14"/>
  <c r="Z467" i="14"/>
  <c r="Y467" i="14"/>
  <c r="X467" i="14"/>
  <c r="W467" i="14"/>
  <c r="V467" i="14"/>
  <c r="U467" i="14"/>
  <c r="T467" i="14"/>
  <c r="S467" i="14"/>
  <c r="R467" i="14"/>
  <c r="Q467" i="14"/>
  <c r="P467" i="14"/>
  <c r="O467" i="14"/>
  <c r="N467" i="14"/>
  <c r="M467" i="14"/>
  <c r="L467" i="14"/>
  <c r="K467" i="14"/>
  <c r="J467" i="14"/>
  <c r="I467" i="14"/>
  <c r="H467" i="14"/>
  <c r="G467" i="14"/>
  <c r="AE466" i="14"/>
  <c r="F466" i="14"/>
  <c r="E466" i="14" s="1"/>
  <c r="B466" i="14"/>
  <c r="AG465" i="14"/>
  <c r="AF465" i="14"/>
  <c r="AE465" i="14"/>
  <c r="AD465" i="14"/>
  <c r="AC465" i="14"/>
  <c r="AB465" i="14"/>
  <c r="AA465" i="14"/>
  <c r="Z465" i="14"/>
  <c r="Y465" i="14"/>
  <c r="X465" i="14"/>
  <c r="W465" i="14"/>
  <c r="V465" i="14"/>
  <c r="U465" i="14"/>
  <c r="T465" i="14"/>
  <c r="S465" i="14"/>
  <c r="R465" i="14"/>
  <c r="Q465" i="14"/>
  <c r="P465" i="14"/>
  <c r="O465" i="14"/>
  <c r="N465" i="14"/>
  <c r="M465" i="14"/>
  <c r="L465" i="14"/>
  <c r="K465" i="14"/>
  <c r="J465" i="14"/>
  <c r="I465" i="14"/>
  <c r="H465" i="14"/>
  <c r="G465" i="14"/>
  <c r="F465" i="14"/>
  <c r="E465" i="14" s="1"/>
  <c r="AE464" i="14"/>
  <c r="F464" i="14" s="1"/>
  <c r="B464" i="14"/>
  <c r="AG463" i="14"/>
  <c r="AF463" i="14"/>
  <c r="AE463" i="14"/>
  <c r="AD463" i="14"/>
  <c r="AC463" i="14"/>
  <c r="AB463" i="14"/>
  <c r="AA463" i="14"/>
  <c r="Z463" i="14"/>
  <c r="Y463" i="14"/>
  <c r="X463" i="14"/>
  <c r="W463" i="14"/>
  <c r="V463" i="14"/>
  <c r="U463" i="14"/>
  <c r="T463" i="14"/>
  <c r="S463" i="14"/>
  <c r="R463" i="14"/>
  <c r="Q463" i="14"/>
  <c r="P463" i="14"/>
  <c r="O463" i="14"/>
  <c r="N463" i="14"/>
  <c r="M463" i="14"/>
  <c r="L463" i="14"/>
  <c r="K463" i="14"/>
  <c r="J463" i="14"/>
  <c r="I463" i="14"/>
  <c r="H463" i="14"/>
  <c r="G463" i="14"/>
  <c r="AE462" i="14"/>
  <c r="F462" i="14" s="1"/>
  <c r="B462" i="14"/>
  <c r="AG461" i="14"/>
  <c r="AF461" i="14"/>
  <c r="AD461" i="14"/>
  <c r="AC461" i="14"/>
  <c r="AB461" i="14"/>
  <c r="AA461" i="14"/>
  <c r="Z461" i="14"/>
  <c r="Y461" i="14"/>
  <c r="X461" i="14"/>
  <c r="W461" i="14"/>
  <c r="V461" i="14"/>
  <c r="U461" i="14"/>
  <c r="T461" i="14"/>
  <c r="S461" i="14"/>
  <c r="R461" i="14"/>
  <c r="Q461" i="14"/>
  <c r="P461" i="14"/>
  <c r="O461" i="14"/>
  <c r="N461" i="14"/>
  <c r="M461" i="14"/>
  <c r="L461" i="14"/>
  <c r="K461" i="14"/>
  <c r="J461" i="14"/>
  <c r="I461" i="14"/>
  <c r="H461" i="14"/>
  <c r="G461" i="14"/>
  <c r="CF460" i="14"/>
  <c r="F460" i="14"/>
  <c r="E460" i="14" s="1"/>
  <c r="B460" i="14"/>
  <c r="AG459" i="14"/>
  <c r="AF459" i="14"/>
  <c r="AE459" i="14"/>
  <c r="AD459" i="14"/>
  <c r="AC459" i="14"/>
  <c r="AB459" i="14"/>
  <c r="AA459" i="14"/>
  <c r="Z459" i="14"/>
  <c r="Y459" i="14"/>
  <c r="X459" i="14"/>
  <c r="W459" i="14"/>
  <c r="V459" i="14"/>
  <c r="U459" i="14"/>
  <c r="T459" i="14"/>
  <c r="S459" i="14"/>
  <c r="R459" i="14"/>
  <c r="Q459" i="14"/>
  <c r="P459" i="14"/>
  <c r="O459" i="14"/>
  <c r="N459" i="14"/>
  <c r="M459" i="14"/>
  <c r="L459" i="14"/>
  <c r="K459" i="14"/>
  <c r="J459" i="14"/>
  <c r="I459" i="14"/>
  <c r="H459" i="14"/>
  <c r="G459" i="14"/>
  <c r="F459" i="14"/>
  <c r="E459" i="14" s="1"/>
  <c r="CF458" i="14"/>
  <c r="F458" i="14"/>
  <c r="E458" i="14" s="1"/>
  <c r="B458" i="14"/>
  <c r="AG457" i="14"/>
  <c r="AF457" i="14"/>
  <c r="AE457" i="14"/>
  <c r="AD457" i="14"/>
  <c r="AC457" i="14"/>
  <c r="AB457" i="14"/>
  <c r="AA457" i="14"/>
  <c r="Z457" i="14"/>
  <c r="Y457" i="14"/>
  <c r="X457" i="14"/>
  <c r="W457" i="14"/>
  <c r="V457" i="14"/>
  <c r="U457" i="14"/>
  <c r="T457" i="14"/>
  <c r="S457" i="14"/>
  <c r="R457" i="14"/>
  <c r="Q457" i="14"/>
  <c r="P457" i="14"/>
  <c r="O457" i="14"/>
  <c r="N457" i="14"/>
  <c r="M457" i="14"/>
  <c r="L457" i="14"/>
  <c r="K457" i="14"/>
  <c r="J457" i="14"/>
  <c r="I457" i="14"/>
  <c r="H457" i="14"/>
  <c r="G457" i="14"/>
  <c r="F457" i="14"/>
  <c r="E457" i="14" s="1"/>
  <c r="CF456" i="14"/>
  <c r="F456" i="14"/>
  <c r="E456" i="14"/>
  <c r="B456" i="14"/>
  <c r="AG455" i="14"/>
  <c r="AF455" i="14"/>
  <c r="AE455" i="14"/>
  <c r="AD455" i="14"/>
  <c r="AC455" i="14"/>
  <c r="AB455" i="14"/>
  <c r="AA455" i="14"/>
  <c r="Z455" i="14"/>
  <c r="Y455" i="14"/>
  <c r="X455" i="14"/>
  <c r="W455" i="14"/>
  <c r="V455" i="14"/>
  <c r="U455" i="14"/>
  <c r="T455" i="14"/>
  <c r="S455" i="14"/>
  <c r="R455" i="14"/>
  <c r="Q455" i="14"/>
  <c r="P455" i="14"/>
  <c r="O455" i="14"/>
  <c r="N455" i="14"/>
  <c r="M455" i="14"/>
  <c r="L455" i="14"/>
  <c r="K455" i="14"/>
  <c r="J455" i="14"/>
  <c r="I455" i="14"/>
  <c r="H455" i="14"/>
  <c r="G455" i="14"/>
  <c r="F455" i="14"/>
  <c r="E455" i="14"/>
  <c r="AE454" i="14"/>
  <c r="F454" i="14"/>
  <c r="E454" i="14" s="1"/>
  <c r="B454" i="14"/>
  <c r="AE453" i="14"/>
  <c r="F453" i="14"/>
  <c r="E453" i="14" s="1"/>
  <c r="B453" i="14"/>
  <c r="CF452" i="14"/>
  <c r="AE452" i="14"/>
  <c r="F452" i="14" s="1"/>
  <c r="E452" i="14" s="1"/>
  <c r="B452" i="14"/>
  <c r="CF451" i="14"/>
  <c r="AE451" i="14"/>
  <c r="F451" i="14"/>
  <c r="E451" i="14" s="1"/>
  <c r="B451" i="14"/>
  <c r="CF450" i="14"/>
  <c r="AE450" i="14"/>
  <c r="F450" i="14" s="1"/>
  <c r="E450" i="14" s="1"/>
  <c r="B450" i="14"/>
  <c r="CF449" i="14"/>
  <c r="AE449" i="14"/>
  <c r="F449" i="14"/>
  <c r="E449" i="14" s="1"/>
  <c r="B449" i="14"/>
  <c r="F448" i="14"/>
  <c r="E448" i="14"/>
  <c r="B448" i="14"/>
  <c r="AE447" i="14"/>
  <c r="F447" i="14" s="1"/>
  <c r="E447" i="14" s="1"/>
  <c r="B447" i="14"/>
  <c r="F446" i="14"/>
  <c r="E446" i="14" s="1"/>
  <c r="B446" i="14"/>
  <c r="AE445" i="14"/>
  <c r="F445" i="14"/>
  <c r="B445" i="14"/>
  <c r="AG444" i="14"/>
  <c r="AF444" i="14"/>
  <c r="AE444" i="14"/>
  <c r="AD444" i="14"/>
  <c r="AC444" i="14"/>
  <c r="AB444" i="14"/>
  <c r="AA444" i="14"/>
  <c r="Z444" i="14"/>
  <c r="Y444" i="14"/>
  <c r="X444" i="14"/>
  <c r="W444" i="14"/>
  <c r="V444" i="14"/>
  <c r="U444" i="14"/>
  <c r="T444" i="14"/>
  <c r="S444" i="14"/>
  <c r="R444" i="14"/>
  <c r="Q444" i="14"/>
  <c r="P444" i="14"/>
  <c r="O444" i="14"/>
  <c r="N444" i="14"/>
  <c r="M444" i="14"/>
  <c r="L444" i="14"/>
  <c r="K444" i="14"/>
  <c r="J444" i="14"/>
  <c r="I444" i="14"/>
  <c r="H444" i="14"/>
  <c r="G444" i="14"/>
  <c r="AE443" i="14"/>
  <c r="F443" i="14" s="1"/>
  <c r="B443" i="14"/>
  <c r="CF442" i="14"/>
  <c r="F442" i="14"/>
  <c r="E442" i="14" s="1"/>
  <c r="B442" i="14"/>
  <c r="AG441" i="14"/>
  <c r="AF441" i="14"/>
  <c r="AD441" i="14"/>
  <c r="AC441" i="14"/>
  <c r="AB441" i="14"/>
  <c r="AA441" i="14"/>
  <c r="Z441" i="14"/>
  <c r="Y441" i="14"/>
  <c r="X441" i="14"/>
  <c r="W441" i="14"/>
  <c r="V441" i="14"/>
  <c r="U441" i="14"/>
  <c r="T441" i="14"/>
  <c r="S441" i="14"/>
  <c r="R441" i="14"/>
  <c r="Q441" i="14"/>
  <c r="P441" i="14"/>
  <c r="O441" i="14"/>
  <c r="N441" i="14"/>
  <c r="M441" i="14"/>
  <c r="L441" i="14"/>
  <c r="K441" i="14"/>
  <c r="J441" i="14"/>
  <c r="I441" i="14"/>
  <c r="H441" i="14"/>
  <c r="G441" i="14"/>
  <c r="CF440" i="14"/>
  <c r="AE440" i="14"/>
  <c r="F440" i="14"/>
  <c r="E440" i="14" s="1"/>
  <c r="B440" i="14"/>
  <c r="AE439" i="14"/>
  <c r="F439" i="14" s="1"/>
  <c r="E439" i="14" s="1"/>
  <c r="B439" i="14"/>
  <c r="CF438" i="14"/>
  <c r="F438" i="14"/>
  <c r="E438" i="14" s="1"/>
  <c r="B438" i="14"/>
  <c r="CF437" i="14"/>
  <c r="F437" i="14"/>
  <c r="E437" i="14"/>
  <c r="B437" i="14"/>
  <c r="F436" i="14"/>
  <c r="E436" i="14" s="1"/>
  <c r="B436" i="14"/>
  <c r="AG435" i="14"/>
  <c r="AF435" i="14"/>
  <c r="AE435" i="14"/>
  <c r="AD435" i="14"/>
  <c r="AC435" i="14"/>
  <c r="AB435" i="14"/>
  <c r="AA435" i="14"/>
  <c r="Z435" i="14"/>
  <c r="Y435" i="14"/>
  <c r="X435" i="14"/>
  <c r="W435" i="14"/>
  <c r="V435" i="14"/>
  <c r="U435" i="14"/>
  <c r="T435" i="14"/>
  <c r="S435" i="14"/>
  <c r="R435" i="14"/>
  <c r="Q435" i="14"/>
  <c r="P435" i="14"/>
  <c r="O435" i="14"/>
  <c r="N435" i="14"/>
  <c r="M435" i="14"/>
  <c r="L435" i="14"/>
  <c r="K435" i="14"/>
  <c r="J435" i="14"/>
  <c r="I435" i="14"/>
  <c r="H435" i="14"/>
  <c r="G435" i="14"/>
  <c r="AE434" i="14"/>
  <c r="F434" i="14" s="1"/>
  <c r="E434" i="14" s="1"/>
  <c r="B434" i="14"/>
  <c r="AE433" i="14"/>
  <c r="F433" i="14"/>
  <c r="E433" i="14" s="1"/>
  <c r="B433" i="14"/>
  <c r="AE432" i="14"/>
  <c r="F432" i="14" s="1"/>
  <c r="B432" i="14"/>
  <c r="AE431" i="14"/>
  <c r="F431" i="14"/>
  <c r="E431" i="14" s="1"/>
  <c r="B431" i="14"/>
  <c r="AE430" i="14"/>
  <c r="F430" i="14"/>
  <c r="E430" i="14" s="1"/>
  <c r="B430" i="14"/>
  <c r="AE429" i="14"/>
  <c r="F429" i="14"/>
  <c r="E429" i="14" s="1"/>
  <c r="B429" i="14"/>
  <c r="AG428" i="14"/>
  <c r="AF428" i="14"/>
  <c r="AD428" i="14"/>
  <c r="AC428" i="14"/>
  <c r="AB428" i="14"/>
  <c r="AA428" i="14"/>
  <c r="Z428" i="14"/>
  <c r="Y428" i="14"/>
  <c r="X428" i="14"/>
  <c r="W428" i="14"/>
  <c r="V428" i="14"/>
  <c r="U428" i="14"/>
  <c r="T428" i="14"/>
  <c r="S428" i="14"/>
  <c r="R428" i="14"/>
  <c r="Q428" i="14"/>
  <c r="P428" i="14"/>
  <c r="O428" i="14"/>
  <c r="N428" i="14"/>
  <c r="M428" i="14"/>
  <c r="L428" i="14"/>
  <c r="K428" i="14"/>
  <c r="J428" i="14"/>
  <c r="I428" i="14"/>
  <c r="H428" i="14"/>
  <c r="G428" i="14"/>
  <c r="AE427" i="14"/>
  <c r="F427" i="14" s="1"/>
  <c r="B427" i="14"/>
  <c r="AE426" i="14"/>
  <c r="F426" i="14"/>
  <c r="E426" i="14" s="1"/>
  <c r="B426" i="14"/>
  <c r="AE425" i="14"/>
  <c r="F425" i="14"/>
  <c r="E425" i="14" s="1"/>
  <c r="B425" i="14"/>
  <c r="AG424" i="14"/>
  <c r="AF424" i="14"/>
  <c r="AD424" i="14"/>
  <c r="AC424" i="14"/>
  <c r="AB424" i="14"/>
  <c r="AA424" i="14"/>
  <c r="Z424" i="14"/>
  <c r="Y424" i="14"/>
  <c r="X424" i="14"/>
  <c r="W424" i="14"/>
  <c r="V424" i="14"/>
  <c r="U424" i="14"/>
  <c r="T424" i="14"/>
  <c r="S424" i="14"/>
  <c r="R424" i="14"/>
  <c r="Q424" i="14"/>
  <c r="P424" i="14"/>
  <c r="O424" i="14"/>
  <c r="N424" i="14"/>
  <c r="M424" i="14"/>
  <c r="L424" i="14"/>
  <c r="K424" i="14"/>
  <c r="J424" i="14"/>
  <c r="I424" i="14"/>
  <c r="H424" i="14"/>
  <c r="G424" i="14"/>
  <c r="F423" i="14"/>
  <c r="E423" i="14" s="1"/>
  <c r="B423" i="14"/>
  <c r="AG422" i="14"/>
  <c r="AF422" i="14"/>
  <c r="AE422" i="14"/>
  <c r="AD422" i="14"/>
  <c r="AC422" i="14"/>
  <c r="AB422" i="14"/>
  <c r="AA422" i="14"/>
  <c r="Z422" i="14"/>
  <c r="Y422" i="14"/>
  <c r="X422" i="14"/>
  <c r="W422" i="14"/>
  <c r="V422" i="14"/>
  <c r="U422" i="14"/>
  <c r="T422" i="14"/>
  <c r="S422" i="14"/>
  <c r="R422" i="14"/>
  <c r="Q422" i="14"/>
  <c r="P422" i="14"/>
  <c r="O422" i="14"/>
  <c r="N422" i="14"/>
  <c r="M422" i="14"/>
  <c r="L422" i="14"/>
  <c r="K422" i="14"/>
  <c r="J422" i="14"/>
  <c r="I422" i="14"/>
  <c r="H422" i="14"/>
  <c r="G422" i="14"/>
  <c r="F422" i="14"/>
  <c r="E422" i="14" s="1"/>
  <c r="CF421" i="14"/>
  <c r="F421" i="14"/>
  <c r="E421" i="14"/>
  <c r="B421" i="14"/>
  <c r="CF420" i="14"/>
  <c r="F420" i="14"/>
  <c r="E420" i="14" s="1"/>
  <c r="B420" i="14"/>
  <c r="CF419" i="14"/>
  <c r="F419" i="14"/>
  <c r="E419" i="14"/>
  <c r="B419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AE417" i="14"/>
  <c r="F417" i="14"/>
  <c r="E417" i="14" s="1"/>
  <c r="B417" i="14"/>
  <c r="AE416" i="14"/>
  <c r="F416" i="14"/>
  <c r="E416" i="14" s="1"/>
  <c r="B416" i="14"/>
  <c r="AE415" i="14"/>
  <c r="F415" i="14" s="1"/>
  <c r="B415" i="14"/>
  <c r="AG414" i="14"/>
  <c r="AF414" i="14"/>
  <c r="AD414" i="14"/>
  <c r="AC414" i="14"/>
  <c r="AB414" i="14"/>
  <c r="AA414" i="14"/>
  <c r="Z414" i="14"/>
  <c r="Y414" i="14"/>
  <c r="X414" i="14"/>
  <c r="W414" i="14"/>
  <c r="V414" i="14"/>
  <c r="U414" i="14"/>
  <c r="T414" i="14"/>
  <c r="S414" i="14"/>
  <c r="R414" i="14"/>
  <c r="Q414" i="14"/>
  <c r="P414" i="14"/>
  <c r="O414" i="14"/>
  <c r="N414" i="14"/>
  <c r="M414" i="14"/>
  <c r="L414" i="14"/>
  <c r="K414" i="14"/>
  <c r="J414" i="14"/>
  <c r="I414" i="14"/>
  <c r="H414" i="14"/>
  <c r="G414" i="14"/>
  <c r="F413" i="14"/>
  <c r="E413" i="14" s="1"/>
  <c r="B413" i="14"/>
  <c r="AG412" i="14"/>
  <c r="AF412" i="14"/>
  <c r="AE412" i="14"/>
  <c r="AD412" i="14"/>
  <c r="AC412" i="14"/>
  <c r="AB412" i="14"/>
  <c r="AA412" i="14"/>
  <c r="Z412" i="14"/>
  <c r="Y412" i="14"/>
  <c r="X412" i="14"/>
  <c r="W412" i="14"/>
  <c r="V412" i="14"/>
  <c r="U412" i="14"/>
  <c r="T412" i="14"/>
  <c r="S412" i="14"/>
  <c r="R412" i="14"/>
  <c r="Q412" i="14"/>
  <c r="P412" i="14"/>
  <c r="O412" i="14"/>
  <c r="N412" i="14"/>
  <c r="M412" i="14"/>
  <c r="L412" i="14"/>
  <c r="K412" i="14"/>
  <c r="J412" i="14"/>
  <c r="I412" i="14"/>
  <c r="H412" i="14"/>
  <c r="G412" i="14"/>
  <c r="F412" i="14"/>
  <c r="E412" i="14" s="1"/>
  <c r="AE411" i="14"/>
  <c r="F411" i="14" s="1"/>
  <c r="E411" i="14" s="1"/>
  <c r="B411" i="14"/>
  <c r="AE410" i="14"/>
  <c r="F410" i="14" s="1"/>
  <c r="E410" i="14" s="1"/>
  <c r="B410" i="14"/>
  <c r="AE409" i="14"/>
  <c r="F409" i="14" s="1"/>
  <c r="B409" i="14"/>
  <c r="CF408" i="14"/>
  <c r="AE408" i="14"/>
  <c r="F408" i="14"/>
  <c r="E408" i="14" s="1"/>
  <c r="B408" i="14"/>
  <c r="AE407" i="14"/>
  <c r="F407" i="14"/>
  <c r="E407" i="14" s="1"/>
  <c r="B407" i="14"/>
  <c r="F406" i="14"/>
  <c r="E406" i="14"/>
  <c r="B406" i="14"/>
  <c r="F405" i="14"/>
  <c r="E405" i="14" s="1"/>
  <c r="B405" i="14"/>
  <c r="AG404" i="14"/>
  <c r="AF404" i="14"/>
  <c r="AD404" i="14"/>
  <c r="AC404" i="14"/>
  <c r="AB404" i="14"/>
  <c r="AA404" i="14"/>
  <c r="Z404" i="14"/>
  <c r="Y404" i="14"/>
  <c r="X404" i="14"/>
  <c r="W404" i="14"/>
  <c r="V404" i="14"/>
  <c r="U404" i="14"/>
  <c r="T404" i="14"/>
  <c r="S404" i="14"/>
  <c r="R404" i="14"/>
  <c r="Q404" i="14"/>
  <c r="P404" i="14"/>
  <c r="O404" i="14"/>
  <c r="N404" i="14"/>
  <c r="M404" i="14"/>
  <c r="L404" i="14"/>
  <c r="K404" i="14"/>
  <c r="J404" i="14"/>
  <c r="I404" i="14"/>
  <c r="H404" i="14"/>
  <c r="G404" i="14"/>
  <c r="F403" i="14"/>
  <c r="E403" i="14"/>
  <c r="B403" i="14"/>
  <c r="AG402" i="14"/>
  <c r="AF402" i="14"/>
  <c r="AE402" i="14"/>
  <c r="AD402" i="14"/>
  <c r="AC402" i="14"/>
  <c r="AB402" i="14"/>
  <c r="AA402" i="14"/>
  <c r="Z402" i="14"/>
  <c r="Y402" i="14"/>
  <c r="X402" i="14"/>
  <c r="W402" i="14"/>
  <c r="V402" i="14"/>
  <c r="U402" i="14"/>
  <c r="T402" i="14"/>
  <c r="S402" i="14"/>
  <c r="R402" i="14"/>
  <c r="Q402" i="14"/>
  <c r="P402" i="14"/>
  <c r="O402" i="14"/>
  <c r="N402" i="14"/>
  <c r="M402" i="14"/>
  <c r="L402" i="14"/>
  <c r="K402" i="14"/>
  <c r="J402" i="14"/>
  <c r="I402" i="14"/>
  <c r="H402" i="14"/>
  <c r="G402" i="14"/>
  <c r="F402" i="14"/>
  <c r="E402" i="14" s="1"/>
  <c r="AE401" i="14"/>
  <c r="F401" i="14"/>
  <c r="E401" i="14" s="1"/>
  <c r="B401" i="14"/>
  <c r="F400" i="14"/>
  <c r="E400" i="14" s="1"/>
  <c r="B400" i="14"/>
  <c r="F399" i="14"/>
  <c r="E399" i="14" s="1"/>
  <c r="B399" i="14"/>
  <c r="AE398" i="14"/>
  <c r="F398" i="14"/>
  <c r="E398" i="14" s="1"/>
  <c r="B398" i="14"/>
  <c r="AG397" i="14"/>
  <c r="AF397" i="14"/>
  <c r="AE397" i="14"/>
  <c r="AD397" i="14"/>
  <c r="AC397" i="14"/>
  <c r="AB397" i="14"/>
  <c r="AA397" i="14"/>
  <c r="Z397" i="14"/>
  <c r="Y397" i="14"/>
  <c r="X397" i="14"/>
  <c r="W397" i="14"/>
  <c r="V397" i="14"/>
  <c r="U397" i="14"/>
  <c r="T397" i="14"/>
  <c r="S397" i="14"/>
  <c r="R397" i="14"/>
  <c r="Q397" i="14"/>
  <c r="P397" i="14"/>
  <c r="O397" i="14"/>
  <c r="N397" i="14"/>
  <c r="M397" i="14"/>
  <c r="L397" i="14"/>
  <c r="K397" i="14"/>
  <c r="J397" i="14"/>
  <c r="I397" i="14"/>
  <c r="H397" i="14"/>
  <c r="G397" i="14"/>
  <c r="F397" i="14"/>
  <c r="E397" i="14" s="1"/>
  <c r="CF396" i="14"/>
  <c r="AE396" i="14"/>
  <c r="F396" i="14" s="1"/>
  <c r="B396" i="14"/>
  <c r="AG395" i="14"/>
  <c r="AF395" i="14"/>
  <c r="AE395" i="14"/>
  <c r="AD395" i="14"/>
  <c r="AC395" i="14"/>
  <c r="AB395" i="14"/>
  <c r="AA395" i="14"/>
  <c r="Z395" i="14"/>
  <c r="Y395" i="14"/>
  <c r="X395" i="14"/>
  <c r="W395" i="14"/>
  <c r="V395" i="14"/>
  <c r="U395" i="14"/>
  <c r="T395" i="14"/>
  <c r="S395" i="14"/>
  <c r="R395" i="14"/>
  <c r="Q395" i="14"/>
  <c r="P395" i="14"/>
  <c r="O395" i="14"/>
  <c r="N395" i="14"/>
  <c r="M395" i="14"/>
  <c r="L395" i="14"/>
  <c r="K395" i="14"/>
  <c r="J395" i="14"/>
  <c r="I395" i="14"/>
  <c r="H395" i="14"/>
  <c r="G395" i="14"/>
  <c r="AE394" i="14"/>
  <c r="AE392" i="14" s="1"/>
  <c r="I394" i="14"/>
  <c r="F394" i="14"/>
  <c r="E394" i="14" s="1"/>
  <c r="B394" i="14"/>
  <c r="AE393" i="14"/>
  <c r="F393" i="14"/>
  <c r="E393" i="14" s="1"/>
  <c r="B393" i="14"/>
  <c r="AG392" i="14"/>
  <c r="AF392" i="14"/>
  <c r="AD392" i="14"/>
  <c r="AC392" i="14"/>
  <c r="AB392" i="14"/>
  <c r="AA392" i="14"/>
  <c r="Z392" i="14"/>
  <c r="Y392" i="14"/>
  <c r="X392" i="14"/>
  <c r="W392" i="14"/>
  <c r="V392" i="14"/>
  <c r="U392" i="14"/>
  <c r="T392" i="14"/>
  <c r="S392" i="14"/>
  <c r="R392" i="14"/>
  <c r="Q392" i="14"/>
  <c r="P392" i="14"/>
  <c r="O392" i="14"/>
  <c r="N392" i="14"/>
  <c r="M392" i="14"/>
  <c r="L392" i="14"/>
  <c r="K392" i="14"/>
  <c r="J392" i="14"/>
  <c r="I392" i="14"/>
  <c r="H392" i="14"/>
  <c r="G392" i="14"/>
  <c r="F392" i="14"/>
  <c r="E392" i="14" s="1"/>
  <c r="AE391" i="14"/>
  <c r="F391" i="14"/>
  <c r="E391" i="14" s="1"/>
  <c r="B391" i="14"/>
  <c r="AE390" i="14"/>
  <c r="F390" i="14"/>
  <c r="E390" i="14" s="1"/>
  <c r="B390" i="14"/>
  <c r="AE389" i="14"/>
  <c r="F389" i="14"/>
  <c r="E389" i="14" s="1"/>
  <c r="B389" i="14"/>
  <c r="CF388" i="14"/>
  <c r="F388" i="14"/>
  <c r="E388" i="14"/>
  <c r="B388" i="14"/>
  <c r="AG387" i="14"/>
  <c r="AF387" i="14"/>
  <c r="AE387" i="14"/>
  <c r="AD387" i="14"/>
  <c r="AC387" i="14"/>
  <c r="AB387" i="14"/>
  <c r="AA387" i="14"/>
  <c r="Z387" i="14"/>
  <c r="Y387" i="14"/>
  <c r="X387" i="14"/>
  <c r="W387" i="14"/>
  <c r="V387" i="14"/>
  <c r="U387" i="14"/>
  <c r="T387" i="14"/>
  <c r="S387" i="14"/>
  <c r="R387" i="14"/>
  <c r="Q387" i="14"/>
  <c r="P387" i="14"/>
  <c r="O387" i="14"/>
  <c r="N387" i="14"/>
  <c r="M387" i="14"/>
  <c r="L387" i="14"/>
  <c r="K387" i="14"/>
  <c r="J387" i="14"/>
  <c r="I387" i="14"/>
  <c r="H387" i="14"/>
  <c r="G387" i="14"/>
  <c r="P386" i="14"/>
  <c r="AE386" i="14" s="1"/>
  <c r="AE385" i="14" s="1"/>
  <c r="B386" i="14"/>
  <c r="AG385" i="14"/>
  <c r="AF385" i="14"/>
  <c r="AD385" i="14"/>
  <c r="AC385" i="14"/>
  <c r="AB385" i="14"/>
  <c r="AA385" i="14"/>
  <c r="Z385" i="14"/>
  <c r="Y385" i="14"/>
  <c r="X385" i="14"/>
  <c r="W385" i="14"/>
  <c r="V385" i="14"/>
  <c r="U385" i="14"/>
  <c r="T385" i="14"/>
  <c r="S385" i="14"/>
  <c r="R385" i="14"/>
  <c r="Q385" i="14"/>
  <c r="O385" i="14"/>
  <c r="N385" i="14"/>
  <c r="M385" i="14"/>
  <c r="L385" i="14"/>
  <c r="K385" i="14"/>
  <c r="J385" i="14"/>
  <c r="I385" i="14"/>
  <c r="H385" i="14"/>
  <c r="G385" i="14"/>
  <c r="CF384" i="14"/>
  <c r="F384" i="14"/>
  <c r="E384" i="14"/>
  <c r="B384" i="14"/>
  <c r="AG383" i="14"/>
  <c r="AF383" i="14"/>
  <c r="AE383" i="14"/>
  <c r="AD383" i="14"/>
  <c r="AC383" i="14"/>
  <c r="AB383" i="14"/>
  <c r="AA383" i="14"/>
  <c r="Z383" i="14"/>
  <c r="Y383" i="14"/>
  <c r="X383" i="14"/>
  <c r="W383" i="14"/>
  <c r="V383" i="14"/>
  <c r="U383" i="14"/>
  <c r="T383" i="14"/>
  <c r="S383" i="14"/>
  <c r="R383" i="14"/>
  <c r="Q383" i="14"/>
  <c r="P383" i="14"/>
  <c r="O383" i="14"/>
  <c r="N383" i="14"/>
  <c r="M383" i="14"/>
  <c r="L383" i="14"/>
  <c r="K383" i="14"/>
  <c r="J383" i="14"/>
  <c r="I383" i="14"/>
  <c r="H383" i="14"/>
  <c r="G383" i="14"/>
  <c r="F383" i="14"/>
  <c r="E383" i="14"/>
  <c r="AE382" i="14"/>
  <c r="J382" i="14"/>
  <c r="F382" i="14"/>
  <c r="E382" i="14" s="1"/>
  <c r="B382" i="14"/>
  <c r="CF381" i="14"/>
  <c r="AE381" i="14"/>
  <c r="F381" i="14"/>
  <c r="E381" i="14" s="1"/>
  <c r="B381" i="14"/>
  <c r="AG380" i="14"/>
  <c r="AF380" i="14"/>
  <c r="AE380" i="14"/>
  <c r="AD380" i="14"/>
  <c r="AC380" i="14"/>
  <c r="AB380" i="14"/>
  <c r="AA380" i="14"/>
  <c r="Z380" i="14"/>
  <c r="Y380" i="14"/>
  <c r="X380" i="14"/>
  <c r="W380" i="14"/>
  <c r="V380" i="14"/>
  <c r="U380" i="14"/>
  <c r="T380" i="14"/>
  <c r="S380" i="14"/>
  <c r="R380" i="14"/>
  <c r="Q380" i="14"/>
  <c r="P380" i="14"/>
  <c r="O380" i="14"/>
  <c r="N380" i="14"/>
  <c r="M380" i="14"/>
  <c r="L380" i="14"/>
  <c r="K380" i="14"/>
  <c r="J380" i="14"/>
  <c r="I380" i="14"/>
  <c r="H380" i="14"/>
  <c r="G380" i="14"/>
  <c r="CF379" i="14"/>
  <c r="F379" i="14"/>
  <c r="E379" i="14" s="1"/>
  <c r="B379" i="14"/>
  <c r="CF378" i="14"/>
  <c r="AE378" i="14"/>
  <c r="F378" i="14" s="1"/>
  <c r="E378" i="14" s="1"/>
  <c r="B378" i="14"/>
  <c r="CF377" i="14"/>
  <c r="AE377" i="14"/>
  <c r="F377" i="14"/>
  <c r="E377" i="14" s="1"/>
  <c r="B377" i="14"/>
  <c r="AE376" i="14"/>
  <c r="F376" i="14" s="1"/>
  <c r="E376" i="14" s="1"/>
  <c r="B376" i="14"/>
  <c r="CF375" i="14"/>
  <c r="F375" i="14"/>
  <c r="E375" i="14"/>
  <c r="B375" i="14"/>
  <c r="CF374" i="14"/>
  <c r="AE374" i="14"/>
  <c r="F374" i="14"/>
  <c r="E374" i="14" s="1"/>
  <c r="B374" i="14"/>
  <c r="CF373" i="14"/>
  <c r="F373" i="14"/>
  <c r="E373" i="14" s="1"/>
  <c r="B373" i="14"/>
  <c r="AE372" i="14"/>
  <c r="T372" i="14"/>
  <c r="F372" i="14"/>
  <c r="E372" i="14" s="1"/>
  <c r="B372" i="14"/>
  <c r="P371" i="14"/>
  <c r="AE371" i="14" s="1"/>
  <c r="B371" i="14"/>
  <c r="CF370" i="14"/>
  <c r="F370" i="14"/>
  <c r="E370" i="14" s="1"/>
  <c r="B370" i="14"/>
  <c r="CF369" i="14"/>
  <c r="F369" i="14"/>
  <c r="E369" i="14"/>
  <c r="B369" i="14"/>
  <c r="AE368" i="14"/>
  <c r="P368" i="14"/>
  <c r="F368" i="14"/>
  <c r="E368" i="14" s="1"/>
  <c r="B368" i="14"/>
  <c r="AE367" i="14"/>
  <c r="F367" i="14"/>
  <c r="E367" i="14" s="1"/>
  <c r="B367" i="14"/>
  <c r="AE366" i="14"/>
  <c r="F366" i="14"/>
  <c r="E366" i="14" s="1"/>
  <c r="B366" i="14"/>
  <c r="AG365" i="14"/>
  <c r="AF365" i="14"/>
  <c r="AD365" i="14"/>
  <c r="AC365" i="14"/>
  <c r="AB365" i="14"/>
  <c r="AA365" i="14"/>
  <c r="Z365" i="14"/>
  <c r="Y365" i="14"/>
  <c r="X365" i="14"/>
  <c r="W365" i="14"/>
  <c r="V365" i="14"/>
  <c r="U365" i="14"/>
  <c r="T365" i="14"/>
  <c r="S365" i="14"/>
  <c r="R365" i="14"/>
  <c r="Q365" i="14"/>
  <c r="P365" i="14"/>
  <c r="O365" i="14"/>
  <c r="N365" i="14"/>
  <c r="M365" i="14"/>
  <c r="L365" i="14"/>
  <c r="K365" i="14"/>
  <c r="J365" i="14"/>
  <c r="I365" i="14"/>
  <c r="H365" i="14"/>
  <c r="G365" i="14"/>
  <c r="AE364" i="14"/>
  <c r="F364" i="14" s="1"/>
  <c r="B364" i="14"/>
  <c r="AG363" i="14"/>
  <c r="AF363" i="14"/>
  <c r="AE363" i="14"/>
  <c r="AD363" i="14"/>
  <c r="AC363" i="14"/>
  <c r="AB363" i="14"/>
  <c r="AA363" i="14"/>
  <c r="Z363" i="14"/>
  <c r="Y363" i="14"/>
  <c r="X363" i="14"/>
  <c r="W363" i="14"/>
  <c r="V363" i="14"/>
  <c r="U363" i="14"/>
  <c r="T363" i="14"/>
  <c r="S363" i="14"/>
  <c r="R363" i="14"/>
  <c r="Q363" i="14"/>
  <c r="P363" i="14"/>
  <c r="O363" i="14"/>
  <c r="N363" i="14"/>
  <c r="M363" i="14"/>
  <c r="L363" i="14"/>
  <c r="K363" i="14"/>
  <c r="J363" i="14"/>
  <c r="I363" i="14"/>
  <c r="H363" i="14"/>
  <c r="G363" i="14"/>
  <c r="AE362" i="14"/>
  <c r="I362" i="14"/>
  <c r="F362" i="14"/>
  <c r="E362" i="14" s="1"/>
  <c r="B362" i="14"/>
  <c r="AE361" i="14"/>
  <c r="F361" i="14"/>
  <c r="E361" i="14" s="1"/>
  <c r="B361" i="14"/>
  <c r="AG360" i="14"/>
  <c r="AF360" i="14"/>
  <c r="AE360" i="14"/>
  <c r="AD360" i="14"/>
  <c r="AC360" i="14"/>
  <c r="AB360" i="14"/>
  <c r="AA360" i="14"/>
  <c r="Z360" i="14"/>
  <c r="Y360" i="14"/>
  <c r="X360" i="14"/>
  <c r="W360" i="14"/>
  <c r="V360" i="14"/>
  <c r="U360" i="14"/>
  <c r="T360" i="14"/>
  <c r="S360" i="14"/>
  <c r="R360" i="14"/>
  <c r="Q360" i="14"/>
  <c r="P360" i="14"/>
  <c r="O360" i="14"/>
  <c r="N360" i="14"/>
  <c r="M360" i="14"/>
  <c r="L360" i="14"/>
  <c r="K360" i="14"/>
  <c r="J360" i="14"/>
  <c r="I360" i="14"/>
  <c r="H360" i="14"/>
  <c r="G360" i="14"/>
  <c r="F359" i="14"/>
  <c r="E359" i="14" s="1"/>
  <c r="B359" i="14"/>
  <c r="F358" i="14"/>
  <c r="E358" i="14" s="1"/>
  <c r="B358" i="14"/>
  <c r="AE357" i="14"/>
  <c r="F357" i="14"/>
  <c r="E357" i="14" s="1"/>
  <c r="B357" i="14"/>
  <c r="AG356" i="14"/>
  <c r="AF356" i="14"/>
  <c r="AE356" i="14"/>
  <c r="AD356" i="14"/>
  <c r="AC356" i="14"/>
  <c r="AB356" i="14"/>
  <c r="AA356" i="14"/>
  <c r="Z356" i="14"/>
  <c r="Y356" i="14"/>
  <c r="X356" i="14"/>
  <c r="W356" i="14"/>
  <c r="V356" i="14"/>
  <c r="U356" i="14"/>
  <c r="T356" i="14"/>
  <c r="S356" i="14"/>
  <c r="R356" i="14"/>
  <c r="Q356" i="14"/>
  <c r="P356" i="14"/>
  <c r="O356" i="14"/>
  <c r="N356" i="14"/>
  <c r="M356" i="14"/>
  <c r="L356" i="14"/>
  <c r="K356" i="14"/>
  <c r="J356" i="14"/>
  <c r="I356" i="14"/>
  <c r="H356" i="14"/>
  <c r="G356" i="14"/>
  <c r="P355" i="14"/>
  <c r="AE355" i="14" s="1"/>
  <c r="AE353" i="14" s="1"/>
  <c r="B355" i="14"/>
  <c r="CF354" i="14"/>
  <c r="F354" i="14"/>
  <c r="E354" i="14" s="1"/>
  <c r="B354" i="14"/>
  <c r="AG353" i="14"/>
  <c r="AF353" i="14"/>
  <c r="AD353" i="14"/>
  <c r="AC353" i="14"/>
  <c r="AB353" i="14"/>
  <c r="AA353" i="14"/>
  <c r="Z353" i="14"/>
  <c r="Y353" i="14"/>
  <c r="X353" i="14"/>
  <c r="W353" i="14"/>
  <c r="V353" i="14"/>
  <c r="U353" i="14"/>
  <c r="T353" i="14"/>
  <c r="S353" i="14"/>
  <c r="R353" i="14"/>
  <c r="Q353" i="14"/>
  <c r="O353" i="14"/>
  <c r="N353" i="14"/>
  <c r="M353" i="14"/>
  <c r="L353" i="14"/>
  <c r="K353" i="14"/>
  <c r="J353" i="14"/>
  <c r="I353" i="14"/>
  <c r="H353" i="14"/>
  <c r="G353" i="14"/>
  <c r="AE352" i="14"/>
  <c r="F352" i="14" s="1"/>
  <c r="E352" i="14" s="1"/>
  <c r="B352" i="14"/>
  <c r="AE351" i="14"/>
  <c r="F351" i="14" s="1"/>
  <c r="B351" i="14"/>
  <c r="AG350" i="14"/>
  <c r="AF350" i="14"/>
  <c r="AD350" i="14"/>
  <c r="AC350" i="14"/>
  <c r="AB350" i="14"/>
  <c r="AA350" i="14"/>
  <c r="Z350" i="14"/>
  <c r="Y350" i="14"/>
  <c r="X350" i="14"/>
  <c r="W350" i="14"/>
  <c r="V350" i="14"/>
  <c r="U350" i="14"/>
  <c r="T350" i="14"/>
  <c r="S350" i="14"/>
  <c r="R350" i="14"/>
  <c r="Q350" i="14"/>
  <c r="P350" i="14"/>
  <c r="O350" i="14"/>
  <c r="N350" i="14"/>
  <c r="M350" i="14"/>
  <c r="L350" i="14"/>
  <c r="K350" i="14"/>
  <c r="J350" i="14"/>
  <c r="I350" i="14"/>
  <c r="H350" i="14"/>
  <c r="G350" i="14"/>
  <c r="CF349" i="14"/>
  <c r="AE349" i="14"/>
  <c r="F349" i="14"/>
  <c r="E349" i="14" s="1"/>
  <c r="B349" i="14"/>
  <c r="CF348" i="14"/>
  <c r="AE348" i="14"/>
  <c r="F348" i="14" s="1"/>
  <c r="E348" i="14" s="1"/>
  <c r="B348" i="14"/>
  <c r="AE347" i="14"/>
  <c r="F347" i="14" s="1"/>
  <c r="E347" i="14" s="1"/>
  <c r="B347" i="14"/>
  <c r="AE346" i="14"/>
  <c r="F346" i="14" s="1"/>
  <c r="E346" i="14" s="1"/>
  <c r="B346" i="14"/>
  <c r="AE345" i="14"/>
  <c r="F345" i="14" s="1"/>
  <c r="B345" i="14"/>
  <c r="AG344" i="14"/>
  <c r="AF344" i="14"/>
  <c r="AD344" i="14"/>
  <c r="AC344" i="14"/>
  <c r="AB344" i="14"/>
  <c r="AA344" i="14"/>
  <c r="Z344" i="14"/>
  <c r="Y344" i="14"/>
  <c r="X344" i="14"/>
  <c r="W344" i="14"/>
  <c r="V344" i="14"/>
  <c r="U344" i="14"/>
  <c r="T344" i="14"/>
  <c r="S344" i="14"/>
  <c r="R344" i="14"/>
  <c r="Q344" i="14"/>
  <c r="P344" i="14"/>
  <c r="O344" i="14"/>
  <c r="N344" i="14"/>
  <c r="M344" i="14"/>
  <c r="L344" i="14"/>
  <c r="K344" i="14"/>
  <c r="J344" i="14"/>
  <c r="I344" i="14"/>
  <c r="H344" i="14"/>
  <c r="G344" i="14"/>
  <c r="AE343" i="14"/>
  <c r="F343" i="14"/>
  <c r="E343" i="14" s="1"/>
  <c r="B343" i="14"/>
  <c r="AE342" i="14"/>
  <c r="F342" i="14" s="1"/>
  <c r="E342" i="14" s="1"/>
  <c r="B342" i="14"/>
  <c r="CF341" i="14"/>
  <c r="AE341" i="14"/>
  <c r="F341" i="14"/>
  <c r="E341" i="14" s="1"/>
  <c r="B341" i="14"/>
  <c r="CF340" i="14"/>
  <c r="AE340" i="14"/>
  <c r="F340" i="14" s="1"/>
  <c r="E340" i="14" s="1"/>
  <c r="B340" i="14"/>
  <c r="CF339" i="14"/>
  <c r="F339" i="14"/>
  <c r="E339" i="14"/>
  <c r="B339" i="14"/>
  <c r="CF338" i="14"/>
  <c r="F338" i="14"/>
  <c r="E338" i="14"/>
  <c r="B338" i="14"/>
  <c r="CF337" i="14"/>
  <c r="P337" i="14"/>
  <c r="AE337" i="14" s="1"/>
  <c r="B337" i="14"/>
  <c r="AE336" i="14"/>
  <c r="F336" i="14"/>
  <c r="E336" i="14" s="1"/>
  <c r="B336" i="14"/>
  <c r="AE335" i="14"/>
  <c r="F335" i="14" s="1"/>
  <c r="E335" i="14" s="1"/>
  <c r="B335" i="14"/>
  <c r="T334" i="14"/>
  <c r="AE334" i="14" s="1"/>
  <c r="B334" i="14"/>
  <c r="AE333" i="14"/>
  <c r="F333" i="14" s="1"/>
  <c r="E333" i="14" s="1"/>
  <c r="B333" i="14"/>
  <c r="AE332" i="14"/>
  <c r="F332" i="14" s="1"/>
  <c r="E332" i="14" s="1"/>
  <c r="B332" i="14"/>
  <c r="AE331" i="14"/>
  <c r="F331" i="14" s="1"/>
  <c r="E331" i="14" s="1"/>
  <c r="B331" i="14"/>
  <c r="AE330" i="14"/>
  <c r="F330" i="14" s="1"/>
  <c r="E330" i="14" s="1"/>
  <c r="B330" i="14"/>
  <c r="AF329" i="14"/>
  <c r="AF327" i="14" s="1"/>
  <c r="AE329" i="14"/>
  <c r="F329" i="14"/>
  <c r="E329" i="14" s="1"/>
  <c r="B329" i="14"/>
  <c r="AE328" i="14"/>
  <c r="F328" i="14"/>
  <c r="E328" i="14" s="1"/>
  <c r="B328" i="14"/>
  <c r="AG327" i="14"/>
  <c r="AD327" i="14"/>
  <c r="AC327" i="14"/>
  <c r="AB327" i="14"/>
  <c r="AA327" i="14"/>
  <c r="Z327" i="14"/>
  <c r="Y327" i="14"/>
  <c r="X327" i="14"/>
  <c r="W327" i="14"/>
  <c r="V327" i="14"/>
  <c r="U327" i="14"/>
  <c r="S327" i="14"/>
  <c r="R327" i="14"/>
  <c r="Q327" i="14"/>
  <c r="O327" i="14"/>
  <c r="N327" i="14"/>
  <c r="M327" i="14"/>
  <c r="L327" i="14"/>
  <c r="K327" i="14"/>
  <c r="J327" i="14"/>
  <c r="I327" i="14"/>
  <c r="H327" i="14"/>
  <c r="G327" i="14"/>
  <c r="CF326" i="14"/>
  <c r="AE326" i="14"/>
  <c r="F326" i="14" s="1"/>
  <c r="E326" i="14" s="1"/>
  <c r="B326" i="14"/>
  <c r="CF325" i="14"/>
  <c r="F325" i="14"/>
  <c r="E325" i="14"/>
  <c r="B325" i="14"/>
  <c r="CF324" i="14"/>
  <c r="AE324" i="14"/>
  <c r="F324" i="14"/>
  <c r="E324" i="14" s="1"/>
  <c r="B324" i="14"/>
  <c r="AE323" i="14"/>
  <c r="F323" i="14" s="1"/>
  <c r="E323" i="14" s="1"/>
  <c r="B323" i="14"/>
  <c r="AE322" i="14"/>
  <c r="F322" i="14"/>
  <c r="E322" i="14" s="1"/>
  <c r="B322" i="14"/>
  <c r="F321" i="14"/>
  <c r="E321" i="14" s="1"/>
  <c r="B321" i="14"/>
  <c r="CF320" i="14"/>
  <c r="AE320" i="14"/>
  <c r="F320" i="14" s="1"/>
  <c r="E320" i="14" s="1"/>
  <c r="B320" i="14"/>
  <c r="AE319" i="14"/>
  <c r="F319" i="14" s="1"/>
  <c r="E319" i="14" s="1"/>
  <c r="B319" i="14"/>
  <c r="AE318" i="14"/>
  <c r="F318" i="14" s="1"/>
  <c r="E318" i="14" s="1"/>
  <c r="B318" i="14"/>
  <c r="N317" i="14"/>
  <c r="F317" i="14" s="1"/>
  <c r="E317" i="14" s="1"/>
  <c r="B317" i="14"/>
  <c r="CF316" i="14"/>
  <c r="AE316" i="14"/>
  <c r="P316" i="14"/>
  <c r="F316" i="14"/>
  <c r="E316" i="14" s="1"/>
  <c r="B316" i="14"/>
  <c r="CF315" i="14"/>
  <c r="AE315" i="14"/>
  <c r="F315" i="14"/>
  <c r="E315" i="14" s="1"/>
  <c r="B315" i="14"/>
  <c r="P314" i="14"/>
  <c r="AE314" i="14" s="1"/>
  <c r="AE311" i="14" s="1"/>
  <c r="B314" i="14"/>
  <c r="F313" i="14"/>
  <c r="E313" i="14" s="1"/>
  <c r="B313" i="14"/>
  <c r="AE312" i="14"/>
  <c r="F312" i="14"/>
  <c r="E312" i="14" s="1"/>
  <c r="B312" i="14"/>
  <c r="AG311" i="14"/>
  <c r="AF311" i="14"/>
  <c r="AD311" i="14"/>
  <c r="AC311" i="14"/>
  <c r="AB311" i="14"/>
  <c r="AA311" i="14"/>
  <c r="Z311" i="14"/>
  <c r="Y311" i="14"/>
  <c r="X311" i="14"/>
  <c r="W311" i="14"/>
  <c r="V311" i="14"/>
  <c r="U311" i="14"/>
  <c r="T311" i="14"/>
  <c r="S311" i="14"/>
  <c r="R311" i="14"/>
  <c r="Q311" i="14"/>
  <c r="O311" i="14"/>
  <c r="M311" i="14"/>
  <c r="L311" i="14"/>
  <c r="K311" i="14"/>
  <c r="J311" i="14"/>
  <c r="I311" i="14"/>
  <c r="H311" i="14"/>
  <c r="G311" i="14"/>
  <c r="F310" i="14"/>
  <c r="E310" i="14"/>
  <c r="B310" i="14"/>
  <c r="AG309" i="14"/>
  <c r="AF309" i="14"/>
  <c r="AE309" i="14"/>
  <c r="AD309" i="14"/>
  <c r="AC309" i="14"/>
  <c r="AB309" i="14"/>
  <c r="AA309" i="14"/>
  <c r="Z309" i="14"/>
  <c r="Y309" i="14"/>
  <c r="X309" i="14"/>
  <c r="W309" i="14"/>
  <c r="V309" i="14"/>
  <c r="U309" i="14"/>
  <c r="T309" i="14"/>
  <c r="S309" i="14"/>
  <c r="R309" i="14"/>
  <c r="Q309" i="14"/>
  <c r="P309" i="14"/>
  <c r="O309" i="14"/>
  <c r="N309" i="14"/>
  <c r="M309" i="14"/>
  <c r="L309" i="14"/>
  <c r="K309" i="14"/>
  <c r="J309" i="14"/>
  <c r="I309" i="14"/>
  <c r="H309" i="14"/>
  <c r="G309" i="14"/>
  <c r="F309" i="14"/>
  <c r="E309" i="14"/>
  <c r="AE308" i="14"/>
  <c r="F308" i="14" s="1"/>
  <c r="E308" i="14" s="1"/>
  <c r="B308" i="14"/>
  <c r="G307" i="14"/>
  <c r="AE307" i="14" s="1"/>
  <c r="AE303" i="14" s="1"/>
  <c r="B307" i="14"/>
  <c r="AE306" i="14"/>
  <c r="K306" i="14"/>
  <c r="F306" i="14"/>
  <c r="E306" i="14" s="1"/>
  <c r="B306" i="14"/>
  <c r="AE305" i="14"/>
  <c r="F305" i="14"/>
  <c r="E305" i="14" s="1"/>
  <c r="B305" i="14"/>
  <c r="F304" i="14"/>
  <c r="E304" i="14"/>
  <c r="B304" i="14"/>
  <c r="AG303" i="14"/>
  <c r="AF303" i="14"/>
  <c r="AD303" i="14"/>
  <c r="AC303" i="14"/>
  <c r="AB303" i="14"/>
  <c r="AA303" i="14"/>
  <c r="Z303" i="14"/>
  <c r="Y303" i="14"/>
  <c r="X303" i="14"/>
  <c r="W303" i="14"/>
  <c r="V303" i="14"/>
  <c r="U303" i="14"/>
  <c r="T303" i="14"/>
  <c r="S303" i="14"/>
  <c r="R303" i="14"/>
  <c r="Q303" i="14"/>
  <c r="P303" i="14"/>
  <c r="O303" i="14"/>
  <c r="N303" i="14"/>
  <c r="M303" i="14"/>
  <c r="L303" i="14"/>
  <c r="K303" i="14"/>
  <c r="J303" i="14"/>
  <c r="I303" i="14"/>
  <c r="H303" i="14"/>
  <c r="G303" i="14"/>
  <c r="AE302" i="14"/>
  <c r="F302" i="14" s="1"/>
  <c r="E302" i="14" s="1"/>
  <c r="B302" i="14"/>
  <c r="AE301" i="14"/>
  <c r="F301" i="14"/>
  <c r="E301" i="14" s="1"/>
  <c r="B301" i="14"/>
  <c r="F300" i="14"/>
  <c r="E300" i="14" s="1"/>
  <c r="B300" i="14"/>
  <c r="F299" i="14"/>
  <c r="E299" i="14" s="1"/>
  <c r="B299" i="14"/>
  <c r="T298" i="14"/>
  <c r="AE298" i="14" s="1"/>
  <c r="AE297" i="14" s="1"/>
  <c r="B298" i="14"/>
  <c r="AG297" i="14"/>
  <c r="AF297" i="14"/>
  <c r="AD297" i="14"/>
  <c r="AC297" i="14"/>
  <c r="AB297" i="14"/>
  <c r="AA297" i="14"/>
  <c r="Z297" i="14"/>
  <c r="Y297" i="14"/>
  <c r="X297" i="14"/>
  <c r="W297" i="14"/>
  <c r="V297" i="14"/>
  <c r="U297" i="14"/>
  <c r="S297" i="14"/>
  <c r="R297" i="14"/>
  <c r="Q297" i="14"/>
  <c r="P297" i="14"/>
  <c r="O297" i="14"/>
  <c r="N297" i="14"/>
  <c r="M297" i="14"/>
  <c r="L297" i="14"/>
  <c r="K297" i="14"/>
  <c r="J297" i="14"/>
  <c r="I297" i="14"/>
  <c r="H297" i="14"/>
  <c r="G297" i="14"/>
  <c r="AE296" i="14"/>
  <c r="F296" i="14"/>
  <c r="E296" i="14" s="1"/>
  <c r="B296" i="14"/>
  <c r="CF295" i="14"/>
  <c r="AE295" i="14"/>
  <c r="F295" i="14"/>
  <c r="E295" i="14" s="1"/>
  <c r="B295" i="14"/>
  <c r="AG294" i="14"/>
  <c r="AF294" i="14"/>
  <c r="AE294" i="14"/>
  <c r="AD294" i="14"/>
  <c r="AC294" i="14"/>
  <c r="AB294" i="14"/>
  <c r="AA294" i="14"/>
  <c r="Z294" i="14"/>
  <c r="Y294" i="14"/>
  <c r="X294" i="14"/>
  <c r="W294" i="14"/>
  <c r="V294" i="14"/>
  <c r="U294" i="14"/>
  <c r="T294" i="14"/>
  <c r="S294" i="14"/>
  <c r="R294" i="14"/>
  <c r="Q294" i="14"/>
  <c r="P294" i="14"/>
  <c r="O294" i="14"/>
  <c r="N294" i="14"/>
  <c r="M294" i="14"/>
  <c r="L294" i="14"/>
  <c r="K294" i="14"/>
  <c r="J294" i="14"/>
  <c r="I294" i="14"/>
  <c r="H294" i="14"/>
  <c r="G294" i="14"/>
  <c r="AE293" i="14"/>
  <c r="F293" i="14" s="1"/>
  <c r="B293" i="14"/>
  <c r="AG292" i="14"/>
  <c r="AF292" i="14"/>
  <c r="AD292" i="14"/>
  <c r="AC292" i="14"/>
  <c r="AB292" i="14"/>
  <c r="AA292" i="14"/>
  <c r="Z292" i="14"/>
  <c r="Y292" i="14"/>
  <c r="X292" i="14"/>
  <c r="W292" i="14"/>
  <c r="V292" i="14"/>
  <c r="U292" i="14"/>
  <c r="T292" i="14"/>
  <c r="S292" i="14"/>
  <c r="R292" i="14"/>
  <c r="Q292" i="14"/>
  <c r="P292" i="14"/>
  <c r="O292" i="14"/>
  <c r="N292" i="14"/>
  <c r="M292" i="14"/>
  <c r="L292" i="14"/>
  <c r="K292" i="14"/>
  <c r="J292" i="14"/>
  <c r="I292" i="14"/>
  <c r="H292" i="14"/>
  <c r="G292" i="14"/>
  <c r="CF291" i="14"/>
  <c r="F291" i="14"/>
  <c r="E291" i="14"/>
  <c r="B291" i="14"/>
  <c r="CF290" i="14"/>
  <c r="F290" i="14"/>
  <c r="E290" i="14"/>
  <c r="B290" i="14"/>
  <c r="F289" i="14"/>
  <c r="E289" i="14" s="1"/>
  <c r="B289" i="14"/>
  <c r="F288" i="14"/>
  <c r="E288" i="14"/>
  <c r="B288" i="14"/>
  <c r="AG287" i="14"/>
  <c r="AF287" i="14"/>
  <c r="AE287" i="14"/>
  <c r="AD287" i="14"/>
  <c r="AC287" i="14"/>
  <c r="AB287" i="14"/>
  <c r="AA287" i="14"/>
  <c r="Z287" i="14"/>
  <c r="Y287" i="14"/>
  <c r="X287" i="14"/>
  <c r="W287" i="14"/>
  <c r="V287" i="14"/>
  <c r="U287" i="14"/>
  <c r="T287" i="14"/>
  <c r="S287" i="14"/>
  <c r="R287" i="14"/>
  <c r="Q287" i="14"/>
  <c r="P287" i="14"/>
  <c r="O287" i="14"/>
  <c r="N287" i="14"/>
  <c r="M287" i="14"/>
  <c r="L287" i="14"/>
  <c r="K287" i="14"/>
  <c r="J287" i="14"/>
  <c r="I287" i="14"/>
  <c r="H287" i="14"/>
  <c r="G287" i="14"/>
  <c r="F286" i="14"/>
  <c r="E286" i="14" s="1"/>
  <c r="B286" i="14"/>
  <c r="CF285" i="14"/>
  <c r="F285" i="14"/>
  <c r="E285" i="14" s="1"/>
  <c r="B285" i="14"/>
  <c r="F284" i="14"/>
  <c r="E284" i="14" s="1"/>
  <c r="B284" i="14"/>
  <c r="F283" i="14"/>
  <c r="E283" i="14"/>
  <c r="B283" i="14"/>
  <c r="F282" i="14"/>
  <c r="E282" i="14" s="1"/>
  <c r="B282" i="14"/>
  <c r="AE281" i="14"/>
  <c r="F281" i="14"/>
  <c r="E281" i="14" s="1"/>
  <c r="B281" i="14"/>
  <c r="AG280" i="14"/>
  <c r="AF280" i="14"/>
  <c r="AE280" i="14"/>
  <c r="AD280" i="14"/>
  <c r="AC280" i="14"/>
  <c r="AB280" i="14"/>
  <c r="AA280" i="14"/>
  <c r="Z280" i="14"/>
  <c r="Y280" i="14"/>
  <c r="X280" i="14"/>
  <c r="W280" i="14"/>
  <c r="V280" i="14"/>
  <c r="U280" i="14"/>
  <c r="T280" i="14"/>
  <c r="S280" i="14"/>
  <c r="R280" i="14"/>
  <c r="Q280" i="14"/>
  <c r="P280" i="14"/>
  <c r="O280" i="14"/>
  <c r="N280" i="14"/>
  <c r="M280" i="14"/>
  <c r="L280" i="14"/>
  <c r="K280" i="14"/>
  <c r="J280" i="14"/>
  <c r="I280" i="14"/>
  <c r="H280" i="14"/>
  <c r="G280" i="14"/>
  <c r="F280" i="14"/>
  <c r="E280" i="14" s="1"/>
  <c r="CF279" i="14"/>
  <c r="F279" i="14"/>
  <c r="E279" i="14"/>
  <c r="B279" i="14"/>
  <c r="CF278" i="14"/>
  <c r="F278" i="14"/>
  <c r="E278" i="14"/>
  <c r="B278" i="14"/>
  <c r="CF277" i="14"/>
  <c r="F277" i="14"/>
  <c r="E277" i="14"/>
  <c r="B277" i="14"/>
  <c r="F276" i="14"/>
  <c r="E276" i="14" s="1"/>
  <c r="B276" i="14"/>
  <c r="F275" i="14"/>
  <c r="E275" i="14"/>
  <c r="B275" i="14"/>
  <c r="AG274" i="14"/>
  <c r="AF274" i="14"/>
  <c r="AE274" i="14"/>
  <c r="AD274" i="14"/>
  <c r="AC274" i="14"/>
  <c r="AB274" i="14"/>
  <c r="AA274" i="14"/>
  <c r="Z274" i="14"/>
  <c r="Y274" i="14"/>
  <c r="X274" i="14"/>
  <c r="W274" i="14"/>
  <c r="V274" i="14"/>
  <c r="U274" i="14"/>
  <c r="T274" i="14"/>
  <c r="S274" i="14"/>
  <c r="R274" i="14"/>
  <c r="Q274" i="14"/>
  <c r="P274" i="14"/>
  <c r="O274" i="14"/>
  <c r="N274" i="14"/>
  <c r="M274" i="14"/>
  <c r="L274" i="14"/>
  <c r="K274" i="14"/>
  <c r="J274" i="14"/>
  <c r="I274" i="14"/>
  <c r="H274" i="14"/>
  <c r="G274" i="14"/>
  <c r="F273" i="14"/>
  <c r="E273" i="14"/>
  <c r="B273" i="14"/>
  <c r="AE272" i="14"/>
  <c r="F272" i="14"/>
  <c r="E272" i="14" s="1"/>
  <c r="B272" i="14"/>
  <c r="AE271" i="14"/>
  <c r="F271" i="14" s="1"/>
  <c r="E271" i="14" s="1"/>
  <c r="B271" i="14"/>
  <c r="F270" i="14"/>
  <c r="E270" i="14"/>
  <c r="B270" i="14"/>
  <c r="CF269" i="14"/>
  <c r="F269" i="14"/>
  <c r="E269" i="14"/>
  <c r="B269" i="14"/>
  <c r="CF268" i="14"/>
  <c r="F268" i="14"/>
  <c r="E268" i="14"/>
  <c r="B268" i="14"/>
  <c r="AE267" i="14"/>
  <c r="F267" i="14"/>
  <c r="E267" i="14" s="1"/>
  <c r="B267" i="14"/>
  <c r="CF266" i="14"/>
  <c r="F266" i="14"/>
  <c r="E266" i="14" s="1"/>
  <c r="B266" i="14"/>
  <c r="CF265" i="14"/>
  <c r="F265" i="14"/>
  <c r="E265" i="14" s="1"/>
  <c r="B265" i="14"/>
  <c r="F264" i="14"/>
  <c r="E264" i="14" s="1"/>
  <c r="B264" i="14"/>
  <c r="F263" i="14"/>
  <c r="E263" i="14" s="1"/>
  <c r="B263" i="14"/>
  <c r="AE262" i="14"/>
  <c r="F262" i="14" s="1"/>
  <c r="E262" i="14" s="1"/>
  <c r="B262" i="14"/>
  <c r="CF261" i="14"/>
  <c r="AE261" i="14"/>
  <c r="F261" i="14"/>
  <c r="E261" i="14" s="1"/>
  <c r="B261" i="14"/>
  <c r="CF260" i="14"/>
  <c r="AE260" i="14"/>
  <c r="P260" i="14"/>
  <c r="F260" i="14"/>
  <c r="E260" i="14" s="1"/>
  <c r="B260" i="14"/>
  <c r="CF259" i="14"/>
  <c r="F259" i="14"/>
  <c r="E259" i="14" s="1"/>
  <c r="B259" i="14"/>
  <c r="AE258" i="14"/>
  <c r="F258" i="14" s="1"/>
  <c r="E258" i="14" s="1"/>
  <c r="B258" i="14"/>
  <c r="F257" i="14"/>
  <c r="E257" i="14" s="1"/>
  <c r="B257" i="14"/>
  <c r="AE256" i="14"/>
  <c r="F256" i="14"/>
  <c r="E256" i="14" s="1"/>
  <c r="B256" i="14"/>
  <c r="F255" i="14"/>
  <c r="E255" i="14"/>
  <c r="B255" i="14"/>
  <c r="CF254" i="14"/>
  <c r="F254" i="14"/>
  <c r="E254" i="14" s="1"/>
  <c r="B254" i="14"/>
  <c r="CF253" i="14"/>
  <c r="F253" i="14"/>
  <c r="E253" i="14"/>
  <c r="B253" i="14"/>
  <c r="CF252" i="14"/>
  <c r="F252" i="14"/>
  <c r="E252" i="14" s="1"/>
  <c r="B252" i="14"/>
  <c r="AV251" i="14"/>
  <c r="F251" i="14"/>
  <c r="E251" i="14"/>
  <c r="B251" i="14"/>
  <c r="AE250" i="14"/>
  <c r="F250" i="14" s="1"/>
  <c r="E250" i="14" s="1"/>
  <c r="B250" i="14"/>
  <c r="AE249" i="14"/>
  <c r="F249" i="14" s="1"/>
  <c r="E249" i="14" s="1"/>
  <c r="B249" i="14"/>
  <c r="N248" i="14"/>
  <c r="F248" i="14" s="1"/>
  <c r="B248" i="14"/>
  <c r="AG247" i="14"/>
  <c r="AF247" i="14"/>
  <c r="AD247" i="14"/>
  <c r="AC247" i="14"/>
  <c r="AB247" i="14"/>
  <c r="AA247" i="14"/>
  <c r="Z247" i="14"/>
  <c r="Y247" i="14"/>
  <c r="X247" i="14"/>
  <c r="W247" i="14"/>
  <c r="V247" i="14"/>
  <c r="U247" i="14"/>
  <c r="T247" i="14"/>
  <c r="S247" i="14"/>
  <c r="R247" i="14"/>
  <c r="Q247" i="14"/>
  <c r="P247" i="14"/>
  <c r="O247" i="14"/>
  <c r="N247" i="14"/>
  <c r="M247" i="14"/>
  <c r="L247" i="14"/>
  <c r="K247" i="14"/>
  <c r="J247" i="14"/>
  <c r="I247" i="14"/>
  <c r="H247" i="14"/>
  <c r="G247" i="14"/>
  <c r="F246" i="14"/>
  <c r="E246" i="14" s="1"/>
  <c r="B246" i="14"/>
  <c r="F245" i="14"/>
  <c r="E245" i="14" s="1"/>
  <c r="B245" i="14"/>
  <c r="AE244" i="14"/>
  <c r="F244" i="14"/>
  <c r="E244" i="14" s="1"/>
  <c r="B244" i="14"/>
  <c r="F243" i="14"/>
  <c r="E243" i="14"/>
  <c r="B243" i="14"/>
  <c r="CF242" i="14"/>
  <c r="F242" i="14"/>
  <c r="E242" i="14" s="1"/>
  <c r="B242" i="14"/>
  <c r="AG241" i="14"/>
  <c r="AF241" i="14"/>
  <c r="AE241" i="14"/>
  <c r="AD241" i="14"/>
  <c r="AC241" i="14"/>
  <c r="AB241" i="14"/>
  <c r="AA241" i="14"/>
  <c r="Z241" i="14"/>
  <c r="Y241" i="14"/>
  <c r="X241" i="14"/>
  <c r="W241" i="14"/>
  <c r="V241" i="14"/>
  <c r="U241" i="14"/>
  <c r="T241" i="14"/>
  <c r="S241" i="14"/>
  <c r="R241" i="14"/>
  <c r="Q241" i="14"/>
  <c r="P241" i="14"/>
  <c r="O241" i="14"/>
  <c r="N241" i="14"/>
  <c r="M241" i="14"/>
  <c r="L241" i="14"/>
  <c r="K241" i="14"/>
  <c r="J241" i="14"/>
  <c r="I241" i="14"/>
  <c r="H241" i="14"/>
  <c r="G241" i="14"/>
  <c r="AE240" i="14"/>
  <c r="F240" i="14" s="1"/>
  <c r="E240" i="14" s="1"/>
  <c r="B240" i="14"/>
  <c r="N239" i="14"/>
  <c r="F239" i="14"/>
  <c r="E239" i="14" s="1"/>
  <c r="B239" i="14"/>
  <c r="N238" i="14"/>
  <c r="F238" i="14"/>
  <c r="E238" i="14" s="1"/>
  <c r="B238" i="14"/>
  <c r="F237" i="14"/>
  <c r="E237" i="14"/>
  <c r="B237" i="14"/>
  <c r="F236" i="14"/>
  <c r="E236" i="14" s="1"/>
  <c r="B236" i="14"/>
  <c r="F235" i="14"/>
  <c r="E235" i="14"/>
  <c r="B235" i="14"/>
  <c r="N234" i="14"/>
  <c r="F234" i="14" s="1"/>
  <c r="E234" i="14" s="1"/>
  <c r="B234" i="14"/>
  <c r="F233" i="14"/>
  <c r="E233" i="14"/>
  <c r="B233" i="14"/>
  <c r="F232" i="14"/>
  <c r="E232" i="14"/>
  <c r="B232" i="14"/>
  <c r="F231" i="14"/>
  <c r="E231" i="14"/>
  <c r="B231" i="14"/>
  <c r="F230" i="14"/>
  <c r="E230" i="14"/>
  <c r="B230" i="14"/>
  <c r="F229" i="14"/>
  <c r="E229" i="14"/>
  <c r="B229" i="14"/>
  <c r="F228" i="14"/>
  <c r="E228" i="14"/>
  <c r="B228" i="14"/>
  <c r="F227" i="14"/>
  <c r="E227" i="14"/>
  <c r="B227" i="14"/>
  <c r="F226" i="14"/>
  <c r="E226" i="14"/>
  <c r="B226" i="14"/>
  <c r="F225" i="14"/>
  <c r="E225" i="14"/>
  <c r="B225" i="14"/>
  <c r="AE224" i="14"/>
  <c r="F224" i="14"/>
  <c r="E224" i="14" s="1"/>
  <c r="B224" i="14"/>
  <c r="F223" i="14"/>
  <c r="E223" i="14" s="1"/>
  <c r="B223" i="14"/>
  <c r="AE222" i="14"/>
  <c r="F222" i="14" s="1"/>
  <c r="E222" i="14" s="1"/>
  <c r="B222" i="14"/>
  <c r="F221" i="14"/>
  <c r="E221" i="14"/>
  <c r="B221" i="14"/>
  <c r="F220" i="14"/>
  <c r="E220" i="14"/>
  <c r="B220" i="14"/>
  <c r="F219" i="14"/>
  <c r="E219" i="14"/>
  <c r="B219" i="14"/>
  <c r="CF218" i="14"/>
  <c r="F218" i="14"/>
  <c r="E218" i="14"/>
  <c r="B218" i="14"/>
  <c r="CF217" i="14"/>
  <c r="AE217" i="14"/>
  <c r="F217" i="14"/>
  <c r="E217" i="14" s="1"/>
  <c r="B217" i="14"/>
  <c r="F216" i="14"/>
  <c r="E216" i="14" s="1"/>
  <c r="B216" i="14"/>
  <c r="F215" i="14"/>
  <c r="E215" i="14" s="1"/>
  <c r="B215" i="14"/>
  <c r="AE214" i="14"/>
  <c r="F214" i="14"/>
  <c r="E214" i="14" s="1"/>
  <c r="B214" i="14"/>
  <c r="CF213" i="14"/>
  <c r="AE213" i="14"/>
  <c r="F213" i="14"/>
  <c r="E213" i="14" s="1"/>
  <c r="B213" i="14"/>
  <c r="F212" i="14"/>
  <c r="E212" i="14"/>
  <c r="B212" i="14"/>
  <c r="AE211" i="14"/>
  <c r="F211" i="14" s="1"/>
  <c r="E211" i="14" s="1"/>
  <c r="B211" i="14"/>
  <c r="N210" i="14"/>
  <c r="F210" i="14" s="1"/>
  <c r="E210" i="14" s="1"/>
  <c r="B210" i="14"/>
  <c r="N209" i="14"/>
  <c r="F209" i="14" s="1"/>
  <c r="E209" i="14" s="1"/>
  <c r="B209" i="14"/>
  <c r="F208" i="14"/>
  <c r="E208" i="14" s="1"/>
  <c r="B208" i="14"/>
  <c r="N207" i="14"/>
  <c r="F207" i="14"/>
  <c r="E207" i="14" s="1"/>
  <c r="B207" i="14"/>
  <c r="AE206" i="14"/>
  <c r="F206" i="14"/>
  <c r="E206" i="14" s="1"/>
  <c r="B206" i="14"/>
  <c r="F205" i="14"/>
  <c r="E205" i="14"/>
  <c r="B205" i="14"/>
  <c r="AE204" i="14"/>
  <c r="F204" i="14" s="1"/>
  <c r="B204" i="14"/>
  <c r="AG203" i="14"/>
  <c r="AF203" i="14"/>
  <c r="AD203" i="14"/>
  <c r="AC203" i="14"/>
  <c r="AB203" i="14"/>
  <c r="AA203" i="14"/>
  <c r="Z203" i="14"/>
  <c r="Y203" i="14"/>
  <c r="X203" i="14"/>
  <c r="W203" i="14"/>
  <c r="V203" i="14"/>
  <c r="U203" i="14"/>
  <c r="T203" i="14"/>
  <c r="S203" i="14"/>
  <c r="R203" i="14"/>
  <c r="Q203" i="14"/>
  <c r="P203" i="14"/>
  <c r="O203" i="14"/>
  <c r="N203" i="14"/>
  <c r="M203" i="14"/>
  <c r="L203" i="14"/>
  <c r="K203" i="14"/>
  <c r="J203" i="14"/>
  <c r="I203" i="14"/>
  <c r="H203" i="14"/>
  <c r="G203" i="14"/>
  <c r="AE202" i="14"/>
  <c r="F202" i="14" s="1"/>
  <c r="E202" i="14" s="1"/>
  <c r="B202" i="14"/>
  <c r="AE201" i="14"/>
  <c r="F201" i="14" s="1"/>
  <c r="E201" i="14" s="1"/>
  <c r="B201" i="14"/>
  <c r="AE200" i="14"/>
  <c r="F200" i="14" s="1"/>
  <c r="E200" i="14" s="1"/>
  <c r="B200" i="14"/>
  <c r="AE199" i="14"/>
  <c r="F199" i="14" s="1"/>
  <c r="E199" i="14" s="1"/>
  <c r="B199" i="14"/>
  <c r="AE198" i="14"/>
  <c r="F198" i="14" s="1"/>
  <c r="E198" i="14" s="1"/>
  <c r="B198" i="14"/>
  <c r="AE197" i="14"/>
  <c r="F197" i="14" s="1"/>
  <c r="E197" i="14" s="1"/>
  <c r="B197" i="14"/>
  <c r="AE196" i="14"/>
  <c r="F196" i="14"/>
  <c r="E196" i="14" s="1"/>
  <c r="B196" i="14"/>
  <c r="AV195" i="14"/>
  <c r="N195" i="14"/>
  <c r="F195" i="14"/>
  <c r="E195" i="14" s="1"/>
  <c r="B195" i="14"/>
  <c r="F194" i="14"/>
  <c r="E194" i="14" s="1"/>
  <c r="B194" i="14"/>
  <c r="AE193" i="14"/>
  <c r="F193" i="14" s="1"/>
  <c r="E193" i="14" s="1"/>
  <c r="B193" i="14"/>
  <c r="AE192" i="14"/>
  <c r="F192" i="14"/>
  <c r="E192" i="14" s="1"/>
  <c r="B192" i="14"/>
  <c r="CF191" i="14"/>
  <c r="F191" i="14"/>
  <c r="E191" i="14" s="1"/>
  <c r="B191" i="14"/>
  <c r="AE190" i="14"/>
  <c r="F190" i="14" s="1"/>
  <c r="E190" i="14" s="1"/>
  <c r="B190" i="14"/>
  <c r="F189" i="14"/>
  <c r="E189" i="14"/>
  <c r="B189" i="14"/>
  <c r="AE188" i="14"/>
  <c r="F188" i="14"/>
  <c r="E188" i="14" s="1"/>
  <c r="B188" i="14"/>
  <c r="AE187" i="14"/>
  <c r="F187" i="14" s="1"/>
  <c r="E187" i="14" s="1"/>
  <c r="B187" i="14"/>
  <c r="AE186" i="14"/>
  <c r="F186" i="14"/>
  <c r="E186" i="14" s="1"/>
  <c r="B186" i="14"/>
  <c r="AE185" i="14"/>
  <c r="F185" i="14" s="1"/>
  <c r="E185" i="14" s="1"/>
  <c r="B185" i="14"/>
  <c r="F184" i="14"/>
  <c r="E184" i="14"/>
  <c r="B184" i="14"/>
  <c r="F183" i="14"/>
  <c r="E183" i="14"/>
  <c r="B183" i="14"/>
  <c r="F182" i="14"/>
  <c r="E182" i="14"/>
  <c r="B182" i="14"/>
  <c r="F181" i="14"/>
  <c r="E181" i="14"/>
  <c r="B181" i="14"/>
  <c r="F180" i="14"/>
  <c r="E180" i="14"/>
  <c r="B180" i="14"/>
  <c r="F179" i="14"/>
  <c r="E179" i="14"/>
  <c r="B179" i="14"/>
  <c r="AE178" i="14"/>
  <c r="F178" i="14"/>
  <c r="E178" i="14" s="1"/>
  <c r="B178" i="14"/>
  <c r="F177" i="14"/>
  <c r="E177" i="14" s="1"/>
  <c r="B177" i="14"/>
  <c r="F176" i="14"/>
  <c r="E176" i="14" s="1"/>
  <c r="B176" i="14"/>
  <c r="CF175" i="14"/>
  <c r="F175" i="14"/>
  <c r="E175" i="14" s="1"/>
  <c r="B175" i="14"/>
  <c r="AE174" i="14"/>
  <c r="F174" i="14" s="1"/>
  <c r="E174" i="14" s="1"/>
  <c r="B174" i="14"/>
  <c r="AE173" i="14"/>
  <c r="F173" i="14" s="1"/>
  <c r="E173" i="14" s="1"/>
  <c r="B173" i="14"/>
  <c r="CF172" i="14"/>
  <c r="F172" i="14"/>
  <c r="E172" i="14" s="1"/>
  <c r="B172" i="14"/>
  <c r="F171" i="14"/>
  <c r="E171" i="14"/>
  <c r="B171" i="14"/>
  <c r="AE170" i="14"/>
  <c r="F170" i="14" s="1"/>
  <c r="B170" i="14"/>
  <c r="CF169" i="14"/>
  <c r="F169" i="14"/>
  <c r="E169" i="14" s="1"/>
  <c r="B169" i="14"/>
  <c r="CF168" i="14"/>
  <c r="F168" i="14"/>
  <c r="E168" i="14"/>
  <c r="B168" i="14"/>
  <c r="F167" i="14"/>
  <c r="E167" i="14" s="1"/>
  <c r="B167" i="14"/>
  <c r="F166" i="14"/>
  <c r="E166" i="14"/>
  <c r="B166" i="14"/>
  <c r="F165" i="14"/>
  <c r="E165" i="14" s="1"/>
  <c r="B165" i="14"/>
  <c r="CF164" i="14"/>
  <c r="F164" i="14"/>
  <c r="E164" i="14"/>
  <c r="B164" i="14"/>
  <c r="AV163" i="14"/>
  <c r="F163" i="14"/>
  <c r="E163" i="14" s="1"/>
  <c r="B163" i="14"/>
  <c r="F162" i="14"/>
  <c r="E162" i="14"/>
  <c r="B162" i="14"/>
  <c r="F161" i="14"/>
  <c r="E161" i="14" s="1"/>
  <c r="B161" i="14"/>
  <c r="CF160" i="14"/>
  <c r="F160" i="14"/>
  <c r="E160" i="14"/>
  <c r="B160" i="14"/>
  <c r="F159" i="14"/>
  <c r="E159" i="14" s="1"/>
  <c r="B159" i="14"/>
  <c r="CF158" i="14"/>
  <c r="F158" i="14"/>
  <c r="E158" i="14"/>
  <c r="B158" i="14"/>
  <c r="AG157" i="14"/>
  <c r="AF157" i="14"/>
  <c r="AD157" i="14"/>
  <c r="AC157" i="14"/>
  <c r="AB157" i="14"/>
  <c r="AA157" i="14"/>
  <c r="Z157" i="14"/>
  <c r="Y157" i="14"/>
  <c r="X157" i="14"/>
  <c r="W157" i="14"/>
  <c r="V157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AF156" i="14"/>
  <c r="AE156" i="14"/>
  <c r="F156" i="14" s="1"/>
  <c r="E156" i="14" s="1"/>
  <c r="B156" i="14"/>
  <c r="AE155" i="14"/>
  <c r="F155" i="14"/>
  <c r="E155" i="14" s="1"/>
  <c r="B155" i="14"/>
  <c r="AE154" i="14"/>
  <c r="F154" i="14" s="1"/>
  <c r="E154" i="14" s="1"/>
  <c r="B154" i="14"/>
  <c r="CF153" i="14"/>
  <c r="F153" i="14"/>
  <c r="E153" i="14"/>
  <c r="B153" i="14"/>
  <c r="CF152" i="14"/>
  <c r="F152" i="14"/>
  <c r="E152" i="14"/>
  <c r="B152" i="14"/>
  <c r="F151" i="14"/>
  <c r="E151" i="14"/>
  <c r="B151" i="14"/>
  <c r="AE150" i="14"/>
  <c r="F150" i="14"/>
  <c r="E150" i="14" s="1"/>
  <c r="B150" i="14"/>
  <c r="AE149" i="14"/>
  <c r="F149" i="14" s="1"/>
  <c r="E149" i="14" s="1"/>
  <c r="B149" i="14"/>
  <c r="F148" i="14"/>
  <c r="E148" i="14"/>
  <c r="B148" i="14"/>
  <c r="F147" i="14"/>
  <c r="E147" i="14"/>
  <c r="B147" i="14"/>
  <c r="F146" i="14"/>
  <c r="E146" i="14"/>
  <c r="B146" i="14"/>
  <c r="AE145" i="14"/>
  <c r="F145" i="14"/>
  <c r="E145" i="14" s="1"/>
  <c r="B145" i="14"/>
  <c r="AE144" i="14"/>
  <c r="F144" i="14" s="1"/>
  <c r="E144" i="14" s="1"/>
  <c r="B144" i="14"/>
  <c r="F143" i="14"/>
  <c r="E143" i="14"/>
  <c r="B143" i="14"/>
  <c r="AE142" i="14"/>
  <c r="F142" i="14"/>
  <c r="E142" i="14" s="1"/>
  <c r="B142" i="14"/>
  <c r="AE141" i="14"/>
  <c r="F141" i="14" s="1"/>
  <c r="E141" i="14" s="1"/>
  <c r="B141" i="14"/>
  <c r="AE140" i="14"/>
  <c r="F140" i="14"/>
  <c r="E140" i="14" s="1"/>
  <c r="B140" i="14"/>
  <c r="AE139" i="14"/>
  <c r="F139" i="14"/>
  <c r="E139" i="14" s="1"/>
  <c r="B139" i="14"/>
  <c r="CF138" i="14"/>
  <c r="AE138" i="14"/>
  <c r="F138" i="14"/>
  <c r="E138" i="14" s="1"/>
  <c r="B138" i="14"/>
  <c r="F137" i="14"/>
  <c r="E137" i="14"/>
  <c r="B137" i="14"/>
  <c r="CF136" i="14"/>
  <c r="AE136" i="14"/>
  <c r="F136" i="14" s="1"/>
  <c r="E136" i="14" s="1"/>
  <c r="B136" i="14"/>
  <c r="CF135" i="14"/>
  <c r="F135" i="14"/>
  <c r="E135" i="14" s="1"/>
  <c r="B135" i="14"/>
  <c r="CF134" i="14"/>
  <c r="F134" i="14"/>
  <c r="E134" i="14"/>
  <c r="B134" i="14"/>
  <c r="CF133" i="14"/>
  <c r="AE133" i="14"/>
  <c r="F133" i="14" s="1"/>
  <c r="E133" i="14" s="1"/>
  <c r="B133" i="14"/>
  <c r="CF132" i="14"/>
  <c r="F132" i="14"/>
  <c r="E132" i="14" s="1"/>
  <c r="B132" i="14"/>
  <c r="CF131" i="14"/>
  <c r="AE131" i="14"/>
  <c r="F131" i="14"/>
  <c r="E131" i="14" s="1"/>
  <c r="B131" i="14"/>
  <c r="AE130" i="14"/>
  <c r="F130" i="14"/>
  <c r="E130" i="14" s="1"/>
  <c r="B130" i="14"/>
  <c r="P129" i="14"/>
  <c r="AE129" i="14" s="1"/>
  <c r="AE126" i="14" s="1"/>
  <c r="B129" i="14"/>
  <c r="F128" i="14"/>
  <c r="E128" i="14" s="1"/>
  <c r="B128" i="14"/>
  <c r="CF127" i="14"/>
  <c r="F127" i="14"/>
  <c r="E127" i="14"/>
  <c r="B127" i="14"/>
  <c r="AG126" i="14"/>
  <c r="AF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5" i="14"/>
  <c r="E125" i="14"/>
  <c r="B125" i="14"/>
  <c r="F124" i="14"/>
  <c r="E124" i="14"/>
  <c r="B124" i="14"/>
  <c r="F123" i="14"/>
  <c r="E123" i="14"/>
  <c r="B123" i="14"/>
  <c r="F122" i="14"/>
  <c r="E122" i="14"/>
  <c r="B122" i="14"/>
  <c r="F121" i="14"/>
  <c r="E121" i="14"/>
  <c r="B121" i="14"/>
  <c r="F120" i="14"/>
  <c r="E120" i="14"/>
  <c r="B120" i="14"/>
  <c r="F119" i="14"/>
  <c r="E119" i="14"/>
  <c r="B119" i="14"/>
  <c r="F118" i="14"/>
  <c r="E118" i="14"/>
  <c r="B118" i="14"/>
  <c r="CF117" i="14"/>
  <c r="F117" i="14"/>
  <c r="E117" i="14"/>
  <c r="B117" i="14"/>
  <c r="F116" i="14"/>
  <c r="E116" i="14" s="1"/>
  <c r="B116" i="14"/>
  <c r="F115" i="14"/>
  <c r="E115" i="14" s="1"/>
  <c r="B115" i="14"/>
  <c r="F114" i="14"/>
  <c r="E114" i="14"/>
  <c r="B114" i="14"/>
  <c r="F113" i="14"/>
  <c r="E113" i="14"/>
  <c r="B113" i="14"/>
  <c r="F112" i="14"/>
  <c r="E112" i="14" s="1"/>
  <c r="B112" i="14"/>
  <c r="F111" i="14"/>
  <c r="E111" i="14"/>
  <c r="B111" i="14"/>
  <c r="T110" i="14"/>
  <c r="F110" i="14"/>
  <c r="E110" i="14" s="1"/>
  <c r="B110" i="14"/>
  <c r="F109" i="14"/>
  <c r="E109" i="14" s="1"/>
  <c r="B109" i="14"/>
  <c r="F108" i="14"/>
  <c r="E108" i="14" s="1"/>
  <c r="B108" i="14"/>
  <c r="F107" i="14"/>
  <c r="E107" i="14" s="1"/>
  <c r="B107" i="14"/>
  <c r="F106" i="14"/>
  <c r="E106" i="14" s="1"/>
  <c r="B106" i="14"/>
  <c r="F105" i="14"/>
  <c r="E105" i="14" s="1"/>
  <c r="B105" i="14"/>
  <c r="F104" i="14"/>
  <c r="E104" i="14" s="1"/>
  <c r="B104" i="14"/>
  <c r="CF103" i="14"/>
  <c r="F103" i="14"/>
  <c r="E103" i="14" s="1"/>
  <c r="B103" i="14"/>
  <c r="F102" i="14"/>
  <c r="E102" i="14" s="1"/>
  <c r="B102" i="14"/>
  <c r="CF101" i="14"/>
  <c r="F101" i="14"/>
  <c r="E101" i="14" s="1"/>
  <c r="B101" i="14"/>
  <c r="CF100" i="14"/>
  <c r="F100" i="14"/>
  <c r="E100" i="14" s="1"/>
  <c r="B100" i="14"/>
  <c r="CF99" i="14"/>
  <c r="F99" i="14"/>
  <c r="E99" i="14" s="1"/>
  <c r="B99" i="14"/>
  <c r="CF98" i="14"/>
  <c r="F98" i="14"/>
  <c r="E98" i="14" s="1"/>
  <c r="B98" i="14"/>
  <c r="CF97" i="14"/>
  <c r="F97" i="14"/>
  <c r="E97" i="14" s="1"/>
  <c r="B97" i="14"/>
  <c r="CF96" i="14"/>
  <c r="F96" i="14"/>
  <c r="E96" i="14" s="1"/>
  <c r="B96" i="14"/>
  <c r="F95" i="14"/>
  <c r="E95" i="14" s="1"/>
  <c r="B95" i="14"/>
  <c r="F94" i="14"/>
  <c r="E94" i="14" s="1"/>
  <c r="B94" i="14"/>
  <c r="F93" i="14"/>
  <c r="E93" i="14" s="1"/>
  <c r="B93" i="14"/>
  <c r="F92" i="14"/>
  <c r="E92" i="14" s="1"/>
  <c r="B92" i="14"/>
  <c r="CF91" i="14"/>
  <c r="F91" i="14"/>
  <c r="E91" i="14" s="1"/>
  <c r="B91" i="14"/>
  <c r="F90" i="14"/>
  <c r="E90" i="14" s="1"/>
  <c r="B90" i="14"/>
  <c r="F89" i="14"/>
  <c r="E89" i="14" s="1"/>
  <c r="B89" i="14"/>
  <c r="F88" i="14"/>
  <c r="E88" i="14" s="1"/>
  <c r="B88" i="14"/>
  <c r="F87" i="14"/>
  <c r="E87" i="14" s="1"/>
  <c r="B87" i="14"/>
  <c r="CF86" i="14"/>
  <c r="F86" i="14"/>
  <c r="E86" i="14" s="1"/>
  <c r="B86" i="14"/>
  <c r="F85" i="14"/>
  <c r="E85" i="14" s="1"/>
  <c r="B85" i="14"/>
  <c r="F84" i="14"/>
  <c r="E84" i="14" s="1"/>
  <c r="B84" i="14"/>
  <c r="F83" i="14"/>
  <c r="E83" i="14" s="1"/>
  <c r="B83" i="14"/>
  <c r="CF82" i="14"/>
  <c r="F82" i="14"/>
  <c r="E82" i="14" s="1"/>
  <c r="B82" i="14"/>
  <c r="CF81" i="14"/>
  <c r="F81" i="14"/>
  <c r="E81" i="14" s="1"/>
  <c r="B81" i="14"/>
  <c r="CF80" i="14"/>
  <c r="F80" i="14"/>
  <c r="E80" i="14" s="1"/>
  <c r="B80" i="14"/>
  <c r="CF79" i="14"/>
  <c r="O79" i="14"/>
  <c r="F79" i="14"/>
  <c r="E79" i="14"/>
  <c r="B79" i="14"/>
  <c r="F78" i="14"/>
  <c r="E78" i="14"/>
  <c r="B78" i="14"/>
  <c r="CF77" i="14"/>
  <c r="F77" i="14"/>
  <c r="E77" i="14"/>
  <c r="B77" i="14"/>
  <c r="F76" i="14"/>
  <c r="E76" i="14"/>
  <c r="B76" i="14"/>
  <c r="CF75" i="14"/>
  <c r="F75" i="14"/>
  <c r="E75" i="14"/>
  <c r="B75" i="14"/>
  <c r="CF74" i="14"/>
  <c r="F74" i="14"/>
  <c r="E74" i="14"/>
  <c r="B74" i="14"/>
  <c r="F73" i="14"/>
  <c r="E73" i="14"/>
  <c r="B73" i="14"/>
  <c r="F72" i="14"/>
  <c r="E72" i="14"/>
  <c r="B72" i="14"/>
  <c r="CF71" i="14"/>
  <c r="F71" i="14"/>
  <c r="E71" i="14"/>
  <c r="B71" i="14"/>
  <c r="CF70" i="14"/>
  <c r="P70" i="14"/>
  <c r="F70" i="14"/>
  <c r="E70" i="14" s="1"/>
  <c r="B70" i="14"/>
  <c r="F69" i="14"/>
  <c r="E69" i="14" s="1"/>
  <c r="B69" i="14"/>
  <c r="F68" i="14"/>
  <c r="E68" i="14" s="1"/>
  <c r="B68" i="14"/>
  <c r="F67" i="14"/>
  <c r="E67" i="14" s="1"/>
  <c r="B67" i="14"/>
  <c r="CF66" i="14"/>
  <c r="F66" i="14"/>
  <c r="E66" i="14" s="1"/>
  <c r="B66" i="14"/>
  <c r="CF65" i="14"/>
  <c r="F65" i="14"/>
  <c r="E65" i="14" s="1"/>
  <c r="B65" i="14"/>
  <c r="F64" i="14"/>
  <c r="E64" i="14"/>
  <c r="B64" i="14"/>
  <c r="CF63" i="14"/>
  <c r="F63" i="14"/>
  <c r="E63" i="14" s="1"/>
  <c r="B63" i="14"/>
  <c r="CF62" i="14"/>
  <c r="F62" i="14"/>
  <c r="E62" i="14"/>
  <c r="B62" i="14"/>
  <c r="F61" i="14"/>
  <c r="E61" i="14" s="1"/>
  <c r="B61" i="14"/>
  <c r="CF60" i="14"/>
  <c r="F60" i="14"/>
  <c r="E60" i="14"/>
  <c r="B60" i="14"/>
  <c r="F59" i="14"/>
  <c r="E59" i="14" s="1"/>
  <c r="B59" i="14"/>
  <c r="CF58" i="14"/>
  <c r="F58" i="14"/>
  <c r="E58" i="14"/>
  <c r="B58" i="14"/>
  <c r="CF57" i="14"/>
  <c r="F57" i="14"/>
  <c r="E57" i="14" s="1"/>
  <c r="B57" i="14"/>
  <c r="F56" i="14"/>
  <c r="E56" i="14"/>
  <c r="B56" i="14"/>
  <c r="CF55" i="14"/>
  <c r="F55" i="14"/>
  <c r="E55" i="14" s="1"/>
  <c r="B55" i="14"/>
  <c r="F54" i="14"/>
  <c r="E54" i="14"/>
  <c r="B54" i="14"/>
  <c r="F53" i="14"/>
  <c r="E53" i="14" s="1"/>
  <c r="B53" i="14"/>
  <c r="F52" i="14"/>
  <c r="E52" i="14"/>
  <c r="B52" i="14"/>
  <c r="CF51" i="14"/>
  <c r="F51" i="14"/>
  <c r="E51" i="14" s="1"/>
  <c r="B51" i="14"/>
  <c r="F50" i="14"/>
  <c r="E50" i="14"/>
  <c r="B50" i="14"/>
  <c r="F49" i="14"/>
  <c r="E49" i="14" s="1"/>
  <c r="B49" i="14"/>
  <c r="F48" i="14"/>
  <c r="E48" i="14" s="1"/>
  <c r="B48" i="14"/>
  <c r="CF47" i="14"/>
  <c r="F47" i="14"/>
  <c r="E47" i="14"/>
  <c r="B47" i="14"/>
  <c r="N46" i="14"/>
  <c r="B46" i="14"/>
  <c r="F45" i="14"/>
  <c r="E45" i="14" s="1"/>
  <c r="B45" i="14"/>
  <c r="N44" i="14"/>
  <c r="F44" i="14"/>
  <c r="E44" i="14" s="1"/>
  <c r="B44" i="14"/>
  <c r="F43" i="14"/>
  <c r="E43" i="14"/>
  <c r="B43" i="14"/>
  <c r="F42" i="14"/>
  <c r="E42" i="14" s="1"/>
  <c r="B42" i="14"/>
  <c r="F41" i="14"/>
  <c r="E41" i="14"/>
  <c r="B41" i="14"/>
  <c r="CD40" i="14"/>
  <c r="AT40" i="14"/>
  <c r="F40" i="14"/>
  <c r="E40" i="14" s="1"/>
  <c r="B40" i="14"/>
  <c r="F39" i="14"/>
  <c r="E39" i="14"/>
  <c r="B39" i="14"/>
  <c r="F38" i="14"/>
  <c r="E38" i="14"/>
  <c r="B38" i="14"/>
  <c r="F37" i="14"/>
  <c r="E37" i="14" s="1"/>
  <c r="B37" i="14"/>
  <c r="F36" i="14"/>
  <c r="E36" i="14" s="1"/>
  <c r="B36" i="14"/>
  <c r="AV35" i="14"/>
  <c r="N35" i="14"/>
  <c r="F35" i="14"/>
  <c r="E35" i="14" s="1"/>
  <c r="B35" i="14"/>
  <c r="CF34" i="14"/>
  <c r="F34" i="14"/>
  <c r="E34" i="14"/>
  <c r="B34" i="14"/>
  <c r="CF33" i="14"/>
  <c r="F33" i="14"/>
  <c r="E33" i="14" s="1"/>
  <c r="B33" i="14"/>
  <c r="F32" i="14"/>
  <c r="E32" i="14"/>
  <c r="B32" i="14"/>
  <c r="CF31" i="14"/>
  <c r="F31" i="14"/>
  <c r="E31" i="14" s="1"/>
  <c r="B31" i="14"/>
  <c r="F30" i="14"/>
  <c r="E30" i="14"/>
  <c r="B30" i="14"/>
  <c r="F29" i="14"/>
  <c r="E29" i="14" s="1"/>
  <c r="B29" i="14"/>
  <c r="F28" i="14"/>
  <c r="E28" i="14"/>
  <c r="B28" i="14"/>
  <c r="CF27" i="14"/>
  <c r="F27" i="14"/>
  <c r="E27" i="14" s="1"/>
  <c r="B27" i="14"/>
  <c r="F26" i="14"/>
  <c r="E26" i="14"/>
  <c r="B26" i="14"/>
  <c r="F25" i="14"/>
  <c r="E25" i="14" s="1"/>
  <c r="B25" i="14"/>
  <c r="F24" i="14"/>
  <c r="E24" i="14"/>
  <c r="B24" i="14"/>
  <c r="F23" i="14"/>
  <c r="B23" i="14"/>
  <c r="F22" i="14"/>
  <c r="E22" i="14"/>
  <c r="B22" i="14"/>
  <c r="AG21" i="14"/>
  <c r="AG20" i="14" s="1"/>
  <c r="AF21" i="14"/>
  <c r="AE21" i="14"/>
  <c r="AD21" i="14"/>
  <c r="AC21" i="14"/>
  <c r="AC20" i="14" s="1"/>
  <c r="AB21" i="14"/>
  <c r="AA21" i="14"/>
  <c r="AA20" i="14" s="1"/>
  <c r="Z21" i="14"/>
  <c r="Y21" i="14"/>
  <c r="Y20" i="14" s="1"/>
  <c r="X21" i="14"/>
  <c r="W21" i="14"/>
  <c r="W20" i="14" s="1"/>
  <c r="V21" i="14"/>
  <c r="U21" i="14"/>
  <c r="U20" i="14" s="1"/>
  <c r="T21" i="14"/>
  <c r="S21" i="14"/>
  <c r="S20" i="14" s="1"/>
  <c r="R21" i="14"/>
  <c r="Q21" i="14"/>
  <c r="Q20" i="14" s="1"/>
  <c r="P21" i="14"/>
  <c r="O21" i="14"/>
  <c r="O20" i="14" s="1"/>
  <c r="M21" i="14"/>
  <c r="M20" i="14" s="1"/>
  <c r="L21" i="14"/>
  <c r="K21" i="14"/>
  <c r="K20" i="14" s="1"/>
  <c r="J21" i="14"/>
  <c r="I21" i="14"/>
  <c r="H21" i="14"/>
  <c r="G21" i="14"/>
  <c r="G20" i="14" s="1"/>
  <c r="AF20" i="14"/>
  <c r="AD20" i="14"/>
  <c r="AB20" i="14"/>
  <c r="Z20" i="14"/>
  <c r="X20" i="14"/>
  <c r="V20" i="14"/>
  <c r="R20" i="14"/>
  <c r="L20" i="14"/>
  <c r="J20" i="14"/>
  <c r="H20" i="14"/>
  <c r="H19" i="14" s="1"/>
  <c r="AG19" i="14"/>
  <c r="AF19" i="14"/>
  <c r="AD19" i="14"/>
  <c r="AC19" i="14"/>
  <c r="AB19" i="14"/>
  <c r="AA19" i="14"/>
  <c r="Z19" i="14"/>
  <c r="Y19" i="14"/>
  <c r="X19" i="14"/>
  <c r="U19" i="14"/>
  <c r="S19" i="14"/>
  <c r="R19" i="14"/>
  <c r="Q19" i="14"/>
  <c r="O19" i="14"/>
  <c r="M19" i="14"/>
  <c r="L19" i="14"/>
  <c r="K19" i="14"/>
  <c r="G19" i="14"/>
  <c r="V441" i="15" l="1"/>
  <c r="U438" i="15"/>
  <c r="V132" i="15"/>
  <c r="U120" i="15"/>
  <c r="V120" i="15" s="1"/>
  <c r="S235" i="15"/>
  <c r="V238" i="15"/>
  <c r="V274" i="15"/>
  <c r="V312" i="15"/>
  <c r="V349" i="15"/>
  <c r="S354" i="15"/>
  <c r="S14" i="15" s="1"/>
  <c r="V376" i="15"/>
  <c r="V385" i="15"/>
  <c r="S412" i="15"/>
  <c r="V415" i="15"/>
  <c r="S418" i="15"/>
  <c r="V456" i="15"/>
  <c r="V465" i="15"/>
  <c r="S467" i="15"/>
  <c r="S492" i="15"/>
  <c r="S497" i="15"/>
  <c r="S505" i="15"/>
  <c r="S508" i="15"/>
  <c r="V536" i="15"/>
  <c r="V624" i="15"/>
  <c r="V628" i="15"/>
  <c r="V632" i="15"/>
  <c r="V636" i="15"/>
  <c r="V640" i="15"/>
  <c r="V663" i="15"/>
  <c r="V671" i="15"/>
  <c r="V678" i="15"/>
  <c r="W679" i="15"/>
  <c r="V680" i="15"/>
  <c r="V882" i="15"/>
  <c r="U874" i="15"/>
  <c r="J13" i="15"/>
  <c r="R13" i="15"/>
  <c r="V723" i="15"/>
  <c r="V727" i="15"/>
  <c r="S731" i="15"/>
  <c r="V739" i="15"/>
  <c r="S773" i="15"/>
  <c r="U883" i="15"/>
  <c r="S915" i="15"/>
  <c r="V918" i="15"/>
  <c r="V935" i="15"/>
  <c r="V938" i="15"/>
  <c r="V942" i="15"/>
  <c r="V948" i="15"/>
  <c r="V960" i="15"/>
  <c r="V966" i="15"/>
  <c r="V970" i="15"/>
  <c r="S982" i="15"/>
  <c r="S1116" i="15"/>
  <c r="W1133" i="15"/>
  <c r="T1275" i="15"/>
  <c r="S1062" i="15"/>
  <c r="V1089" i="15"/>
  <c r="S1104" i="15"/>
  <c r="V1145" i="15"/>
  <c r="V1149" i="15"/>
  <c r="V1156" i="15"/>
  <c r="V1162" i="15"/>
  <c r="V1166" i="15"/>
  <c r="V1169" i="15"/>
  <c r="V1172" i="15"/>
  <c r="V1176" i="15"/>
  <c r="V1192" i="15"/>
  <c r="S1255" i="15"/>
  <c r="S1258" i="15"/>
  <c r="T1284" i="15"/>
  <c r="T1290" i="15"/>
  <c r="T1276" i="15"/>
  <c r="T1278" i="15"/>
  <c r="T1280" i="15"/>
  <c r="S1283" i="15"/>
  <c r="V268" i="15"/>
  <c r="V286" i="15"/>
  <c r="V305" i="15"/>
  <c r="V297" i="15"/>
  <c r="V303" i="15"/>
  <c r="W36" i="15"/>
  <c r="W124" i="15"/>
  <c r="W133" i="15"/>
  <c r="W149" i="15"/>
  <c r="W150" i="15"/>
  <c r="W301" i="15"/>
  <c r="I14" i="15"/>
  <c r="V321" i="15"/>
  <c r="V357" i="15"/>
  <c r="V377" i="15"/>
  <c r="V391" i="15"/>
  <c r="V398" i="15"/>
  <c r="V408" i="15"/>
  <c r="V435" i="15"/>
  <c r="V438" i="15"/>
  <c r="V513" i="15"/>
  <c r="V522" i="15"/>
  <c r="V547" i="15"/>
  <c r="W340" i="15"/>
  <c r="W395" i="15"/>
  <c r="W409" i="15"/>
  <c r="W411" i="15"/>
  <c r="V474" i="15"/>
  <c r="V518" i="15"/>
  <c r="V533" i="15"/>
  <c r="V535" i="15"/>
  <c r="V537" i="15"/>
  <c r="V540" i="15"/>
  <c r="V602" i="15"/>
  <c r="W621" i="15"/>
  <c r="W623" i="15"/>
  <c r="W625" i="15"/>
  <c r="W627" i="15"/>
  <c r="W629" i="15"/>
  <c r="W631" i="15"/>
  <c r="W633" i="15"/>
  <c r="W635" i="15"/>
  <c r="W637" i="15"/>
  <c r="W639" i="15"/>
  <c r="V641" i="15"/>
  <c r="S672" i="15"/>
  <c r="S712" i="15"/>
  <c r="W722" i="15"/>
  <c r="W724" i="15"/>
  <c r="W726" i="15"/>
  <c r="W728" i="15"/>
  <c r="W730" i="15"/>
  <c r="S765" i="15"/>
  <c r="V788" i="15"/>
  <c r="V794" i="15"/>
  <c r="V829" i="15"/>
  <c r="V833" i="15"/>
  <c r="V837" i="15"/>
  <c r="V846" i="15"/>
  <c r="V858" i="15"/>
  <c r="V861" i="15"/>
  <c r="V883" i="15"/>
  <c r="V889" i="15"/>
  <c r="V895" i="15"/>
  <c r="V899" i="15"/>
  <c r="V904" i="15"/>
  <c r="V907" i="15"/>
  <c r="V909" i="15"/>
  <c r="V919" i="15"/>
  <c r="U359" i="15"/>
  <c r="V359" i="15" s="1"/>
  <c r="V848" i="15"/>
  <c r="V875" i="15"/>
  <c r="V908" i="15"/>
  <c r="V929" i="15"/>
  <c r="V998" i="15"/>
  <c r="V1119" i="15"/>
  <c r="V933" i="15"/>
  <c r="V940" i="15"/>
  <c r="V944" i="15"/>
  <c r="V954" i="15"/>
  <c r="V964" i="15"/>
  <c r="V968" i="15"/>
  <c r="V972" i="15"/>
  <c r="V994" i="15"/>
  <c r="V1077" i="15"/>
  <c r="V1073" i="15"/>
  <c r="W1088" i="15"/>
  <c r="V1122" i="15"/>
  <c r="S1135" i="15"/>
  <c r="S998" i="15" s="1"/>
  <c r="V1147" i="15"/>
  <c r="V1160" i="15"/>
  <c r="V1164" i="15"/>
  <c r="V1174" i="15"/>
  <c r="V1178" i="15"/>
  <c r="V1185" i="15"/>
  <c r="V1188" i="15"/>
  <c r="T1283" i="15"/>
  <c r="V1195" i="15"/>
  <c r="V1201" i="15"/>
  <c r="V1205" i="15"/>
  <c r="V1209" i="15"/>
  <c r="V1213" i="15"/>
  <c r="V1244" i="15"/>
  <c r="V1266" i="15"/>
  <c r="V1272" i="15"/>
  <c r="T1288" i="15"/>
  <c r="F46" i="14"/>
  <c r="E46" i="14" s="1"/>
  <c r="N21" i="14"/>
  <c r="E293" i="14"/>
  <c r="F292" i="14"/>
  <c r="E292" i="14" s="1"/>
  <c r="E351" i="14"/>
  <c r="F350" i="14"/>
  <c r="E432" i="14"/>
  <c r="F428" i="14"/>
  <c r="E428" i="14" s="1"/>
  <c r="E443" i="14"/>
  <c r="F441" i="14"/>
  <c r="E441" i="14" s="1"/>
  <c r="E462" i="14"/>
  <c r="F461" i="14"/>
  <c r="E461" i="14" s="1"/>
  <c r="E23" i="14"/>
  <c r="F21" i="14"/>
  <c r="E170" i="14"/>
  <c r="F157" i="14"/>
  <c r="E204" i="14"/>
  <c r="F203" i="14"/>
  <c r="E248" i="14"/>
  <c r="F247" i="14"/>
  <c r="AE327" i="14"/>
  <c r="E345" i="14"/>
  <c r="F344" i="14"/>
  <c r="E364" i="14"/>
  <c r="F363" i="14"/>
  <c r="E363" i="14" s="1"/>
  <c r="AE365" i="14"/>
  <c r="E396" i="14"/>
  <c r="F395" i="14"/>
  <c r="E395" i="14" s="1"/>
  <c r="E409" i="14"/>
  <c r="F404" i="14"/>
  <c r="E404" i="14" s="1"/>
  <c r="E415" i="14"/>
  <c r="F414" i="14"/>
  <c r="E414" i="14" s="1"/>
  <c r="E427" i="14"/>
  <c r="F424" i="14"/>
  <c r="E424" i="14" s="1"/>
  <c r="F444" i="14"/>
  <c r="E444" i="14" s="1"/>
  <c r="E464" i="14"/>
  <c r="F463" i="14"/>
  <c r="E463" i="14" s="1"/>
  <c r="F129" i="14"/>
  <c r="AE157" i="14"/>
  <c r="AE203" i="14"/>
  <c r="F241" i="14"/>
  <c r="AE247" i="14"/>
  <c r="F274" i="14"/>
  <c r="E274" i="14" s="1"/>
  <c r="F287" i="14"/>
  <c r="E287" i="14" s="1"/>
  <c r="AE292" i="14"/>
  <c r="F294" i="14"/>
  <c r="T297" i="14"/>
  <c r="F298" i="14"/>
  <c r="F307" i="14"/>
  <c r="E307" i="14" s="1"/>
  <c r="N311" i="14"/>
  <c r="P311" i="14"/>
  <c r="F314" i="14"/>
  <c r="E314" i="14" s="1"/>
  <c r="P327" i="14"/>
  <c r="T327" i="14"/>
  <c r="F334" i="14"/>
  <c r="E334" i="14" s="1"/>
  <c r="F337" i="14"/>
  <c r="E337" i="14" s="1"/>
  <c r="AE344" i="14"/>
  <c r="AE350" i="14"/>
  <c r="P353" i="14"/>
  <c r="F355" i="14"/>
  <c r="E355" i="14" s="1"/>
  <c r="F356" i="14"/>
  <c r="F360" i="14"/>
  <c r="F371" i="14"/>
  <c r="F380" i="14"/>
  <c r="P385" i="14"/>
  <c r="F386" i="14"/>
  <c r="F387" i="14"/>
  <c r="E387" i="14" s="1"/>
  <c r="AE404" i="14"/>
  <c r="AE414" i="14"/>
  <c r="F418" i="14"/>
  <c r="E418" i="14" s="1"/>
  <c r="AE424" i="14"/>
  <c r="AE428" i="14"/>
  <c r="F435" i="14"/>
  <c r="AE441" i="14"/>
  <c r="AE461" i="14"/>
  <c r="F467" i="14"/>
  <c r="F477" i="14"/>
  <c r="E499" i="14"/>
  <c r="F498" i="14"/>
  <c r="E498" i="14" s="1"/>
  <c r="E656" i="14"/>
  <c r="AE479" i="14"/>
  <c r="AE473" i="14" s="1"/>
  <c r="I473" i="14"/>
  <c r="I20" i="14" s="1"/>
  <c r="I19" i="14" s="1"/>
  <c r="E495" i="14"/>
  <c r="F494" i="14"/>
  <c r="E494" i="14" s="1"/>
  <c r="E587" i="14"/>
  <c r="F557" i="14"/>
  <c r="E679" i="14"/>
  <c r="E719" i="14"/>
  <c r="F485" i="14"/>
  <c r="E485" i="14" s="1"/>
  <c r="AE494" i="14"/>
  <c r="F496" i="14"/>
  <c r="E496" i="14" s="1"/>
  <c r="F503" i="14"/>
  <c r="F509" i="14"/>
  <c r="E511" i="14"/>
  <c r="F514" i="14"/>
  <c r="F517" i="14"/>
  <c r="E519" i="14"/>
  <c r="F522" i="14"/>
  <c r="E528" i="14"/>
  <c r="T530" i="14"/>
  <c r="F532" i="14"/>
  <c r="E532" i="14" s="1"/>
  <c r="E533" i="14"/>
  <c r="F535" i="14"/>
  <c r="F545" i="14"/>
  <c r="E545" i="14" s="1"/>
  <c r="F550" i="14"/>
  <c r="F553" i="14"/>
  <c r="E783" i="14"/>
  <c r="F779" i="14"/>
  <c r="E779" i="14" s="1"/>
  <c r="E791" i="14"/>
  <c r="F787" i="14"/>
  <c r="E787" i="14" s="1"/>
  <c r="E795" i="14"/>
  <c r="F794" i="14"/>
  <c r="E794" i="14" s="1"/>
  <c r="E803" i="14"/>
  <c r="E834" i="14"/>
  <c r="F831" i="14"/>
  <c r="E831" i="14" s="1"/>
  <c r="E838" i="14"/>
  <c r="F837" i="14"/>
  <c r="E837" i="14" s="1"/>
  <c r="E840" i="14"/>
  <c r="F839" i="14"/>
  <c r="E842" i="14"/>
  <c r="F841" i="14"/>
  <c r="E844" i="14"/>
  <c r="F843" i="14"/>
  <c r="E846" i="14"/>
  <c r="F845" i="14"/>
  <c r="E853" i="14"/>
  <c r="E875" i="14"/>
  <c r="F874" i="14"/>
  <c r="E874" i="14" s="1"/>
  <c r="F668" i="14"/>
  <c r="E668" i="14" s="1"/>
  <c r="AE678" i="14"/>
  <c r="F688" i="14"/>
  <c r="E688" i="14" s="1"/>
  <c r="F694" i="14"/>
  <c r="E694" i="14" s="1"/>
  <c r="F710" i="14"/>
  <c r="E710" i="14" s="1"/>
  <c r="F711" i="14"/>
  <c r="E711" i="14" s="1"/>
  <c r="F714" i="14"/>
  <c r="E714" i="14" s="1"/>
  <c r="N718" i="14"/>
  <c r="N556" i="14" s="1"/>
  <c r="P718" i="14"/>
  <c r="P556" i="14" s="1"/>
  <c r="F722" i="14"/>
  <c r="E722" i="14" s="1"/>
  <c r="AE732" i="14"/>
  <c r="AE718" i="14" s="1"/>
  <c r="F732" i="14"/>
  <c r="E732" i="14" s="1"/>
  <c r="AE745" i="14"/>
  <c r="E772" i="14"/>
  <c r="F771" i="14"/>
  <c r="E771" i="14" s="1"/>
  <c r="AE802" i="14"/>
  <c r="E737" i="14"/>
  <c r="P745" i="14"/>
  <c r="F758" i="14"/>
  <c r="E758" i="14" s="1"/>
  <c r="F763" i="14"/>
  <c r="E763" i="14" s="1"/>
  <c r="F766" i="14"/>
  <c r="E766" i="14" s="1"/>
  <c r="F770" i="14"/>
  <c r="E770" i="14" s="1"/>
  <c r="P800" i="14"/>
  <c r="F801" i="14"/>
  <c r="P802" i="14"/>
  <c r="V802" i="14"/>
  <c r="V556" i="14" s="1"/>
  <c r="V19" i="14" s="1"/>
  <c r="F806" i="14"/>
  <c r="E806" i="14" s="1"/>
  <c r="F810" i="14"/>
  <c r="E810" i="14" s="1"/>
  <c r="F815" i="14"/>
  <c r="E815" i="14" s="1"/>
  <c r="T817" i="14"/>
  <c r="T556" i="14" s="1"/>
  <c r="F822" i="14"/>
  <c r="E822" i="14" s="1"/>
  <c r="F830" i="14"/>
  <c r="AE831" i="14"/>
  <c r="AE839" i="14"/>
  <c r="AE841" i="14"/>
  <c r="AE843" i="14"/>
  <c r="AE845" i="14"/>
  <c r="F850" i="14"/>
  <c r="P852" i="14"/>
  <c r="F856" i="14"/>
  <c r="E856" i="14" s="1"/>
  <c r="F866" i="14"/>
  <c r="W867" i="14"/>
  <c r="F870" i="14"/>
  <c r="F882" i="14"/>
  <c r="F885" i="14"/>
  <c r="E885" i="14" s="1"/>
  <c r="F887" i="14"/>
  <c r="E887" i="14" s="1"/>
  <c r="AE890" i="14"/>
  <c r="AE889" i="14" s="1"/>
  <c r="F890" i="14"/>
  <c r="P889" i="14"/>
  <c r="AE895" i="14"/>
  <c r="AE897" i="14"/>
  <c r="F897" i="14"/>
  <c r="AE898" i="14"/>
  <c r="F898" i="14"/>
  <c r="E898" i="14" s="1"/>
  <c r="W895" i="14"/>
  <c r="AE905" i="14"/>
  <c r="E916" i="14"/>
  <c r="E922" i="14"/>
  <c r="E951" i="14"/>
  <c r="E979" i="14"/>
  <c r="F986" i="14"/>
  <c r="E986" i="14" s="1"/>
  <c r="E987" i="14"/>
  <c r="F1002" i="14"/>
  <c r="E1002" i="14" s="1"/>
  <c r="E1003" i="14"/>
  <c r="E911" i="14"/>
  <c r="F910" i="14"/>
  <c r="E910" i="14" s="1"/>
  <c r="E943" i="14"/>
  <c r="F941" i="14"/>
  <c r="E941" i="14" s="1"/>
  <c r="E961" i="14"/>
  <c r="F969" i="14"/>
  <c r="AE966" i="14"/>
  <c r="P905" i="14"/>
  <c r="F906" i="14"/>
  <c r="F908" i="14"/>
  <c r="E908" i="14" s="1"/>
  <c r="P910" i="14"/>
  <c r="F912" i="14"/>
  <c r="E912" i="14" s="1"/>
  <c r="P915" i="14"/>
  <c r="F917" i="14"/>
  <c r="E917" i="14" s="1"/>
  <c r="J921" i="14"/>
  <c r="J556" i="14" s="1"/>
  <c r="J19" i="14" s="1"/>
  <c r="F924" i="14"/>
  <c r="E924" i="14" s="1"/>
  <c r="P927" i="14"/>
  <c r="F928" i="14"/>
  <c r="F930" i="14"/>
  <c r="E930" i="14" s="1"/>
  <c r="P939" i="14"/>
  <c r="F940" i="14"/>
  <c r="P948" i="14"/>
  <c r="F949" i="14"/>
  <c r="F952" i="14"/>
  <c r="E952" i="14" s="1"/>
  <c r="P954" i="14"/>
  <c r="F959" i="14"/>
  <c r="E959" i="14" s="1"/>
  <c r="P960" i="14"/>
  <c r="F963" i="14"/>
  <c r="E963" i="14" s="1"/>
  <c r="F964" i="14"/>
  <c r="E964" i="14" s="1"/>
  <c r="P976" i="14"/>
  <c r="F977" i="14"/>
  <c r="F982" i="14"/>
  <c r="E982" i="14" s="1"/>
  <c r="F989" i="14"/>
  <c r="F991" i="14"/>
  <c r="E991" i="14" s="1"/>
  <c r="P995" i="14"/>
  <c r="F996" i="14"/>
  <c r="E1069" i="14"/>
  <c r="E1111" i="14"/>
  <c r="E1135" i="14"/>
  <c r="F1134" i="14"/>
  <c r="E1134" i="14" s="1"/>
  <c r="F1137" i="14"/>
  <c r="E1137" i="14" s="1"/>
  <c r="E1140" i="14"/>
  <c r="E1143" i="14"/>
  <c r="F1141" i="14"/>
  <c r="E1141" i="14" s="1"/>
  <c r="E1150" i="14"/>
  <c r="F1148" i="14"/>
  <c r="E1148" i="14" s="1"/>
  <c r="E1154" i="14"/>
  <c r="F1153" i="14"/>
  <c r="E1153" i="14" s="1"/>
  <c r="AE1110" i="14"/>
  <c r="F1118" i="14"/>
  <c r="E1118" i="14" s="1"/>
  <c r="F1119" i="14"/>
  <c r="E1119" i="14" s="1"/>
  <c r="F1122" i="14"/>
  <c r="E1122" i="14" s="1"/>
  <c r="F1125" i="14"/>
  <c r="E1125" i="14" s="1"/>
  <c r="AE1134" i="14"/>
  <c r="F1144" i="14"/>
  <c r="E1144" i="14" s="1"/>
  <c r="F1151" i="14"/>
  <c r="E1151" i="14" s="1"/>
  <c r="F1155" i="14"/>
  <c r="E1155" i="14" s="1"/>
  <c r="E1176" i="14"/>
  <c r="F1175" i="14"/>
  <c r="E1175" i="14" s="1"/>
  <c r="AE1184" i="14"/>
  <c r="E1199" i="14"/>
  <c r="F1198" i="14"/>
  <c r="E1198" i="14" s="1"/>
  <c r="E1208" i="14"/>
  <c r="F1207" i="14"/>
  <c r="E1207" i="14" s="1"/>
  <c r="E1212" i="14"/>
  <c r="F1211" i="14"/>
  <c r="E1211" i="14" s="1"/>
  <c r="F1229" i="14"/>
  <c r="E1229" i="14" s="1"/>
  <c r="E1231" i="14"/>
  <c r="F1080" i="14"/>
  <c r="E1080" i="14" s="1"/>
  <c r="F1083" i="14"/>
  <c r="E1083" i="14" s="1"/>
  <c r="F1085" i="14"/>
  <c r="E1085" i="14" s="1"/>
  <c r="E1163" i="14"/>
  <c r="F1162" i="14"/>
  <c r="E1162" i="14" s="1"/>
  <c r="F1167" i="14"/>
  <c r="AE1166" i="14"/>
  <c r="E1169" i="14"/>
  <c r="F1168" i="14"/>
  <c r="E1168" i="14" s="1"/>
  <c r="E1179" i="14"/>
  <c r="F1178" i="14"/>
  <c r="E1178" i="14" s="1"/>
  <c r="E1202" i="14"/>
  <c r="F1201" i="14"/>
  <c r="E1201" i="14" s="1"/>
  <c r="E1218" i="14"/>
  <c r="F1217" i="14"/>
  <c r="E1217" i="14" s="1"/>
  <c r="AE1170" i="14"/>
  <c r="P1172" i="14"/>
  <c r="P1004" i="14" s="1"/>
  <c r="F1174" i="14"/>
  <c r="E1174" i="14" s="1"/>
  <c r="AE1175" i="14"/>
  <c r="AE1178" i="14"/>
  <c r="F1180" i="14"/>
  <c r="E1180" i="14" s="1"/>
  <c r="F1182" i="14"/>
  <c r="E1182" i="14" s="1"/>
  <c r="F1187" i="14"/>
  <c r="F1188" i="14"/>
  <c r="E1188" i="14" s="1"/>
  <c r="F1189" i="14"/>
  <c r="E1189" i="14" s="1"/>
  <c r="F1190" i="14"/>
  <c r="E1190" i="14" s="1"/>
  <c r="F1191" i="14"/>
  <c r="E1191" i="14" s="1"/>
  <c r="F1194" i="14"/>
  <c r="E1194" i="14" s="1"/>
  <c r="AE1198" i="14"/>
  <c r="AE1201" i="14"/>
  <c r="F1203" i="14"/>
  <c r="E1203" i="14" s="1"/>
  <c r="AE1207" i="14"/>
  <c r="F1209" i="14"/>
  <c r="E1209" i="14" s="1"/>
  <c r="AE1211" i="14"/>
  <c r="F1213" i="14"/>
  <c r="E1213" i="14" s="1"/>
  <c r="F1216" i="14"/>
  <c r="F1219" i="14"/>
  <c r="E1219" i="14" s="1"/>
  <c r="F1224" i="14"/>
  <c r="F1236" i="14"/>
  <c r="AE1235" i="14"/>
  <c r="F1274" i="14"/>
  <c r="E1274" i="14" s="1"/>
  <c r="E1276" i="14"/>
  <c r="E1296" i="14"/>
  <c r="F1295" i="14"/>
  <c r="E1295" i="14" s="1"/>
  <c r="F1234" i="14"/>
  <c r="AE1233" i="14"/>
  <c r="E1240" i="14"/>
  <c r="F1239" i="14"/>
  <c r="E1239" i="14" s="1"/>
  <c r="E1243" i="14"/>
  <c r="F1242" i="14"/>
  <c r="E1242" i="14" s="1"/>
  <c r="E1260" i="14"/>
  <c r="F1259" i="14"/>
  <c r="E1259" i="14" s="1"/>
  <c r="E1285" i="14"/>
  <c r="F1282" i="14"/>
  <c r="E1282" i="14" s="1"/>
  <c r="E1294" i="14"/>
  <c r="F1291" i="14"/>
  <c r="E1298" i="14"/>
  <c r="F1297" i="14"/>
  <c r="E1297" i="14" s="1"/>
  <c r="F1237" i="14"/>
  <c r="E1237" i="14" s="1"/>
  <c r="AE1239" i="14"/>
  <c r="F1246" i="14"/>
  <c r="E1246" i="14" s="1"/>
  <c r="F1254" i="14"/>
  <c r="E1254" i="14" s="1"/>
  <c r="F1257" i="14"/>
  <c r="E1257" i="14" s="1"/>
  <c r="AE1259" i="14"/>
  <c r="F1261" i="14"/>
  <c r="E1261" i="14" s="1"/>
  <c r="F1264" i="14"/>
  <c r="E1264" i="14" s="1"/>
  <c r="F1269" i="14"/>
  <c r="F1271" i="14"/>
  <c r="F1273" i="14"/>
  <c r="AE1291" i="14"/>
  <c r="AE1295" i="14"/>
  <c r="AE1297" i="14"/>
  <c r="D486" i="12"/>
  <c r="B486" i="12"/>
  <c r="D485" i="12"/>
  <c r="B485" i="12"/>
  <c r="AA484" i="12"/>
  <c r="Z484" i="12"/>
  <c r="Y484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J484" i="12"/>
  <c r="I484" i="12"/>
  <c r="H484" i="12"/>
  <c r="G484" i="12"/>
  <c r="F484" i="12"/>
  <c r="E484" i="12"/>
  <c r="D483" i="12"/>
  <c r="B483" i="12"/>
  <c r="D482" i="12"/>
  <c r="B482" i="12"/>
  <c r="AA481" i="12"/>
  <c r="Z481" i="12"/>
  <c r="Y481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J481" i="12"/>
  <c r="I481" i="12"/>
  <c r="H481" i="12"/>
  <c r="G481" i="12"/>
  <c r="F481" i="12"/>
  <c r="E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AA474" i="12"/>
  <c r="Z474" i="12"/>
  <c r="Y474" i="12"/>
  <c r="X474" i="12"/>
  <c r="W474" i="12"/>
  <c r="V474" i="12"/>
  <c r="U474" i="12"/>
  <c r="T474" i="12"/>
  <c r="S474" i="12"/>
  <c r="R474" i="12"/>
  <c r="Q474" i="12"/>
  <c r="P474" i="12"/>
  <c r="O474" i="12"/>
  <c r="N474" i="12"/>
  <c r="M474" i="12"/>
  <c r="L474" i="12"/>
  <c r="K474" i="12"/>
  <c r="J474" i="12"/>
  <c r="I474" i="12"/>
  <c r="H474" i="12"/>
  <c r="G474" i="12"/>
  <c r="F474" i="12"/>
  <c r="E474" i="12"/>
  <c r="D473" i="12"/>
  <c r="B473" i="12"/>
  <c r="D472" i="12"/>
  <c r="B472" i="12"/>
  <c r="D471" i="12"/>
  <c r="B471" i="12"/>
  <c r="D470" i="12"/>
  <c r="B470" i="12"/>
  <c r="AA469" i="12"/>
  <c r="Z469" i="12"/>
  <c r="Y469" i="12"/>
  <c r="X469" i="12"/>
  <c r="W469" i="12"/>
  <c r="V469" i="12"/>
  <c r="U469" i="12"/>
  <c r="T469" i="12"/>
  <c r="S469" i="12"/>
  <c r="R469" i="12"/>
  <c r="Q469" i="12"/>
  <c r="P469" i="12"/>
  <c r="O469" i="12"/>
  <c r="N469" i="12"/>
  <c r="M469" i="12"/>
  <c r="L469" i="12"/>
  <c r="K469" i="12"/>
  <c r="J469" i="12"/>
  <c r="I469" i="12"/>
  <c r="H469" i="12"/>
  <c r="G469" i="12"/>
  <c r="F469" i="12"/>
  <c r="E469" i="12"/>
  <c r="D468" i="12"/>
  <c r="B468" i="12"/>
  <c r="D467" i="12"/>
  <c r="B467" i="12"/>
  <c r="D466" i="12"/>
  <c r="B466" i="12"/>
  <c r="AA465" i="12"/>
  <c r="AA457" i="12" s="1"/>
  <c r="Z465" i="12"/>
  <c r="Z457" i="12" s="1"/>
  <c r="Y465" i="12"/>
  <c r="Y457" i="12" s="1"/>
  <c r="X465" i="12"/>
  <c r="X457" i="12" s="1"/>
  <c r="W465" i="12"/>
  <c r="W457" i="12" s="1"/>
  <c r="V465" i="12"/>
  <c r="V457" i="12" s="1"/>
  <c r="U465" i="12"/>
  <c r="U457" i="12" s="1"/>
  <c r="T465" i="12"/>
  <c r="T457" i="12" s="1"/>
  <c r="S465" i="12"/>
  <c r="S457" i="12" s="1"/>
  <c r="R465" i="12"/>
  <c r="R457" i="12" s="1"/>
  <c r="Q465" i="12"/>
  <c r="Q457" i="12" s="1"/>
  <c r="P465" i="12"/>
  <c r="P457" i="12" s="1"/>
  <c r="O465" i="12"/>
  <c r="O457" i="12" s="1"/>
  <c r="N465" i="12"/>
  <c r="N457" i="12" s="1"/>
  <c r="M465" i="12"/>
  <c r="M457" i="12" s="1"/>
  <c r="L465" i="12"/>
  <c r="L457" i="12" s="1"/>
  <c r="K465" i="12"/>
  <c r="K457" i="12" s="1"/>
  <c r="J465" i="12"/>
  <c r="J457" i="12" s="1"/>
  <c r="I465" i="12"/>
  <c r="I457" i="12" s="1"/>
  <c r="H465" i="12"/>
  <c r="H457" i="12" s="1"/>
  <c r="G465" i="12"/>
  <c r="G457" i="12" s="1"/>
  <c r="F465" i="12"/>
  <c r="F457" i="12" s="1"/>
  <c r="E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E457" i="12"/>
  <c r="D456" i="12"/>
  <c r="B456" i="12"/>
  <c r="D455" i="12"/>
  <c r="B455" i="12"/>
  <c r="D454" i="12"/>
  <c r="B454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E453" i="12"/>
  <c r="D452" i="12"/>
  <c r="D451" i="12" s="1"/>
  <c r="B452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1" i="12"/>
  <c r="D450" i="12"/>
  <c r="D449" i="12" s="1"/>
  <c r="B450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E449" i="12"/>
  <c r="D448" i="12"/>
  <c r="B448" i="12"/>
  <c r="D447" i="12"/>
  <c r="B447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D445" i="12"/>
  <c r="B445" i="12"/>
  <c r="D444" i="12"/>
  <c r="B444" i="12"/>
  <c r="D443" i="12"/>
  <c r="B443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E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D419" i="12"/>
  <c r="B419" i="12"/>
  <c r="D418" i="12"/>
  <c r="B418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6" i="12"/>
  <c r="D415" i="12" s="1"/>
  <c r="B416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4" i="12"/>
  <c r="D413" i="12" s="1"/>
  <c r="B414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B389" i="12"/>
  <c r="B388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B342" i="12"/>
  <c r="D341" i="12"/>
  <c r="B341" i="12"/>
  <c r="D340" i="12"/>
  <c r="B340" i="12"/>
  <c r="D339" i="12"/>
  <c r="B339" i="12"/>
  <c r="D338" i="12"/>
  <c r="B338" i="12"/>
  <c r="I337" i="12"/>
  <c r="B337" i="12"/>
  <c r="D336" i="12"/>
  <c r="B336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H335" i="12"/>
  <c r="G335" i="12"/>
  <c r="F335" i="12"/>
  <c r="E335" i="12"/>
  <c r="D334" i="12"/>
  <c r="D333" i="12" s="1"/>
  <c r="B334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2" i="12"/>
  <c r="D331" i="12" s="1"/>
  <c r="B332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0" i="12"/>
  <c r="B330" i="12"/>
  <c r="D329" i="12"/>
  <c r="B329" i="12"/>
  <c r="D328" i="12"/>
  <c r="B328" i="12"/>
  <c r="D327" i="12"/>
  <c r="B327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5" i="12"/>
  <c r="B325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O240" i="12"/>
  <c r="D240" i="12" s="1"/>
  <c r="B240" i="12"/>
  <c r="M239" i="12"/>
  <c r="D239" i="12" s="1"/>
  <c r="B239" i="12"/>
  <c r="D238" i="12"/>
  <c r="B238" i="12"/>
  <c r="M237" i="12"/>
  <c r="D237" i="12" s="1"/>
  <c r="B237" i="12"/>
  <c r="D236" i="12"/>
  <c r="B236" i="12"/>
  <c r="D235" i="12"/>
  <c r="B235" i="12"/>
  <c r="M234" i="12"/>
  <c r="D234" i="12" s="1"/>
  <c r="B234" i="12"/>
  <c r="D233" i="12"/>
  <c r="B233" i="12"/>
  <c r="L232" i="12"/>
  <c r="B232" i="12"/>
  <c r="D231" i="12"/>
  <c r="B231" i="12"/>
  <c r="M230" i="12"/>
  <c r="B230" i="12"/>
  <c r="D229" i="12"/>
  <c r="B229" i="12"/>
  <c r="L228" i="12"/>
  <c r="D228" i="12" s="1"/>
  <c r="B228" i="12"/>
  <c r="D227" i="12"/>
  <c r="B227" i="12"/>
  <c r="D226" i="12"/>
  <c r="B226" i="12"/>
  <c r="D225" i="12"/>
  <c r="B225" i="12"/>
  <c r="L224" i="12"/>
  <c r="D224" i="12" s="1"/>
  <c r="B224" i="12"/>
  <c r="D223" i="12"/>
  <c r="B223" i="12"/>
  <c r="D222" i="12"/>
  <c r="B222" i="12"/>
  <c r="M221" i="12"/>
  <c r="D221" i="12" s="1"/>
  <c r="B221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N220" i="12"/>
  <c r="K220" i="12"/>
  <c r="J220" i="12"/>
  <c r="I220" i="12"/>
  <c r="H220" i="12"/>
  <c r="G220" i="12"/>
  <c r="F220" i="12"/>
  <c r="E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B208" i="12"/>
  <c r="B207" i="12"/>
  <c r="B206" i="12"/>
  <c r="B205" i="12"/>
  <c r="B204" i="12"/>
  <c r="D203" i="12"/>
  <c r="B203" i="12"/>
  <c r="D202" i="12"/>
  <c r="B202" i="12"/>
  <c r="D201" i="12"/>
  <c r="B201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O71" i="12"/>
  <c r="D71" i="12" s="1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N43" i="12"/>
  <c r="N12" i="12" s="1"/>
  <c r="M43" i="12"/>
  <c r="G43" i="12"/>
  <c r="B43" i="12"/>
  <c r="D42" i="12"/>
  <c r="B42" i="12"/>
  <c r="D41" i="12"/>
  <c r="B41" i="12"/>
  <c r="D40" i="12"/>
  <c r="B40" i="12"/>
  <c r="D39" i="12"/>
  <c r="B39" i="12"/>
  <c r="D38" i="12"/>
  <c r="B38" i="12"/>
  <c r="D37" i="12"/>
  <c r="B37" i="12"/>
  <c r="E36" i="12"/>
  <c r="D36" i="12" s="1"/>
  <c r="B36" i="12"/>
  <c r="D35" i="12"/>
  <c r="B35" i="12"/>
  <c r="D34" i="12"/>
  <c r="B34" i="12"/>
  <c r="D33" i="12"/>
  <c r="B33" i="12"/>
  <c r="D32" i="12"/>
  <c r="B32" i="12"/>
  <c r="D31" i="12"/>
  <c r="B31" i="12"/>
  <c r="L30" i="12"/>
  <c r="D30" i="12" s="1"/>
  <c r="B30" i="12"/>
  <c r="G29" i="12"/>
  <c r="D29" i="12" s="1"/>
  <c r="B29" i="12"/>
  <c r="L28" i="12"/>
  <c r="D28" i="12" s="1"/>
  <c r="B28" i="12"/>
  <c r="D27" i="12"/>
  <c r="B27" i="12"/>
  <c r="D26" i="12"/>
  <c r="B26" i="12"/>
  <c r="D25" i="12"/>
  <c r="B25" i="12"/>
  <c r="L24" i="12"/>
  <c r="B24" i="12"/>
  <c r="D23" i="12"/>
  <c r="B23" i="12"/>
  <c r="G22" i="12"/>
  <c r="D22" i="12" s="1"/>
  <c r="B22" i="12"/>
  <c r="O21" i="12"/>
  <c r="D21" i="12" s="1"/>
  <c r="B21" i="12"/>
  <c r="D20" i="12"/>
  <c r="B20" i="12"/>
  <c r="D19" i="12"/>
  <c r="B19" i="12"/>
  <c r="M18" i="12"/>
  <c r="B18" i="12"/>
  <c r="I17" i="12"/>
  <c r="B17" i="12"/>
  <c r="D16" i="12"/>
  <c r="B16" i="12"/>
  <c r="O15" i="12"/>
  <c r="D15" i="12" s="1"/>
  <c r="B15" i="12"/>
  <c r="O14" i="12"/>
  <c r="B14" i="12"/>
  <c r="D13" i="12"/>
  <c r="B13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K12" i="12"/>
  <c r="J12" i="12"/>
  <c r="H12" i="12"/>
  <c r="F12" i="12"/>
  <c r="P241" i="13"/>
  <c r="Q240" i="13"/>
  <c r="L240" i="13"/>
  <c r="K240" i="13"/>
  <c r="J240" i="13"/>
  <c r="I240" i="13"/>
  <c r="P240" i="13" s="1"/>
  <c r="P239" i="13"/>
  <c r="Q238" i="13"/>
  <c r="L238" i="13"/>
  <c r="K238" i="13"/>
  <c r="J238" i="13"/>
  <c r="I238" i="13"/>
  <c r="P238" i="13" s="1"/>
  <c r="P237" i="13"/>
  <c r="Q236" i="13"/>
  <c r="L236" i="13"/>
  <c r="K236" i="13"/>
  <c r="J236" i="13"/>
  <c r="I236" i="13"/>
  <c r="P236" i="13" s="1"/>
  <c r="P235" i="13"/>
  <c r="Q234" i="13"/>
  <c r="L234" i="13"/>
  <c r="K234" i="13"/>
  <c r="J234" i="13"/>
  <c r="I234" i="13"/>
  <c r="P234" i="13" s="1"/>
  <c r="P233" i="13"/>
  <c r="P232" i="13"/>
  <c r="Q231" i="13"/>
  <c r="L231" i="13"/>
  <c r="K231" i="13"/>
  <c r="J231" i="13"/>
  <c r="I231" i="13"/>
  <c r="P231" i="13" s="1"/>
  <c r="P230" i="13"/>
  <c r="K230" i="13"/>
  <c r="K229" i="13" s="1"/>
  <c r="Q229" i="13"/>
  <c r="L229" i="13"/>
  <c r="J229" i="13"/>
  <c r="I229" i="13"/>
  <c r="P229" i="13" s="1"/>
  <c r="P228" i="13"/>
  <c r="Q227" i="13"/>
  <c r="L227" i="13"/>
  <c r="K227" i="13"/>
  <c r="J227" i="13"/>
  <c r="I227" i="13"/>
  <c r="P227" i="13" s="1"/>
  <c r="P226" i="13"/>
  <c r="Q225" i="13"/>
  <c r="L225" i="13"/>
  <c r="K225" i="13"/>
  <c r="J225" i="13"/>
  <c r="I225" i="13"/>
  <c r="P225" i="13" s="1"/>
  <c r="P224" i="13"/>
  <c r="Q223" i="13"/>
  <c r="L223" i="13"/>
  <c r="K223" i="13"/>
  <c r="J223" i="13"/>
  <c r="I223" i="13"/>
  <c r="P223" i="13" s="1"/>
  <c r="P222" i="13"/>
  <c r="Q221" i="13"/>
  <c r="L221" i="13"/>
  <c r="K221" i="13"/>
  <c r="J221" i="13"/>
  <c r="I221" i="13"/>
  <c r="P221" i="13" s="1"/>
  <c r="P220" i="13"/>
  <c r="Q219" i="13"/>
  <c r="L219" i="13"/>
  <c r="K219" i="13"/>
  <c r="J219" i="13"/>
  <c r="I219" i="13"/>
  <c r="P219" i="13" s="1"/>
  <c r="P218" i="13"/>
  <c r="P217" i="13"/>
  <c r="P216" i="13"/>
  <c r="P215" i="13"/>
  <c r="Q214" i="13"/>
  <c r="L214" i="13"/>
  <c r="K214" i="13"/>
  <c r="J214" i="13"/>
  <c r="I214" i="13"/>
  <c r="P214" i="13" s="1"/>
  <c r="P213" i="13"/>
  <c r="Q212" i="13"/>
  <c r="L212" i="13"/>
  <c r="K212" i="13"/>
  <c r="J212" i="13"/>
  <c r="I212" i="13"/>
  <c r="P212" i="13" s="1"/>
  <c r="P211" i="13"/>
  <c r="Q210" i="13"/>
  <c r="L210" i="13"/>
  <c r="K210" i="13"/>
  <c r="J210" i="13"/>
  <c r="I210" i="13"/>
  <c r="P210" i="13" s="1"/>
  <c r="P209" i="13"/>
  <c r="Q208" i="13"/>
  <c r="L208" i="13"/>
  <c r="K208" i="13"/>
  <c r="J208" i="13"/>
  <c r="I208" i="13"/>
  <c r="P208" i="13" s="1"/>
  <c r="P207" i="13"/>
  <c r="P206" i="13"/>
  <c r="P205" i="13"/>
  <c r="Q204" i="13"/>
  <c r="L204" i="13"/>
  <c r="K204" i="13"/>
  <c r="J204" i="13"/>
  <c r="I204" i="13"/>
  <c r="P204" i="13" s="1"/>
  <c r="P203" i="13"/>
  <c r="P202" i="13"/>
  <c r="Q201" i="13"/>
  <c r="L201" i="13"/>
  <c r="K201" i="13"/>
  <c r="J201" i="13"/>
  <c r="I201" i="13"/>
  <c r="P201" i="13" s="1"/>
  <c r="P200" i="13"/>
  <c r="P199" i="13"/>
  <c r="Q198" i="13"/>
  <c r="L198" i="13"/>
  <c r="K198" i="13"/>
  <c r="J198" i="13"/>
  <c r="I198" i="13"/>
  <c r="P198" i="13" s="1"/>
  <c r="P197" i="13"/>
  <c r="Q196" i="13"/>
  <c r="L196" i="13"/>
  <c r="K196" i="13"/>
  <c r="J196" i="13"/>
  <c r="I196" i="13"/>
  <c r="P196" i="13" s="1"/>
  <c r="P195" i="13"/>
  <c r="K195" i="13"/>
  <c r="K190" i="13" s="1"/>
  <c r="P194" i="13"/>
  <c r="P193" i="13"/>
  <c r="P192" i="13"/>
  <c r="P191" i="13"/>
  <c r="Q190" i="13"/>
  <c r="L190" i="13"/>
  <c r="J190" i="13"/>
  <c r="I190" i="13"/>
  <c r="P190" i="13" s="1"/>
  <c r="P189" i="13"/>
  <c r="Q188" i="13"/>
  <c r="L188" i="13"/>
  <c r="K188" i="13"/>
  <c r="J188" i="13"/>
  <c r="I188" i="13"/>
  <c r="P188" i="13" s="1"/>
  <c r="P187" i="13"/>
  <c r="P186" i="13"/>
  <c r="Q185" i="13"/>
  <c r="L185" i="13"/>
  <c r="K185" i="13"/>
  <c r="J185" i="13"/>
  <c r="I185" i="13"/>
  <c r="P185" i="13" s="1"/>
  <c r="P184" i="13"/>
  <c r="P183" i="13"/>
  <c r="Q182" i="13"/>
  <c r="L182" i="13"/>
  <c r="K182" i="13"/>
  <c r="J182" i="13"/>
  <c r="I182" i="13"/>
  <c r="P182" i="13" s="1"/>
  <c r="P181" i="13"/>
  <c r="P180" i="13"/>
  <c r="P179" i="13"/>
  <c r="P178" i="13"/>
  <c r="P177" i="13"/>
  <c r="P176" i="13"/>
  <c r="Q175" i="13"/>
  <c r="L175" i="13"/>
  <c r="K175" i="13"/>
  <c r="J175" i="13"/>
  <c r="I175" i="13"/>
  <c r="P175" i="13" s="1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B160" i="13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6" i="13" s="1"/>
  <c r="B177" i="13" s="1"/>
  <c r="B178" i="13" s="1"/>
  <c r="B179" i="13" s="1"/>
  <c r="B180" i="13" s="1"/>
  <c r="B181" i="13" s="1"/>
  <c r="B183" i="13" s="1"/>
  <c r="B184" i="13" s="1"/>
  <c r="B186" i="13" s="1"/>
  <c r="B187" i="13" s="1"/>
  <c r="B189" i="13" s="1"/>
  <c r="B191" i="13" s="1"/>
  <c r="B192" i="13" s="1"/>
  <c r="B193" i="13" s="1"/>
  <c r="B194" i="13" s="1"/>
  <c r="B195" i="13" s="1"/>
  <c r="B197" i="13" s="1"/>
  <c r="B199" i="13" s="1"/>
  <c r="B200" i="13" s="1"/>
  <c r="B202" i="13" s="1"/>
  <c r="B203" i="13" s="1"/>
  <c r="B205" i="13" s="1"/>
  <c r="B206" i="13" s="1"/>
  <c r="B207" i="13" s="1"/>
  <c r="B209" i="13" s="1"/>
  <c r="B211" i="13" s="1"/>
  <c r="B213" i="13" s="1"/>
  <c r="B215" i="13" s="1"/>
  <c r="B216" i="13" s="1"/>
  <c r="B217" i="13" s="1"/>
  <c r="B218" i="13" s="1"/>
  <c r="B220" i="13" s="1"/>
  <c r="B222" i="13" s="1"/>
  <c r="B224" i="13" s="1"/>
  <c r="B226" i="13" s="1"/>
  <c r="B228" i="13" s="1"/>
  <c r="B230" i="13" s="1"/>
  <c r="B232" i="13" s="1"/>
  <c r="B233" i="13" s="1"/>
  <c r="B235" i="13" s="1"/>
  <c r="B237" i="13" s="1"/>
  <c r="B239" i="13" s="1"/>
  <c r="B241" i="13" s="1"/>
  <c r="Q159" i="13"/>
  <c r="L159" i="13"/>
  <c r="K159" i="13"/>
  <c r="J159" i="13"/>
  <c r="I159" i="13"/>
  <c r="P159" i="13" s="1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Q132" i="13"/>
  <c r="L132" i="13"/>
  <c r="K132" i="13"/>
  <c r="J132" i="13"/>
  <c r="I132" i="13"/>
  <c r="P132" i="13" s="1"/>
  <c r="P131" i="13"/>
  <c r="P130" i="13"/>
  <c r="P129" i="13"/>
  <c r="P128" i="13"/>
  <c r="Q127" i="13"/>
  <c r="L127" i="13"/>
  <c r="K127" i="13"/>
  <c r="J127" i="13"/>
  <c r="I127" i="13"/>
  <c r="P127" i="13" s="1"/>
  <c r="P126" i="13"/>
  <c r="P125" i="13"/>
  <c r="P124" i="13"/>
  <c r="P123" i="13"/>
  <c r="P122" i="13"/>
  <c r="P121" i="13"/>
  <c r="P120" i="13"/>
  <c r="Q119" i="13"/>
  <c r="L119" i="13"/>
  <c r="K119" i="13"/>
  <c r="J119" i="13"/>
  <c r="I119" i="13"/>
  <c r="P119" i="13" s="1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Q102" i="13"/>
  <c r="L102" i="13"/>
  <c r="K102" i="13"/>
  <c r="J102" i="13"/>
  <c r="I102" i="13"/>
  <c r="P102" i="13" s="1"/>
  <c r="P101" i="13"/>
  <c r="P100" i="13"/>
  <c r="P99" i="13"/>
  <c r="Q98" i="13"/>
  <c r="L98" i="13"/>
  <c r="K98" i="13"/>
  <c r="J98" i="13"/>
  <c r="I98" i="13"/>
  <c r="P98" i="13" s="1"/>
  <c r="P97" i="13"/>
  <c r="K97" i="13"/>
  <c r="K96" i="13" s="1"/>
  <c r="Q96" i="13"/>
  <c r="L96" i="13"/>
  <c r="J96" i="13"/>
  <c r="I96" i="13"/>
  <c r="P96" i="13" s="1"/>
  <c r="P95" i="13"/>
  <c r="P94" i="13"/>
  <c r="P93" i="13"/>
  <c r="P92" i="13"/>
  <c r="P91" i="13"/>
  <c r="P90" i="13"/>
  <c r="Q89" i="13"/>
  <c r="L89" i="13"/>
  <c r="K89" i="13"/>
  <c r="J89" i="13"/>
  <c r="I89" i="13"/>
  <c r="P89" i="13" s="1"/>
  <c r="P86" i="13"/>
  <c r="K86" i="13"/>
  <c r="K85" i="13" s="1"/>
  <c r="B86" i="13"/>
  <c r="Q85" i="13"/>
  <c r="L85" i="13"/>
  <c r="J85" i="13"/>
  <c r="I85" i="13"/>
  <c r="P85" i="13" s="1"/>
  <c r="P84" i="13"/>
  <c r="K84" i="13"/>
  <c r="K83" i="13" s="1"/>
  <c r="B84" i="13"/>
  <c r="Q83" i="13"/>
  <c r="L83" i="13"/>
  <c r="J83" i="13"/>
  <c r="I83" i="13"/>
  <c r="P83" i="13" s="1"/>
  <c r="P82" i="13"/>
  <c r="K82" i="13"/>
  <c r="K81" i="13" s="1"/>
  <c r="B82" i="13"/>
  <c r="Q81" i="13"/>
  <c r="L81" i="13"/>
  <c r="J81" i="13"/>
  <c r="I81" i="13"/>
  <c r="P81" i="13" s="1"/>
  <c r="P80" i="13"/>
  <c r="K80" i="13"/>
  <c r="K79" i="13" s="1"/>
  <c r="B80" i="13"/>
  <c r="Q79" i="13"/>
  <c r="L79" i="13"/>
  <c r="J79" i="13"/>
  <c r="I79" i="13"/>
  <c r="P79" i="13" s="1"/>
  <c r="P78" i="13"/>
  <c r="K78" i="13"/>
  <c r="B78" i="13"/>
  <c r="P77" i="13"/>
  <c r="K77" i="13"/>
  <c r="B77" i="13"/>
  <c r="P76" i="13"/>
  <c r="K76" i="13"/>
  <c r="B76" i="13"/>
  <c r="Q75" i="13"/>
  <c r="L75" i="13"/>
  <c r="J75" i="13"/>
  <c r="I75" i="13"/>
  <c r="P75" i="13" s="1"/>
  <c r="P74" i="13"/>
  <c r="B74" i="13"/>
  <c r="Q73" i="13"/>
  <c r="L73" i="13"/>
  <c r="L72" i="13" s="1"/>
  <c r="L71" i="13" s="1"/>
  <c r="K73" i="13"/>
  <c r="J73" i="13"/>
  <c r="I73" i="13"/>
  <c r="P73" i="13" s="1"/>
  <c r="P72" i="13"/>
  <c r="K72" i="13"/>
  <c r="K71" i="13" s="1"/>
  <c r="B72" i="13"/>
  <c r="Q71" i="13"/>
  <c r="J71" i="13"/>
  <c r="I71" i="13"/>
  <c r="P71" i="13" s="1"/>
  <c r="P70" i="13"/>
  <c r="B70" i="13"/>
  <c r="P69" i="13"/>
  <c r="B69" i="13"/>
  <c r="P68" i="13"/>
  <c r="K68" i="13"/>
  <c r="K67" i="13" s="1"/>
  <c r="B68" i="13"/>
  <c r="Q67" i="13"/>
  <c r="L67" i="13"/>
  <c r="J67" i="13"/>
  <c r="I67" i="13"/>
  <c r="P67" i="13" s="1"/>
  <c r="P65" i="13"/>
  <c r="B65" i="13"/>
  <c r="Q64" i="13"/>
  <c r="L64" i="13"/>
  <c r="K64" i="13"/>
  <c r="J64" i="13"/>
  <c r="I64" i="13"/>
  <c r="P64" i="13" s="1"/>
  <c r="P63" i="13"/>
  <c r="K63" i="13"/>
  <c r="K62" i="13" s="1"/>
  <c r="B63" i="13"/>
  <c r="Q62" i="13"/>
  <c r="L62" i="13"/>
  <c r="J62" i="13"/>
  <c r="I62" i="13"/>
  <c r="P62" i="13" s="1"/>
  <c r="P61" i="13"/>
  <c r="K61" i="13"/>
  <c r="K60" i="13" s="1"/>
  <c r="B61" i="13"/>
  <c r="Q60" i="13"/>
  <c r="L60" i="13"/>
  <c r="J60" i="13"/>
  <c r="I60" i="13"/>
  <c r="P60" i="13" s="1"/>
  <c r="P59" i="13"/>
  <c r="B59" i="13"/>
  <c r="P58" i="13"/>
  <c r="K58" i="13"/>
  <c r="K56" i="13" s="1"/>
  <c r="B58" i="13"/>
  <c r="P57" i="13"/>
  <c r="B57" i="13"/>
  <c r="Q56" i="13"/>
  <c r="L56" i="13"/>
  <c r="J56" i="13"/>
  <c r="I56" i="13"/>
  <c r="P56" i="13" s="1"/>
  <c r="P55" i="13"/>
  <c r="K55" i="13"/>
  <c r="K54" i="13" s="1"/>
  <c r="B55" i="13"/>
  <c r="Q54" i="13"/>
  <c r="L54" i="13"/>
  <c r="J54" i="13"/>
  <c r="I54" i="13"/>
  <c r="P54" i="13" s="1"/>
  <c r="P53" i="13"/>
  <c r="K53" i="13"/>
  <c r="K52" i="13" s="1"/>
  <c r="B53" i="13"/>
  <c r="Q52" i="13"/>
  <c r="L52" i="13"/>
  <c r="J52" i="13"/>
  <c r="I52" i="13"/>
  <c r="P52" i="13" s="1"/>
  <c r="P51" i="13"/>
  <c r="K51" i="13"/>
  <c r="K50" i="13" s="1"/>
  <c r="B51" i="13"/>
  <c r="Q50" i="13"/>
  <c r="L50" i="13"/>
  <c r="J50" i="13"/>
  <c r="I50" i="13"/>
  <c r="P50" i="13" s="1"/>
  <c r="P49" i="13"/>
  <c r="K49" i="13"/>
  <c r="B49" i="13"/>
  <c r="P48" i="13"/>
  <c r="K48" i="13"/>
  <c r="B48" i="13"/>
  <c r="P47" i="13"/>
  <c r="K47" i="13"/>
  <c r="B47" i="13"/>
  <c r="Q46" i="13"/>
  <c r="L46" i="13"/>
  <c r="J46" i="13"/>
  <c r="I46" i="13"/>
  <c r="P46" i="13" s="1"/>
  <c r="P45" i="13"/>
  <c r="K45" i="13"/>
  <c r="B45" i="13"/>
  <c r="Q44" i="13"/>
  <c r="L44" i="13"/>
  <c r="K44" i="13"/>
  <c r="J44" i="13"/>
  <c r="I44" i="13"/>
  <c r="P44" i="13" s="1"/>
  <c r="P43" i="13"/>
  <c r="K43" i="13"/>
  <c r="K42" i="13" s="1"/>
  <c r="B43" i="13"/>
  <c r="Q42" i="13"/>
  <c r="L42" i="13"/>
  <c r="J42" i="13"/>
  <c r="I42" i="13"/>
  <c r="P42" i="13" s="1"/>
  <c r="P41" i="13"/>
  <c r="K41" i="13"/>
  <c r="B41" i="13"/>
  <c r="P40" i="13"/>
  <c r="K40" i="13"/>
  <c r="B40" i="13"/>
  <c r="P39" i="13"/>
  <c r="K39" i="13"/>
  <c r="B39" i="13"/>
  <c r="Q38" i="13"/>
  <c r="L38" i="13"/>
  <c r="J38" i="13"/>
  <c r="I38" i="13"/>
  <c r="P38" i="13" s="1"/>
  <c r="P37" i="13"/>
  <c r="B37" i="13"/>
  <c r="P36" i="13"/>
  <c r="K36" i="13"/>
  <c r="K35" i="13" s="1"/>
  <c r="B36" i="13"/>
  <c r="Q35" i="13"/>
  <c r="L35" i="13"/>
  <c r="J35" i="13"/>
  <c r="I35" i="13"/>
  <c r="P35" i="13" s="1"/>
  <c r="P34" i="13"/>
  <c r="K34" i="13"/>
  <c r="B34" i="13"/>
  <c r="P33" i="13"/>
  <c r="K33" i="13"/>
  <c r="B33" i="13"/>
  <c r="Q32" i="13"/>
  <c r="L32" i="13"/>
  <c r="J32" i="13"/>
  <c r="I32" i="13"/>
  <c r="P32" i="13" s="1"/>
  <c r="P31" i="13"/>
  <c r="K31" i="13"/>
  <c r="K30" i="13" s="1"/>
  <c r="B31" i="13"/>
  <c r="Q30" i="13"/>
  <c r="L30" i="13"/>
  <c r="J30" i="13"/>
  <c r="I30" i="13"/>
  <c r="P30" i="13" s="1"/>
  <c r="P29" i="13"/>
  <c r="K29" i="13"/>
  <c r="K28" i="13" s="1"/>
  <c r="B29" i="13"/>
  <c r="Q28" i="13"/>
  <c r="L28" i="13"/>
  <c r="J28" i="13"/>
  <c r="I28" i="13"/>
  <c r="P28" i="13" s="1"/>
  <c r="P27" i="13"/>
  <c r="K27" i="13"/>
  <c r="K26" i="13" s="1"/>
  <c r="B27" i="13"/>
  <c r="Q26" i="13"/>
  <c r="L26" i="13"/>
  <c r="J26" i="13"/>
  <c r="I26" i="13"/>
  <c r="P26" i="13" s="1"/>
  <c r="P25" i="13"/>
  <c r="B25" i="13"/>
  <c r="P24" i="13"/>
  <c r="B24" i="13"/>
  <c r="P23" i="13"/>
  <c r="B23" i="13"/>
  <c r="P22" i="13"/>
  <c r="K22" i="13"/>
  <c r="B22" i="13"/>
  <c r="P21" i="13"/>
  <c r="K21" i="13"/>
  <c r="B21" i="13"/>
  <c r="P20" i="13"/>
  <c r="K20" i="13"/>
  <c r="B20" i="13"/>
  <c r="P19" i="13"/>
  <c r="K19" i="13"/>
  <c r="B19" i="13"/>
  <c r="P18" i="13"/>
  <c r="K18" i="13"/>
  <c r="B18" i="13"/>
  <c r="Q17" i="13"/>
  <c r="L17" i="13"/>
  <c r="J17" i="13"/>
  <c r="I17" i="13"/>
  <c r="P17" i="13" s="1"/>
  <c r="P16" i="13"/>
  <c r="K16" i="13"/>
  <c r="K15" i="13" s="1"/>
  <c r="B16" i="13"/>
  <c r="Q15" i="13"/>
  <c r="L15" i="13"/>
  <c r="J15" i="13"/>
  <c r="I15" i="13"/>
  <c r="S550" i="15" l="1"/>
  <c r="U529" i="15"/>
  <c r="V529" i="15" s="1"/>
  <c r="V874" i="15"/>
  <c r="U550" i="15"/>
  <c r="V550" i="15" s="1"/>
  <c r="S13" i="15"/>
  <c r="I13" i="15"/>
  <c r="T13" i="15" s="1"/>
  <c r="T14" i="15"/>
  <c r="U14" i="15"/>
  <c r="U13" i="15" s="1"/>
  <c r="AE556" i="14"/>
  <c r="AE20" i="14"/>
  <c r="AE1290" i="14"/>
  <c r="E1271" i="14"/>
  <c r="F1270" i="14"/>
  <c r="E1270" i="14" s="1"/>
  <c r="E1291" i="14"/>
  <c r="F1290" i="14"/>
  <c r="E1290" i="14" s="1"/>
  <c r="E1224" i="14"/>
  <c r="F1223" i="14"/>
  <c r="E1223" i="14" s="1"/>
  <c r="E1216" i="14"/>
  <c r="F1215" i="14"/>
  <c r="E1215" i="14" s="1"/>
  <c r="F1172" i="14"/>
  <c r="E1172" i="14" s="1"/>
  <c r="AE1004" i="14"/>
  <c r="F1068" i="14"/>
  <c r="E989" i="14"/>
  <c r="F988" i="14"/>
  <c r="E988" i="14" s="1"/>
  <c r="E977" i="14"/>
  <c r="F976" i="14"/>
  <c r="E976" i="14" s="1"/>
  <c r="E928" i="14"/>
  <c r="F927" i="14"/>
  <c r="E927" i="14" s="1"/>
  <c r="F966" i="14"/>
  <c r="E966" i="14" s="1"/>
  <c r="E969" i="14"/>
  <c r="E870" i="14"/>
  <c r="F867" i="14"/>
  <c r="E867" i="14" s="1"/>
  <c r="E866" i="14"/>
  <c r="F864" i="14"/>
  <c r="E864" i="14" s="1"/>
  <c r="F817" i="14"/>
  <c r="E801" i="14"/>
  <c r="F800" i="14"/>
  <c r="E800" i="14" s="1"/>
  <c r="CD550" i="14"/>
  <c r="E550" i="14"/>
  <c r="CD535" i="14"/>
  <c r="E535" i="14"/>
  <c r="F530" i="14"/>
  <c r="CD522" i="14"/>
  <c r="E522" i="14"/>
  <c r="CD517" i="14"/>
  <c r="E517" i="14"/>
  <c r="CG503" i="14"/>
  <c r="CD503" i="14"/>
  <c r="E503" i="14"/>
  <c r="F718" i="14"/>
  <c r="E718" i="14" s="1"/>
  <c r="F479" i="14"/>
  <c r="E479" i="14" s="1"/>
  <c r="F647" i="14"/>
  <c r="CD467" i="14"/>
  <c r="E467" i="14"/>
  <c r="E386" i="14"/>
  <c r="F385" i="14"/>
  <c r="E385" i="14" s="1"/>
  <c r="CD380" i="14"/>
  <c r="E380" i="14"/>
  <c r="CD360" i="14"/>
  <c r="E360" i="14"/>
  <c r="F353" i="14"/>
  <c r="E298" i="14"/>
  <c r="F297" i="14"/>
  <c r="E297" i="14" s="1"/>
  <c r="CD294" i="14"/>
  <c r="E294" i="14"/>
  <c r="E129" i="14"/>
  <c r="F126" i="14"/>
  <c r="CD247" i="14"/>
  <c r="E247" i="14"/>
  <c r="CD203" i="14"/>
  <c r="E203" i="14"/>
  <c r="CD157" i="14"/>
  <c r="E157" i="14"/>
  <c r="E21" i="14"/>
  <c r="E1273" i="14"/>
  <c r="F1272" i="14"/>
  <c r="E1272" i="14" s="1"/>
  <c r="E1269" i="14"/>
  <c r="F1268" i="14"/>
  <c r="E1268" i="14" s="1"/>
  <c r="F1233" i="14"/>
  <c r="E1233" i="14" s="1"/>
  <c r="E1234" i="14"/>
  <c r="E1236" i="14"/>
  <c r="F1235" i="14"/>
  <c r="E1235" i="14" s="1"/>
  <c r="E1187" i="14"/>
  <c r="F1184" i="14"/>
  <c r="F1166" i="14"/>
  <c r="E1166" i="14" s="1"/>
  <c r="E1167" i="14"/>
  <c r="F1110" i="14"/>
  <c r="E1110" i="14" s="1"/>
  <c r="E996" i="14"/>
  <c r="F995" i="14"/>
  <c r="E995" i="14" s="1"/>
  <c r="F954" i="14"/>
  <c r="E949" i="14"/>
  <c r="F948" i="14"/>
  <c r="E948" i="14" s="1"/>
  <c r="E940" i="14"/>
  <c r="F939" i="14"/>
  <c r="E939" i="14" s="1"/>
  <c r="E906" i="14"/>
  <c r="F905" i="14"/>
  <c r="E905" i="14" s="1"/>
  <c r="F960" i="14"/>
  <c r="E960" i="14" s="1"/>
  <c r="F978" i="14"/>
  <c r="E978" i="14" s="1"/>
  <c r="F950" i="14"/>
  <c r="E950" i="14" s="1"/>
  <c r="F921" i="14"/>
  <c r="E921" i="14" s="1"/>
  <c r="F915" i="14"/>
  <c r="E915" i="14" s="1"/>
  <c r="E897" i="14"/>
  <c r="F895" i="14"/>
  <c r="E895" i="14" s="1"/>
  <c r="F889" i="14"/>
  <c r="E889" i="14" s="1"/>
  <c r="E890" i="14"/>
  <c r="E882" i="14"/>
  <c r="F880" i="14"/>
  <c r="E880" i="14" s="1"/>
  <c r="W556" i="14"/>
  <c r="W19" i="14" s="1"/>
  <c r="CD850" i="14"/>
  <c r="E850" i="14"/>
  <c r="E830" i="14"/>
  <c r="F828" i="14"/>
  <c r="E828" i="14" s="1"/>
  <c r="F745" i="14"/>
  <c r="F852" i="14"/>
  <c r="E852" i="14" s="1"/>
  <c r="CD845" i="14"/>
  <c r="E845" i="14"/>
  <c r="CD843" i="14"/>
  <c r="E843" i="14"/>
  <c r="CD841" i="14"/>
  <c r="E841" i="14"/>
  <c r="CD839" i="14"/>
  <c r="E839" i="14"/>
  <c r="F802" i="14"/>
  <c r="E802" i="14" s="1"/>
  <c r="CD553" i="14"/>
  <c r="E553" i="14"/>
  <c r="CD514" i="14"/>
  <c r="E514" i="14"/>
  <c r="CD509" i="14"/>
  <c r="E509" i="14"/>
  <c r="F678" i="14"/>
  <c r="E557" i="14"/>
  <c r="E477" i="14"/>
  <c r="F473" i="14"/>
  <c r="CD435" i="14"/>
  <c r="E435" i="14"/>
  <c r="E371" i="14"/>
  <c r="F365" i="14"/>
  <c r="CD356" i="14"/>
  <c r="E356" i="14"/>
  <c r="F327" i="14"/>
  <c r="P20" i="14"/>
  <c r="P19" i="14" s="1"/>
  <c r="F311" i="14"/>
  <c r="F303" i="14"/>
  <c r="E303" i="14" s="1"/>
  <c r="T20" i="14"/>
  <c r="T19" i="14" s="1"/>
  <c r="CD241" i="14"/>
  <c r="E241" i="14"/>
  <c r="CD344" i="14"/>
  <c r="E344" i="14"/>
  <c r="CD350" i="14"/>
  <c r="E350" i="14"/>
  <c r="N20" i="14"/>
  <c r="N19" i="14" s="1"/>
  <c r="D474" i="12"/>
  <c r="D484" i="12"/>
  <c r="D469" i="12"/>
  <c r="D481" i="12"/>
  <c r="D43" i="12"/>
  <c r="D442" i="12"/>
  <c r="M12" i="12"/>
  <c r="D18" i="12"/>
  <c r="D435" i="12"/>
  <c r="D428" i="12"/>
  <c r="D420" i="12"/>
  <c r="D446" i="12"/>
  <c r="D465" i="12"/>
  <c r="D457" i="12" s="1"/>
  <c r="D368" i="12"/>
  <c r="D417" i="12"/>
  <c r="D453" i="12"/>
  <c r="P11" i="12"/>
  <c r="T11" i="12"/>
  <c r="X11" i="12"/>
  <c r="O220" i="12"/>
  <c r="D200" i="12"/>
  <c r="Q11" i="12"/>
  <c r="U11" i="12"/>
  <c r="Y11" i="12"/>
  <c r="D326" i="12"/>
  <c r="E12" i="12"/>
  <c r="E11" i="12" s="1"/>
  <c r="L12" i="12"/>
  <c r="D337" i="12"/>
  <c r="D335" i="12" s="1"/>
  <c r="I335" i="12"/>
  <c r="H11" i="12"/>
  <c r="D232" i="12"/>
  <c r="L220" i="12"/>
  <c r="G12" i="12"/>
  <c r="G11" i="12" s="1"/>
  <c r="D24" i="12"/>
  <c r="D184" i="12"/>
  <c r="D17" i="12"/>
  <c r="I12" i="12"/>
  <c r="I11" i="12" s="1"/>
  <c r="D14" i="12"/>
  <c r="O12" i="12"/>
  <c r="F11" i="12"/>
  <c r="J11" i="12"/>
  <c r="N11" i="12"/>
  <c r="R11" i="12"/>
  <c r="V11" i="12"/>
  <c r="Z11" i="12"/>
  <c r="K11" i="12"/>
  <c r="S11" i="12"/>
  <c r="W11" i="12"/>
  <c r="AA11" i="12"/>
  <c r="D230" i="12"/>
  <c r="M220" i="12"/>
  <c r="K38" i="13"/>
  <c r="K75" i="13"/>
  <c r="K66" i="13" s="1"/>
  <c r="I14" i="13"/>
  <c r="I66" i="13"/>
  <c r="P66" i="13" s="1"/>
  <c r="L66" i="13"/>
  <c r="K88" i="13"/>
  <c r="K17" i="13"/>
  <c r="K32" i="13"/>
  <c r="I88" i="13"/>
  <c r="P88" i="13" s="1"/>
  <c r="Q66" i="13"/>
  <c r="L88" i="13"/>
  <c r="J14" i="13"/>
  <c r="K46" i="13"/>
  <c r="Q88" i="13"/>
  <c r="L14" i="13"/>
  <c r="J88" i="13"/>
  <c r="Q14" i="13"/>
  <c r="J66" i="13"/>
  <c r="P14" i="13"/>
  <c r="P15" i="13"/>
  <c r="CD678" i="14" l="1"/>
  <c r="E678" i="14"/>
  <c r="CD311" i="14"/>
  <c r="E311" i="14"/>
  <c r="CD327" i="14"/>
  <c r="E327" i="14"/>
  <c r="CD745" i="14"/>
  <c r="E745" i="14"/>
  <c r="CD647" i="14"/>
  <c r="E647" i="14"/>
  <c r="CD530" i="14"/>
  <c r="E530" i="14"/>
  <c r="CD1068" i="14"/>
  <c r="E1068" i="14"/>
  <c r="F1004" i="14"/>
  <c r="E1004" i="14" s="1"/>
  <c r="AE19" i="14"/>
  <c r="CD365" i="14"/>
  <c r="AY365" i="14"/>
  <c r="E365" i="14"/>
  <c r="CD473" i="14"/>
  <c r="E473" i="14"/>
  <c r="F556" i="14"/>
  <c r="E556" i="14" s="1"/>
  <c r="CD954" i="14"/>
  <c r="E954" i="14"/>
  <c r="CD1184" i="14"/>
  <c r="E1184" i="14"/>
  <c r="F20" i="14"/>
  <c r="CD126" i="14"/>
  <c r="E126" i="14"/>
  <c r="CD353" i="14"/>
  <c r="E353" i="14"/>
  <c r="CF1252" i="14"/>
  <c r="CF1164" i="14"/>
  <c r="CF1161" i="14"/>
  <c r="CF1067" i="14"/>
  <c r="CF1065" i="14"/>
  <c r="CF1063" i="14"/>
  <c r="CF1062" i="14"/>
  <c r="CF1061" i="14"/>
  <c r="CF1060" i="14"/>
  <c r="CF1059" i="14"/>
  <c r="CF1056" i="14"/>
  <c r="CF1140" i="14"/>
  <c r="CF1139" i="14"/>
  <c r="CF1088" i="14"/>
  <c r="CF1066" i="14"/>
  <c r="CF1064" i="14"/>
  <c r="CF1058" i="14"/>
  <c r="CF1057" i="14"/>
  <c r="CF1055" i="14"/>
  <c r="CF1001" i="14"/>
  <c r="CF995" i="14"/>
  <c r="CF992" i="14"/>
  <c r="CF990" i="14"/>
  <c r="CF988" i="14"/>
  <c r="CF985" i="14"/>
  <c r="CF983" i="14"/>
  <c r="CF981" i="14"/>
  <c r="CF980" i="14"/>
  <c r="CF978" i="14"/>
  <c r="CF976" i="14"/>
  <c r="CF973" i="14"/>
  <c r="CF971" i="14"/>
  <c r="CF969" i="14"/>
  <c r="CF965" i="14"/>
  <c r="CF962" i="14"/>
  <c r="CF961" i="14"/>
  <c r="CF960" i="14"/>
  <c r="CF956" i="14"/>
  <c r="CF951" i="14"/>
  <c r="CF950" i="14"/>
  <c r="CF948" i="14"/>
  <c r="CF945" i="14"/>
  <c r="CF942" i="14"/>
  <c r="CF940" i="14"/>
  <c r="CF939" i="14"/>
  <c r="CF932" i="14"/>
  <c r="CF929" i="14"/>
  <c r="CF927" i="14"/>
  <c r="CF924" i="14"/>
  <c r="CF923" i="14"/>
  <c r="CF922" i="14"/>
  <c r="CF921" i="14"/>
  <c r="CF916" i="14"/>
  <c r="CF915" i="14"/>
  <c r="CF911" i="14"/>
  <c r="CF910" i="14"/>
  <c r="CF907" i="14"/>
  <c r="CF905" i="14"/>
  <c r="CF1003" i="14"/>
  <c r="CF1002" i="14"/>
  <c r="CF1000" i="14"/>
  <c r="CF996" i="14"/>
  <c r="CF994" i="14"/>
  <c r="CF993" i="14"/>
  <c r="CF991" i="14"/>
  <c r="CF989" i="14"/>
  <c r="CF987" i="14"/>
  <c r="CF986" i="14"/>
  <c r="CF984" i="14"/>
  <c r="CF982" i="14"/>
  <c r="CF979" i="14"/>
  <c r="CF977" i="14"/>
  <c r="CF975" i="14"/>
  <c r="CF974" i="14"/>
  <c r="CF972" i="14"/>
  <c r="CF970" i="14"/>
  <c r="CF968" i="14"/>
  <c r="CF967" i="14"/>
  <c r="CF966" i="14"/>
  <c r="CF959" i="14"/>
  <c r="CF955" i="14"/>
  <c r="CF954" i="14"/>
  <c r="CF953" i="14"/>
  <c r="CF947" i="14"/>
  <c r="CF946" i="14"/>
  <c r="CF944" i="14"/>
  <c r="CF941" i="14"/>
  <c r="CF938" i="14"/>
  <c r="CF937" i="14"/>
  <c r="CF936" i="14"/>
  <c r="CF935" i="14"/>
  <c r="CF933" i="14"/>
  <c r="CF931" i="14"/>
  <c r="CF930" i="14"/>
  <c r="CF928" i="14"/>
  <c r="CF926" i="14"/>
  <c r="CF925" i="14"/>
  <c r="CF920" i="14"/>
  <c r="CF919" i="14"/>
  <c r="CF918" i="14"/>
  <c r="CF917" i="14"/>
  <c r="CF914" i="14"/>
  <c r="CF913" i="14"/>
  <c r="CF909" i="14"/>
  <c r="CF908" i="14"/>
  <c r="CF906" i="14"/>
  <c r="CF904" i="14"/>
  <c r="CF903" i="14"/>
  <c r="CF900" i="14"/>
  <c r="CF899" i="14"/>
  <c r="CF895" i="14"/>
  <c r="CF893" i="14"/>
  <c r="CF890" i="14"/>
  <c r="CF888" i="14"/>
  <c r="CF902" i="14"/>
  <c r="CF901" i="14"/>
  <c r="CF896" i="14"/>
  <c r="CF894" i="14"/>
  <c r="CF889" i="14"/>
  <c r="CF886" i="14"/>
  <c r="CF885" i="14"/>
  <c r="CF884" i="14"/>
  <c r="CF883" i="14"/>
  <c r="CF881" i="14"/>
  <c r="CF876" i="14"/>
  <c r="CF875" i="14"/>
  <c r="CF874" i="14"/>
  <c r="CF870" i="14"/>
  <c r="CF869" i="14"/>
  <c r="CF866" i="14"/>
  <c r="CF865" i="14"/>
  <c r="CF863" i="14"/>
  <c r="CF862" i="14"/>
  <c r="CF855" i="14"/>
  <c r="CF854" i="14"/>
  <c r="CF853" i="14"/>
  <c r="CF852" i="14"/>
  <c r="CF848" i="14"/>
  <c r="CF845" i="14"/>
  <c r="CF844" i="14"/>
  <c r="CF843" i="14"/>
  <c r="CF842" i="14"/>
  <c r="CF841" i="14"/>
  <c r="CF840" i="14"/>
  <c r="CF839" i="14"/>
  <c r="CF838" i="14"/>
  <c r="CF837" i="14"/>
  <c r="CF834" i="14"/>
  <c r="CF833" i="14"/>
  <c r="CF830" i="14"/>
  <c r="CF829" i="14"/>
  <c r="CF827" i="14"/>
  <c r="CF825" i="14"/>
  <c r="CF821" i="14"/>
  <c r="CF819" i="14"/>
  <c r="CF818" i="14"/>
  <c r="CF814" i="14"/>
  <c r="CF805" i="14"/>
  <c r="CF804" i="14"/>
  <c r="CF803" i="14"/>
  <c r="CF802" i="14"/>
  <c r="CF800" i="14"/>
  <c r="CF797" i="14"/>
  <c r="CF796" i="14"/>
  <c r="CF795" i="14"/>
  <c r="CF794" i="14"/>
  <c r="CF791" i="14"/>
  <c r="CF790" i="14"/>
  <c r="CF786" i="14"/>
  <c r="CF785" i="14"/>
  <c r="CF784" i="14"/>
  <c r="CF783" i="14"/>
  <c r="CF782" i="14"/>
  <c r="CF773" i="14"/>
  <c r="CF772" i="14"/>
  <c r="CF771" i="14"/>
  <c r="CF769" i="14"/>
  <c r="CF766" i="14"/>
  <c r="CF765" i="14"/>
  <c r="CF763" i="14"/>
  <c r="CF762" i="14"/>
  <c r="CF760" i="14"/>
  <c r="CF758" i="14"/>
  <c r="CF757" i="14"/>
  <c r="CF756" i="14"/>
  <c r="CF755" i="14"/>
  <c r="CF737" i="14"/>
  <c r="CF736" i="14"/>
  <c r="CF892" i="14"/>
  <c r="CF891" i="14"/>
  <c r="CF882" i="14"/>
  <c r="CF880" i="14"/>
  <c r="CF878" i="14"/>
  <c r="CF877" i="14"/>
  <c r="CF873" i="14"/>
  <c r="CF872" i="14"/>
  <c r="CF871" i="14"/>
  <c r="CF868" i="14"/>
  <c r="CF867" i="14"/>
  <c r="CF864" i="14"/>
  <c r="CF861" i="14"/>
  <c r="CF860" i="14"/>
  <c r="CF859" i="14"/>
  <c r="CF858" i="14"/>
  <c r="CF857" i="14"/>
  <c r="CF856" i="14"/>
  <c r="CF851" i="14"/>
  <c r="CF850" i="14"/>
  <c r="CF849" i="14"/>
  <c r="CF846" i="14"/>
  <c r="CF836" i="14"/>
  <c r="CF835" i="14"/>
  <c r="CF832" i="14"/>
  <c r="CF831" i="14"/>
  <c r="CF828" i="14"/>
  <c r="CF826" i="14"/>
  <c r="CF824" i="14"/>
  <c r="CF823" i="14"/>
  <c r="CF822" i="14"/>
  <c r="CF820" i="14"/>
  <c r="CF817" i="14"/>
  <c r="CF815" i="14"/>
  <c r="CF812" i="14"/>
  <c r="CF811" i="14"/>
  <c r="CF810" i="14"/>
  <c r="CF808" i="14"/>
  <c r="CF807" i="14"/>
  <c r="CF806" i="14"/>
  <c r="CF801" i="14"/>
  <c r="CF799" i="14"/>
  <c r="CF798" i="14"/>
  <c r="CF793" i="14"/>
  <c r="CF792" i="14"/>
  <c r="CF789" i="14"/>
  <c r="CF788" i="14"/>
  <c r="CF787" i="14"/>
  <c r="CF781" i="14"/>
  <c r="CF780" i="14"/>
  <c r="CF779" i="14"/>
  <c r="CF774" i="14"/>
  <c r="CF770" i="14"/>
  <c r="CF768" i="14"/>
  <c r="CF767" i="14"/>
  <c r="CF764" i="14"/>
  <c r="CF761" i="14"/>
  <c r="CF759" i="14"/>
  <c r="CF754" i="14"/>
  <c r="CF753" i="14"/>
  <c r="CF752" i="14"/>
  <c r="CF751" i="14"/>
  <c r="CF750" i="14"/>
  <c r="CF749" i="14"/>
  <c r="CF748" i="14"/>
  <c r="CF747" i="14"/>
  <c r="CF746" i="14"/>
  <c r="CF745" i="14"/>
  <c r="CF744" i="14"/>
  <c r="CF743" i="14"/>
  <c r="CF742" i="14"/>
  <c r="CF741" i="14"/>
  <c r="CF740" i="14"/>
  <c r="CF739" i="14"/>
  <c r="CF738" i="14"/>
  <c r="CF733" i="14"/>
  <c r="CF730" i="14"/>
  <c r="CF729" i="14"/>
  <c r="CF728" i="14"/>
  <c r="CF727" i="14"/>
  <c r="CF726" i="14"/>
  <c r="CF722" i="14"/>
  <c r="CF717" i="14"/>
  <c r="CF715" i="14"/>
  <c r="CF712" i="14"/>
  <c r="CF708" i="14"/>
  <c r="CF706" i="14"/>
  <c r="CF704" i="14"/>
  <c r="CF703" i="14"/>
  <c r="CF701" i="14"/>
  <c r="CF700" i="14"/>
  <c r="CF699" i="14"/>
  <c r="CF698" i="14"/>
  <c r="CF697" i="14"/>
  <c r="CF696" i="14"/>
  <c r="CF695" i="14"/>
  <c r="CF694" i="14"/>
  <c r="CF692" i="14"/>
  <c r="CF691" i="14"/>
  <c r="CF690" i="14"/>
  <c r="CF689" i="14"/>
  <c r="CF688" i="14"/>
  <c r="CF686" i="14"/>
  <c r="CF685" i="14"/>
  <c r="CF684" i="14"/>
  <c r="CF683" i="14"/>
  <c r="CF675" i="14"/>
  <c r="CF674" i="14"/>
  <c r="CF672" i="14"/>
  <c r="CF671" i="14"/>
  <c r="CF670" i="14"/>
  <c r="CF669" i="14"/>
  <c r="CF666" i="14"/>
  <c r="CF665" i="14"/>
  <c r="CF663" i="14"/>
  <c r="CF662" i="14"/>
  <c r="CF660" i="14"/>
  <c r="CF654" i="14"/>
  <c r="CF653" i="14"/>
  <c r="CF652" i="14"/>
  <c r="CF651" i="14"/>
  <c r="CF650" i="14"/>
  <c r="CF649" i="14"/>
  <c r="CF648" i="14"/>
  <c r="CF647" i="14"/>
  <c r="CF640" i="14"/>
  <c r="CF639" i="14"/>
  <c r="CF638" i="14"/>
  <c r="CF637" i="14"/>
  <c r="CF632" i="14"/>
  <c r="CF630" i="14"/>
  <c r="CF629" i="14"/>
  <c r="CF623" i="14"/>
  <c r="CF613" i="14"/>
  <c r="CF611" i="14"/>
  <c r="CF609" i="14"/>
  <c r="CF608" i="14"/>
  <c r="CF607" i="14"/>
  <c r="CF606" i="14"/>
  <c r="CF605" i="14"/>
  <c r="CF602" i="14"/>
  <c r="CF601" i="14"/>
  <c r="CF600" i="14"/>
  <c r="CF599" i="14"/>
  <c r="CF598" i="14"/>
  <c r="CF597" i="14"/>
  <c r="CF596" i="14"/>
  <c r="CF595" i="14"/>
  <c r="CF594" i="14"/>
  <c r="CF593" i="14"/>
  <c r="CF592" i="14"/>
  <c r="CF591" i="14"/>
  <c r="CF589" i="14"/>
  <c r="CF587" i="14"/>
  <c r="CF586" i="14"/>
  <c r="CF585" i="14"/>
  <c r="CF583" i="14"/>
  <c r="CF580" i="14"/>
  <c r="CF578" i="14"/>
  <c r="CF576" i="14"/>
  <c r="CF574" i="14"/>
  <c r="CF572" i="14"/>
  <c r="CF571" i="14"/>
  <c r="CF569" i="14"/>
  <c r="CF567" i="14"/>
  <c r="CF565" i="14"/>
  <c r="CF563" i="14"/>
  <c r="CF561" i="14"/>
  <c r="CF558" i="14"/>
  <c r="CF556" i="14"/>
  <c r="CF551" i="14"/>
  <c r="CF548" i="14"/>
  <c r="CF545" i="14"/>
  <c r="CF541" i="14"/>
  <c r="CF538" i="14"/>
  <c r="CF533" i="14"/>
  <c r="CF532" i="14"/>
  <c r="CF531" i="14"/>
  <c r="CF528" i="14"/>
  <c r="CF527" i="14"/>
  <c r="CF524" i="14"/>
  <c r="CF518" i="14"/>
  <c r="CF515" i="14"/>
  <c r="CF511" i="14"/>
  <c r="CF507" i="14"/>
  <c r="CF505" i="14"/>
  <c r="CF501" i="14"/>
  <c r="CF499" i="14"/>
  <c r="CF498" i="14"/>
  <c r="CF494" i="14"/>
  <c r="CF493" i="14"/>
  <c r="CF485" i="14"/>
  <c r="CF479" i="14"/>
  <c r="CF735" i="14"/>
  <c r="CF732" i="14"/>
  <c r="CF731" i="14"/>
  <c r="CF724" i="14"/>
  <c r="CF723" i="14"/>
  <c r="CF721" i="14"/>
  <c r="CF720" i="14"/>
  <c r="CF719" i="14"/>
  <c r="CF718" i="14"/>
  <c r="CF716" i="14"/>
  <c r="CF714" i="14"/>
  <c r="CF713" i="14"/>
  <c r="CF711" i="14"/>
  <c r="CF710" i="14"/>
  <c r="CF709" i="14"/>
  <c r="CF707" i="14"/>
  <c r="CF705" i="14"/>
  <c r="CF693" i="14"/>
  <c r="CF687" i="14"/>
  <c r="CF682" i="14"/>
  <c r="CF681" i="14"/>
  <c r="CF680" i="14"/>
  <c r="CF679" i="14"/>
  <c r="CF678" i="14"/>
  <c r="CF677" i="14"/>
  <c r="CF673" i="14"/>
  <c r="CF668" i="14"/>
  <c r="CF667" i="14"/>
  <c r="CF661" i="14"/>
  <c r="CF659" i="14"/>
  <c r="CF658" i="14"/>
  <c r="CF657" i="14"/>
  <c r="CF656" i="14"/>
  <c r="CF655" i="14"/>
  <c r="CF636" i="14"/>
  <c r="CF635" i="14"/>
  <c r="CF634" i="14"/>
  <c r="CF633" i="14"/>
  <c r="CF631" i="14"/>
  <c r="CF628" i="14"/>
  <c r="CF626" i="14"/>
  <c r="CF624" i="14"/>
  <c r="CF622" i="14"/>
  <c r="CF621" i="14"/>
  <c r="CF620" i="14"/>
  <c r="CF619" i="14"/>
  <c r="CF618" i="14"/>
  <c r="CF617" i="14"/>
  <c r="CF616" i="14"/>
  <c r="CF615" i="14"/>
  <c r="CF614" i="14"/>
  <c r="CF612" i="14"/>
  <c r="CF610" i="14"/>
  <c r="CF590" i="14"/>
  <c r="CF588" i="14"/>
  <c r="CF584" i="14"/>
  <c r="CF582" i="14"/>
  <c r="CF581" i="14"/>
  <c r="CF579" i="14"/>
  <c r="CF577" i="14"/>
  <c r="CF575" i="14"/>
  <c r="CF573" i="14"/>
  <c r="CF570" i="14"/>
  <c r="CF568" i="14"/>
  <c r="CF566" i="14"/>
  <c r="CF564" i="14"/>
  <c r="CF562" i="14"/>
  <c r="CF560" i="14"/>
  <c r="CF559" i="14"/>
  <c r="CF557" i="14"/>
  <c r="CF553" i="14"/>
  <c r="CF552" i="14"/>
  <c r="CF550" i="14"/>
  <c r="CF547" i="14"/>
  <c r="CF544" i="14"/>
  <c r="CF543" i="14"/>
  <c r="CF542" i="14"/>
  <c r="CF540" i="14"/>
  <c r="CF539" i="14"/>
  <c r="CF537" i="14"/>
  <c r="CF535" i="14"/>
  <c r="CF530" i="14"/>
  <c r="CF522" i="14"/>
  <c r="CF521" i="14"/>
  <c r="CF520" i="14"/>
  <c r="CF519" i="14"/>
  <c r="CF517" i="14"/>
  <c r="CF516" i="14"/>
  <c r="CF514" i="14"/>
  <c r="CF513" i="14"/>
  <c r="CF512" i="14"/>
  <c r="CF509" i="14"/>
  <c r="CF506" i="14"/>
  <c r="CF504" i="14"/>
  <c r="CF503" i="14"/>
  <c r="CF502" i="14"/>
  <c r="CF500" i="14"/>
  <c r="CF497" i="14"/>
  <c r="CF496" i="14"/>
  <c r="CF492" i="14"/>
  <c r="CF488" i="14"/>
  <c r="CF487" i="14"/>
  <c r="CF483" i="14"/>
  <c r="CF482" i="14"/>
  <c r="CF477" i="14"/>
  <c r="CF475" i="14"/>
  <c r="CF473" i="14"/>
  <c r="CF472" i="14"/>
  <c r="CF464" i="14"/>
  <c r="CF463" i="14"/>
  <c r="CF461" i="14"/>
  <c r="CF455" i="14"/>
  <c r="CF447" i="14"/>
  <c r="CF446" i="14"/>
  <c r="CF444" i="14"/>
  <c r="CF436" i="14"/>
  <c r="CF433" i="14"/>
  <c r="CF431" i="14"/>
  <c r="CF427" i="14"/>
  <c r="CF426" i="14"/>
  <c r="CF423" i="14"/>
  <c r="CF418" i="14"/>
  <c r="CF414" i="14"/>
  <c r="CF413" i="14"/>
  <c r="CF405" i="14"/>
  <c r="CF403" i="14"/>
  <c r="CF402" i="14"/>
  <c r="CF401" i="14"/>
  <c r="CF395" i="14"/>
  <c r="CF391" i="14"/>
  <c r="CF387" i="14"/>
  <c r="CF385" i="14"/>
  <c r="CF383" i="14"/>
  <c r="CF368" i="14"/>
  <c r="CF364" i="14"/>
  <c r="CF363" i="14"/>
  <c r="CF351" i="14"/>
  <c r="CF350" i="14"/>
  <c r="CF347" i="14"/>
  <c r="CF346" i="14"/>
  <c r="CF345" i="14"/>
  <c r="CF344" i="14"/>
  <c r="CF343" i="14"/>
  <c r="CF336" i="14"/>
  <c r="CF334" i="14"/>
  <c r="CF333" i="14"/>
  <c r="CF332" i="14"/>
  <c r="CF331" i="14"/>
  <c r="CF330" i="14"/>
  <c r="CF329" i="14"/>
  <c r="CF322" i="14"/>
  <c r="CF319" i="14"/>
  <c r="CF318" i="14"/>
  <c r="CF317" i="14"/>
  <c r="CF313" i="14"/>
  <c r="CF309" i="14"/>
  <c r="CF307" i="14"/>
  <c r="CF306" i="14"/>
  <c r="CF303" i="14"/>
  <c r="CF301" i="14"/>
  <c r="CF297" i="14"/>
  <c r="CF292" i="14"/>
  <c r="CF289" i="14"/>
  <c r="CF287" i="14"/>
  <c r="CF282" i="14"/>
  <c r="CF276" i="14"/>
  <c r="CF274" i="14"/>
  <c r="CF272" i="14"/>
  <c r="CF270" i="14"/>
  <c r="CF267" i="14"/>
  <c r="CF257" i="14"/>
  <c r="CF250" i="14"/>
  <c r="CF249" i="14"/>
  <c r="CF248" i="14"/>
  <c r="CF247" i="14"/>
  <c r="CF246" i="14"/>
  <c r="CF239" i="14"/>
  <c r="CF236" i="14"/>
  <c r="CF234" i="14"/>
  <c r="CF233" i="14"/>
  <c r="CF232" i="14"/>
  <c r="CF231" i="14"/>
  <c r="CF230" i="14"/>
  <c r="CF229" i="14"/>
  <c r="CF228" i="14"/>
  <c r="CF227" i="14"/>
  <c r="CF226" i="14"/>
  <c r="CF225" i="14"/>
  <c r="CF224" i="14"/>
  <c r="CF221" i="14"/>
  <c r="CF220" i="14"/>
  <c r="CF219" i="14"/>
  <c r="CF211" i="14"/>
  <c r="CF210" i="14"/>
  <c r="CF209" i="14"/>
  <c r="CF208" i="14"/>
  <c r="CF204" i="14"/>
  <c r="CF203" i="14"/>
  <c r="CF196" i="14"/>
  <c r="CF192" i="14"/>
  <c r="CF189" i="14"/>
  <c r="CF188" i="14"/>
  <c r="CF186" i="14"/>
  <c r="CF184" i="14"/>
  <c r="CF183" i="14"/>
  <c r="CF182" i="14"/>
  <c r="CF181" i="14"/>
  <c r="CF180" i="14"/>
  <c r="CF179" i="14"/>
  <c r="CF178" i="14"/>
  <c r="CF173" i="14"/>
  <c r="CF170" i="14"/>
  <c r="CF167" i="14"/>
  <c r="CF165" i="14"/>
  <c r="CF163" i="14"/>
  <c r="CF161" i="14"/>
  <c r="CF159" i="14"/>
  <c r="CF157" i="14"/>
  <c r="CF156" i="14"/>
  <c r="CF155" i="14"/>
  <c r="CF151" i="14"/>
  <c r="CF150" i="14"/>
  <c r="CF148" i="14"/>
  <c r="CF147" i="14"/>
  <c r="CF146" i="14"/>
  <c r="CF145" i="14"/>
  <c r="CF143" i="14"/>
  <c r="CF142" i="14"/>
  <c r="CF140" i="14"/>
  <c r="CF128" i="14"/>
  <c r="CF126" i="14"/>
  <c r="CF125" i="14"/>
  <c r="CF124" i="14"/>
  <c r="CF123" i="14"/>
  <c r="CF122" i="14"/>
  <c r="CF121" i="14"/>
  <c r="CF120" i="14"/>
  <c r="CF119" i="14"/>
  <c r="CF118" i="14"/>
  <c r="CF116" i="14"/>
  <c r="CF113" i="14"/>
  <c r="CF112" i="14"/>
  <c r="CF110" i="14"/>
  <c r="CF78" i="14"/>
  <c r="CF76" i="14"/>
  <c r="CF73" i="14"/>
  <c r="CF72" i="14"/>
  <c r="CF61" i="14"/>
  <c r="CF59" i="14"/>
  <c r="CF478" i="14"/>
  <c r="CF470" i="14"/>
  <c r="CF468" i="14"/>
  <c r="CF467" i="14"/>
  <c r="CF466" i="14"/>
  <c r="CF465" i="14"/>
  <c r="CF462" i="14"/>
  <c r="CF459" i="14"/>
  <c r="CF457" i="14"/>
  <c r="CF454" i="14"/>
  <c r="CF453" i="14"/>
  <c r="CF448" i="14"/>
  <c r="CF443" i="14"/>
  <c r="CF441" i="14"/>
  <c r="CF439" i="14"/>
  <c r="CF435" i="14"/>
  <c r="CF434" i="14"/>
  <c r="CF432" i="14"/>
  <c r="CF430" i="14"/>
  <c r="CF429" i="14"/>
  <c r="CF428" i="14"/>
  <c r="CF425" i="14"/>
  <c r="CF424" i="14"/>
  <c r="CF422" i="14"/>
  <c r="CF417" i="14"/>
  <c r="CF416" i="14"/>
  <c r="CF415" i="14"/>
  <c r="CF412" i="14"/>
  <c r="CF407" i="14"/>
  <c r="CF406" i="14"/>
  <c r="CF404" i="14"/>
  <c r="CF400" i="14"/>
  <c r="CF399" i="14"/>
  <c r="CF398" i="14"/>
  <c r="CF397" i="14"/>
  <c r="CF394" i="14"/>
  <c r="CF393" i="14"/>
  <c r="CF392" i="14"/>
  <c r="CF390" i="14"/>
  <c r="CF389" i="14"/>
  <c r="CF386" i="14"/>
  <c r="CF382" i="14"/>
  <c r="CF380" i="14"/>
  <c r="CF376" i="14"/>
  <c r="CF372" i="14"/>
  <c r="CF371" i="14"/>
  <c r="CF367" i="14"/>
  <c r="CF366" i="14"/>
  <c r="CF365" i="14"/>
  <c r="CF362" i="14"/>
  <c r="CF361" i="14"/>
  <c r="CF360" i="14"/>
  <c r="CF359" i="14"/>
  <c r="CF358" i="14"/>
  <c r="CF357" i="14"/>
  <c r="CF356" i="14"/>
  <c r="CF355" i="14"/>
  <c r="CF353" i="14"/>
  <c r="CF352" i="14"/>
  <c r="CF342" i="14"/>
  <c r="CF335" i="14"/>
  <c r="CF328" i="14"/>
  <c r="CF327" i="14"/>
  <c r="CF323" i="14"/>
  <c r="CF321" i="14"/>
  <c r="CF314" i="14"/>
  <c r="CF312" i="14"/>
  <c r="CF311" i="14"/>
  <c r="CF310" i="14"/>
  <c r="CF308" i="14"/>
  <c r="CF305" i="14"/>
  <c r="CF304" i="14"/>
  <c r="CF302" i="14"/>
  <c r="CF300" i="14"/>
  <c r="CF299" i="14"/>
  <c r="CF298" i="14"/>
  <c r="CF296" i="14"/>
  <c r="CF294" i="14"/>
  <c r="CF293" i="14"/>
  <c r="CF288" i="14"/>
  <c r="CF286" i="14"/>
  <c r="CF284" i="14"/>
  <c r="CF283" i="14"/>
  <c r="CF281" i="14"/>
  <c r="CF280" i="14"/>
  <c r="CF275" i="14"/>
  <c r="CF273" i="14"/>
  <c r="CF271" i="14"/>
  <c r="CF264" i="14"/>
  <c r="CF263" i="14"/>
  <c r="CF262" i="14"/>
  <c r="CF258" i="14"/>
  <c r="CF256" i="14"/>
  <c r="CF255" i="14"/>
  <c r="CF251" i="14"/>
  <c r="CF245" i="14"/>
  <c r="CF244" i="14"/>
  <c r="CF243" i="14"/>
  <c r="CF241" i="14"/>
  <c r="CF240" i="14"/>
  <c r="CF238" i="14"/>
  <c r="CF237" i="14"/>
  <c r="CF235" i="14"/>
  <c r="CF223" i="14"/>
  <c r="CF222" i="14"/>
  <c r="CF216" i="14"/>
  <c r="CF215" i="14"/>
  <c r="CF214" i="14"/>
  <c r="CF212" i="14"/>
  <c r="CF207" i="14"/>
  <c r="CF206" i="14"/>
  <c r="CF205" i="14"/>
  <c r="CF195" i="14"/>
  <c r="CF194" i="14"/>
  <c r="CF193" i="14"/>
  <c r="CF190" i="14"/>
  <c r="CF187" i="14"/>
  <c r="CF185" i="14"/>
  <c r="CF177" i="14"/>
  <c r="CF176" i="14"/>
  <c r="CF174" i="14"/>
  <c r="CF171" i="14"/>
  <c r="CF166" i="14"/>
  <c r="CF162" i="14"/>
  <c r="CF154" i="14"/>
  <c r="CF149" i="14"/>
  <c r="CF144" i="14"/>
  <c r="CF141" i="14"/>
  <c r="CF139" i="14"/>
  <c r="CF137" i="14"/>
  <c r="CF130" i="14"/>
  <c r="CF129" i="14"/>
  <c r="CF115" i="14"/>
  <c r="CF114" i="14"/>
  <c r="CF111" i="14"/>
  <c r="CF109" i="14"/>
  <c r="CF108" i="14"/>
  <c r="CF107" i="14"/>
  <c r="CF106" i="14"/>
  <c r="CF105" i="14"/>
  <c r="CF104" i="14"/>
  <c r="CF102" i="14"/>
  <c r="CF95" i="14"/>
  <c r="CF94" i="14"/>
  <c r="CF93" i="14"/>
  <c r="CF92" i="14"/>
  <c r="CF90" i="14"/>
  <c r="CF89" i="14"/>
  <c r="CF88" i="14"/>
  <c r="CF87" i="14"/>
  <c r="CF85" i="14"/>
  <c r="CF84" i="14"/>
  <c r="CF83" i="14"/>
  <c r="CF69" i="14"/>
  <c r="CF68" i="14"/>
  <c r="CF67" i="14"/>
  <c r="CF64" i="14"/>
  <c r="CF56" i="14"/>
  <c r="CF54" i="14"/>
  <c r="CF52" i="14"/>
  <c r="CF50" i="14"/>
  <c r="CF48" i="14"/>
  <c r="CF44" i="14"/>
  <c r="CF43" i="14"/>
  <c r="CF41" i="14"/>
  <c r="CF39" i="14"/>
  <c r="CF36" i="14"/>
  <c r="CF35" i="14"/>
  <c r="CF32" i="14"/>
  <c r="CF30" i="14"/>
  <c r="CF28" i="14"/>
  <c r="CF26" i="14"/>
  <c r="CF24" i="14"/>
  <c r="CF22" i="14"/>
  <c r="CF53" i="14"/>
  <c r="CF49" i="14"/>
  <c r="CF46" i="14"/>
  <c r="CF45" i="14"/>
  <c r="CF38" i="14"/>
  <c r="CF37" i="14"/>
  <c r="CF29" i="14"/>
  <c r="CF25" i="14"/>
  <c r="CF42" i="14"/>
  <c r="CF23" i="14"/>
  <c r="CD817" i="14"/>
  <c r="E817" i="14"/>
  <c r="M11" i="12"/>
  <c r="O11" i="12"/>
  <c r="D220" i="12"/>
  <c r="L11" i="12"/>
  <c r="D12" i="12"/>
  <c r="L13" i="13"/>
  <c r="Q13" i="13"/>
  <c r="K14" i="13"/>
  <c r="K13" i="13" s="1"/>
  <c r="I13" i="13"/>
  <c r="P13" i="13" s="1"/>
  <c r="J13" i="13"/>
  <c r="AV1276" i="14" l="1"/>
  <c r="AV1274" i="14"/>
  <c r="AV1273" i="14"/>
  <c r="AV1272" i="14"/>
  <c r="AV1271" i="14"/>
  <c r="AV1270" i="14"/>
  <c r="AV1269" i="14"/>
  <c r="AV1268" i="14"/>
  <c r="AV1267" i="14"/>
  <c r="AV1265" i="14"/>
  <c r="AV1262" i="14"/>
  <c r="AV1259" i="14"/>
  <c r="AV1258" i="14"/>
  <c r="AV1255" i="14"/>
  <c r="AV1252" i="14"/>
  <c r="AV1251" i="14"/>
  <c r="AV1250" i="14"/>
  <c r="AV1249" i="14"/>
  <c r="AV1247" i="14"/>
  <c r="AV1244" i="14"/>
  <c r="AV1242" i="14"/>
  <c r="AV1241" i="14"/>
  <c r="AV1239" i="14"/>
  <c r="AV1238" i="14"/>
  <c r="AV1278" i="14"/>
  <c r="AV1277" i="14"/>
  <c r="AV1275" i="14"/>
  <c r="AV1266" i="14"/>
  <c r="AV1264" i="14"/>
  <c r="AV1263" i="14"/>
  <c r="AV1261" i="14"/>
  <c r="AV1260" i="14"/>
  <c r="AV1257" i="14"/>
  <c r="AV1256" i="14"/>
  <c r="AV1254" i="14"/>
  <c r="AV1248" i="14"/>
  <c r="AV1246" i="14"/>
  <c r="AV1245" i="14"/>
  <c r="AV1243" i="14"/>
  <c r="AV1240" i="14"/>
  <c r="AV1237" i="14"/>
  <c r="AV1236" i="14"/>
  <c r="AV1235" i="14"/>
  <c r="AV1231" i="14"/>
  <c r="AV1229" i="14"/>
  <c r="AV1228" i="14"/>
  <c r="AV1225" i="14"/>
  <c r="AV1224" i="14"/>
  <c r="AV1223" i="14"/>
  <c r="AV1222" i="14"/>
  <c r="AV1220" i="14"/>
  <c r="AV1217" i="14"/>
  <c r="AV1216" i="14"/>
  <c r="AV1215" i="14"/>
  <c r="AV1214" i="14"/>
  <c r="AV1211" i="14"/>
  <c r="AV1210" i="14"/>
  <c r="AV1207" i="14"/>
  <c r="AV1206" i="14"/>
  <c r="AV1204" i="14"/>
  <c r="AV1201" i="14"/>
  <c r="AV1200" i="14"/>
  <c r="AV1198" i="14"/>
  <c r="AV1197" i="14"/>
  <c r="AV1195" i="14"/>
  <c r="AV1192" i="14"/>
  <c r="AV1189" i="14"/>
  <c r="AV1188" i="14"/>
  <c r="AV1187" i="14"/>
  <c r="AV1186" i="14"/>
  <c r="AV1184" i="14"/>
  <c r="AV1183" i="14"/>
  <c r="AV1178" i="14"/>
  <c r="AV1177" i="14"/>
  <c r="AV1175" i="14"/>
  <c r="AV1174" i="14"/>
  <c r="AV1173" i="14"/>
  <c r="AV1170" i="14"/>
  <c r="AV1233" i="14"/>
  <c r="AV1232" i="14"/>
  <c r="AV1230" i="14"/>
  <c r="AV1227" i="14"/>
  <c r="AV1226" i="14"/>
  <c r="AV1221" i="14"/>
  <c r="AV1219" i="14"/>
  <c r="AV1218" i="14"/>
  <c r="AV1213" i="14"/>
  <c r="AV1212" i="14"/>
  <c r="AV1209" i="14"/>
  <c r="AV1208" i="14"/>
  <c r="AV1205" i="14"/>
  <c r="AV1203" i="14"/>
  <c r="AV1202" i="14"/>
  <c r="AV1199" i="14"/>
  <c r="AV1196" i="14"/>
  <c r="AV1194" i="14"/>
  <c r="AV1193" i="14"/>
  <c r="AV1191" i="14"/>
  <c r="AV1185" i="14"/>
  <c r="AV1182" i="14"/>
  <c r="AV1181" i="14"/>
  <c r="AV1180" i="14"/>
  <c r="AV1179" i="14"/>
  <c r="AV1176" i="14"/>
  <c r="AV1172" i="14"/>
  <c r="AV1171" i="14"/>
  <c r="AV1168" i="14"/>
  <c r="AV1167" i="14"/>
  <c r="AV1162" i="14"/>
  <c r="AV1169" i="14"/>
  <c r="AV1163" i="14"/>
  <c r="AV1161" i="14"/>
  <c r="AV1158" i="14"/>
  <c r="AV1156" i="14"/>
  <c r="AV1153" i="14"/>
  <c r="AV1152" i="14"/>
  <c r="AV1149" i="14"/>
  <c r="AV1146" i="14"/>
  <c r="AV1145" i="14"/>
  <c r="AV1142" i="14"/>
  <c r="AV1140" i="14"/>
  <c r="AV1139" i="14"/>
  <c r="AV1137" i="14"/>
  <c r="AV1136" i="14"/>
  <c r="AV1134" i="14"/>
  <c r="AV1133" i="14"/>
  <c r="AV1131" i="14"/>
  <c r="AV1129" i="14"/>
  <c r="AV1126" i="14"/>
  <c r="AV1123" i="14"/>
  <c r="AV1119" i="14"/>
  <c r="AV1118" i="14"/>
  <c r="AV1117" i="14"/>
  <c r="AV1112" i="14"/>
  <c r="AV1110" i="14"/>
  <c r="AV1109" i="14"/>
  <c r="AV1108" i="14"/>
  <c r="AV1106" i="14"/>
  <c r="AV1104" i="14"/>
  <c r="AV1102" i="14"/>
  <c r="AV1100" i="14"/>
  <c r="AV1098" i="14"/>
  <c r="AV1095" i="14"/>
  <c r="AV1093" i="14"/>
  <c r="AV1091" i="14"/>
  <c r="AV1089" i="14"/>
  <c r="AV1088" i="14"/>
  <c r="AV1086" i="14"/>
  <c r="AV1083" i="14"/>
  <c r="AV1081" i="14"/>
  <c r="AV1078" i="14"/>
  <c r="AV1077" i="14"/>
  <c r="AV1075" i="14"/>
  <c r="AV1073" i="14"/>
  <c r="AV1071" i="14"/>
  <c r="AV1069" i="14"/>
  <c r="AV1068" i="14"/>
  <c r="AV1066" i="14"/>
  <c r="AV1064" i="14"/>
  <c r="AV1057" i="14"/>
  <c r="AV1055" i="14"/>
  <c r="AV1054" i="14"/>
  <c r="AV1053" i="14"/>
  <c r="AV1052" i="14"/>
  <c r="AV1051" i="14"/>
  <c r="AV1050" i="14"/>
  <c r="AV1049" i="14"/>
  <c r="AV1166" i="14"/>
  <c r="AV1165" i="14"/>
  <c r="AV1160" i="14"/>
  <c r="AV1157" i="14"/>
  <c r="AV1155" i="14"/>
  <c r="AV1154" i="14"/>
  <c r="AV1151" i="14"/>
  <c r="AV1150" i="14"/>
  <c r="AV1148" i="14"/>
  <c r="AV1147" i="14"/>
  <c r="AV1144" i="14"/>
  <c r="AV1143" i="14"/>
  <c r="AV1141" i="14"/>
  <c r="AV1138" i="14"/>
  <c r="AV1135" i="14"/>
  <c r="AV1132" i="14"/>
  <c r="AV1130" i="14"/>
  <c r="AV1128" i="14"/>
  <c r="AV1127" i="14"/>
  <c r="AV1125" i="14"/>
  <c r="AV1124" i="14"/>
  <c r="AV1122" i="14"/>
  <c r="AV1120" i="14"/>
  <c r="AV1116" i="14"/>
  <c r="AV1114" i="14"/>
  <c r="AV1113" i="14"/>
  <c r="AV1111" i="14"/>
  <c r="AV1107" i="14"/>
  <c r="AV1105" i="14"/>
  <c r="AV1103" i="14"/>
  <c r="AV1101" i="14"/>
  <c r="AV1099" i="14"/>
  <c r="AV1096" i="14"/>
  <c r="AV1094" i="14"/>
  <c r="AV1092" i="14"/>
  <c r="AV1090" i="14"/>
  <c r="AV1087" i="14"/>
  <c r="AV1085" i="14"/>
  <c r="AV1084" i="14"/>
  <c r="AV1080" i="14"/>
  <c r="AV1079" i="14"/>
  <c r="AV1076" i="14"/>
  <c r="AV1074" i="14"/>
  <c r="AV1072" i="14"/>
  <c r="AV1070" i="14"/>
  <c r="AV1067" i="14"/>
  <c r="AV1065" i="14"/>
  <c r="AV1059" i="14"/>
  <c r="AV1056" i="14"/>
  <c r="AV1043" i="14"/>
  <c r="AV1042" i="14"/>
  <c r="AV1041" i="14"/>
  <c r="AV1040" i="14"/>
  <c r="AV1039" i="14"/>
  <c r="AV1038" i="14"/>
  <c r="AV1037" i="14"/>
  <c r="AV1048" i="14"/>
  <c r="AV1047" i="14"/>
  <c r="AV1036" i="14"/>
  <c r="AV1035" i="14"/>
  <c r="AV1034" i="14"/>
  <c r="AV1033" i="14"/>
  <c r="AV1032" i="14"/>
  <c r="AV1031" i="14"/>
  <c r="AV1030" i="14"/>
  <c r="AV1027" i="14"/>
  <c r="AV1026" i="14"/>
  <c r="AV1025" i="14"/>
  <c r="AV1024" i="14"/>
  <c r="AV1023" i="14"/>
  <c r="AV1022" i="14"/>
  <c r="AV1021" i="14"/>
  <c r="AV1020" i="14"/>
  <c r="AV1012" i="14"/>
  <c r="AV1003" i="14"/>
  <c r="AV1002" i="14"/>
  <c r="AV1000" i="14"/>
  <c r="AV996" i="14"/>
  <c r="AV991" i="14"/>
  <c r="AV989" i="14"/>
  <c r="AV987" i="14"/>
  <c r="AV986" i="14"/>
  <c r="AV984" i="14"/>
  <c r="AV982" i="14"/>
  <c r="AV979" i="14"/>
  <c r="AV977" i="14"/>
  <c r="AV974" i="14"/>
  <c r="AV972" i="14"/>
  <c r="AV970" i="14"/>
  <c r="AV968" i="14"/>
  <c r="AV967" i="14"/>
  <c r="AV966" i="14"/>
  <c r="AV963" i="14"/>
  <c r="AV959" i="14"/>
  <c r="AV955" i="14"/>
  <c r="AV947" i="14"/>
  <c r="AV946" i="14"/>
  <c r="AV944" i="14"/>
  <c r="AV941" i="14"/>
  <c r="AV938" i="14"/>
  <c r="AV937" i="14"/>
  <c r="AV936" i="14"/>
  <c r="AV935" i="14"/>
  <c r="AV931" i="14"/>
  <c r="AV930" i="14"/>
  <c r="AV928" i="14"/>
  <c r="AV926" i="14"/>
  <c r="AV925" i="14"/>
  <c r="AV919" i="14"/>
  <c r="AV917" i="14"/>
  <c r="AV914" i="14"/>
  <c r="AV913" i="14"/>
  <c r="AV909" i="14"/>
  <c r="AV908" i="14"/>
  <c r="AV906" i="14"/>
  <c r="AV904" i="14"/>
  <c r="AV1018" i="14"/>
  <c r="AV1017" i="14"/>
  <c r="AV1016" i="14"/>
  <c r="AV1015" i="14"/>
  <c r="AV1014" i="14"/>
  <c r="AV1010" i="14"/>
  <c r="AV1009" i="14"/>
  <c r="AV1008" i="14"/>
  <c r="AV1007" i="14"/>
  <c r="AV1006" i="14"/>
  <c r="AV1005" i="14"/>
  <c r="AV1004" i="14"/>
  <c r="AV1001" i="14"/>
  <c r="AV995" i="14"/>
  <c r="AV990" i="14"/>
  <c r="AV988" i="14"/>
  <c r="AV985" i="14"/>
  <c r="AV981" i="14"/>
  <c r="AV980" i="14"/>
  <c r="AV978" i="14"/>
  <c r="AV976" i="14"/>
  <c r="AV973" i="14"/>
  <c r="AV971" i="14"/>
  <c r="AV965" i="14"/>
  <c r="AV961" i="14"/>
  <c r="AV960" i="14"/>
  <c r="AV954" i="14"/>
  <c r="AV951" i="14"/>
  <c r="AV950" i="14"/>
  <c r="AV948" i="14"/>
  <c r="AV945" i="14"/>
  <c r="AV942" i="14"/>
  <c r="AV939" i="14"/>
  <c r="AV932" i="14"/>
  <c r="AV929" i="14"/>
  <c r="AV927" i="14"/>
  <c r="AV923" i="14"/>
  <c r="AV922" i="14"/>
  <c r="AV921" i="14"/>
  <c r="AV916" i="14"/>
  <c r="AV915" i="14"/>
  <c r="AV911" i="14"/>
  <c r="AV910" i="14"/>
  <c r="AV905" i="14"/>
  <c r="AV902" i="14"/>
  <c r="AV901" i="14"/>
  <c r="AV896" i="14"/>
  <c r="AV894" i="14"/>
  <c r="AV892" i="14"/>
  <c r="AV891" i="14"/>
  <c r="AV889" i="14"/>
  <c r="AV890" i="14"/>
  <c r="AV888" i="14"/>
  <c r="AV882" i="14"/>
  <c r="AV880" i="14"/>
  <c r="AV878" i="14"/>
  <c r="AV877" i="14"/>
  <c r="AV873" i="14"/>
  <c r="AV872" i="14"/>
  <c r="AV871" i="14"/>
  <c r="AV868" i="14"/>
  <c r="AV867" i="14"/>
  <c r="AV864" i="14"/>
  <c r="AV861" i="14"/>
  <c r="AV860" i="14"/>
  <c r="AV859" i="14"/>
  <c r="AV858" i="14"/>
  <c r="AV857" i="14"/>
  <c r="AV851" i="14"/>
  <c r="AV846" i="14"/>
  <c r="AV845" i="14"/>
  <c r="AV843" i="14"/>
  <c r="AV841" i="14"/>
  <c r="AV839" i="14"/>
  <c r="AV836" i="14"/>
  <c r="AV835" i="14"/>
  <c r="AV832" i="14"/>
  <c r="AV831" i="14"/>
  <c r="AV828" i="14"/>
  <c r="AV824" i="14"/>
  <c r="AV823" i="14"/>
  <c r="AV822" i="14"/>
  <c r="AV815" i="14"/>
  <c r="AV812" i="14"/>
  <c r="AV811" i="14"/>
  <c r="AV810" i="14"/>
  <c r="AV808" i="14"/>
  <c r="AV807" i="14"/>
  <c r="AV806" i="14"/>
  <c r="AV801" i="14"/>
  <c r="AV799" i="14"/>
  <c r="AV798" i="14"/>
  <c r="AV793" i="14"/>
  <c r="AV792" i="14"/>
  <c r="AV789" i="14"/>
  <c r="AV788" i="14"/>
  <c r="AV787" i="14"/>
  <c r="AV781" i="14"/>
  <c r="AV780" i="14"/>
  <c r="AV779" i="14"/>
  <c r="AV754" i="14"/>
  <c r="AV753" i="14"/>
  <c r="AV752" i="14"/>
  <c r="AV750" i="14"/>
  <c r="AV748" i="14"/>
  <c r="AV747" i="14"/>
  <c r="AV746" i="14"/>
  <c r="AV744" i="14"/>
  <c r="AV742" i="14"/>
  <c r="AV740" i="14"/>
  <c r="AV739" i="14"/>
  <c r="AV738" i="14"/>
  <c r="AV737" i="14"/>
  <c r="AV903" i="14"/>
  <c r="AV900" i="14"/>
  <c r="AV899" i="14"/>
  <c r="AV895" i="14"/>
  <c r="AV893" i="14"/>
  <c r="AV886" i="14"/>
  <c r="AV884" i="14"/>
  <c r="AV883" i="14"/>
  <c r="AV881" i="14"/>
  <c r="AV879" i="14"/>
  <c r="AV876" i="14"/>
  <c r="AV875" i="14"/>
  <c r="AV874" i="14"/>
  <c r="AV869" i="14"/>
  <c r="AV865" i="14"/>
  <c r="AV863" i="14"/>
  <c r="AV855" i="14"/>
  <c r="AV854" i="14"/>
  <c r="AV853" i="14"/>
  <c r="AV852" i="14"/>
  <c r="AV850" i="14"/>
  <c r="AV844" i="14"/>
  <c r="AV842" i="14"/>
  <c r="AV840" i="14"/>
  <c r="AV838" i="14"/>
  <c r="AV837" i="14"/>
  <c r="AV834" i="14"/>
  <c r="AV819" i="14"/>
  <c r="AV817" i="14"/>
  <c r="AV816" i="14"/>
  <c r="AV814" i="14"/>
  <c r="AV805" i="14"/>
  <c r="AV804" i="14"/>
  <c r="AV802" i="14"/>
  <c r="AV800" i="14"/>
  <c r="AV797" i="14"/>
  <c r="AV796" i="14"/>
  <c r="AV795" i="14"/>
  <c r="AV794" i="14"/>
  <c r="AV791" i="14"/>
  <c r="AV790" i="14"/>
  <c r="AV786" i="14"/>
  <c r="AV785" i="14"/>
  <c r="AV784" i="14"/>
  <c r="AV783" i="14"/>
  <c r="AV782" i="14"/>
  <c r="AV775" i="14"/>
  <c r="AV773" i="14"/>
  <c r="AV772" i="14"/>
  <c r="AV771" i="14"/>
  <c r="AV765" i="14"/>
  <c r="AV763" i="14"/>
  <c r="AV757" i="14"/>
  <c r="AV756" i="14"/>
  <c r="AV755" i="14"/>
  <c r="AV745" i="14"/>
  <c r="AV734" i="14"/>
  <c r="AV725" i="14"/>
  <c r="AV721" i="14"/>
  <c r="AV720" i="14"/>
  <c r="AV719" i="14"/>
  <c r="AV718" i="14"/>
  <c r="AV705" i="14"/>
  <c r="AV702" i="14"/>
  <c r="AV693" i="14"/>
  <c r="AV687" i="14"/>
  <c r="AV682" i="14"/>
  <c r="AV681" i="14"/>
  <c r="AV680" i="14"/>
  <c r="AV679" i="14"/>
  <c r="AV664" i="14"/>
  <c r="AV659" i="14"/>
  <c r="AV658" i="14"/>
  <c r="AV657" i="14"/>
  <c r="AV656" i="14"/>
  <c r="AV655" i="14"/>
  <c r="AV647" i="14"/>
  <c r="AV646" i="14"/>
  <c r="AV641" i="14"/>
  <c r="AV633" i="14"/>
  <c r="AV631" i="14"/>
  <c r="AV624" i="14"/>
  <c r="AV614" i="14"/>
  <c r="AV612" i="14"/>
  <c r="AV610" i="14"/>
  <c r="AV590" i="14"/>
  <c r="AV588" i="14"/>
  <c r="AV584" i="14"/>
  <c r="AV581" i="14"/>
  <c r="AV579" i="14"/>
  <c r="AV577" i="14"/>
  <c r="AV575" i="14"/>
  <c r="AV573" i="14"/>
  <c r="AV570" i="14"/>
  <c r="AV568" i="14"/>
  <c r="AV566" i="14"/>
  <c r="AV564" i="14"/>
  <c r="AV562" i="14"/>
  <c r="AV559" i="14"/>
  <c r="AV557" i="14"/>
  <c r="AV554" i="14"/>
  <c r="AV547" i="14"/>
  <c r="AV546" i="14"/>
  <c r="AV544" i="14"/>
  <c r="AV543" i="14"/>
  <c r="AV540" i="14"/>
  <c r="AV534" i="14"/>
  <c r="AV533" i="14"/>
  <c r="AV529" i="14"/>
  <c r="AV528" i="14"/>
  <c r="AV521" i="14"/>
  <c r="AV513" i="14"/>
  <c r="AV512" i="14"/>
  <c r="AV511" i="14"/>
  <c r="AV504" i="14"/>
  <c r="AV502" i="14"/>
  <c r="AV500" i="14"/>
  <c r="AV492" i="14"/>
  <c r="AV487" i="14"/>
  <c r="AV486" i="14"/>
  <c r="AV484" i="14"/>
  <c r="AV483" i="14"/>
  <c r="AV730" i="14"/>
  <c r="AV729" i="14"/>
  <c r="AV728" i="14"/>
  <c r="AV727" i="14"/>
  <c r="AV722" i="14"/>
  <c r="AV704" i="14"/>
  <c r="AV703" i="14"/>
  <c r="AV701" i="14"/>
  <c r="AV700" i="14"/>
  <c r="AV699" i="14"/>
  <c r="AV698" i="14"/>
  <c r="AV697" i="14"/>
  <c r="AV696" i="14"/>
  <c r="AV695" i="14"/>
  <c r="AV694" i="14"/>
  <c r="AV692" i="14"/>
  <c r="AV691" i="14"/>
  <c r="AV690" i="14"/>
  <c r="AV689" i="14"/>
  <c r="AV688" i="14"/>
  <c r="AV686" i="14"/>
  <c r="AV685" i="14"/>
  <c r="AV684" i="14"/>
  <c r="AV683" i="14"/>
  <c r="AV678" i="14"/>
  <c r="AV676" i="14"/>
  <c r="AV670" i="14"/>
  <c r="AV654" i="14"/>
  <c r="AV653" i="14"/>
  <c r="AV652" i="14"/>
  <c r="AV651" i="14"/>
  <c r="AV650" i="14"/>
  <c r="AV649" i="14"/>
  <c r="AV648" i="14"/>
  <c r="AV644" i="14"/>
  <c r="AV643" i="14"/>
  <c r="AV642" i="14"/>
  <c r="AV640" i="14"/>
  <c r="AV637" i="14"/>
  <c r="AV632" i="14"/>
  <c r="AV629" i="14"/>
  <c r="AV627" i="14"/>
  <c r="AV623" i="14"/>
  <c r="AV613" i="14"/>
  <c r="AV611" i="14"/>
  <c r="AV591" i="14"/>
  <c r="AV589" i="14"/>
  <c r="AV587" i="14"/>
  <c r="AV585" i="14"/>
  <c r="AV583" i="14"/>
  <c r="AV580" i="14"/>
  <c r="AV578" i="14"/>
  <c r="AV576" i="14"/>
  <c r="AV574" i="14"/>
  <c r="AV571" i="14"/>
  <c r="AV569" i="14"/>
  <c r="AV567" i="14"/>
  <c r="AV565" i="14"/>
  <c r="AV563" i="14"/>
  <c r="AV561" i="14"/>
  <c r="AV558" i="14"/>
  <c r="AV556" i="14"/>
  <c r="AV553" i="14"/>
  <c r="AV550" i="14"/>
  <c r="AV548" i="14"/>
  <c r="AV545" i="14"/>
  <c r="AV536" i="14"/>
  <c r="AV535" i="14"/>
  <c r="AV531" i="14"/>
  <c r="AV530" i="14"/>
  <c r="AV524" i="14"/>
  <c r="AV523" i="14"/>
  <c r="AV522" i="14"/>
  <c r="AV518" i="14"/>
  <c r="AV517" i="14"/>
  <c r="AV515" i="14"/>
  <c r="AV514" i="14"/>
  <c r="AV510" i="14"/>
  <c r="AV509" i="14"/>
  <c r="AV505" i="14"/>
  <c r="AV503" i="14"/>
  <c r="AV501" i="14"/>
  <c r="AV499" i="14"/>
  <c r="AV498" i="14"/>
  <c r="AV485" i="14"/>
  <c r="AV476" i="14"/>
  <c r="AV474" i="14"/>
  <c r="AV468" i="14"/>
  <c r="AV466" i="14"/>
  <c r="AV465" i="14"/>
  <c r="AV459" i="14"/>
  <c r="AV457" i="14"/>
  <c r="AV454" i="14"/>
  <c r="AV453" i="14"/>
  <c r="AV448" i="14"/>
  <c r="AV441" i="14"/>
  <c r="AV437" i="14"/>
  <c r="AV430" i="14"/>
  <c r="AV429" i="14"/>
  <c r="AV428" i="14"/>
  <c r="AV425" i="14"/>
  <c r="AV424" i="14"/>
  <c r="AV422" i="14"/>
  <c r="AV419" i="14"/>
  <c r="AV417" i="14"/>
  <c r="AV416" i="14"/>
  <c r="AV412" i="14"/>
  <c r="AV407" i="14"/>
  <c r="AV406" i="14"/>
  <c r="AV404" i="14"/>
  <c r="AV398" i="14"/>
  <c r="AV397" i="14"/>
  <c r="AV393" i="14"/>
  <c r="AV392" i="14"/>
  <c r="AV390" i="14"/>
  <c r="AV389" i="14"/>
  <c r="AV388" i="14"/>
  <c r="AV386" i="14"/>
  <c r="AV384" i="14"/>
  <c r="AV381" i="14"/>
  <c r="AV371" i="14"/>
  <c r="AV369" i="14"/>
  <c r="AV367" i="14"/>
  <c r="AV366" i="14"/>
  <c r="AV365" i="14"/>
  <c r="AV361" i="14"/>
  <c r="AV357" i="14"/>
  <c r="AV355" i="14"/>
  <c r="AV350" i="14"/>
  <c r="AV344" i="14"/>
  <c r="AV328" i="14"/>
  <c r="AV315" i="14"/>
  <c r="AV314" i="14"/>
  <c r="AV312" i="14"/>
  <c r="AV310" i="14"/>
  <c r="AV305" i="14"/>
  <c r="AV304" i="14"/>
  <c r="AV298" i="14"/>
  <c r="AV296" i="14"/>
  <c r="AV295" i="14"/>
  <c r="AV288" i="14"/>
  <c r="AV283" i="14"/>
  <c r="AV281" i="14"/>
  <c r="AV280" i="14"/>
  <c r="AV275" i="14"/>
  <c r="AV273" i="14"/>
  <c r="AV256" i="14"/>
  <c r="AV255" i="14"/>
  <c r="AV253" i="14"/>
  <c r="AV247" i="14"/>
  <c r="AV244" i="14"/>
  <c r="AV243" i="14"/>
  <c r="AV238" i="14"/>
  <c r="AV237" i="14"/>
  <c r="AV235" i="14"/>
  <c r="AV214" i="14"/>
  <c r="AV213" i="14"/>
  <c r="AV212" i="14"/>
  <c r="AV207" i="14"/>
  <c r="AV206" i="14"/>
  <c r="AV205" i="14"/>
  <c r="AV203" i="14"/>
  <c r="AV171" i="14"/>
  <c r="AV168" i="14"/>
  <c r="AV166" i="14"/>
  <c r="AV164" i="14"/>
  <c r="AV162" i="14"/>
  <c r="AV160" i="14"/>
  <c r="AV158" i="14"/>
  <c r="AV157" i="14"/>
  <c r="AV139" i="14"/>
  <c r="AV138" i="14"/>
  <c r="AV137" i="14"/>
  <c r="AV134" i="14"/>
  <c r="AV131" i="14"/>
  <c r="AV130" i="14"/>
  <c r="AV129" i="14"/>
  <c r="AV127" i="14"/>
  <c r="AV126" i="14"/>
  <c r="AV114" i="14"/>
  <c r="AV111" i="14"/>
  <c r="AV64" i="14"/>
  <c r="AV62" i="14"/>
  <c r="AV60" i="14"/>
  <c r="AV475" i="14"/>
  <c r="AV473" i="14"/>
  <c r="AV469" i="14"/>
  <c r="AV467" i="14"/>
  <c r="AV464" i="14"/>
  <c r="AV463" i="14"/>
  <c r="AV460" i="14"/>
  <c r="AV458" i="14"/>
  <c r="AV455" i="14"/>
  <c r="AV447" i="14"/>
  <c r="AV446" i="14"/>
  <c r="AV444" i="14"/>
  <c r="AV442" i="14"/>
  <c r="AV438" i="14"/>
  <c r="AV436" i="14"/>
  <c r="AV435" i="14"/>
  <c r="AV427" i="14"/>
  <c r="AV423" i="14"/>
  <c r="AV420" i="14"/>
  <c r="AV418" i="14"/>
  <c r="AV413" i="14"/>
  <c r="AV405" i="14"/>
  <c r="AV396" i="14"/>
  <c r="AV395" i="14"/>
  <c r="AV387" i="14"/>
  <c r="AV385" i="14"/>
  <c r="AV383" i="14"/>
  <c r="AV380" i="14"/>
  <c r="AV370" i="14"/>
  <c r="AV368" i="14"/>
  <c r="AV364" i="14"/>
  <c r="AV363" i="14"/>
  <c r="AV360" i="14"/>
  <c r="AV356" i="14"/>
  <c r="AV354" i="14"/>
  <c r="AV353" i="14"/>
  <c r="AV351" i="14"/>
  <c r="AV347" i="14"/>
  <c r="AV346" i="14"/>
  <c r="AV345" i="14"/>
  <c r="AV333" i="14"/>
  <c r="AV332" i="14"/>
  <c r="AV331" i="14"/>
  <c r="AV330" i="14"/>
  <c r="AV329" i="14"/>
  <c r="AV327" i="14"/>
  <c r="AV319" i="14"/>
  <c r="AV318" i="14"/>
  <c r="AV317" i="14"/>
  <c r="AV316" i="14"/>
  <c r="AV313" i="14"/>
  <c r="AV311" i="14"/>
  <c r="AV309" i="14"/>
  <c r="AV306" i="14"/>
  <c r="AV303" i="14"/>
  <c r="AV297" i="14"/>
  <c r="AV294" i="14"/>
  <c r="AV289" i="14"/>
  <c r="AV287" i="14"/>
  <c r="AV282" i="14"/>
  <c r="AV276" i="14"/>
  <c r="AV274" i="14"/>
  <c r="AV257" i="14"/>
  <c r="AV254" i="14"/>
  <c r="AV252" i="14"/>
  <c r="AV250" i="14"/>
  <c r="AV249" i="14"/>
  <c r="AV248" i="14"/>
  <c r="AV246" i="14"/>
  <c r="AV242" i="14"/>
  <c r="AV241" i="14"/>
  <c r="AV236" i="14"/>
  <c r="AV234" i="14"/>
  <c r="AV211" i="14"/>
  <c r="AV210" i="14"/>
  <c r="AV209" i="14"/>
  <c r="AV208" i="14"/>
  <c r="AV204" i="14"/>
  <c r="AV173" i="14"/>
  <c r="AV172" i="14"/>
  <c r="AV170" i="14"/>
  <c r="AV169" i="14"/>
  <c r="AV167" i="14"/>
  <c r="AV165" i="14"/>
  <c r="AV161" i="14"/>
  <c r="AV159" i="14"/>
  <c r="AV136" i="14"/>
  <c r="AV135" i="14"/>
  <c r="AV133" i="14"/>
  <c r="AV132" i="14"/>
  <c r="AV128" i="14"/>
  <c r="AV116" i="14"/>
  <c r="AV112" i="14"/>
  <c r="AV63" i="14"/>
  <c r="AV61" i="14"/>
  <c r="AV59" i="14"/>
  <c r="AV57" i="14"/>
  <c r="AV55" i="14"/>
  <c r="AV53" i="14"/>
  <c r="AV51" i="14"/>
  <c r="AV49" i="14"/>
  <c r="AV46" i="14"/>
  <c r="AV45" i="14"/>
  <c r="AV42" i="14"/>
  <c r="AV37" i="14"/>
  <c r="AV33" i="14"/>
  <c r="AV31" i="14"/>
  <c r="AV29" i="14"/>
  <c r="AV27" i="14"/>
  <c r="AV25" i="14"/>
  <c r="AV23" i="14"/>
  <c r="AV58" i="14"/>
  <c r="AV54" i="14"/>
  <c r="AV50" i="14"/>
  <c r="AV47" i="14"/>
  <c r="AV41" i="14"/>
  <c r="AV39" i="14"/>
  <c r="AV34" i="14"/>
  <c r="AV30" i="14"/>
  <c r="AV26" i="14"/>
  <c r="AV22" i="14"/>
  <c r="AV56" i="14"/>
  <c r="AV52" i="14"/>
  <c r="AV44" i="14"/>
  <c r="AV43" i="14"/>
  <c r="AV32" i="14"/>
  <c r="AV28" i="14"/>
  <c r="AV24" i="14"/>
  <c r="E20" i="14"/>
  <c r="F19" i="14"/>
  <c r="E19" i="14" s="1"/>
  <c r="D11" i="12"/>
  <c r="AE182" i="8" l="1"/>
  <c r="F182" i="8" s="1"/>
  <c r="B182" i="8"/>
  <c r="AE220" i="8"/>
  <c r="AE219" i="8"/>
  <c r="F219" i="8" s="1"/>
  <c r="B219" i="8"/>
  <c r="AE196" i="8"/>
  <c r="F196" i="8" s="1"/>
  <c r="B196" i="8"/>
  <c r="E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Z231" i="8"/>
  <c r="AA231" i="8"/>
  <c r="AB231" i="8"/>
  <c r="AC231" i="8"/>
  <c r="AD231" i="8"/>
  <c r="AF231" i="8"/>
  <c r="AG231" i="8"/>
  <c r="B232" i="8"/>
  <c r="AE232" i="8"/>
  <c r="AE231" i="8" s="1"/>
  <c r="AE243" i="8"/>
  <c r="AE241" i="8"/>
  <c r="F241" i="8" s="1"/>
  <c r="F240" i="8" s="1"/>
  <c r="B241" i="8"/>
  <c r="AG240" i="8"/>
  <c r="AF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E240" i="8"/>
  <c r="AE24" i="8"/>
  <c r="AE38" i="8"/>
  <c r="AE45" i="8"/>
  <c r="F232" i="8" l="1"/>
  <c r="F231" i="8" s="1"/>
  <c r="AE240" i="8"/>
  <c r="E13" i="10" l="1"/>
  <c r="D13" i="10"/>
  <c r="C13" i="10"/>
  <c r="E32" i="10"/>
  <c r="D32" i="10"/>
  <c r="C32" i="10"/>
  <c r="E12" i="10" l="1"/>
  <c r="D12" i="10"/>
  <c r="C12" i="10"/>
  <c r="B243" i="8"/>
  <c r="B239" i="8"/>
  <c r="B237" i="8"/>
  <c r="B235" i="8"/>
  <c r="B234" i="8"/>
  <c r="B230" i="8"/>
  <c r="B228" i="8"/>
  <c r="B226" i="8"/>
  <c r="B224" i="8"/>
  <c r="B222" i="8"/>
  <c r="B220" i="8"/>
  <c r="B218" i="8"/>
  <c r="B217" i="8"/>
  <c r="B215" i="8"/>
  <c r="B213" i="8"/>
  <c r="B211" i="8"/>
  <c r="B209" i="8"/>
  <c r="B208" i="8"/>
  <c r="B207" i="8"/>
  <c r="B205" i="8"/>
  <c r="B204" i="8"/>
  <c r="B202" i="8"/>
  <c r="B201" i="8"/>
  <c r="B199" i="8"/>
  <c r="B197" i="8"/>
  <c r="B195" i="8"/>
  <c r="B194" i="8"/>
  <c r="B193" i="8"/>
  <c r="B191" i="8"/>
  <c r="B189" i="8"/>
  <c r="B188" i="8"/>
  <c r="B186" i="8"/>
  <c r="B185" i="8"/>
  <c r="B183" i="8"/>
  <c r="B181" i="8"/>
  <c r="B180" i="8"/>
  <c r="B179" i="8"/>
  <c r="B178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3" i="8"/>
  <c r="B132" i="8"/>
  <c r="B131" i="8"/>
  <c r="B130" i="8"/>
  <c r="B128" i="8"/>
  <c r="B127" i="8"/>
  <c r="B126" i="8"/>
  <c r="B125" i="8"/>
  <c r="B124" i="8"/>
  <c r="B123" i="8"/>
  <c r="B122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3" i="8"/>
  <c r="B88" i="8"/>
  <c r="B86" i="8"/>
  <c r="B84" i="8"/>
  <c r="B82" i="8"/>
  <c r="B80" i="8"/>
  <c r="B79" i="8"/>
  <c r="B78" i="8"/>
  <c r="B76" i="8"/>
  <c r="B74" i="8"/>
  <c r="B72" i="8"/>
  <c r="B71" i="8"/>
  <c r="B70" i="8"/>
  <c r="AE88" i="8"/>
  <c r="F88" i="8" s="1"/>
  <c r="F87" i="8" s="1"/>
  <c r="AG87" i="8"/>
  <c r="AF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E87" i="8"/>
  <c r="AE86" i="8"/>
  <c r="F86" i="8" s="1"/>
  <c r="F85" i="8" s="1"/>
  <c r="AG85" i="8"/>
  <c r="AF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E85" i="8"/>
  <c r="AE84" i="8"/>
  <c r="F84" i="8" s="1"/>
  <c r="F83" i="8" s="1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E82" i="8"/>
  <c r="F82" i="8" s="1"/>
  <c r="F81" i="8" s="1"/>
  <c r="AG81" i="8"/>
  <c r="AF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E81" i="8"/>
  <c r="E77" i="8"/>
  <c r="AE80" i="8"/>
  <c r="F80" i="8" s="1"/>
  <c r="AE79" i="8"/>
  <c r="F79" i="8" s="1"/>
  <c r="AE78" i="8"/>
  <c r="F78" i="8" s="1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AE76" i="8"/>
  <c r="F76" i="8" s="1"/>
  <c r="AG75" i="8"/>
  <c r="AF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E75" i="8"/>
  <c r="AE74" i="8"/>
  <c r="F74" i="8" s="1"/>
  <c r="F73" i="8" s="1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F72" i="8" s="1"/>
  <c r="AE71" i="8"/>
  <c r="F71" i="8" s="1"/>
  <c r="AE70" i="8"/>
  <c r="F70" i="8" s="1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H68" i="8" l="1"/>
  <c r="L68" i="8"/>
  <c r="P68" i="8"/>
  <c r="T68" i="8"/>
  <c r="X68" i="8"/>
  <c r="AB68" i="8"/>
  <c r="AG68" i="8"/>
  <c r="I68" i="8"/>
  <c r="M68" i="8"/>
  <c r="Q68" i="8"/>
  <c r="U68" i="8"/>
  <c r="Y68" i="8"/>
  <c r="AC68" i="8"/>
  <c r="J68" i="8"/>
  <c r="N68" i="8"/>
  <c r="R68" i="8"/>
  <c r="V68" i="8"/>
  <c r="Z68" i="8"/>
  <c r="AD68" i="8"/>
  <c r="G68" i="8"/>
  <c r="K68" i="8"/>
  <c r="O68" i="8"/>
  <c r="S68" i="8"/>
  <c r="W68" i="8"/>
  <c r="AA68" i="8"/>
  <c r="AF68" i="8"/>
  <c r="E68" i="8"/>
  <c r="AE77" i="8"/>
  <c r="F69" i="8"/>
  <c r="F75" i="8"/>
  <c r="F77" i="8"/>
  <c r="AE69" i="8"/>
  <c r="AE81" i="8"/>
  <c r="AE83" i="8"/>
  <c r="AE85" i="8"/>
  <c r="AE73" i="8"/>
  <c r="AE75" i="8"/>
  <c r="AE87" i="8"/>
  <c r="F68" i="8" l="1"/>
  <c r="AE68" i="8"/>
  <c r="P207" i="8" l="1"/>
  <c r="AG98" i="8" l="1"/>
  <c r="AF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N98" i="8"/>
  <c r="M98" i="8"/>
  <c r="L98" i="8"/>
  <c r="K98" i="8"/>
  <c r="J98" i="8"/>
  <c r="I98" i="8"/>
  <c r="H98" i="8"/>
  <c r="G98" i="8"/>
  <c r="E98" i="8"/>
  <c r="O98" i="8"/>
  <c r="AE99" i="8"/>
  <c r="F99" i="8" s="1"/>
  <c r="F98" i="8" s="1"/>
  <c r="B99" i="8"/>
  <c r="AE36" i="8"/>
  <c r="AE98" i="8" l="1"/>
  <c r="F243" i="8" l="1"/>
  <c r="F242" i="8" s="1"/>
  <c r="AG242" i="8"/>
  <c r="AF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E242" i="8"/>
  <c r="AE239" i="8"/>
  <c r="F239" i="8" s="1"/>
  <c r="F238" i="8" s="1"/>
  <c r="AG238" i="8"/>
  <c r="AF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AE237" i="8"/>
  <c r="F237" i="8" s="1"/>
  <c r="F236" i="8" s="1"/>
  <c r="AG236" i="8"/>
  <c r="AF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E236" i="8"/>
  <c r="AE235" i="8"/>
  <c r="F235" i="8" s="1"/>
  <c r="F234" i="8"/>
  <c r="AG233" i="8"/>
  <c r="AF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E233" i="8"/>
  <c r="AE230" i="8"/>
  <c r="F230" i="8" s="1"/>
  <c r="F229" i="8" s="1"/>
  <c r="AG229" i="8"/>
  <c r="AF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E229" i="8"/>
  <c r="AE228" i="8"/>
  <c r="F228" i="8" s="1"/>
  <c r="F227" i="8" s="1"/>
  <c r="AG227" i="8"/>
  <c r="AF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E227" i="8"/>
  <c r="AE226" i="8"/>
  <c r="AE225" i="8" s="1"/>
  <c r="AG225" i="8"/>
  <c r="AF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E225" i="8"/>
  <c r="F224" i="8"/>
  <c r="F223" i="8" s="1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E223" i="8"/>
  <c r="F222" i="8"/>
  <c r="F221" i="8" s="1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E221" i="8"/>
  <c r="F220" i="8"/>
  <c r="AE218" i="8"/>
  <c r="F218" i="8" s="1"/>
  <c r="AE217" i="8"/>
  <c r="F217" i="8" s="1"/>
  <c r="AG216" i="8"/>
  <c r="AF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E216" i="8"/>
  <c r="AE215" i="8"/>
  <c r="F215" i="8" s="1"/>
  <c r="AE213" i="8"/>
  <c r="AE212" i="8" s="1"/>
  <c r="AG212" i="8"/>
  <c r="AF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E212" i="8"/>
  <c r="AE211" i="8"/>
  <c r="F211" i="8" s="1"/>
  <c r="F210" i="8" s="1"/>
  <c r="AG210" i="8"/>
  <c r="AF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E210" i="8"/>
  <c r="AE209" i="8"/>
  <c r="F209" i="8" s="1"/>
  <c r="AE208" i="8"/>
  <c r="AE207" i="8"/>
  <c r="F207" i="8" s="1"/>
  <c r="AG206" i="8"/>
  <c r="AF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E206" i="8"/>
  <c r="AE205" i="8"/>
  <c r="F205" i="8" s="1"/>
  <c r="AE204" i="8"/>
  <c r="F204" i="8" s="1"/>
  <c r="AG203" i="8"/>
  <c r="AF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E203" i="8"/>
  <c r="AE202" i="8"/>
  <c r="F202" i="8" s="1"/>
  <c r="AE201" i="8"/>
  <c r="F201" i="8" s="1"/>
  <c r="AG200" i="8"/>
  <c r="AF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F199" i="8"/>
  <c r="F198" i="8" s="1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/>
  <c r="AE197" i="8"/>
  <c r="F197" i="8" s="1"/>
  <c r="AE195" i="8"/>
  <c r="F195" i="8" s="1"/>
  <c r="AE194" i="8"/>
  <c r="F194" i="8" s="1"/>
  <c r="AE193" i="8"/>
  <c r="F193" i="8" s="1"/>
  <c r="AG192" i="8"/>
  <c r="AF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E192" i="8"/>
  <c r="AE191" i="8"/>
  <c r="F191" i="8" s="1"/>
  <c r="F190" i="8" s="1"/>
  <c r="AG190" i="8"/>
  <c r="AF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E190" i="8"/>
  <c r="AE189" i="8"/>
  <c r="F189" i="8" s="1"/>
  <c r="F188" i="8"/>
  <c r="AG187" i="8"/>
  <c r="AF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E187" i="8"/>
  <c r="F186" i="8"/>
  <c r="F185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E184" i="8"/>
  <c r="AE183" i="8"/>
  <c r="F183" i="8" s="1"/>
  <c r="AE181" i="8"/>
  <c r="F181" i="8" s="1"/>
  <c r="AE180" i="8"/>
  <c r="F180" i="8" s="1"/>
  <c r="AE179" i="8"/>
  <c r="F179" i="8" s="1"/>
  <c r="AE178" i="8"/>
  <c r="F178" i="8" s="1"/>
  <c r="AG177" i="8"/>
  <c r="AF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E177" i="8"/>
  <c r="AE176" i="8"/>
  <c r="F176" i="8" s="1"/>
  <c r="AE175" i="8"/>
  <c r="F175" i="8" s="1"/>
  <c r="F174" i="8"/>
  <c r="AE173" i="8"/>
  <c r="F173" i="8" s="1"/>
  <c r="F172" i="8"/>
  <c r="F171" i="8"/>
  <c r="F170" i="8"/>
  <c r="F169" i="8"/>
  <c r="F168" i="8"/>
  <c r="F167" i="8"/>
  <c r="F166" i="8"/>
  <c r="F165" i="8"/>
  <c r="F164" i="8"/>
  <c r="F163" i="8"/>
  <c r="F162" i="8"/>
  <c r="AG161" i="8"/>
  <c r="AF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E161" i="8"/>
  <c r="AE160" i="8"/>
  <c r="F160" i="8" s="1"/>
  <c r="AE159" i="8"/>
  <c r="F159" i="8" s="1"/>
  <c r="AE158" i="8"/>
  <c r="F158" i="8" s="1"/>
  <c r="AE157" i="8"/>
  <c r="F157" i="8" s="1"/>
  <c r="AE156" i="8"/>
  <c r="F156" i="8" s="1"/>
  <c r="AE155" i="8"/>
  <c r="F155" i="8" s="1"/>
  <c r="AE154" i="8"/>
  <c r="F154" i="8" s="1"/>
  <c r="AE153" i="8"/>
  <c r="F153" i="8" s="1"/>
  <c r="AE152" i="8"/>
  <c r="F152" i="8" s="1"/>
  <c r="AE151" i="8"/>
  <c r="F151" i="8" s="1"/>
  <c r="F150" i="8"/>
  <c r="AE149" i="8"/>
  <c r="F149" i="8" s="1"/>
  <c r="AE148" i="8"/>
  <c r="F148" i="8" s="1"/>
  <c r="AE147" i="8"/>
  <c r="F147" i="8" s="1"/>
  <c r="AE146" i="8"/>
  <c r="F146" i="8" s="1"/>
  <c r="AE145" i="8"/>
  <c r="F145" i="8" s="1"/>
  <c r="AE144" i="8"/>
  <c r="F144" i="8" s="1"/>
  <c r="F143" i="8"/>
  <c r="AE142" i="8"/>
  <c r="F142" i="8" s="1"/>
  <c r="F141" i="8"/>
  <c r="F140" i="8"/>
  <c r="AE139" i="8"/>
  <c r="F139" i="8" s="1"/>
  <c r="AE138" i="8"/>
  <c r="F138" i="8" s="1"/>
  <c r="AE137" i="8"/>
  <c r="F137" i="8" s="1"/>
  <c r="AE136" i="8"/>
  <c r="F136" i="8" s="1"/>
  <c r="AE135" i="8"/>
  <c r="F135" i="8" s="1"/>
  <c r="AG134" i="8"/>
  <c r="AF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E134" i="8"/>
  <c r="F133" i="8"/>
  <c r="AE132" i="8"/>
  <c r="F132" i="8" s="1"/>
  <c r="F131" i="8"/>
  <c r="F130" i="8"/>
  <c r="AG129" i="8"/>
  <c r="AF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E129" i="8"/>
  <c r="AE128" i="8"/>
  <c r="F128" i="8" s="1"/>
  <c r="AE127" i="8"/>
  <c r="F127" i="8" s="1"/>
  <c r="AE126" i="8"/>
  <c r="F126" i="8" s="1"/>
  <c r="F125" i="8"/>
  <c r="F124" i="8"/>
  <c r="AE123" i="8"/>
  <c r="F123" i="8" s="1"/>
  <c r="AE122" i="8"/>
  <c r="F122" i="8" s="1"/>
  <c r="AG121" i="8"/>
  <c r="AF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E121" i="8"/>
  <c r="AE120" i="8"/>
  <c r="F120" i="8" s="1"/>
  <c r="AE119" i="8"/>
  <c r="F119" i="8" s="1"/>
  <c r="AE118" i="8"/>
  <c r="F118" i="8" s="1"/>
  <c r="AE117" i="8"/>
  <c r="F117" i="8" s="1"/>
  <c r="AE116" i="8"/>
  <c r="F116" i="8" s="1"/>
  <c r="F115" i="8"/>
  <c r="AE114" i="8"/>
  <c r="F114" i="8" s="1"/>
  <c r="F113" i="8"/>
  <c r="F112" i="8"/>
  <c r="AE111" i="8"/>
  <c r="F111" i="8" s="1"/>
  <c r="AE110" i="8"/>
  <c r="F110" i="8" s="1"/>
  <c r="AE109" i="8"/>
  <c r="F109" i="8" s="1"/>
  <c r="AE108" i="8"/>
  <c r="F108" i="8" s="1"/>
  <c r="F107" i="8"/>
  <c r="AE106" i="8"/>
  <c r="F106" i="8" s="1"/>
  <c r="AE105" i="8"/>
  <c r="AG104" i="8"/>
  <c r="AF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E104" i="8"/>
  <c r="AE103" i="8"/>
  <c r="F103" i="8" s="1"/>
  <c r="F102" i="8"/>
  <c r="B102" i="8"/>
  <c r="AE101" i="8"/>
  <c r="F101" i="8" s="1"/>
  <c r="B101" i="8"/>
  <c r="AG100" i="8"/>
  <c r="AF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E100" i="8"/>
  <c r="F97" i="8"/>
  <c r="B97" i="8"/>
  <c r="AE96" i="8"/>
  <c r="F96" i="8" s="1"/>
  <c r="B96" i="8"/>
  <c r="AE95" i="8"/>
  <c r="F95" i="8" s="1"/>
  <c r="B95" i="8"/>
  <c r="AE94" i="8"/>
  <c r="F94" i="8" s="1"/>
  <c r="B94" i="8"/>
  <c r="AE93" i="8"/>
  <c r="F93" i="8" s="1"/>
  <c r="B93" i="8"/>
  <c r="F92" i="8"/>
  <c r="B92" i="8"/>
  <c r="AG91" i="8"/>
  <c r="AF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E91" i="8"/>
  <c r="J90" i="8" l="1"/>
  <c r="N90" i="8"/>
  <c r="R90" i="8"/>
  <c r="V90" i="8"/>
  <c r="Z90" i="8"/>
  <c r="AD90" i="8"/>
  <c r="S90" i="8"/>
  <c r="K90" i="8"/>
  <c r="W90" i="8"/>
  <c r="AF90" i="8"/>
  <c r="H90" i="8"/>
  <c r="L90" i="8"/>
  <c r="P90" i="8"/>
  <c r="T90" i="8"/>
  <c r="X90" i="8"/>
  <c r="AB90" i="8"/>
  <c r="AG90" i="8"/>
  <c r="G90" i="8"/>
  <c r="O90" i="8"/>
  <c r="AA90" i="8"/>
  <c r="I90" i="8"/>
  <c r="M90" i="8"/>
  <c r="Q90" i="8"/>
  <c r="U90" i="8"/>
  <c r="Y90" i="8"/>
  <c r="AC90" i="8"/>
  <c r="AE104" i="8"/>
  <c r="F184" i="8"/>
  <c r="F213" i="8"/>
  <c r="F212" i="8" s="1"/>
  <c r="F187" i="8"/>
  <c r="F200" i="8"/>
  <c r="F129" i="8"/>
  <c r="AE190" i="8"/>
  <c r="AE206" i="8"/>
  <c r="AE229" i="8"/>
  <c r="AE100" i="8"/>
  <c r="AE210" i="8"/>
  <c r="AE236" i="8"/>
  <c r="F91" i="8"/>
  <c r="AE129" i="8"/>
  <c r="F134" i="8"/>
  <c r="F177" i="8"/>
  <c r="F192" i="8"/>
  <c r="F216" i="8"/>
  <c r="AE233" i="8"/>
  <c r="AE242" i="8"/>
  <c r="F100" i="8"/>
  <c r="F161" i="8"/>
  <c r="F105" i="8"/>
  <c r="F104" i="8" s="1"/>
  <c r="F203" i="8"/>
  <c r="F233" i="8"/>
  <c r="AE200" i="8"/>
  <c r="F208" i="8"/>
  <c r="F206" i="8" s="1"/>
  <c r="F226" i="8"/>
  <c r="F225" i="8" s="1"/>
  <c r="F121" i="8"/>
  <c r="AE177" i="8"/>
  <c r="AE121" i="8"/>
  <c r="AE134" i="8"/>
  <c r="AE187" i="8"/>
  <c r="AE192" i="8"/>
  <c r="AE203" i="8"/>
  <c r="AE216" i="8"/>
  <c r="AE227" i="8"/>
  <c r="AE238" i="8"/>
  <c r="AE91" i="8"/>
  <c r="AE161" i="8"/>
  <c r="F90" i="8" l="1"/>
  <c r="AE90" i="8"/>
  <c r="D10" i="12" l="1"/>
  <c r="E10" i="12" s="1"/>
  <c r="AE26" i="8" l="1"/>
  <c r="F26" i="8" s="1"/>
  <c r="B26" i="8"/>
  <c r="AE51" i="8" l="1"/>
  <c r="E17" i="8" l="1"/>
  <c r="E19" i="8"/>
  <c r="E28" i="8"/>
  <c r="E30" i="8"/>
  <c r="E32" i="8"/>
  <c r="E34" i="8"/>
  <c r="E37" i="8"/>
  <c r="E44" i="8"/>
  <c r="E40" i="8" s="1"/>
  <c r="E46" i="8"/>
  <c r="E48" i="8"/>
  <c r="E52" i="8"/>
  <c r="E54" i="8"/>
  <c r="E56" i="8"/>
  <c r="E58" i="8"/>
  <c r="E62" i="8"/>
  <c r="E64" i="8"/>
  <c r="E66" i="8"/>
  <c r="E16" i="8" l="1"/>
  <c r="E15" i="8"/>
  <c r="F51" i="8" l="1"/>
  <c r="AE65" i="8" l="1"/>
  <c r="F65" i="8" s="1"/>
  <c r="F64" i="8" s="1"/>
  <c r="E42" i="10" l="1"/>
  <c r="D42" i="10"/>
  <c r="C42" i="10"/>
  <c r="F67" i="8"/>
  <c r="F66" i="8" s="1"/>
  <c r="B67" i="8"/>
  <c r="AG66" i="8"/>
  <c r="AF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B65" i="8"/>
  <c r="AG64" i="8"/>
  <c r="AF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3" i="8"/>
  <c r="F62" i="8" s="1"/>
  <c r="B63" i="8"/>
  <c r="AG62" i="8"/>
  <c r="AF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1" i="8"/>
  <c r="B61" i="8"/>
  <c r="P60" i="8"/>
  <c r="B60" i="8"/>
  <c r="F59" i="8"/>
  <c r="B59" i="8"/>
  <c r="AG58" i="8"/>
  <c r="AF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O58" i="8"/>
  <c r="N58" i="8"/>
  <c r="M58" i="8"/>
  <c r="L58" i="8"/>
  <c r="K58" i="8"/>
  <c r="J58" i="8"/>
  <c r="I58" i="8"/>
  <c r="H58" i="8"/>
  <c r="G58" i="8"/>
  <c r="F57" i="8"/>
  <c r="F56" i="8" s="1"/>
  <c r="B57" i="8"/>
  <c r="AG56" i="8"/>
  <c r="AF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AE55" i="8"/>
  <c r="F55" i="8" s="1"/>
  <c r="F54" i="8" s="1"/>
  <c r="B55" i="8"/>
  <c r="AG54" i="8"/>
  <c r="AF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3" i="8"/>
  <c r="F52" i="8" s="1"/>
  <c r="B53" i="8"/>
  <c r="AG52" i="8"/>
  <c r="AF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B51" i="8"/>
  <c r="F50" i="8"/>
  <c r="B50" i="8"/>
  <c r="F49" i="8"/>
  <c r="B49" i="8"/>
  <c r="AG48" i="8"/>
  <c r="AF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AE47" i="8"/>
  <c r="F47" i="8" s="1"/>
  <c r="F46" i="8" s="1"/>
  <c r="B47" i="8"/>
  <c r="AG46" i="8"/>
  <c r="AF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5" i="8"/>
  <c r="F44" i="8" s="1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AE43" i="8"/>
  <c r="F43" i="8" s="1"/>
  <c r="B43" i="8"/>
  <c r="AE42" i="8"/>
  <c r="F42" i="8" s="1"/>
  <c r="B42" i="8"/>
  <c r="AE41" i="8"/>
  <c r="F41" i="8" s="1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39" i="8"/>
  <c r="B39" i="8"/>
  <c r="F38" i="8"/>
  <c r="B38" i="8"/>
  <c r="AG37" i="8"/>
  <c r="AF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6" i="8"/>
  <c r="B36" i="8"/>
  <c r="AE35" i="8"/>
  <c r="F35" i="8" s="1"/>
  <c r="B35" i="8"/>
  <c r="AG34" i="8"/>
  <c r="AF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AE33" i="8"/>
  <c r="F33" i="8" s="1"/>
  <c r="F32" i="8" s="1"/>
  <c r="B33" i="8"/>
  <c r="AG32" i="8"/>
  <c r="AF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1" i="8"/>
  <c r="F30" i="8" s="1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AE29" i="8"/>
  <c r="F29" i="8" s="1"/>
  <c r="F28" i="8" s="1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AE27" i="8"/>
  <c r="F27" i="8" s="1"/>
  <c r="B27" i="8"/>
  <c r="AE25" i="8"/>
  <c r="F25" i="8" s="1"/>
  <c r="B25" i="8"/>
  <c r="F24" i="8"/>
  <c r="B24" i="8"/>
  <c r="F23" i="8"/>
  <c r="B23" i="8"/>
  <c r="AE22" i="8"/>
  <c r="F22" i="8" s="1"/>
  <c r="B22" i="8"/>
  <c r="AE21" i="8"/>
  <c r="F21" i="8" s="1"/>
  <c r="B21" i="8"/>
  <c r="F20" i="8"/>
  <c r="B20" i="8"/>
  <c r="AG19" i="8"/>
  <c r="AF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AE18" i="8"/>
  <c r="B18" i="8"/>
  <c r="AG17" i="8"/>
  <c r="AF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O17" i="8"/>
  <c r="N17" i="8"/>
  <c r="M17" i="8"/>
  <c r="L17" i="8"/>
  <c r="K17" i="8"/>
  <c r="J17" i="8"/>
  <c r="I17" i="8"/>
  <c r="H17" i="8"/>
  <c r="G17" i="8"/>
  <c r="Q16" i="8" l="1"/>
  <c r="Q15" i="8" s="1"/>
  <c r="U16" i="8"/>
  <c r="U15" i="8" s="1"/>
  <c r="Y16" i="8"/>
  <c r="Y15" i="8" s="1"/>
  <c r="AC16" i="8"/>
  <c r="AC15" i="8" s="1"/>
  <c r="I16" i="8"/>
  <c r="I15" i="8" s="1"/>
  <c r="M16" i="8"/>
  <c r="M15" i="8" s="1"/>
  <c r="R16" i="8"/>
  <c r="R15" i="8" s="1"/>
  <c r="V16" i="8"/>
  <c r="V15" i="8" s="1"/>
  <c r="Z16" i="8"/>
  <c r="Z15" i="8" s="1"/>
  <c r="AD16" i="8"/>
  <c r="AD15" i="8" s="1"/>
  <c r="J16" i="8"/>
  <c r="J15" i="8" s="1"/>
  <c r="N16" i="8"/>
  <c r="N15" i="8" s="1"/>
  <c r="S16" i="8"/>
  <c r="S15" i="8" s="1"/>
  <c r="W16" i="8"/>
  <c r="W15" i="8" s="1"/>
  <c r="AA16" i="8"/>
  <c r="AA15" i="8" s="1"/>
  <c r="AF16" i="8"/>
  <c r="AF15" i="8" s="1"/>
  <c r="G16" i="8"/>
  <c r="G15" i="8" s="1"/>
  <c r="K16" i="8"/>
  <c r="K15" i="8" s="1"/>
  <c r="O16" i="8"/>
  <c r="O15" i="8" s="1"/>
  <c r="T16" i="8"/>
  <c r="T15" i="8" s="1"/>
  <c r="X16" i="8"/>
  <c r="X15" i="8" s="1"/>
  <c r="AB16" i="8"/>
  <c r="AB15" i="8" s="1"/>
  <c r="AG16" i="8"/>
  <c r="AG15" i="8" s="1"/>
  <c r="H16" i="8"/>
  <c r="H15" i="8" s="1"/>
  <c r="L16" i="8"/>
  <c r="L15" i="8" s="1"/>
  <c r="F18" i="8"/>
  <c r="F17" i="8" s="1"/>
  <c r="F37" i="8"/>
  <c r="F19" i="8"/>
  <c r="F34" i="8"/>
  <c r="F40" i="8"/>
  <c r="F48" i="8"/>
  <c r="P58" i="8"/>
  <c r="F60" i="8"/>
  <c r="F58" i="8" s="1"/>
  <c r="AE52" i="8"/>
  <c r="AE54" i="8"/>
  <c r="AE56" i="8"/>
  <c r="AE66" i="8"/>
  <c r="AE64" i="8"/>
  <c r="AE58" i="8"/>
  <c r="AE62" i="8"/>
  <c r="AE17" i="8"/>
  <c r="AE40" i="8"/>
  <c r="AE32" i="8"/>
  <c r="AE46" i="8"/>
  <c r="AE19" i="8"/>
  <c r="AE30" i="8"/>
  <c r="AE44" i="8"/>
  <c r="AE34" i="8"/>
  <c r="AE48" i="8"/>
  <c r="AE37" i="8"/>
  <c r="AE28" i="8"/>
  <c r="AE16" i="8" l="1"/>
  <c r="AE15" i="8" s="1"/>
  <c r="P16" i="8"/>
  <c r="P15" i="8" s="1"/>
  <c r="F16" i="8"/>
  <c r="F15" i="8" s="1"/>
</calcChain>
</file>

<file path=xl/comments1.xml><?xml version="1.0" encoding="utf-8"?>
<comments xmlns="http://schemas.openxmlformats.org/spreadsheetml/2006/main">
  <authors>
    <author>Татьяна Николаевна Базжина</author>
    <author/>
    <author>RePack by Diakov</author>
  </authors>
  <commentList>
    <comment ref="N35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3 и 4 п видела документы</t>
        </r>
      </text>
    </comment>
    <comment ref="N43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P70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Только часть работ, будет повторно перевыставлен, заявка на повторное выставление
</t>
        </r>
      </text>
    </comment>
    <comment ref="T110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P266" authorId="0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F281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T372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P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F423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E51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T532" authorId="1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I848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I849" authorId="0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</commentList>
</comments>
</file>

<file path=xl/comments2.xml><?xml version="1.0" encoding="utf-8"?>
<comments xmlns="http://schemas.openxmlformats.org/spreadsheetml/2006/main">
  <authors>
    <author>Татьяна Николаевна Базжина</author>
    <author>Екатерина Александровна Бутылина</author>
  </authors>
  <commentList>
    <comment ref="AE51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 xml:space="preserve">Оплачено только 6284,85
</t>
        </r>
      </text>
    </comment>
    <comment ref="C239" authorId="1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<sst xmlns="http://schemas.openxmlformats.org/spreadsheetml/2006/main" count="14554" uniqueCount="2298">
  <si>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</si>
  <si>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</si>
  <si>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</si>
  <si>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</si>
  <si>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</si>
  <si>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</si>
  <si>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</si>
  <si>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</si>
  <si>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</si>
  <si>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</si>
  <si>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</si>
  <si>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</si>
  <si>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</si>
  <si>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</si>
  <si>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</si>
  <si>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</si>
  <si>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</si>
  <si>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</si>
  <si>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</si>
  <si>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строительный контроль</t>
  </si>
  <si>
    <t>разработка проектной документации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</si>
  <si>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</si>
  <si>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</si>
  <si>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</si>
  <si>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</si>
  <si>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</si>
  <si>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</si>
  <si>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</si>
  <si>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</si>
  <si>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</si>
  <si>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</si>
  <si>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Суздальский р-н, Боголюбово п, Западная ул, 5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</si>
  <si>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</si>
  <si>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</si>
  <si>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</si>
  <si>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</si>
  <si>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</si>
  <si>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</si>
  <si>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Наименование организации, осуществляющей управление МКД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</si>
  <si>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</si>
  <si>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</si>
  <si>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</si>
  <si>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</si>
  <si>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</si>
  <si>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</si>
  <si>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</si>
  <si>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</si>
  <si>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</si>
  <si>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</si>
  <si>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</si>
  <si>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</si>
  <si>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ООО"НАШ ДОМ"</t>
  </si>
  <si>
    <t>МКП г. Судогда "Коммунальщик"</t>
  </si>
  <si>
    <t>ООО "УК"Наш Дом"</t>
  </si>
  <si>
    <t>МУМП ЖКХ п.Ставрово</t>
  </si>
  <si>
    <t>ООО УК "Пономарев С.А."</t>
  </si>
  <si>
    <t>2</t>
  </si>
  <si>
    <t>1</t>
  </si>
  <si>
    <t>1961</t>
  </si>
  <si>
    <t>4</t>
  </si>
  <si>
    <t>Панельные</t>
  </si>
  <si>
    <t>3</t>
  </si>
  <si>
    <t>1981</t>
  </si>
  <si>
    <t>Ж/б панели</t>
  </si>
  <si>
    <t>МУП "ЖКХ" ЗАТО г. Радужный</t>
  </si>
  <si>
    <t>ООО "Домоуправ"</t>
  </si>
  <si>
    <t>ООО "Верба"</t>
  </si>
  <si>
    <t>ООО УК "Партнер"</t>
  </si>
  <si>
    <t>Деревянные</t>
  </si>
  <si>
    <t>ООО "ГУК"</t>
  </si>
  <si>
    <t>Блочные</t>
  </si>
  <si>
    <t>ТСЖ</t>
  </si>
  <si>
    <t>ООО "МУПЖРЭП"</t>
  </si>
  <si>
    <t>ООО "Жилищник-Центр"</t>
  </si>
  <si>
    <t>1976</t>
  </si>
  <si>
    <t>5</t>
  </si>
  <si>
    <t>1977</t>
  </si>
  <si>
    <t>1948</t>
  </si>
  <si>
    <t>1985</t>
  </si>
  <si>
    <t>1983</t>
  </si>
  <si>
    <t>1966</t>
  </si>
  <si>
    <t>Радужный г, 1-й кв-л, 26</t>
  </si>
  <si>
    <t>Александров г, Маяковского ул, 1</t>
  </si>
  <si>
    <t>Вязниковский р-н, Никологоры п, Подгорье ул, 13</t>
  </si>
  <si>
    <t>ООО "Балремстрой"</t>
  </si>
  <si>
    <t>Наименование МО</t>
  </si>
  <si>
    <t>Общая
площадь
МКД, всего</t>
  </si>
  <si>
    <t>Количество МКД</t>
  </si>
  <si>
    <t>Стоимость капитального ремонта, всего</t>
  </si>
  <si>
    <t>кв.м.</t>
  </si>
  <si>
    <t>Х</t>
  </si>
  <si>
    <t>Итого по город Ковров</t>
  </si>
  <si>
    <t>Ковров г, Железнодорожная ул, 55</t>
  </si>
  <si>
    <t>Ковров г, Ватутина ул, 2в</t>
  </si>
  <si>
    <t>ООО УК "Согласие"</t>
  </si>
  <si>
    <t>ООО "Комсервис+"</t>
  </si>
  <si>
    <t>Итого по город Александров</t>
  </si>
  <si>
    <t>Итого по поселок Балакирево</t>
  </si>
  <si>
    <t>Итого по поселок Никологоры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</si>
  <si>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</si>
  <si>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</si>
  <si>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</si>
  <si>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</si>
  <si>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город Камешково</t>
  </si>
  <si>
    <t>Итого по Вахромеевское</t>
  </si>
  <si>
    <t>Итого по город Киржач</t>
  </si>
  <si>
    <t>Итого по поселок Мелехово</t>
  </si>
  <si>
    <t>Итого по Новосельское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</si>
  <si>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</si>
  <si>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</si>
  <si>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</si>
  <si>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</si>
  <si>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город Покров</t>
  </si>
  <si>
    <t>Итого по город Петушки</t>
  </si>
  <si>
    <t>Итого по Малышевское</t>
  </si>
  <si>
    <t>Итого по поселок Ставрово</t>
  </si>
  <si>
    <t>Итого по город Лакинск</t>
  </si>
  <si>
    <t>Итого по город Собинка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</si>
  <si>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</si>
  <si>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</si>
  <si>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</si>
  <si>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</si>
  <si>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</si>
  <si>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город Юрьев-Польский</t>
  </si>
  <si>
    <t>Итого по Фоминское</t>
  </si>
  <si>
    <t>Итого по Брызгаловское</t>
  </si>
  <si>
    <t>Итого по Павловское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</si>
  <si>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</si>
  <si>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</si>
  <si>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</si>
  <si>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</si>
  <si>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X</t>
  </si>
  <si>
    <t>город Александров</t>
  </si>
  <si>
    <t>поселок Балакирево</t>
  </si>
  <si>
    <t>поселок Никологоры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</si>
  <si>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</si>
  <si>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</si>
  <si>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</si>
  <si>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</si>
  <si>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</si>
  <si>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Брызгаловское</t>
  </si>
  <si>
    <t>город Киржач</t>
  </si>
  <si>
    <t>поселок Мелехово</t>
  </si>
  <si>
    <t>Новосельское</t>
  </si>
  <si>
    <t>город Кольчугино</t>
  </si>
  <si>
    <t>Раздольевское</t>
  </si>
  <si>
    <t>город Меленки</t>
  </si>
  <si>
    <t>Нагорное</t>
  </si>
  <si>
    <t>город Покров</t>
  </si>
  <si>
    <t>Пекшинское</t>
  </si>
  <si>
    <t>город Петушки</t>
  </si>
  <si>
    <t>Копнинское</t>
  </si>
  <si>
    <t>поселок Ставрово</t>
  </si>
  <si>
    <t>город Собинка</t>
  </si>
  <si>
    <t>Мошокское</t>
  </si>
  <si>
    <t>город Суздаль</t>
  </si>
  <si>
    <t>Боголюбовское</t>
  </si>
  <si>
    <t>город Ковров</t>
  </si>
  <si>
    <t>Фоминское</t>
  </si>
  <si>
    <t>город Лакинск</t>
  </si>
  <si>
    <t>Муромцевское</t>
  </si>
  <si>
    <t>Новоалександровское</t>
  </si>
  <si>
    <t>Малышевское</t>
  </si>
  <si>
    <t>от _____________ № ________</t>
  </si>
  <si>
    <t>Сводный краткосрочный план</t>
  </si>
  <si>
    <t xml:space="preserve">* </t>
  </si>
  <si>
    <t>**</t>
  </si>
  <si>
    <t>виды, установленные ч.1 ст.166 Жилищного Кодекса РФ</t>
  </si>
  <si>
    <t>ООО "ЖЭЦ-Управление" </t>
  </si>
  <si>
    <t>ООО "ОДК" </t>
  </si>
  <si>
    <t>ООО УК "Старый город"</t>
  </si>
  <si>
    <t>ООО "Оникс"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</si>
  <si>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</si>
  <si>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</si>
  <si>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</si>
  <si>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капитальный ремонт внутридомовых инженерных систем вентиляции и дымоудаления при капитальном ремонте         крыш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</si>
  <si>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</si>
  <si>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                      оборудованием устройств автоматизации и диспетчеризации, при проведении              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</si>
  <si>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            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</si>
  <si>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</si>
  <si>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</si>
  <si>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</si>
  <si>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</si>
  <si>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</si>
  <si>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</si>
  <si>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</si>
  <si>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</si>
  <si>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</si>
  <si>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</si>
  <si>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</si>
  <si>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</si>
  <si>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</si>
  <si>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</si>
  <si>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</si>
  <si>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</si>
  <si>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</si>
  <si>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</si>
  <si>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</si>
  <si>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</si>
  <si>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</si>
  <si>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</si>
  <si>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</si>
  <si>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</si>
  <si>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</si>
  <si>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</si>
  <si>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</si>
  <si>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</si>
  <si>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</si>
  <si>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</si>
  <si>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</si>
  <si>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</si>
  <si>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</si>
  <si>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</si>
  <si>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</si>
  <si>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</si>
  <si>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</si>
  <si>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</si>
  <si>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</si>
  <si>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ТСН "Дворянская-15"</t>
  </si>
  <si>
    <t>ООО "ЖРЭП №8"</t>
  </si>
  <si>
    <t>МУП города Владимиру "ГУК"</t>
  </si>
  <si>
    <t>"Березка"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</si>
  <si>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</si>
  <si>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</si>
  <si>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Итого по программе</t>
  </si>
  <si>
    <t>Вязники г, Металлистов ул, 23а</t>
  </si>
  <si>
    <t>Суздаль г, Гоголя ул, 45</t>
  </si>
  <si>
    <t>ООО"ЖЭК№3"</t>
  </si>
  <si>
    <t>ООО "Жилищник" 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</si>
  <si>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</si>
  <si>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</si>
  <si>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</si>
  <si>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</si>
  <si>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Владимир г, Кирова ул, 1А</t>
  </si>
  <si>
    <t>Владимир г, Чапаева ул, 6</t>
  </si>
  <si>
    <t>Владимир г, Комиссарова ул, 12а</t>
  </si>
  <si>
    <t>Муром г, Ковровская ул, 16</t>
  </si>
  <si>
    <t>Итого по Новлянское</t>
  </si>
  <si>
    <t>ООО"УК"Наш Дом"</t>
  </si>
  <si>
    <t>ООО "УК Содружество"</t>
  </si>
  <si>
    <t>МКП Владимир ЖКХ</t>
  </si>
  <si>
    <t>Монолитные</t>
  </si>
  <si>
    <t>ООО «Фортуна» </t>
  </si>
  <si>
    <t>ООО "УО "РМД"</t>
  </si>
  <si>
    <t>ООО "ЖИЛСТРОЙ"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</si>
  <si>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</si>
  <si>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</si>
  <si>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</si>
  <si>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</si>
  <si>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</si>
  <si>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Новлянское</t>
  </si>
  <si>
    <t>МКП г.Владимира «ЖКХ»</t>
  </si>
  <si>
    <t>ООО УК "Сфера"</t>
  </si>
  <si>
    <t>Владимир г, Каманина ул, 27</t>
  </si>
  <si>
    <t>МКП г.Владимир "ЖКХ"</t>
  </si>
  <si>
    <t>Ковровский р-н, Мелехово пгт, Советская ул, 14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</si>
  <si>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</si>
  <si>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</si>
  <si>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</si>
  <si>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</si>
  <si>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</si>
  <si>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</si>
  <si>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</si>
  <si>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</si>
  <si>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</si>
  <si>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</si>
  <si>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</si>
  <si>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</si>
  <si>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</si>
  <si>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</si>
  <si>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</si>
  <si>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</si>
  <si>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</si>
  <si>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Горького ул, 63</t>
  </si>
  <si>
    <t>Владимир г, Полины Осипенко ул, 4</t>
  </si>
  <si>
    <t>Владимир г, Рабочий спуск, 3</t>
  </si>
  <si>
    <t>Владимир г, Луначарского ул, 33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</si>
  <si>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</si>
  <si>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</si>
  <si>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</si>
  <si>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</si>
  <si>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</si>
  <si>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</si>
  <si>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</si>
  <si>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</si>
  <si>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Октябрьский п, Первомайская ул, 2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</si>
  <si>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</si>
  <si>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</si>
  <si>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</si>
  <si>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Тимофея Павловского ул, 2</t>
  </si>
  <si>
    <t>Ковров г, Текстильная ул, 2а</t>
  </si>
  <si>
    <t>Ковров г, Абельмана ул, 38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</si>
  <si>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</si>
  <si>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</si>
  <si>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</si>
  <si>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</si>
  <si>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</si>
  <si>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Чернышевского ул, 2</t>
  </si>
  <si>
    <t>Ковров г, Либерецкая ул, 9</t>
  </si>
  <si>
    <t>Ковров г, Летняя ул, 35</t>
  </si>
  <si>
    <t>Ковров г, Социалистическая ул, 3</t>
  </si>
  <si>
    <t>Ковров г, Белинского ул, 3</t>
  </si>
  <si>
    <t>Ковров г, Дегтярева ул, 204</t>
  </si>
  <si>
    <t>Ковров г, Лесная ул, 11</t>
  </si>
  <si>
    <t>Ковров г, Ленина пр-кт, 18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</si>
  <si>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</si>
  <si>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</si>
  <si>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</si>
  <si>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</si>
  <si>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</si>
  <si>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</si>
  <si>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</si>
  <si>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</si>
  <si>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</si>
  <si>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</si>
  <si>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Муром г, Серова ул, 40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</si>
  <si>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</si>
  <si>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</si>
  <si>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</si>
  <si>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</si>
  <si>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</si>
  <si>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</si>
  <si>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</si>
  <si>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</si>
  <si>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</si>
  <si>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Луговая ул, 2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</si>
  <si>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</si>
  <si>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</si>
  <si>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</si>
  <si>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Больничный проезд, 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</si>
  <si>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</si>
  <si>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</si>
  <si>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</si>
  <si>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Судогодский р-н, Бег п, Октябрьская ул, 15</t>
  </si>
  <si>
    <t>Гороховецкий р-н, Выезд д, Полевая ул, 3</t>
  </si>
  <si>
    <t>Собинский р-н, Лакинск г, Пушкина ул, 11</t>
  </si>
  <si>
    <t>Собинский р-н, Лакинск г, Мира ул, 7а</t>
  </si>
  <si>
    <t>Собинский р-н, Лакинск г, Ленина пр-кт, 8/3</t>
  </si>
  <si>
    <t>Селивановский р-н, Новлянка д, Совхозная ул, 26</t>
  </si>
  <si>
    <t>Селивановский р-н, Малышево с, Школьная ул, 4</t>
  </si>
  <si>
    <t>Ковровский р-н, Первомайский п, 17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</si>
  <si>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</si>
  <si>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</si>
  <si>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</si>
  <si>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</si>
  <si>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</si>
  <si>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</si>
  <si>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</si>
  <si>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</si>
  <si>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Ковров г, Тимофея Павловского ул, 6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</si>
  <si>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</si>
  <si>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</si>
  <si>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</si>
  <si>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</si>
  <si>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</si>
  <si>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</si>
  <si>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</si>
  <si>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</si>
  <si>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</si>
  <si>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</si>
  <si>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</si>
  <si>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</si>
  <si>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"Ковровтеплострой"</t>
  </si>
  <si>
    <t>ООО "УК "Веста" </t>
  </si>
  <si>
    <t>ООО "УМД Континент" 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</si>
  <si>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</si>
  <si>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</si>
  <si>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</si>
  <si>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</si>
  <si>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</si>
  <si>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</si>
  <si>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</si>
  <si>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</si>
  <si>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</si>
  <si>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</si>
  <si>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</si>
  <si>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"УК ПОКРОВ"</t>
  </si>
  <si>
    <t>ООО "ЭКСПЕРТ"</t>
  </si>
  <si>
    <t>ООО "СМК-РЕКОНСТРУКЦИЯ"</t>
  </si>
  <si>
    <t>2016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</si>
  <si>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</si>
  <si>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</si>
  <si>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</si>
  <si>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</si>
  <si>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</si>
  <si>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Гусь-Хрустальный г, Ломоносова ул, 24а</t>
  </si>
  <si>
    <t>ООО "МКД-СЕРВИС"</t>
  </si>
  <si>
    <t>МУП города Владимира "ГУК" </t>
  </si>
  <si>
    <t>Владимир г, Семашко ул, 13</t>
  </si>
  <si>
    <t>ООО "УК"Парадигма"</t>
  </si>
  <si>
    <t>ООО "Наше ЖКО"</t>
  </si>
  <si>
    <t>Итого по Владимирской области по 2020 году:</t>
  </si>
  <si>
    <t>Ковров г, Федорова ул, 93</t>
  </si>
  <si>
    <t>Собинский р-н, Заречное с, Парковая ул, 4</t>
  </si>
  <si>
    <t>ООО "ЖРЭП № 8"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</si>
  <si>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</si>
  <si>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</si>
  <si>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</si>
  <si>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</si>
  <si>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Итого по Владимирской области в 2020 году:</t>
  </si>
  <si>
    <t>Владимир г, Стасова ул, 31</t>
  </si>
  <si>
    <t>Срок проведения капитального ремонта в МКД</t>
  </si>
  <si>
    <t>замена плоской кровли на              стропильную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</si>
  <si>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</si>
  <si>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</si>
  <si>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</si>
  <si>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</si>
  <si>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</si>
  <si>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</si>
  <si>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</si>
  <si>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</si>
  <si>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</si>
  <si>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</si>
  <si>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</si>
  <si>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</si>
  <si>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</si>
  <si>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</si>
  <si>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</si>
  <si>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</si>
  <si>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</si>
  <si>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</si>
  <si>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</si>
  <si>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</si>
  <si>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</si>
  <si>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</si>
  <si>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</si>
  <si>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</si>
  <si>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</si>
  <si>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</si>
  <si>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</si>
  <si>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</si>
  <si>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</si>
  <si>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</si>
  <si>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</si>
  <si>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</si>
  <si>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</si>
  <si>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</si>
  <si>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</si>
  <si>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</si>
  <si>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</si>
  <si>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</si>
  <si>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</si>
  <si>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</si>
  <si>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</si>
  <si>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</si>
  <si>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</si>
  <si>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</si>
  <si>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</si>
  <si>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</si>
  <si>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</si>
  <si>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</si>
  <si>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</si>
  <si>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</si>
  <si>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</si>
  <si>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</si>
  <si>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</si>
  <si>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</si>
  <si>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</si>
  <si>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</si>
  <si>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</si>
  <si>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</si>
  <si>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</si>
  <si>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</si>
  <si>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</si>
  <si>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</si>
  <si>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</si>
  <si>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</si>
  <si>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</si>
  <si>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</si>
  <si>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</si>
  <si>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</si>
  <si>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</si>
  <si>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</si>
  <si>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</si>
  <si>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</si>
  <si>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</si>
  <si>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</si>
  <si>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</si>
  <si>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</si>
  <si>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</si>
  <si>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</si>
  <si>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</si>
  <si>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</si>
  <si>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</si>
  <si>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</si>
  <si>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</si>
  <si>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</si>
  <si>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</si>
  <si>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</si>
  <si>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</si>
  <si>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</si>
  <si>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</si>
  <si>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</si>
  <si>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</si>
  <si>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</si>
  <si>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</si>
  <si>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</si>
  <si>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</si>
  <si>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</si>
  <si>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</si>
  <si>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</si>
  <si>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</si>
  <si>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</si>
  <si>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</si>
  <si>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</si>
  <si>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</si>
  <si>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</si>
  <si>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</si>
  <si>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</si>
  <si>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</si>
  <si>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</si>
  <si>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</si>
  <si>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</si>
  <si>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</si>
  <si>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</si>
  <si>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</si>
  <si>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</si>
  <si>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Белая Речка п, Новая ул, 5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</si>
  <si>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</si>
  <si>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</si>
  <si>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</si>
  <si>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</si>
  <si>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</si>
  <si>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</si>
  <si>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</si>
  <si>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</si>
  <si>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</si>
  <si>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</si>
  <si>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</si>
  <si>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30 лет Победы ул, 9 корп 1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</si>
  <si>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</si>
  <si>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</si>
  <si>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</si>
  <si>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</si>
  <si>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</si>
  <si>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</si>
  <si>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</si>
  <si>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</si>
  <si>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</si>
  <si>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</si>
  <si>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</si>
  <si>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</si>
  <si>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</si>
  <si>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</si>
  <si>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</si>
  <si>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</si>
  <si>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</si>
  <si>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</si>
  <si>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</si>
  <si>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</si>
  <si>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</si>
  <si>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</si>
  <si>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</si>
  <si>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</si>
  <si>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</si>
  <si>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</si>
  <si>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</si>
  <si>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</si>
  <si>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</si>
  <si>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</si>
  <si>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Лопатина ул, 61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</si>
  <si>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</si>
  <si>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</si>
  <si>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</si>
  <si>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</si>
  <si>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Камешковский р-н, Мирный п, Центральная ул, 86</t>
  </si>
  <si>
    <t>Киржач г, Магистральная ул, 1</t>
  </si>
  <si>
    <t>Петушинский р-н, Пекша д, Октябрьская ул, 2</t>
  </si>
  <si>
    <t>Гороховецкий р-н, Фоминки с, Чекунова ул, 4</t>
  </si>
  <si>
    <t>Собинка г, Мира ул, 1А</t>
  </si>
  <si>
    <t>ТСЖ "ЗОА,16"</t>
  </si>
  <si>
    <t>ООО "ЖЭЦ-Управление"</t>
  </si>
  <si>
    <t>ООО "УМД Континент"</t>
  </si>
  <si>
    <t>ООО "ОДК"</t>
  </si>
  <si>
    <t>ООО"Управдом"</t>
  </si>
  <si>
    <t>ООО Киржачское ЖЭУ №1</t>
  </si>
  <si>
    <t>ООО "СМК-Реконструкция"</t>
  </si>
  <si>
    <t>ООО УК "Спецстройгарант-1"</t>
  </si>
  <si>
    <t>Александровский р-н, Балакирево пгт, 60 лет Октября ул, 10</t>
  </si>
  <si>
    <t>Ковров г, Генералова ул, 10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</si>
  <si>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</si>
  <si>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</si>
  <si>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</si>
  <si>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</si>
  <si>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2020-2021 годы
за счет средств регионального оператора * **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</si>
  <si>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</si>
  <si>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</si>
  <si>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</si>
  <si>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</si>
  <si>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</si>
  <si>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</si>
  <si>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</si>
  <si>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</si>
  <si>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</si>
  <si>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</si>
  <si>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</si>
  <si>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</si>
  <si>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</si>
  <si>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</si>
  <si>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</si>
  <si>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</si>
  <si>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</si>
  <si>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</si>
  <si>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</si>
  <si>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</si>
  <si>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</si>
  <si>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</si>
  <si>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</si>
  <si>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</si>
  <si>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</si>
  <si>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</si>
  <si>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</si>
  <si>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</si>
  <si>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</si>
  <si>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</si>
  <si>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</si>
  <si>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</si>
  <si>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</si>
  <si>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</si>
  <si>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</si>
  <si>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</si>
  <si>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</si>
  <si>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</si>
  <si>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</si>
  <si>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</si>
  <si>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</si>
  <si>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</si>
  <si>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</si>
  <si>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</si>
  <si>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</si>
  <si>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</si>
  <si>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</si>
  <si>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</si>
  <si>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</si>
  <si>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</si>
  <si>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</si>
  <si>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</si>
  <si>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</si>
  <si>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</si>
  <si>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</si>
  <si>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</si>
  <si>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</si>
  <si>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</si>
  <si>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</si>
  <si>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</si>
  <si>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</si>
  <si>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</si>
  <si>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</si>
  <si>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</si>
  <si>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</si>
  <si>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</si>
  <si>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</si>
  <si>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</si>
  <si>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</si>
  <si>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</si>
  <si>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</si>
  <si>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</si>
  <si>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</si>
  <si>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</si>
  <si>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</si>
  <si>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</si>
  <si>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</si>
  <si>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</si>
  <si>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</si>
  <si>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</si>
  <si>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</si>
  <si>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</si>
  <si>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</si>
  <si>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</si>
  <si>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</si>
  <si>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</si>
  <si>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</si>
  <si>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</si>
  <si>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</si>
  <si>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</si>
  <si>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</si>
  <si>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</si>
  <si>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</si>
  <si>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</si>
  <si>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</si>
  <si>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</si>
  <si>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</si>
  <si>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</si>
  <si>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</si>
  <si>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</si>
  <si>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</si>
  <si>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</si>
  <si>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</si>
  <si>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</si>
  <si>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</si>
  <si>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</si>
  <si>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</si>
  <si>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Первомайская ул, 50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</si>
  <si>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</si>
  <si>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</si>
  <si>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</si>
  <si>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</si>
  <si>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</si>
  <si>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</si>
  <si>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</si>
  <si>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</si>
  <si>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</si>
  <si>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</si>
  <si>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</si>
  <si>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</si>
  <si>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</si>
  <si>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</si>
  <si>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</si>
  <si>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</si>
  <si>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</si>
  <si>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</si>
  <si>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</si>
  <si>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</si>
  <si>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</si>
  <si>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</si>
  <si>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</si>
  <si>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</si>
  <si>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</si>
  <si>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</si>
  <si>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</si>
  <si>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</si>
  <si>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</si>
  <si>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</si>
  <si>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</si>
  <si>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</si>
  <si>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</si>
  <si>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</si>
  <si>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</si>
  <si>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</si>
  <si>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</si>
  <si>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</si>
  <si>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</si>
  <si>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</si>
  <si>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</si>
  <si>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</si>
  <si>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</si>
  <si>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3 корп. 1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</si>
  <si>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</si>
  <si>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</si>
  <si>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</si>
  <si>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</si>
  <si>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</si>
  <si>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</si>
  <si>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</si>
  <si>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34 корп. 2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</si>
  <si>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</si>
  <si>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</si>
  <si>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</si>
  <si>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</si>
  <si>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</si>
  <si>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</si>
  <si>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</si>
  <si>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</si>
  <si>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</si>
  <si>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</si>
  <si>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</si>
  <si>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</si>
  <si>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</si>
  <si>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</si>
  <si>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</si>
  <si>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</si>
  <si>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</si>
  <si>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</si>
  <si>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</si>
  <si>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</si>
  <si>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</si>
  <si>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</si>
  <si>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23 корп. 3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</si>
  <si>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</si>
  <si>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</si>
  <si>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</si>
  <si>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</si>
  <si>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</si>
  <si>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</si>
  <si>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</si>
  <si>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</si>
  <si>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</si>
  <si>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</si>
  <si>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</si>
  <si>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15 корп. 1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</si>
  <si>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</si>
  <si>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</si>
  <si>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</si>
  <si>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</si>
  <si>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</si>
  <si>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</si>
  <si>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</si>
  <si>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</si>
  <si>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</si>
  <si>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</si>
  <si>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</si>
  <si>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</si>
  <si>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</si>
  <si>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</si>
  <si>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</si>
  <si>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</si>
  <si>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</si>
  <si>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</si>
  <si>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</si>
  <si>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</si>
  <si>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</si>
  <si>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</si>
  <si>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</si>
  <si>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</si>
  <si>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</si>
  <si>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</si>
  <si>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</si>
  <si>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</si>
  <si>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</si>
  <si>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</si>
  <si>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</si>
  <si>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</si>
  <si>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</si>
  <si>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</si>
  <si>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</si>
  <si>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</si>
  <si>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</si>
  <si>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</si>
  <si>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</si>
  <si>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</si>
  <si>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</si>
  <si>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</si>
  <si>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</si>
  <si>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</si>
  <si>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</si>
  <si>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</si>
  <si>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55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</si>
  <si>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</si>
  <si>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</si>
  <si>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</si>
  <si>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</si>
  <si>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</si>
  <si>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</si>
  <si>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</si>
  <si>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</si>
  <si>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</si>
  <si>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</si>
  <si>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</si>
  <si>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</si>
  <si>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</si>
  <si>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</si>
  <si>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</si>
  <si>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</si>
  <si>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</si>
  <si>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</si>
  <si>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</si>
  <si>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</si>
  <si>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</si>
  <si>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</si>
  <si>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</si>
  <si>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</si>
  <si>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</si>
  <si>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</si>
  <si>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</si>
  <si>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</si>
  <si>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</si>
  <si>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</si>
  <si>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</si>
  <si>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</si>
  <si>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</si>
  <si>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</si>
  <si>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</si>
  <si>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</si>
  <si>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</si>
  <si>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</si>
  <si>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</si>
  <si>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</si>
  <si>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</si>
  <si>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</si>
  <si>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</si>
  <si>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</si>
  <si>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</si>
  <si>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</si>
  <si>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</si>
  <si>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</si>
  <si>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</si>
  <si>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</si>
  <si>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</si>
  <si>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</si>
  <si>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</si>
  <si>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</si>
  <si>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</si>
  <si>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</si>
  <si>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</si>
  <si>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</si>
  <si>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</si>
  <si>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</si>
  <si>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</si>
  <si>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</si>
  <si>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</si>
  <si>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</si>
  <si>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 xml:space="preserve">к постановлению Департамента жилищно-коммунального хозяйства Владимирской области </t>
  </si>
  <si>
    <t>Собинский р-н, Ставрово п, Юбилейная ул, 7</t>
  </si>
  <si>
    <t>Ковровский р-н, Мелехово пгт, Пионерская ул, 5</t>
  </si>
  <si>
    <t>Петушки г, Московская ул, 18</t>
  </si>
  <si>
    <t>Собинский р-н, Лакинск г, Мира ул, 49б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</si>
  <si>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</si>
  <si>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</si>
  <si>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Приложение № 4</t>
  </si>
  <si>
    <t>Приложение № 1</t>
  </si>
  <si>
    <t>Приложение № 2</t>
  </si>
  <si>
    <t>Приложение № 3</t>
  </si>
  <si>
    <t>Приложение</t>
  </si>
  <si>
    <t xml:space="preserve"> реализации региональной программы капитального ремонта общего имущества в многоквартирных домах </t>
  </si>
  <si>
    <t>на территории Владимирской области на 2020 - 2022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</si>
  <si>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</si>
  <si>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</si>
  <si>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</si>
  <si>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</si>
  <si>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</si>
  <si>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Итого по сводному краткосрочному плану на 2020-2022 годы</t>
  </si>
  <si>
    <t>Итого по сводному краткосрочному плану на 2020 год</t>
  </si>
  <si>
    <t xml:space="preserve">Итого по город Владимир  </t>
  </si>
  <si>
    <t>Владимир г, Алябьева ул, 3а</t>
  </si>
  <si>
    <t>Владимир г, Комиссарова ул, 3А</t>
  </si>
  <si>
    <t>Владимир г, Василисина ул, 5</t>
  </si>
  <si>
    <t>Владимир г, Алябьева ул, 25</t>
  </si>
  <si>
    <t>Муром г, Куйбышева ул, 2</t>
  </si>
  <si>
    <t>Владимир г, Завадского ул, 11В</t>
  </si>
  <si>
    <t>Владимир г, Безыменского ул, 14а</t>
  </si>
  <si>
    <t>Александров г, Октябрьская ул, 12</t>
  </si>
  <si>
    <t>Владимир г, Ставровская ул, 6А</t>
  </si>
  <si>
    <t>Владимир г, Белоконской ул, 23</t>
  </si>
  <si>
    <t>Муром г, Дзержинского ул, 4</t>
  </si>
  <si>
    <t>Владимир г, Судогодское ш, 23б</t>
  </si>
  <si>
    <t>Владимир г, Большая Нижегородская ул, 105д</t>
  </si>
  <si>
    <t>Александров г, Красный Переулок ул, 4</t>
  </si>
  <si>
    <t>Владимир г, Тихонравова ул, 8</t>
  </si>
  <si>
    <t>Александров г, Красный Переулок ул, 25 корп. 2</t>
  </si>
  <si>
    <t>Владимир г, Краснознаменная ул, 5</t>
  </si>
  <si>
    <t>Владимир г, Вокзальная ул, 11</t>
  </si>
  <si>
    <t>Гороховец г, Кутузова ул, 9</t>
  </si>
  <si>
    <t>Владимир г, Горького ул, 61</t>
  </si>
  <si>
    <t>Владимир г, Воровского ул, 6</t>
  </si>
  <si>
    <t>Киржач г, Приозерная ул, 1в</t>
  </si>
  <si>
    <t>Гусь-Хрустальный г, Микрорайон ул, 2</t>
  </si>
  <si>
    <t>Владимир г, Горького ул, 52А</t>
  </si>
  <si>
    <t>Муром г, Московская ул, 71</t>
  </si>
  <si>
    <t>Гусь-Хрустальный г, Микрорайон ул, 23</t>
  </si>
  <si>
    <t>Владимир г, Диктора Левитана ул, 26</t>
  </si>
  <si>
    <t>Ковров г, Ковров-8 тер, 1</t>
  </si>
  <si>
    <t>Гусь-Хрустальный г, Микрорайон ул, 27</t>
  </si>
  <si>
    <t>Владимир г, Добросельская ул, 213</t>
  </si>
  <si>
    <t>Ковров г, Клязьменская ул, 10</t>
  </si>
  <si>
    <t>Ковров г, Ленина пр-кт, 23</t>
  </si>
  <si>
    <t>Вязники г, Нововязники мкр, Южная ул, 11</t>
  </si>
  <si>
    <t>Вязники г, Металлистов ул, 14</t>
  </si>
  <si>
    <t>Владимир г, Комиссарова ул, 2</t>
  </si>
  <si>
    <t>Юрьев-Польский р-н, Небылое с, Школьная ул, 13</t>
  </si>
  <si>
    <t>Вязники г, Металлистов ул, 16</t>
  </si>
  <si>
    <t>Киржач г, Больничный проезд, 4</t>
  </si>
  <si>
    <t>Владимир г, Комиссарова ул, 51</t>
  </si>
  <si>
    <t>Киржачский р-н, Новоселово д, Ленинская ул, 7</t>
  </si>
  <si>
    <t>Владимир г, Ленина пр-кт, 24</t>
  </si>
  <si>
    <t>Собинский р-н, Лакинск г, Лермонтова ул, 47</t>
  </si>
  <si>
    <t>Владимир г, Перекопский военный городок, 20</t>
  </si>
  <si>
    <t>Владимир г, Коммунар мкр, Песочная ул, 11</t>
  </si>
  <si>
    <t>Владимир г, Спасское с, Садовая ул, 2</t>
  </si>
  <si>
    <t>Владимир г, Судогодское ш, 25а</t>
  </si>
  <si>
    <t>Владимир г, Спасское с, Совхозная ул, 5</t>
  </si>
  <si>
    <t>Владимир г, Тихонравова ул, 3А</t>
  </si>
  <si>
    <t>Владимир г, Энергетик мкр, Совхозная ул, 7</t>
  </si>
  <si>
    <t>Владимир г, Фатьянова ул, 27</t>
  </si>
  <si>
    <t>Владимир г, Соколова-Соколенка ул, 4</t>
  </si>
  <si>
    <t>Владимир г, Чапаева ул, 5</t>
  </si>
  <si>
    <t>Владимир г, Соколова-Соколенка ул, 6б</t>
  </si>
  <si>
    <t>Владимир г, Чайковского ул, 38</t>
  </si>
  <si>
    <t>Владимир г, Соколова-Соколенка ул, 19а</t>
  </si>
  <si>
    <t>Владимир г, Диктора Левитана ул, 1А</t>
  </si>
  <si>
    <t>Владимир г, Соколова-Соколенка ул, 19в</t>
  </si>
  <si>
    <t>Владимир г, Казарменная ул, 9</t>
  </si>
  <si>
    <t>Владимир г, Кирова ул, 9</t>
  </si>
  <si>
    <t>Владимир г, Стасова ул, 40А</t>
  </si>
  <si>
    <t>Владимир г, Лакина ул, 145</t>
  </si>
  <si>
    <t>Владимир г, Стрелецкий городок, 52</t>
  </si>
  <si>
    <t>Владимир г, Лакина ул, 157А</t>
  </si>
  <si>
    <t>Владимир г, Строителей пр-кт, 26Б</t>
  </si>
  <si>
    <t>Владимир г, Октябрьский военный городок, 23</t>
  </si>
  <si>
    <t>Владимир г, Студенческая ул, 2А</t>
  </si>
  <si>
    <t>Владимир г, Строителей пр-кт, 17</t>
  </si>
  <si>
    <t>Владимир г, Судогодское ш, 3а</t>
  </si>
  <si>
    <t>Владимир г, Чайковского ул, 19/1</t>
  </si>
  <si>
    <t>Владимир г, Судогодское ш, 7а</t>
  </si>
  <si>
    <t>Владимир г, Мира ул, 26</t>
  </si>
  <si>
    <t>Владимир г, Судогодское ш, 23</t>
  </si>
  <si>
    <t>Владимир г, Дворянская ул, 13</t>
  </si>
  <si>
    <t>Владимир г, Верхняя Дуброва ул, 16</t>
  </si>
  <si>
    <t>Владимир г, Диктора Левитана ул, 39</t>
  </si>
  <si>
    <t>Владимир г, Московское ш, 1</t>
  </si>
  <si>
    <t>Гусь-Хрустальный г, Зеркальная ул, 6</t>
  </si>
  <si>
    <t>Владимир г, Труда ул, 11</t>
  </si>
  <si>
    <t>Гусь-Хрустальный г, Зеркальная ул, 8</t>
  </si>
  <si>
    <t>Гусь-Хрустальный г, Микрорайон ул, 12</t>
  </si>
  <si>
    <t>Владимир г, Фейгина ул, 2/20</t>
  </si>
  <si>
    <t>Гусь-Хрустальный г, Гусевский п, Интернациональная ул, 10</t>
  </si>
  <si>
    <t>Владимир г, Заклязьменский п, Центральная ул, 18</t>
  </si>
  <si>
    <t>Гусь-Хрустальный г, 50 лет Советской Власти пр-кт, 43</t>
  </si>
  <si>
    <t>Ковров г, Социалистическая ул, 10</t>
  </si>
  <si>
    <t>Владимир г, Коммунар мкр, Школьная ул, 4</t>
  </si>
  <si>
    <t>Ковров г, Первомайская ул, 21</t>
  </si>
  <si>
    <t>Ковров г, Еловая ул, 86</t>
  </si>
  <si>
    <t>Радужный г, 1-й кв-л, 13</t>
  </si>
  <si>
    <t>Владимир г, Безыменского ул, 14</t>
  </si>
  <si>
    <t>Александров г, Горького ул, 3</t>
  </si>
  <si>
    <t>Владимир г, Большая Нижегородская ул, 34</t>
  </si>
  <si>
    <t>Александров г, Лермонтова ул, 9</t>
  </si>
  <si>
    <t>Владимир г, Большая Нижегородская ул, 32</t>
  </si>
  <si>
    <t>Александров г, Ленина ул, 26</t>
  </si>
  <si>
    <t>Александров г, Фабрика Калинина ул, 24</t>
  </si>
  <si>
    <t>Александров г, Ленина ул, 30</t>
  </si>
  <si>
    <t>Владимир г, Красноармейская ул, 32</t>
  </si>
  <si>
    <t>Александров г, Терешковой ул, 10</t>
  </si>
  <si>
    <t>Владимир г, Красноармейская ул, 43</t>
  </si>
  <si>
    <t>Александров г, Совхоз Правда ул, 32</t>
  </si>
  <si>
    <t>Александровский р-н, Балакирево пгт, Юго-Западный кв-л, 6</t>
  </si>
  <si>
    <t>Александровский р-н, Балакирево пгт, 60 лет Октября ул, 2</t>
  </si>
  <si>
    <t>Владимир г, Модорова ул, 6</t>
  </si>
  <si>
    <t>Александровский р-н, Балакирево пгт, Юго-Западный кв-л, 8</t>
  </si>
  <si>
    <t>Александровский р-н, Балакирево пгт, Юго-Западный кв-л, 22</t>
  </si>
  <si>
    <t>Владимир г, Рабочая ул, 13</t>
  </si>
  <si>
    <t>Александровский р-н, Карабаново г, Карпова ул, 3</t>
  </si>
  <si>
    <t>Александровский р-н, Струнино г, Дубки кв-л, 6</t>
  </si>
  <si>
    <t>Владимир г, Строителей пр-кт, 32</t>
  </si>
  <si>
    <t>Александровский р-н, Струнино г, Дзержинского ул, 9</t>
  </si>
  <si>
    <t>Владимир г, Строителей пр-кт, 36</t>
  </si>
  <si>
    <t>Вязниковский р-н, Никологоры п, Юбилейная ул, 7б</t>
  </si>
  <si>
    <t>Владимир г, Строителей пр-кт, 40</t>
  </si>
  <si>
    <t>Вязники г, Мошина ул, 28</t>
  </si>
  <si>
    <t>Владимир г, Соколова-Соколенка ул, 22</t>
  </si>
  <si>
    <t>Вязники г, Сергиевских ул, 19/9</t>
  </si>
  <si>
    <t>Владимир г, Суздальский пр-кт, 25</t>
  </si>
  <si>
    <t>Вязники г, Владимирская ул, 12/15</t>
  </si>
  <si>
    <t>Владимир г, Гагарина ул, 10</t>
  </si>
  <si>
    <t>Вязники г, Благовещенская ул, 38</t>
  </si>
  <si>
    <t>Вязники г, Соборная пл, 4</t>
  </si>
  <si>
    <t>Владимир г, Горького ул, 72</t>
  </si>
  <si>
    <t>Гороховец г, Ленина ул, 29</t>
  </si>
  <si>
    <t>Владимир г, Ильича ул, 7б</t>
  </si>
  <si>
    <t>Гороховец г, Краснова ул, 5</t>
  </si>
  <si>
    <t>Владимир г, Ильича ул, 13</t>
  </si>
  <si>
    <t>Гороховец г, Полевая ул, 1</t>
  </si>
  <si>
    <t>Владимир г, Северная ул, 15</t>
  </si>
  <si>
    <t>Гороховец г, Мира ул, 18</t>
  </si>
  <si>
    <t>Владимир г, Труда ул, 14А</t>
  </si>
  <si>
    <t>Гороховецкий р-н, Торфопредприятия Большое п, Октябрьская ул, 8</t>
  </si>
  <si>
    <t>Владимир г, Энергетик мкр, Энергетиков ул, 2Б</t>
  </si>
  <si>
    <t>Гороховецкий р-н, Галицы п, Пролетарская ул, 34</t>
  </si>
  <si>
    <t>Владимир г, Добросельская ул, 161</t>
  </si>
  <si>
    <t>Камешковский р-н, им Максима Горького п, Шоссейная ул, 1</t>
  </si>
  <si>
    <t>Владимир г, Электроприборовский проезд, 4</t>
  </si>
  <si>
    <t>Киржач г, Красный Октябрь мкр, Южный кв-л, 3</t>
  </si>
  <si>
    <t>Владимир г, Большая Нижегородская ул, 99а</t>
  </si>
  <si>
    <t>Киржач г, Красный Октябрь мкр, Южный кв-л, 4</t>
  </si>
  <si>
    <t>Владимир г, Асаткина ул, 12</t>
  </si>
  <si>
    <t>Киржач г, Прибрежный кв-л, 3</t>
  </si>
  <si>
    <t>Владимир г, Горького ул, 57</t>
  </si>
  <si>
    <t>Киржач г, Привокзальная ул, 3</t>
  </si>
  <si>
    <t>Киржач г, Прибрежный кв-л, 4</t>
  </si>
  <si>
    <t>Владимир г, Токарева ул, 10</t>
  </si>
  <si>
    <t>Киржачский р-н, Кашино д, Кашино п. тер, 136</t>
  </si>
  <si>
    <t>Ковровский р-н, Мелехово пгт, Красная Горка ул, 2</t>
  </si>
  <si>
    <t>Кольчугино г, Коллективная ул, 35</t>
  </si>
  <si>
    <t>Владимир г, Егорова ул, 2</t>
  </si>
  <si>
    <t>Кольчугино г, Щорса ул, 18</t>
  </si>
  <si>
    <t>Меленки г, Дзержинского ул, 42</t>
  </si>
  <si>
    <t>Владимир г, Асаткина ул, 15</t>
  </si>
  <si>
    <t>Меленки г, Красноармейская ул, 204</t>
  </si>
  <si>
    <t>Владимир г, Юрьевец мкр, Институтский городок, 4</t>
  </si>
  <si>
    <t>Меленки г, Школьный пер, 4</t>
  </si>
  <si>
    <t>Владимир г, Полины Осипенко ул, 15</t>
  </si>
  <si>
    <t>Петушинский р-н, Костерево г, 40 лет Октября ул, 6</t>
  </si>
  <si>
    <t>Владимир г, Труда ул, 32</t>
  </si>
  <si>
    <t>Петушинский р-н, Костерево г, им Горького ул, 11</t>
  </si>
  <si>
    <t>Владимир г, Офицерская ул, 1</t>
  </si>
  <si>
    <t>Петушинский р-н, Костерево г, Ленина ул, 7</t>
  </si>
  <si>
    <t>Владимир г, Юбилейная ул, 78</t>
  </si>
  <si>
    <t>Петушинский р-н, Городищи п, К.Соловьева ул, 2</t>
  </si>
  <si>
    <t>Владимир г, 1-я Пионерская ул, 67</t>
  </si>
  <si>
    <t>Владимир г, Безыменского ул, 10а</t>
  </si>
  <si>
    <t>Владимир г, Безыменского ул, 10б</t>
  </si>
  <si>
    <t>Владимир г, Василисина ул, 11</t>
  </si>
  <si>
    <t>Владимир г, Ленина пр-кт, 62</t>
  </si>
  <si>
    <t>Владимир г, Разина ул, 33</t>
  </si>
  <si>
    <t>Владимир г, Растопчина ул, 17</t>
  </si>
  <si>
    <t>Владимир г, Баумана ул, 4</t>
  </si>
  <si>
    <t>Владимир г, Василисина ул, 10а</t>
  </si>
  <si>
    <t>Владимир г, Даргомыжского ул, 20</t>
  </si>
  <si>
    <t>Владимир г, Лакина проезд, 4</t>
  </si>
  <si>
    <t>Владимир г, Строителей ул, 10</t>
  </si>
  <si>
    <t>Владимир г, Ленина пр-кт, 5</t>
  </si>
  <si>
    <t>Владимир г, Растопчина ул, 19</t>
  </si>
  <si>
    <t>Владимир г, Фатьянова ул, 28</t>
  </si>
  <si>
    <t xml:space="preserve">Итого по город Гусь-Хрустальный  </t>
  </si>
  <si>
    <t>Петушки г, Строителей ул, 4</t>
  </si>
  <si>
    <t>Гусь-Хрустальный г, Гражданский пер, 9</t>
  </si>
  <si>
    <t>Петушки г, Вокзальная ул, 58</t>
  </si>
  <si>
    <t>Гусь-Хрустальный г, Дружбы Народов ул, 18</t>
  </si>
  <si>
    <t>Петушки г, Коммунальная ул, 1</t>
  </si>
  <si>
    <t>Гусь-Хрустальный г, Зеркальная ул, 3</t>
  </si>
  <si>
    <t>Селивановский р-н, Красная Горбатка п, Пионерская ул, 20</t>
  </si>
  <si>
    <t>Гусь-Хрустальный г, Зеркальная ул, 5</t>
  </si>
  <si>
    <t>Селивановский р-н, Красная Ушна п, Заводская ул, 3</t>
  </si>
  <si>
    <t>Собинский р-н, Ставрово п, Ленина ул, 12</t>
  </si>
  <si>
    <t>Собинский р-н, Лакинск г, 10 Октября ул, 2</t>
  </si>
  <si>
    <t>Собинский р-н, Лакинск г, 21 Партсъезда ул, 22</t>
  </si>
  <si>
    <t>Собинка г, Гагарина ул, 9</t>
  </si>
  <si>
    <t>Гусь-Хрустальный г, Микрорайон ул, 13</t>
  </si>
  <si>
    <t>Собинка г, Красная Звезда ул, 4</t>
  </si>
  <si>
    <t>Собинка г, Рабочий пр-кт, 17</t>
  </si>
  <si>
    <t>Гусь-Хрустальный г, Микрорайон ул, 25</t>
  </si>
  <si>
    <t>Собинский р-н, Колокша п, Центральная ул, 2</t>
  </si>
  <si>
    <t>Судогда г, Гагарина ул, 19</t>
  </si>
  <si>
    <t>Гусь-Хрустальный г, Писарева ул, 14</t>
  </si>
  <si>
    <t>Суздаль г, Калинина ул, 3</t>
  </si>
  <si>
    <t>Гусь-Хрустальный г, Муравьева-Апостола ул, 10</t>
  </si>
  <si>
    <t>Суздаль г, Калинина ул, 1</t>
  </si>
  <si>
    <t>Гусь-Хрустальный г, 2-я Народная ул, 2</t>
  </si>
  <si>
    <t>Суздальский р-н, Сокол п, 4</t>
  </si>
  <si>
    <t>Гусь-Хрустальный г, Осьмова ул, 7</t>
  </si>
  <si>
    <t>Суздальский р-н, Красногвардейский п, Октябрьская ул, 5</t>
  </si>
  <si>
    <t>Гусь-Хрустальный г, Осьмова ул, 8</t>
  </si>
  <si>
    <t>Юрьев-Польский г, Луговая ул, 35</t>
  </si>
  <si>
    <t>Гусь-Хрустальный г, Плеханова ул, 1</t>
  </si>
  <si>
    <t>Юрьев-Польский р-н, Небылое с, Школьная ул, 11</t>
  </si>
  <si>
    <t>Гусь-Хрустальный г, 50 лет Советской Власти пр-кт, 25</t>
  </si>
  <si>
    <t>Юрьев-Польский р-н, Пригородный с, 4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</si>
  <si>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</si>
  <si>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</si>
  <si>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</si>
  <si>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Александров г, Революции ул, 57</t>
  </si>
  <si>
    <t>Гусь-Хрустальный г, Красных Партизан ул, 72/29</t>
  </si>
  <si>
    <t>Александров г, Революции ул, 87</t>
  </si>
  <si>
    <t>Гусь-Хрустальный г, Ломоносова ул, 2а/8а</t>
  </si>
  <si>
    <t>Собинский р-н, Лакинск г, Ленина пр-кт, 67</t>
  </si>
  <si>
    <t>Гусь-Хрустальный г, Теплицкий пр-кт, 4</t>
  </si>
  <si>
    <t>Гусь-Хрустальный г, Гусевский п, Октябрьская ул, 9</t>
  </si>
  <si>
    <t>Гусь-Хрустальный г, Гусевский п, Пионерская ул, 15</t>
  </si>
  <si>
    <t>Александров г, Перфильева ул, 10</t>
  </si>
  <si>
    <t>Гусь-Хрустальный г, Каляевская ул, 3</t>
  </si>
  <si>
    <t>Киржач г, Красный Октябрь мкр, Южный кв-л, 6</t>
  </si>
  <si>
    <t xml:space="preserve">Итого по округ Муром  </t>
  </si>
  <si>
    <t>Ковровский р-н, Клязьминский Городок с, Клязьминская ПМК ул, 15</t>
  </si>
  <si>
    <t>Муром г, Владимирская ул, 37</t>
  </si>
  <si>
    <t>Меленки г, Коммунистическая ул, 28</t>
  </si>
  <si>
    <t>Муром г, Владимирская ул, 2</t>
  </si>
  <si>
    <t>Петушки г, Прудная ул, 21</t>
  </si>
  <si>
    <t>Муром г, Гоголева ул, 10</t>
  </si>
  <si>
    <t>Владимир г, 1-я Пионерская ул, 59</t>
  </si>
  <si>
    <t>Муром г, Дзержинского ул, 45</t>
  </si>
  <si>
    <t>Петушинский р-н, Воспушка д, Ленина ул, 2</t>
  </si>
  <si>
    <t>Муром г, Комсомольская ул, 51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</si>
  <si>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</si>
  <si>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</si>
  <si>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</si>
  <si>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</si>
  <si>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</si>
  <si>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</si>
  <si>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</si>
  <si>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Муромский р-н, Фабрики им П.Л.Войкова п, 31</t>
  </si>
  <si>
    <t>Муром г, Щербакова ул, 25</t>
  </si>
  <si>
    <t>Муром г, Карла Маркса ул, 36</t>
  </si>
  <si>
    <t>Муром г, Энгельса ул, 5</t>
  </si>
  <si>
    <t>Муром г, Мечникова ул, 81</t>
  </si>
  <si>
    <t>Муром г, Войкова ул, 9</t>
  </si>
  <si>
    <t>Гороховец г, Советская ул, 13</t>
  </si>
  <si>
    <t>Гусь-Хрустальный р-н, Вашутино д, Микрорайон ул, 3</t>
  </si>
  <si>
    <t>Муром г, Меленковская ул, 9</t>
  </si>
  <si>
    <t>Меленки г, Красноармейская ул, 92</t>
  </si>
  <si>
    <t>Муромский р-н, Механизаторов п, 52</t>
  </si>
  <si>
    <t>Петушинский р-н, Пахомово д, 37</t>
  </si>
  <si>
    <t>Муром г, Радиозаводское ш, 38А</t>
  </si>
  <si>
    <t>Собинский р-н, Ставрово п, Советская ул, 88</t>
  </si>
  <si>
    <t>Муром г, Трудовая ул, 37</t>
  </si>
  <si>
    <t>Собинка г, Гагарина ул, 5</t>
  </si>
  <si>
    <t>Муром г, Артема ул, 1а</t>
  </si>
  <si>
    <t>Судогодский р-н, Андреево п, Первомайская ул, 9</t>
  </si>
  <si>
    <t>Муром г, Заводская ул, 1</t>
  </si>
  <si>
    <t>Собинский р-н, Лакинск г, Советская ул, 63</t>
  </si>
  <si>
    <t>Муром г, Пушкина ул, 1а</t>
  </si>
  <si>
    <t>Суздаль г, Ленина ул, 71</t>
  </si>
  <si>
    <t>Муром г, Ленина ул, 110</t>
  </si>
  <si>
    <t>Киржач г, Прибрежный кв-л, 2</t>
  </si>
  <si>
    <t>Муром г, Первомайская ул, 101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</si>
  <si>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</si>
  <si>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</si>
  <si>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</si>
  <si>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</si>
  <si>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</si>
  <si>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Муромский р-н, Фабрики им П.Л.Войкова п, 25</t>
  </si>
  <si>
    <t>Муром г, Спортивная ул, 10</t>
  </si>
  <si>
    <t>Муром г, Кленовая ул, 1/3</t>
  </si>
  <si>
    <t>Муром г, Чкалова ул, 29</t>
  </si>
  <si>
    <t>Муром г, Ленинградская ул, 9</t>
  </si>
  <si>
    <t>Муром г, Мичуринская ул, 11</t>
  </si>
  <si>
    <t>Муром г, Мичуринская ул, 27</t>
  </si>
  <si>
    <t>Муром г, Муромская ул, 17</t>
  </si>
  <si>
    <t>Муром г, Набережная ул, 17</t>
  </si>
  <si>
    <t>Муром г, Южная ул, 7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</si>
  <si>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</si>
  <si>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</si>
  <si>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</si>
  <si>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</si>
  <si>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</si>
  <si>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</si>
  <si>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</si>
  <si>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</si>
  <si>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</si>
  <si>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Муромская ул, 9</t>
  </si>
  <si>
    <t>Ковров г, 19 Партсъезда ул, 3</t>
  </si>
  <si>
    <t>Ковров г, Ковров-8 тер, 3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</si>
  <si>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</si>
  <si>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</si>
  <si>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</si>
  <si>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</si>
  <si>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</si>
  <si>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Ковров г, Абельмана ул, 4</t>
  </si>
  <si>
    <t>Ковров г, Мира пр-кт, 2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</si>
  <si>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</si>
  <si>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</si>
  <si>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</si>
  <si>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</si>
  <si>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</si>
  <si>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Ковров г, Киркижа ул, 30</t>
  </si>
  <si>
    <t>Ковров г, Лопатина ул, 23</t>
  </si>
  <si>
    <t>Ковров г, Машиностроителей ул, 11</t>
  </si>
  <si>
    <t>Ковров г, Дегтярева ул, 164</t>
  </si>
  <si>
    <t>Ковров г, Маяковского ул, 79</t>
  </si>
  <si>
    <t>Ковров г, Солнечная ул, 2</t>
  </si>
  <si>
    <t>Ковров г, Еловая ул, 82/2</t>
  </si>
  <si>
    <t>Ковров г, Строителей ул, 5</t>
  </si>
  <si>
    <t>Ковров г, Брюсова ул, 52/1</t>
  </si>
  <si>
    <t>Ковров г, Абельмана ул, 22</t>
  </si>
  <si>
    <t xml:space="preserve">Итого по ЗАТО город Радужный  </t>
  </si>
  <si>
    <t>Радужный г, 1-й кв-л, 37</t>
  </si>
  <si>
    <t>Радужный г, 3-й кв-л, 19</t>
  </si>
  <si>
    <t>Радужный г, 1-й кв-л, 20</t>
  </si>
  <si>
    <t>Александров г, Королева ул, 9</t>
  </si>
  <si>
    <t>Александров г, Ленина ул, 32</t>
  </si>
  <si>
    <t>Александров г, Свердлова ул, 39 корп. 1</t>
  </si>
  <si>
    <t>Александров г, Советская ул, 23</t>
  </si>
  <si>
    <t>Александров г, Фабрика Калинина ул, 22</t>
  </si>
  <si>
    <t>Александров г, Гагарина ул, 1</t>
  </si>
  <si>
    <t>Александров г, Стрелецкая Набережная ул, 1</t>
  </si>
  <si>
    <t>Александров г, Ческа-Липа ул, 2</t>
  </si>
  <si>
    <t>Александров г, Кубасова ул, 5</t>
  </si>
  <si>
    <t>Александров г, Революции ул, 40</t>
  </si>
  <si>
    <t>Александров г, Стрелецкая Набережная ул, 10</t>
  </si>
  <si>
    <t>Александров г, Коллективная Аллея ул, 16</t>
  </si>
  <si>
    <t>Александров г, Терешковой ул, 7 корп. 2</t>
  </si>
  <si>
    <t>Александров г, Революции ул, 48</t>
  </si>
  <si>
    <t>Александровский р-н, Балакирево пгт, Вокзальная ул, 10</t>
  </si>
  <si>
    <t>Александровский р-н, Балакирево пгт, Юго-Западный кв-л, 9</t>
  </si>
  <si>
    <t>Итого по город Карабаново</t>
  </si>
  <si>
    <t>Александровский р-н, Карабаново г, Чулкова ул, 1</t>
  </si>
  <si>
    <t>Александровский р-н, Карабаново г, Мира ул, 13</t>
  </si>
  <si>
    <t>Александровский р-н, Карабаново г, Почтовая ул, 20</t>
  </si>
  <si>
    <t>Александровский р-н, Карабаново г, Садовая ул, 6</t>
  </si>
  <si>
    <t>Александровский р-н, Карабаново г, Мира ул, 16</t>
  </si>
  <si>
    <t>Итого по город Струнино</t>
  </si>
  <si>
    <t>Александровский р-н, Струнино г, Дубки кв-л, 9</t>
  </si>
  <si>
    <t>Александровский р-н, Струнино г, Больничный проезд, 11</t>
  </si>
  <si>
    <t>Итого по Краснопламенское</t>
  </si>
  <si>
    <t>Александровский р-н, Лисавы д, Центральная ул, 2</t>
  </si>
  <si>
    <t>Вязниковский р-н, Никологоры п, Механическая ул, 55</t>
  </si>
  <si>
    <t>Итого по Степанцевское</t>
  </si>
  <si>
    <t>Вязниковский р-н, Степанцево п, Совхозная ул, 4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</si>
  <si>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</si>
  <si>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</si>
  <si>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</si>
  <si>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</si>
  <si>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Итого по Паустовское</t>
  </si>
  <si>
    <t>Вязниковский р-н, Центральный п, Главная ул, 18</t>
  </si>
  <si>
    <t>Вязниковский р-н, Паустово д, Фабричная ул, 6</t>
  </si>
  <si>
    <t>Вязниковский р-н, Паустово д, Текстильщиков ул, 17</t>
  </si>
  <si>
    <t>Вязниковский р-н, Октябрьская д, Садовая ул, 1</t>
  </si>
  <si>
    <t>Вязниковский р-н, Паустово д, Текстильщиков ул, 15</t>
  </si>
  <si>
    <t>Вязниковский р-н, Октябрьский п, Маяковского ул, 3а</t>
  </si>
  <si>
    <t>Вязниковский р-н, Пески д, Новая ул, 6</t>
  </si>
  <si>
    <t>Вязники г, Нововязники мкр, Текстильная ул, 1</t>
  </si>
  <si>
    <t>Вязники г, Металлистов ул, 12</t>
  </si>
  <si>
    <t>Вязники г, Ефимьево ул, 10</t>
  </si>
  <si>
    <t>Вязники г, Советская ул, 60/2</t>
  </si>
  <si>
    <t>Вязники г, Калинина ул, 7</t>
  </si>
  <si>
    <t>Вязники г, С.Лазо ул, 2</t>
  </si>
  <si>
    <t>Вязники г, Благовещенская ул, 42</t>
  </si>
  <si>
    <t>Вязники г, Ленина ул, 24</t>
  </si>
  <si>
    <t>Гороховец г, Гагарина ул, 37</t>
  </si>
  <si>
    <t>Гороховец г, Горького ул, 50</t>
  </si>
  <si>
    <t>Гороховец г, Ленина ул, 59</t>
  </si>
  <si>
    <t>Гороховец г, Мира ул, 4</t>
  </si>
  <si>
    <t>Гороховец г, Гагарина ул, 44</t>
  </si>
  <si>
    <t>Гороховец г, Строителей ул, 4</t>
  </si>
  <si>
    <t>Гороховец г, Кирова ул, 5</t>
  </si>
  <si>
    <t>Гороховец г, Лермонтова ул, 4</t>
  </si>
  <si>
    <t>Гороховец г, Мира ул, 13</t>
  </si>
  <si>
    <t>Гороховец г, Ленина ул, 15</t>
  </si>
  <si>
    <t>Гороховец г, Кирова ул, 11</t>
  </si>
  <si>
    <t>Гороховецкий р-н, Торфопредприятия Большое п, Ленина ул, 7</t>
  </si>
  <si>
    <t>Гороховецкий р-н, Торфопредприятия Большое п, Ленина ул, 9</t>
  </si>
  <si>
    <t>Гороховецкий р-н, Лучинки д, Лучинковская ул, 65</t>
  </si>
  <si>
    <t>Итого по Денисовское</t>
  </si>
  <si>
    <t>Гороховецкий р-н, Васильчиково д, 23</t>
  </si>
  <si>
    <t>Гороховецкий р-н, Васильчиково д, 22</t>
  </si>
  <si>
    <t>Итого по поселок Анопино</t>
  </si>
  <si>
    <t>Гусь-Хрустальный р-н, Никулино д, Центральная ул, 19А</t>
  </si>
  <si>
    <t>Камешково г, Карла Маркса ул, 62</t>
  </si>
  <si>
    <t>Камешково г, Молодежная ул, 11</t>
  </si>
  <si>
    <t>Камешково г, Рабочая ул, 7В</t>
  </si>
  <si>
    <t>Камешковский р-н, им Максима Горького п, Шоссейная ул, 2</t>
  </si>
  <si>
    <t>Камешковский р-н, им Максима Горького п, Морозова ул, 6</t>
  </si>
  <si>
    <t>Итого по Сергеихинское</t>
  </si>
  <si>
    <t>Камешковский р-н, Лубенцы д, 66</t>
  </si>
  <si>
    <t>Киржач г, Денисенко ул, 15</t>
  </si>
  <si>
    <t>Киржач г, М.Расковой ул, 17</t>
  </si>
  <si>
    <t>Киржач г, Гастелло ул, 7</t>
  </si>
  <si>
    <t>Киржач г, Совхозная ул, 2</t>
  </si>
  <si>
    <t>Киржач г, Красный Октябрь мкр, Южный кв-л, 1</t>
  </si>
  <si>
    <t>Киржач г, Красный Октябрь мкр, Метленкова ул, 4</t>
  </si>
  <si>
    <t>Итого по Филипповское</t>
  </si>
  <si>
    <t>Киржачский р-н, Участок Мележи нп, ДРП-1 тер, 4</t>
  </si>
  <si>
    <t>Итого по Кипревское</t>
  </si>
  <si>
    <t>Итого по Першинское</t>
  </si>
  <si>
    <t>Киржачский р-н, Федоровское д, Советская ул, 19</t>
  </si>
  <si>
    <t>Ковровский р-н, Мелехово пгт, Первомайская ул, 53</t>
  </si>
  <si>
    <t>Ковровский р-н, Мелехово пгт, Гагарина ул, 4</t>
  </si>
  <si>
    <t>Ковровский р-н, Мелехово пгт, Советская ул, 9</t>
  </si>
  <si>
    <t>Итого по Малыгинское</t>
  </si>
  <si>
    <t>Ковровский р-н, Малыгино п, Юбилейная ул, 47</t>
  </si>
  <si>
    <t>Ковровский р-н, Малыгино п, Школьная ул, 60</t>
  </si>
  <si>
    <t>Итого по Клязьминское</t>
  </si>
  <si>
    <t>Ковровский р-н, подстанция Заря р-н, 1</t>
  </si>
  <si>
    <t>Ковровский р-н, Новый п, Лесная ул, 3</t>
  </si>
  <si>
    <t>Ковровский р-н, Новый п, Школьная ул, 5</t>
  </si>
  <si>
    <t>Ковровский р-н, подстанция Заря р-н, 3</t>
  </si>
  <si>
    <t>Итого по Ивановское</t>
  </si>
  <si>
    <t>Ковровский р-н, Красный Октябрь п, Комсомольская ул, 1</t>
  </si>
  <si>
    <t>Кольчугино г, Дружбы ул, 4</t>
  </si>
  <si>
    <t>Кольчугино г, 50 лет Октября ул, 10</t>
  </si>
  <si>
    <t>Кольчугино г, Ленина ул, 12</t>
  </si>
  <si>
    <t>Кольчугино г, Котовского ул, 23</t>
  </si>
  <si>
    <t>Кольчугино г, Щорса ул, 9</t>
  </si>
  <si>
    <t>Кольчугино г, Мира ул, 15</t>
  </si>
  <si>
    <t>Кольчугинский р-н, Раздолье п, Новоселов ул, 2</t>
  </si>
  <si>
    <t>Итого по Бавленское</t>
  </si>
  <si>
    <t>Кольчугинский р-н, Бавлены п, Центральная ул, 8</t>
  </si>
  <si>
    <t>Кольчугинский р-н, Бавлены п, Центральная ул, 15</t>
  </si>
  <si>
    <t>Кольчугинский р-н, Бавлены п, Центральная ул, 15А</t>
  </si>
  <si>
    <t>Петушинский р-н, Сосновый Бор п, Центральная ул, 8</t>
  </si>
  <si>
    <t>Итого по поселок Вольгинский</t>
  </si>
  <si>
    <t>Петушинский р-н, Вольгинский п, Старовская ул, 14</t>
  </si>
  <si>
    <t>Петушинский р-н, Вольгинский п, Новосеменковская ул, 12</t>
  </si>
  <si>
    <t>Петушинский р-н, Вольгинский п, Старовская ул, 16</t>
  </si>
  <si>
    <t>Петушинский р-н, Покров г, Больничный проезд, 21</t>
  </si>
  <si>
    <t>Петушинский р-н, Покров г, 3 Интернационала ул, 79а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</si>
  <si>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</si>
  <si>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</si>
  <si>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</si>
  <si>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Школьный проезд, 4А</t>
  </si>
  <si>
    <t>Итого по город Костерево</t>
  </si>
  <si>
    <t>Петушинский р-н, Костерево г, им Горького ул, 7</t>
  </si>
  <si>
    <t>Петушинский р-н, Костерево г, им Горького ул, 14</t>
  </si>
  <si>
    <t>Итого по поселок Городищи</t>
  </si>
  <si>
    <t>Петушинский р-н, Городищи п, Октябрьская 2-я ул, 25</t>
  </si>
  <si>
    <t>Петушки г, Спортивная ул, 6</t>
  </si>
  <si>
    <t>Петушки г, Лесная ул, 16</t>
  </si>
  <si>
    <t>Петушки г, Советская пл, 1</t>
  </si>
  <si>
    <t>Петушки г, Трудовая ул, 6</t>
  </si>
  <si>
    <t>Петушки г, Лесная ул, 15</t>
  </si>
  <si>
    <t>Петушки г, Лесная ул, 18</t>
  </si>
  <si>
    <t>Итого по поселок Красная Горбатка</t>
  </si>
  <si>
    <t>Селивановский р-н, Новлянка п, Молодежная ул, 4</t>
  </si>
  <si>
    <t>Итого по Воршинское</t>
  </si>
  <si>
    <t>Собинский р-н, Ворша с, Молодежная ул, 15</t>
  </si>
  <si>
    <t>Итого по Черкутинское</t>
  </si>
  <si>
    <t>Собинский р-н, Черкутино с, Им В.А.Солоухина ул, 2</t>
  </si>
  <si>
    <t>Собинский р-н, Ставрово п, Механизаторов ул, 9</t>
  </si>
  <si>
    <t>Собинский р-н, Ставрово п, Советская ул, 43</t>
  </si>
  <si>
    <t>Собинский р-н, Ставрово п, Советская ул, 92А</t>
  </si>
  <si>
    <t>Собинский р-н, Лакинск г, 21 Партсъезда ул, 15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</si>
  <si>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</si>
  <si>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</si>
  <si>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</si>
  <si>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Собинский р-н, Лакинск г, 21 Партсъезда ул, 11</t>
  </si>
  <si>
    <t>Собинский р-н, Лакинск г, Лермонтова ул, 46</t>
  </si>
  <si>
    <t>Собинка г, Мира ул, 3</t>
  </si>
  <si>
    <t>Собинка г, Родниковская ул, 22</t>
  </si>
  <si>
    <t>Собинка г, Гагарина ул, 8</t>
  </si>
  <si>
    <t>Собинка г, Лакина ул, 9</t>
  </si>
  <si>
    <t>Итого по Колокшанское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</si>
  <si>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</si>
  <si>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</si>
  <si>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5</t>
  </si>
  <si>
    <t>Итого по город Судогда</t>
  </si>
  <si>
    <t>Судогда г, Бякова ул, 30</t>
  </si>
  <si>
    <t>Судогда г, Ленина ул, 74</t>
  </si>
  <si>
    <t>Судогда г, Красная ул, 20</t>
  </si>
  <si>
    <t>Судогда г, Ленина ул, 54в</t>
  </si>
  <si>
    <t>Итого по Андреевское</t>
  </si>
  <si>
    <t>Итого по Головинское</t>
  </si>
  <si>
    <t>Судогодский р-н, Головино п, Радужная ул, 1</t>
  </si>
  <si>
    <t>Судогодский р-н, Головино п, Радужная ул, 2</t>
  </si>
  <si>
    <t>Судогодский р-н, Мошок с, Заводская ул, 8</t>
  </si>
  <si>
    <t>Судогодский р-н, Гонобилово д, Центральная ул, 1</t>
  </si>
  <si>
    <t>Судогодский р-н, Муромцево п, Комсомольская ул, 9</t>
  </si>
  <si>
    <t xml:space="preserve">Итого по Вяткинское </t>
  </si>
  <si>
    <t>Судогодский р-н, Гридино д, Молодежная ул, 10</t>
  </si>
  <si>
    <t>Судогодский р-н, Коняево п, 44</t>
  </si>
  <si>
    <t>Суздаль г, Ленина ул, 69</t>
  </si>
  <si>
    <t>Суздаль г, Лоунская ул, 3</t>
  </si>
  <si>
    <t>Суздальский р-н, Содышка п, Владимирская ул, 10</t>
  </si>
  <si>
    <t>Суздальский р-н, Новоалександрово с, Студенческая ул, 6</t>
  </si>
  <si>
    <t>Итого по Селецкое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</si>
  <si>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</si>
  <si>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</si>
  <si>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</si>
  <si>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Свободы ул, 141</t>
  </si>
  <si>
    <t>Юрьев-Польский г, Герцена ул, 13А</t>
  </si>
  <si>
    <t>Юрьев-Польский г, Герцена ул, 15</t>
  </si>
  <si>
    <t>Юрьев-Польский г, 1 Мая ул, 70</t>
  </si>
  <si>
    <t>Юрьев-Польский г, 1 Мая ул, 76</t>
  </si>
  <si>
    <t>Итого по Небыловское</t>
  </si>
  <si>
    <t>Юрьев-Польский р-н, Шихобалово с, 8</t>
  </si>
  <si>
    <t>Юрьев-Польский р-н, Небылое с, Луговая ул, 1</t>
  </si>
  <si>
    <t>Юрьев-Польский р-н, Федоровское с, 69</t>
  </si>
  <si>
    <t>Итого по Симское</t>
  </si>
  <si>
    <t>Юрьев-Польский р-н, Сима с, Луговая ул, 3</t>
  </si>
  <si>
    <t>Юрьев-Польский р-н, Сима с, Луговая ул, 4</t>
  </si>
  <si>
    <t>Итого по Красносельское</t>
  </si>
  <si>
    <t>Юрьев-Польский р-н, Горки с, Механическая ул, 2</t>
  </si>
  <si>
    <t>Итого по сводному краткосрочному плану на 2021 год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</si>
  <si>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</si>
  <si>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</si>
  <si>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</si>
  <si>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</si>
  <si>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</si>
  <si>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</si>
  <si>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</si>
  <si>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</si>
  <si>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</si>
  <si>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205</t>
  </si>
  <si>
    <t>Владимир г, Добросельская ул, 207а</t>
  </si>
  <si>
    <t>Владимир г, Каманина ул, 22</t>
  </si>
  <si>
    <t>Владимир г, Лакина ул, 137А</t>
  </si>
  <si>
    <t>Владимир г, Лакина ул, 147Б</t>
  </si>
  <si>
    <t>Владимир г, Ленина пр-кт, 20</t>
  </si>
  <si>
    <t>Владимир г, Луначарского ул, 39</t>
  </si>
  <si>
    <t>Владимир г, Мира ул, 32Б</t>
  </si>
  <si>
    <t>Владимир г, Нижняя Дуброва ул, 22</t>
  </si>
  <si>
    <t>Владимир г, Октябрьский пр-кт, 43</t>
  </si>
  <si>
    <t>Владимир г, Перекопский военный городок, 10</t>
  </si>
  <si>
    <t>Владимир г, Полины Осипенко ул, 20</t>
  </si>
  <si>
    <t>Владимир г, Спасское с, Садовая ул, 1</t>
  </si>
  <si>
    <t>Владимир г, Семашко ул, 4</t>
  </si>
  <si>
    <t>Владимир г, Энергетик мкр, Совхозная ул, 4</t>
  </si>
  <si>
    <t>Владимир г, Диктора Левитана ул, 55А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</si>
  <si>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</si>
  <si>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</si>
  <si>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</si>
  <si>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</si>
  <si>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</si>
  <si>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</si>
  <si>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</si>
  <si>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</si>
  <si>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</si>
  <si>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Ленина пр-кт, 7</t>
  </si>
  <si>
    <t>Владимир г, Суздальская ул, 2</t>
  </si>
  <si>
    <t>Владимир г, Гагарина ул, 29</t>
  </si>
  <si>
    <t>Владимир г, Большая Нижегородская ул, 67г</t>
  </si>
  <si>
    <t>Владимир г, Каманина ул, 26</t>
  </si>
  <si>
    <t>Владимир г, Труда ул, 10/20</t>
  </si>
  <si>
    <t>Владимир г, Электроприборовский проезд, 7</t>
  </si>
  <si>
    <t>Владимир г, Лакина ул, 151</t>
  </si>
  <si>
    <t>Владимир г, Модорова ул, 8</t>
  </si>
  <si>
    <t>Владимир г, Белоконской ул, 12</t>
  </si>
  <si>
    <t>Владимир г, Добросельский проезд, 4</t>
  </si>
  <si>
    <t>Ковров г, Зои Космодемьянской ул, 21</t>
  </si>
  <si>
    <t>Владимир г, Лакина ул, 139В</t>
  </si>
  <si>
    <t>Владимир г, Лакина ул, 141Г</t>
  </si>
  <si>
    <t>Владимир г, Даргомыжского ул, 10/20</t>
  </si>
  <si>
    <t>Владимир г, Безыменского ул, 12</t>
  </si>
  <si>
    <t>Владимир г, Усти-на-Лабе ул, 14</t>
  </si>
  <si>
    <t>Владимир г, Гастелло ул, 1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</si>
  <si>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</si>
  <si>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</si>
  <si>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</si>
  <si>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</si>
  <si>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Владимир г, Казарменная ул, 5</t>
  </si>
  <si>
    <t>Владимир г, Кирова ул, 10</t>
  </si>
  <si>
    <t>Владимир г, Лакина ул, 191</t>
  </si>
  <si>
    <t>Владимир г, Растопчина ул, 41а</t>
  </si>
  <si>
    <t>Владимир г, Электроприборовский проезд, 2</t>
  </si>
  <si>
    <t>Владимир г, Чайковского ул, 32</t>
  </si>
  <si>
    <t>Владимир г, Алябьева ул, 23а</t>
  </si>
  <si>
    <t>Владимир г, Комиссарова ул, 35а</t>
  </si>
  <si>
    <t>Владимир г, Чайковского ул, 38В</t>
  </si>
  <si>
    <t>Владимир г, Совхоз Вышка ул, 10</t>
  </si>
  <si>
    <t>Владимир г, Красноармейская ул, 24</t>
  </si>
  <si>
    <t>Владимир г, Ново-Ямской пер, 4б</t>
  </si>
  <si>
    <t>Владимир г, Помпецкий пер, 1</t>
  </si>
  <si>
    <t>Владимир г, Тихонравова ул, 10</t>
  </si>
  <si>
    <t>Владимир г, Фатьянова ул, 24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</si>
  <si>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</si>
  <si>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</si>
  <si>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</si>
  <si>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</si>
  <si>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</si>
  <si>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</si>
  <si>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</si>
  <si>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Новый п, Ленина ул, 13</t>
  </si>
  <si>
    <t>Гусь-Хрустальный г, Теплицкий пр-кт, 22</t>
  </si>
  <si>
    <t>Гусь-Хрустальный г, Гусевский п, Октябрьская ул, 7</t>
  </si>
  <si>
    <t>Гусь-Хрустальный г, Гусевский п, Октябрьская ул, 11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</si>
  <si>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</si>
  <si>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</si>
  <si>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</si>
  <si>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</si>
  <si>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Гусь-Хрустальный г, Новый п, Ленина ул, 9</t>
  </si>
  <si>
    <t>Гусь-Хрустальный г, Рудницкой ул, 13</t>
  </si>
  <si>
    <t>Гусь-Хрустальный г, Луначарского ул, 7</t>
  </si>
  <si>
    <t>Гусь-Хрустальный г, Менделеева ул, 17а</t>
  </si>
  <si>
    <t>Муром г, Владимирская ул, 35а</t>
  </si>
  <si>
    <t>Муром г, Кленовая ул, 1 корп. 2</t>
  </si>
  <si>
    <t>Муром г, Куликова ул, 25</t>
  </si>
  <si>
    <t>Муром г, Ленинградская ул, 5</t>
  </si>
  <si>
    <t>Муромский р-н, Механизаторов п, 55а</t>
  </si>
  <si>
    <t>Муромский р-н, Механизаторов п, 60</t>
  </si>
  <si>
    <t>Муромский р-н, Механизаторов п, 64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</si>
  <si>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</si>
  <si>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</si>
  <si>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</si>
  <si>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</si>
  <si>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Орловская ул, 19</t>
  </si>
  <si>
    <t>Муром г, Спортивная ул, 11</t>
  </si>
  <si>
    <t>Муром г, Спортивная ул, 12</t>
  </si>
  <si>
    <t>Муромский р-н, Муромский п, Садовая ул, 26</t>
  </si>
  <si>
    <t>Муромский р-н, Муромский п, Садовая ул, 28</t>
  </si>
  <si>
    <t>Муромский р-н, Муромский п, Садовая ул, 27</t>
  </si>
  <si>
    <t>Муром г, Свердлова ул, 49</t>
  </si>
  <si>
    <t>Муром г, Коммунистическая ул, 39</t>
  </si>
  <si>
    <t>Муром г, Филатова ул, 19а</t>
  </si>
  <si>
    <t>Муром г, Цветочный б-р, 6</t>
  </si>
  <si>
    <t>Муром г, Пушкина ул, 16</t>
  </si>
  <si>
    <t>Муром г, Филатова ул, 19</t>
  </si>
  <si>
    <t>Муром г, Цветочный б-р, 4</t>
  </si>
  <si>
    <t>Муром г, Цветочный б-р, 3</t>
  </si>
  <si>
    <t>Муром г, Советская ул, 66</t>
  </si>
  <si>
    <t>Муром г, Ленина ул, 2</t>
  </si>
  <si>
    <t>Муром г, Кленовая ул, 5</t>
  </si>
  <si>
    <t>Муром г, Куликова ул, 23</t>
  </si>
  <si>
    <t>Муромский р-н, Фабрики им П.Л.Войкова п, 23</t>
  </si>
  <si>
    <t>Ковров г, Ватутина ул, 2а</t>
  </si>
  <si>
    <t>Ковров г, Пугачева ул, 29</t>
  </si>
  <si>
    <t>Ковров г, Пугачева ул, 9</t>
  </si>
  <si>
    <t>Ковров г, Блинова ул, 74</t>
  </si>
  <si>
    <t>Ковров г, Ковров-8 тер, 9</t>
  </si>
  <si>
    <t>Ковров г, Волго-Донская ул, 10/1</t>
  </si>
  <si>
    <t>Ковров г, Брюсова ул, 52/2</t>
  </si>
  <si>
    <t>Радужный г, 1-й кв-л, 24</t>
  </si>
  <si>
    <t>Радужный г, 1-й кв-л, 7</t>
  </si>
  <si>
    <t>Радужный г, 1-й кв-л, 17</t>
  </si>
  <si>
    <t>Радужный г, 9-й кв-л, 8</t>
  </si>
  <si>
    <t>Радужный г, 1-й кв-л, 6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</si>
  <si>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</si>
  <si>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</si>
  <si>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</si>
  <si>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Красный Переулок ул, 9</t>
  </si>
  <si>
    <t>Александров г, 1-я Лесная ул, 6</t>
  </si>
  <si>
    <t>Александров г, Маяковского ул, 7</t>
  </si>
  <si>
    <t>Александров г, Маяковского ул, 38</t>
  </si>
  <si>
    <t>Александров г, Терешковой ул, 1</t>
  </si>
  <si>
    <t>Александров г, П.Топоркова ул, 5</t>
  </si>
  <si>
    <t>Александров г, Лермонтова ул, 14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</si>
  <si>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</si>
  <si>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</si>
  <si>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</si>
  <si>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</si>
  <si>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Александров г, Революции ул, 77</t>
  </si>
  <si>
    <t>Александров г, Институтская ул, 12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</si>
  <si>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</si>
  <si>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</si>
  <si>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</si>
  <si>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Балакирево пгт, Юго-Западный кв-л, 7</t>
  </si>
  <si>
    <t>Александровский р-н, Балакирево пгт, Юго-Западный кв-л, 16</t>
  </si>
  <si>
    <t>Александровский р-н, Балакирево пгт, Вокзальная ул, 13</t>
  </si>
  <si>
    <t>Александровский р-н, Балакирево пгт, Заводская ул, 3</t>
  </si>
  <si>
    <t>Александровский р-н, Балакирево пгт, Радужный кв-л, 2</t>
  </si>
  <si>
    <t>Александровский р-н, Балакирево пгт, Юго-Западный кв-л, 19</t>
  </si>
  <si>
    <t>Александровский р-н, Карабаново г, Ногина ул, 13</t>
  </si>
  <si>
    <t>Александровский р-н, Карабаново г, Первомайская пл, 4</t>
  </si>
  <si>
    <t>Александровский р-н, Карабаново г, Почтовая ул, 19</t>
  </si>
  <si>
    <t>Александровский р-н, Карабаново г, Мира ул, 17</t>
  </si>
  <si>
    <t>Александровский р-н, Карабаново г, Почтовая ул, 18</t>
  </si>
  <si>
    <t>Александровский р-н, Карабаново г, Лермонтова пл, 1</t>
  </si>
  <si>
    <t>Александровский р-н, Карабаново г, Кооперативная ул, 24</t>
  </si>
  <si>
    <t>Александровский р-н, Струнино г, Больничный проезд, 8</t>
  </si>
  <si>
    <t>Александровский р-н, Струнино г, Чкалова пер, 1</t>
  </si>
  <si>
    <t>Александровский р-н, Струнино г, Островского ул, 3</t>
  </si>
  <si>
    <t>Александровский р-н, Струнино г, Заречная ул, 36</t>
  </si>
  <si>
    <t>Вязниковский р-н, Никологоры п, Красноармейский пер, 1</t>
  </si>
  <si>
    <t>Вязниковский р-н, Сергиевы Горки с, Садовая ул, 4</t>
  </si>
  <si>
    <t>Вязниковский р-н, Октябрьская д, Садовая ул, 2</t>
  </si>
  <si>
    <t>Итого по поселок Мстера</t>
  </si>
  <si>
    <t>Вязниковский р-н, Барское Татарово с, Совхозная ул, 15</t>
  </si>
  <si>
    <t>Вязниковский р-н, Октябрьский п, Клубная ул, 4</t>
  </si>
  <si>
    <t>Вязники г, Дечинский мкр, 2</t>
  </si>
  <si>
    <t>Вязниковский р-н, Пески д, Новая ул, 7</t>
  </si>
  <si>
    <t>Вязники г, Ленина ул, 6</t>
  </si>
  <si>
    <t>Вязники г, Нововязники мкр, Механизаторов ул, 108</t>
  </si>
  <si>
    <t>Вязники г, Металлистов ул, 19</t>
  </si>
  <si>
    <t>Вязники г, Новая ул, 13</t>
  </si>
  <si>
    <t>Вязники г, Киселева ул, 71</t>
  </si>
  <si>
    <t>Вязники г, Сергиевских ул, 4</t>
  </si>
  <si>
    <t>Гороховец г, Строителей ул, 7</t>
  </si>
  <si>
    <t>Гороховец г, Ленина ул, 6</t>
  </si>
  <si>
    <t>Гороховец г, Льва Толстого ул, 46</t>
  </si>
  <si>
    <t xml:space="preserve">Итого по Денисовское </t>
  </si>
  <si>
    <t>Гороховецкий р-н, Чулково п, Парковая ул, 1</t>
  </si>
  <si>
    <t>Гороховецкий р-н, Пролетарский п, Новофабричная ул, 22</t>
  </si>
  <si>
    <t>Гороховецкий р-н, Арефино д, Совхозная ул, 1</t>
  </si>
  <si>
    <t>Гороховецкий р-н, Гришино с, Ленина ул, 56</t>
  </si>
  <si>
    <t>Итого по поселок Добрятино</t>
  </si>
  <si>
    <t>Гусь-Хрустальный р-н, Добрятино п, Ленина ул, 2а</t>
  </si>
  <si>
    <t>Итого по поселок Великодворский</t>
  </si>
  <si>
    <t>Гусь-Хрустальный р-н, Великодворский п, Песочная ул, 20</t>
  </si>
  <si>
    <t>Камешково г, Смурова ул, 7</t>
  </si>
  <si>
    <t>Камешковский р-н, Новки п, Чапаева ул, 13</t>
  </si>
  <si>
    <t>Камешковский р-н, им Максима Горького п, Морозова ул, 4</t>
  </si>
  <si>
    <t>Камешковский р-н, им Красина п, Садовая ул, 8</t>
  </si>
  <si>
    <t>Киржач г, Добровольского ул, 20</t>
  </si>
  <si>
    <t>Киржач г, Привокзальная ул, 9</t>
  </si>
  <si>
    <t>Киржач г, Магистральная ул, 2</t>
  </si>
  <si>
    <t>Киржач г, Морозовская ул, 120</t>
  </si>
  <si>
    <t>Киржач г, Красный Октябрь мкр, Солнечный кв-л, 1</t>
  </si>
  <si>
    <t>Киржач г, Красный Октябрь мкр, Солнечный кв-л, 8</t>
  </si>
  <si>
    <t>Киржач г, Свобода ул, 113</t>
  </si>
  <si>
    <t>Киржач г, Томаровича ул, 5</t>
  </si>
  <si>
    <t>Ковровский р-н, Нерехта п, Просторная ул, 2</t>
  </si>
  <si>
    <t>Ковровский р-н, Малыгино п, Школьная ул, 55</t>
  </si>
  <si>
    <t>Ковровский р-н, Малыгино п, Юбилейная ул, 48</t>
  </si>
  <si>
    <t>Ковровский р-н, Ковров-35 городок, Центральная ул, 111</t>
  </si>
  <si>
    <t>Ковровский р-н, Красный Октябрь п, Мира ул, 15</t>
  </si>
  <si>
    <t>Ковровский р-н, Клязьминский Городок с, Клязьминская ПМК ул, 3</t>
  </si>
  <si>
    <t>Кольчугино г, Луговая ул, 7</t>
  </si>
  <si>
    <t>Кольчугино г, 3 Интернационала ул, 81</t>
  </si>
  <si>
    <t>Кольчугино г, Луговая ул, 5</t>
  </si>
  <si>
    <t>Кольчугинский р-н, Бавлены п, Центральная ул, 10А</t>
  </si>
  <si>
    <t>Итого по Ильинское</t>
  </si>
  <si>
    <t>Кольчугинский р-н, Золотуха п, Пятнадцатая ул, 3</t>
  </si>
  <si>
    <t>Меленки г, Валентины Суздальцевой ул, 27</t>
  </si>
  <si>
    <t>Итого по Ляховское</t>
  </si>
  <si>
    <t>Меленковский р-н, Ляхи с, Климова ул, 2</t>
  </si>
  <si>
    <t>Итого по Дмитриевогорское</t>
  </si>
  <si>
    <t>Меленковский р-н, Дмитриевы Горы с, Первомайская ул, 82</t>
  </si>
  <si>
    <t>Петушинский р-н, Санино д, Лесная ул, 171</t>
  </si>
  <si>
    <t>Петушинский р-н, Вольгинский п, Новосеменковская ул, 4</t>
  </si>
  <si>
    <t>Петушинский р-н, Вольгинский п, Новосеменковская ул, 5</t>
  </si>
  <si>
    <t>Итого по Петушинское</t>
  </si>
  <si>
    <t>Петушинский р-н, Новое Аннино д, Центральная ул, 1</t>
  </si>
  <si>
    <t>Петушинский р-н, Андреевское с, 11</t>
  </si>
  <si>
    <t>Петушинский р-н, Покров г, Больничный проезд, 18</t>
  </si>
  <si>
    <t>Петушинский р-н, Покров г, 3 Интернационала ул, 64а</t>
  </si>
  <si>
    <t>Петушинский р-н, Покров г, 3 Интернационала ул, 68</t>
  </si>
  <si>
    <t>Петушинский р-н, Покров г, Герасимова ул, 17</t>
  </si>
  <si>
    <t>Петушинский р-н, Костерево г, Бормино ул, 58</t>
  </si>
  <si>
    <t>Петушинский р-н, Костерево г, 40 лет Октября ул, 2</t>
  </si>
  <si>
    <t>Петушинский р-н, Городищи п, Ленина ул, 3</t>
  </si>
  <si>
    <t>Петушки г, Маяковского ул, 21</t>
  </si>
  <si>
    <t>Петушки г, Профсоюзная ул, 14</t>
  </si>
  <si>
    <t>Петушки г, Профсоюзная ул, 14а</t>
  </si>
  <si>
    <t>Петушки г, Московская ул, 21</t>
  </si>
  <si>
    <t>Селивановский р-н, Красная Горбатка п, Северная ул, 77</t>
  </si>
  <si>
    <t>Селивановский р-н, Красная Горбатка п, Свободы ул, 50</t>
  </si>
  <si>
    <t>Селивановский р-н, Красная Горбатка п, Свободы ул, 81</t>
  </si>
  <si>
    <t>Собинский р-н, Бабаево с, Молодежная ул, 2</t>
  </si>
  <si>
    <t>Итого по Куриловское</t>
  </si>
  <si>
    <t>Собинский р-н, Курилово д, Молодежная ул, 5</t>
  </si>
  <si>
    <t>Итого по Толпуховское</t>
  </si>
  <si>
    <t>Собинский р-н, Толпухово д, Молодежная ул, 5</t>
  </si>
  <si>
    <t>Собинский р-н, Ставрово п, Октябрьская ул, 126</t>
  </si>
  <si>
    <t>Собинский р-н, Лакинск г, Мира ул, 95</t>
  </si>
  <si>
    <t>Собинский р-н, Лакинск г, Карла Маркса ул, 21</t>
  </si>
  <si>
    <t>Собинка г, Гагарина ул, 12</t>
  </si>
  <si>
    <t>Собинка г, Мира ул, 11</t>
  </si>
  <si>
    <t>Собинка г, Шибаева ул, 18</t>
  </si>
  <si>
    <t>Собинка г, Гагарина ул, 16</t>
  </si>
  <si>
    <t>Судогда г, Ленина ул, 70</t>
  </si>
  <si>
    <t>Судогда г, Коммунистическая ул, 3</t>
  </si>
  <si>
    <t>Итого по Вяткинское</t>
  </si>
  <si>
    <t>Судогодский р-н, Муромцево п, Комсомольская ул, 10а</t>
  </si>
  <si>
    <t>Суздаль г, Гоголя ул, 15</t>
  </si>
  <si>
    <t>Суздаль г, Ленина ул, 26</t>
  </si>
  <si>
    <t>Суздаль г, Советская ул, 4</t>
  </si>
  <si>
    <t>Суздаль г, Лоунская ул, 5</t>
  </si>
  <si>
    <t>Суздальский р-н, Цибеево с, Западная ул, 3</t>
  </si>
  <si>
    <t>Суздальский р-н, Гавриловское с, Школьная ул, 17</t>
  </si>
  <si>
    <t>Юрьев-Польский г, Луговая ул, 41</t>
  </si>
  <si>
    <t>Юрьев-Польский р-н, Небылое с, Первомайская ул, 83</t>
  </si>
  <si>
    <t>Юрьев-Польский р-н, Небылое с, Школьная ул, 9</t>
  </si>
  <si>
    <t>Юрьев-Польский р-н, Сима с, Комсомольская ул, 6</t>
  </si>
  <si>
    <t>Итого по сводному краткосрочному плану на 2022 год</t>
  </si>
  <si>
    <t>Владимир г, Асаткина ул, 27</t>
  </si>
  <si>
    <t>Владимир г, Балакирева ул, 29</t>
  </si>
  <si>
    <t>Владимир г, Балакирева ул, 37г</t>
  </si>
  <si>
    <t>Владимир г, Балакирева ул, 39</t>
  </si>
  <si>
    <t>Владимир г, Безыменского ул, 21б</t>
  </si>
  <si>
    <t>Владимир г, Василисина ул, 1</t>
  </si>
  <si>
    <t>Владимир г, Верхняя Дуброва ул, 38В</t>
  </si>
  <si>
    <t>Владимир г, Доватора ул, 3А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</si>
  <si>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</si>
  <si>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</si>
  <si>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</si>
  <si>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</t>
  </si>
  <si>
    <t>Владимир г, Жуковского ул, 8Б</t>
  </si>
  <si>
    <t>Владимир г, Завадского ул, 3</t>
  </si>
  <si>
    <t>Владимир г, Каманина ул, 14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</si>
  <si>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</si>
  <si>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</si>
  <si>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</si>
  <si>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</si>
  <si>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153</t>
  </si>
  <si>
    <t>Владимир г, Ленина пр-кт, 35Б</t>
  </si>
  <si>
    <t>Владимир г, Ленина пр-кт, 67Б</t>
  </si>
  <si>
    <t>Владимир г, Ленина пр-кт, 64</t>
  </si>
  <si>
    <t>Владимир г, Ленина пр-кт, 68</t>
  </si>
  <si>
    <t>Владимир г, Ново-Ямская ул, 23</t>
  </si>
  <si>
    <t>Владимир г, Октябрьский пр-кт, 12</t>
  </si>
  <si>
    <t>Владимир г, Октябрьский пр-кт, 41</t>
  </si>
  <si>
    <t>Владимир г, Перекопский военный городок, 8</t>
  </si>
  <si>
    <t>Владимир г, Перекопский военный городок, 14</t>
  </si>
  <si>
    <t>Владимир г, Полины Осипенко ул, 1</t>
  </si>
  <si>
    <t>Владимир г, Растопчина ул, 29</t>
  </si>
  <si>
    <t>Владимир г, Строителей пр-кт, 4А</t>
  </si>
  <si>
    <t>Владимир г, Строителей пр-кт, 16Б</t>
  </si>
  <si>
    <t>Владимир г, Строителей пр-кт, 25</t>
  </si>
  <si>
    <t>Владимир г, Строителей пр-кт, 42А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</si>
  <si>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</si>
  <si>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</si>
  <si>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</si>
  <si>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Судогодское ш, 1</t>
  </si>
  <si>
    <t>Владимир г, Ставровская ул, 2Б</t>
  </si>
  <si>
    <t>Владимир г, Фейгина ул, 6/25</t>
  </si>
  <si>
    <t>Владимир г, Энергетик мкр, Энергетиков ул, 11Б</t>
  </si>
  <si>
    <t>Владимир г, Энергетик мкр, Энергетиков ул, 14Б</t>
  </si>
  <si>
    <t>Владимир г, Юбилейная ул, 6</t>
  </si>
  <si>
    <t>Владимир г, Юбилейная ул, 34</t>
  </si>
  <si>
    <t>Владимир г, Диктора Левитана ул, 49</t>
  </si>
  <si>
    <t>Владимир г, Михайловская ул, 53</t>
  </si>
  <si>
    <t>Владимир г, Лакина ул, 159</t>
  </si>
  <si>
    <t>Владимир г, Добросельская ул, 167б</t>
  </si>
  <si>
    <t>Владимир г, Добросельская ул, 211а</t>
  </si>
  <si>
    <t>Владимир г, Балакирева ул, 28</t>
  </si>
  <si>
    <t>Владимир г, Белоконской ул, 15В</t>
  </si>
  <si>
    <t>Владимир г, Октябрьский пр-кт, 45</t>
  </si>
  <si>
    <t>Владимир г, Завадского ул, 13</t>
  </si>
  <si>
    <t>Владимир г, Луначарского ул, 27</t>
  </si>
  <si>
    <t>Владимир г, Мира ул, 42</t>
  </si>
  <si>
    <t>Владимир г, Октябрьский пр-кт, 45А</t>
  </si>
  <si>
    <t>Владимир г, Поселок РТС ул, 1</t>
  </si>
  <si>
    <t>Владимир г, Михайловская ул, 20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</si>
  <si>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</si>
  <si>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</si>
  <si>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</si>
  <si>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</si>
  <si>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</si>
  <si>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</si>
  <si>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</si>
  <si>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</si>
  <si>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</si>
  <si>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</si>
  <si>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Транспортная ул, 4а</t>
  </si>
  <si>
    <t>Гусь-Хрустальный г, 50 лет Советской Власти пр-кт, 27</t>
  </si>
  <si>
    <t>Гусь-Хрустальный г, Транспортная ул, 6</t>
  </si>
  <si>
    <t>Гусь-Хрустальный г, Октябрьская ул, 2</t>
  </si>
  <si>
    <t>Муром г, 30 лет Победы ул, 1</t>
  </si>
  <si>
    <t>Муром г, Артема ул, 11</t>
  </si>
  <si>
    <t>Муром г, Заводская ул, 21</t>
  </si>
  <si>
    <t>Муром г, Кирова ул, 26</t>
  </si>
  <si>
    <t>Муром г, Первомайская ул, 22</t>
  </si>
  <si>
    <t>Муром г, Лаврентьева ул, 41</t>
  </si>
  <si>
    <t>Муром г, Ленинградская ул, 19</t>
  </si>
  <si>
    <t>Муром г, Ленинградская ул, 29 корп. 2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</si>
  <si>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</si>
  <si>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</si>
  <si>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</si>
  <si>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</si>
  <si>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 г, Московская ул, 86</t>
  </si>
  <si>
    <t>Муром г, Муромская ул, 19</t>
  </si>
  <si>
    <t>Муром г, Октябрьская ул, 106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</si>
  <si>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</si>
  <si>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</si>
  <si>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</si>
  <si>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</si>
  <si>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Муромский р-н, Муромский п, Северная ул, 19</t>
  </si>
  <si>
    <t>Муромский р-н, Муромский п, Озёрная ул, 22</t>
  </si>
  <si>
    <t>Муром г, Щербакова ул, 33</t>
  </si>
  <si>
    <t>Муром г, Энергетиков ул, 3а</t>
  </si>
  <si>
    <t>Муром г, Экземплярского ул, 74</t>
  </si>
  <si>
    <t>Муром г, Владимирское ш, 12</t>
  </si>
  <si>
    <t xml:space="preserve">Итого по город Ковров </t>
  </si>
  <si>
    <t>Ковров г, Барсукова ул, 14а</t>
  </si>
  <si>
    <t>Ковров г, Васильева ул, 14а</t>
  </si>
  <si>
    <t>Ковров г, Ковров-8 тер, 8</t>
  </si>
  <si>
    <t>Ковров г, Еловая ул, 82/3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</si>
  <si>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</si>
  <si>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</si>
  <si>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</si>
  <si>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</si>
  <si>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Ковров г, Сосновая ул, 28</t>
  </si>
  <si>
    <t>Радужный г, 1-й кв-л, 12А</t>
  </si>
  <si>
    <t>Радужный г, 3-й кв-л, 29</t>
  </si>
  <si>
    <t>Александров г, Гагарина ул, 1 корп. 1</t>
  </si>
  <si>
    <t>Александров г, Гагарина ул, 15</t>
  </si>
  <si>
    <t>Александров г, Совхоз Правда ул, 37</t>
  </si>
  <si>
    <t>Александров г, Королева ул, 7</t>
  </si>
  <si>
    <t>Александров г, Революции ул, 51</t>
  </si>
  <si>
    <t>Александров г, Свердлова ул, 39</t>
  </si>
  <si>
    <t>Александров г, Терешковой ул, 2 корп. 2</t>
  </si>
  <si>
    <t>Александров г, Терешковой ул, 13 корп. 3</t>
  </si>
  <si>
    <t>Александровский р-н, Балакирево пгт, Юго-Западный кв-л, 17</t>
  </si>
  <si>
    <t>Александровский р-н, Балакирево пгт, Заводская ул, 2</t>
  </si>
  <si>
    <t>Александровский р-н, Карабаново г, Карпова ул, 1</t>
  </si>
  <si>
    <t>Александровский р-н, Карабаново г, Лермонтова пл, 14</t>
  </si>
  <si>
    <t>Александровский р-н, Карабаново г, Садовая ул, 7</t>
  </si>
  <si>
    <t>Александровский р-н, Струнино г, Больничный проезд, 15</t>
  </si>
  <si>
    <t>Александровский р-н, Струнино г, Заречная ул, 1а</t>
  </si>
  <si>
    <t>Вязниковский р-н, Никологоры п, 1-я Пролетарская ул, 59</t>
  </si>
  <si>
    <t>Вязниковский р-н, Степанцево п, Ленина ул, 16</t>
  </si>
  <si>
    <t>Вязниковский р-н, Паустово д, Текстильщиков ул, 10</t>
  </si>
  <si>
    <t>Вязниковский р-н, Центральный п, Клубная ул, 4</t>
  </si>
  <si>
    <t>Вязниковский р-н, Мстёра ст, Дома подстанции ул, 1</t>
  </si>
  <si>
    <t>Вязниковский р-н, Серково д, Новая ул, 2</t>
  </si>
  <si>
    <t>Вязники г, Л.Толстого ул, 2/26</t>
  </si>
  <si>
    <t>Вязники г, Л.Толстого ул, 51/22</t>
  </si>
  <si>
    <t>Вязниковский р-н, Пировы-Городищи д, Молодежная ул, 5</t>
  </si>
  <si>
    <t>Вязники г, Дечинский мкр, 14</t>
  </si>
  <si>
    <t>Вязники г, Жуковского ул, 1</t>
  </si>
  <si>
    <t>Гороховец г, Кирова ул, 9</t>
  </si>
  <si>
    <t>Гороховец г, Набережная ул, 28</t>
  </si>
  <si>
    <t>Гороховец г, Мира ул, 30</t>
  </si>
  <si>
    <t>Гороховецкий р-н, Куприяново д, Дорожная ул, 5</t>
  </si>
  <si>
    <t>Гороховецкий р-н, Пролетарский п, Октябрьская ул, 3</t>
  </si>
  <si>
    <t>Гусь-Хрустальный р-н, Курлово г, Володарского ул, 5</t>
  </si>
  <si>
    <t>Итого по поселок Иванищи</t>
  </si>
  <si>
    <t>Гусь-Хрустальный р-н, Иванищи п, Южная ул, 1а</t>
  </si>
  <si>
    <t>Гусь-Хрустальный р-н, Иванищи п, Южная ул, 6</t>
  </si>
  <si>
    <t>Камешково г, Советская ул, 2</t>
  </si>
  <si>
    <t>Камешково г, Комсомольская пл, 10б</t>
  </si>
  <si>
    <t>Камешковский р-н, Новки п, Чапаева ул, 21</t>
  </si>
  <si>
    <t>Камешковский р-н, Коверино с, Садовая ул, 5</t>
  </si>
  <si>
    <t>Итого по Пенкинское</t>
  </si>
  <si>
    <t>Камешковский р-н, Гатиха с, Шоссейная ул, 1</t>
  </si>
  <si>
    <t>Киржач г, Павловского ул, 36</t>
  </si>
  <si>
    <t>Киржач г, Большая Московская ул, 1а</t>
  </si>
  <si>
    <t>Киржач г, Станционная ул, 65</t>
  </si>
  <si>
    <t>Киржач г, Красный Октябрь мкр, Октябрьская ул, 11</t>
  </si>
  <si>
    <t>Киржач г, Красный Октябрь мкр, Солнечный кв-л, 2</t>
  </si>
  <si>
    <t>Киржач г, Совхозная ул, 1</t>
  </si>
  <si>
    <t>Ковровский р-н, Глебово д, Школьная ул, 20</t>
  </si>
  <si>
    <t>Ковровский р-н, Достижение п, Кирпичная ул, 29</t>
  </si>
  <si>
    <t>Ковровский р-н, Мелехово пгт, Школьный пер, 26</t>
  </si>
  <si>
    <t>Ковровский р-н, Мелехово пгт, Школьный пер, 27</t>
  </si>
  <si>
    <t>Ковровский р-н, Мелехово пгт, Строительная ул, 3</t>
  </si>
  <si>
    <t>Ковровский р-н, Гигант п, Первомайская ул, 15</t>
  </si>
  <si>
    <t>Ковровский р-н, Гигант п, Первомайская ул, 17</t>
  </si>
  <si>
    <t>Ковровский р-н, Новый п, Першутова ул, 4</t>
  </si>
  <si>
    <t>Кольчугино г, КИМ ул, 6</t>
  </si>
  <si>
    <t>Кольчугино г, Чапаева ул, 3</t>
  </si>
  <si>
    <t>Кольчугино г, Алексеева ул, 8</t>
  </si>
  <si>
    <t>Кольчугинский р-н, Раздолье п, Новоселов ул, 3</t>
  </si>
  <si>
    <t>Итого по Флорищинское</t>
  </si>
  <si>
    <t>Кольчугинский р-н, Металлист п, Молодежная ул, 1</t>
  </si>
  <si>
    <t>Меленки г, Коминтерна ул, 211</t>
  </si>
  <si>
    <t>Меленковский р-н, Дмитриевы Горы с, Первомайская ул, 80</t>
  </si>
  <si>
    <t>Итого по Ковардицкое</t>
  </si>
  <si>
    <t>Муромский р-н, Зимёнки п, Мира ул, 5</t>
  </si>
  <si>
    <t>Петушинский р-н, Нагорный п, Владимирская ул, 8</t>
  </si>
  <si>
    <t>Петушинский р-н, Покров г, Пролетарская ул, 5</t>
  </si>
  <si>
    <t>Петушинский р-н, Покров г, 3 Интернационала ул, 55</t>
  </si>
  <si>
    <t>Петушинский р-н, Покров г, 3 Интернационала ул, 49</t>
  </si>
  <si>
    <t>Петушинский р-н, Костерево г, Писцова ул, 56</t>
  </si>
  <si>
    <t>Петушинский р-н, Городищи п, Советская ул, 45а</t>
  </si>
  <si>
    <t>Петушинский р-н, Труд п, Советская ул, 3</t>
  </si>
  <si>
    <t>Петушки г, Зеленая ул, 22</t>
  </si>
  <si>
    <t>Петушки г, Лесная ул, 2а</t>
  </si>
  <si>
    <t>Петушки г, Лесная ул, 13</t>
  </si>
  <si>
    <t>Петушинский р-н, Вольгинский п, Старовская ул, 3</t>
  </si>
  <si>
    <t>Селивановский р-н, Красная Горбатка п, Первомайская ул, 102</t>
  </si>
  <si>
    <t>Собинский р-н, Заречное с, Парковая ул, 7</t>
  </si>
  <si>
    <t>Собинский р-н, Толпухово д, Молодежная ул, 4</t>
  </si>
  <si>
    <t>Собинский р-н, Толпухово д, Молодежная ул, 12</t>
  </si>
  <si>
    <t>Собинский р-н, Ставрово п, Южная ул, 2</t>
  </si>
  <si>
    <t>Собинский р-н, Ставрово п, Комсомольская ул, 3А</t>
  </si>
  <si>
    <t>Собинский р-н, Ставрово п, Советская ул, 82</t>
  </si>
  <si>
    <t>Собинский р-н, Лакинск г, 21 Партсъезда ул, 4</t>
  </si>
  <si>
    <t>Собинский р-н, Лакинск г, 21 Партсъезда ул, 23</t>
  </si>
  <si>
    <t>Собинский р-н, Лакинск г, Мира ул, 101</t>
  </si>
  <si>
    <t>Собинка г, Гоголя ул, 1Б</t>
  </si>
  <si>
    <t>Собинка г, Шибаева ул, 21</t>
  </si>
  <si>
    <t>Собинка г, Гагарина ул, 14</t>
  </si>
  <si>
    <t>Судогда г, Гагарина ул, 7а</t>
  </si>
  <si>
    <t>Судогда г, Коммунистическая ул, 6</t>
  </si>
  <si>
    <t>Судогодский р-н, Ликино с, Лесная ул, 7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</si>
  <si>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</si>
  <si>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</si>
  <si>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</si>
  <si>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Суздаль г, Гоголя ул, 11</t>
  </si>
  <si>
    <t>Суздаль г, Советская ул, 20</t>
  </si>
  <si>
    <t>Суздаль г, Советская ул, 39</t>
  </si>
  <si>
    <t>Суздальский р-н, Сокол п, 1</t>
  </si>
  <si>
    <t>Суздальский р-н, Садовый п, Центральная ул, 4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</si>
  <si>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</si>
  <si>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</si>
  <si>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</si>
  <si>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</si>
  <si>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>п Красный Октябрь ул Мира д.15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</si>
  <si>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</si>
  <si>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 Красный Октябрь ул Комсомольская д.1</t>
  </si>
  <si>
    <t xml:space="preserve">Итого по Владимирской области по 2020 году: </t>
  </si>
  <si>
    <t>х</t>
  </si>
  <si>
    <t>п Малыгино ул Юбилейная д.51</t>
  </si>
  <si>
    <t>п Мелехово ул Первомайская д.53</t>
  </si>
  <si>
    <t>Юрьев-Польский г, Шибанкова ул, 160</t>
  </si>
  <si>
    <t>г Гусь-Хрустальный ул Дружбы Народов д.8</t>
  </si>
  <si>
    <t>Александров г, Стрелецкая Набережная ул, 9</t>
  </si>
  <si>
    <t>Гусь-Хрустальный р-н, Иванищи п, Фрунзе ул, 1а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</si>
  <si>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</si>
  <si>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Кольчугино г, Ломако ул, 12</t>
  </si>
  <si>
    <t>Кольчугино г, Ломако ул, 16</t>
  </si>
  <si>
    <t>Кольчугино г, Ульяновская ул, 45</t>
  </si>
  <si>
    <t>Ковровский р-н, Старая д, Совхозная ул, 27</t>
  </si>
  <si>
    <t>Киржачский р-н, Ефремово д, Восточная ул, 4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</si>
  <si>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</si>
  <si>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</si>
  <si>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</si>
  <si>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Адрес многоквартирного дома 
(далее - МКД)</t>
  </si>
  <si>
    <t>Количество жителей, зарегистрированных в МКД на          дату утверждения краткосрочного плана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</si>
  <si>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</si>
  <si>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</si>
  <si>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Стоимость капитального ремонта</t>
  </si>
  <si>
    <t>в том числе жилых           помещений, находящихся в собственности граждан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</si>
  <si>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</si>
  <si>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</si>
  <si>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</si>
  <si>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ХВС</t>
  </si>
  <si>
    <t>ГВС</t>
  </si>
  <si>
    <t>ТЕПЛО</t>
  </si>
  <si>
    <t>ВО</t>
  </si>
  <si>
    <t>ЭЛ</t>
  </si>
  <si>
    <t>ЛИФТ</t>
  </si>
  <si>
    <t>Крыша</t>
  </si>
  <si>
    <t>Подвал</t>
  </si>
  <si>
    <t>Фасад</t>
  </si>
  <si>
    <t>Фундамент</t>
  </si>
  <si>
    <t>Реконструкция</t>
  </si>
  <si>
    <t>вентканалы</t>
  </si>
  <si>
    <t>ООО "УК ЖРЭП"</t>
  </si>
  <si>
    <t>ООО «ЖРЭП № 8»</t>
  </si>
  <si>
    <t>ООО «Мой дом»</t>
  </si>
  <si>
    <t>ООО  «УК ЛЮКС»</t>
  </si>
  <si>
    <t>ООО УК «Старый город»</t>
  </si>
  <si>
    <t>ООО «ТЭК»</t>
  </si>
  <si>
    <t>8</t>
  </si>
  <si>
    <t>ООО «Владимирская управляющая компания»</t>
  </si>
  <si>
    <t>ООО ЖРП «Заклязьменский»</t>
  </si>
  <si>
    <t>ООО «ЖилСтройСтандарт»</t>
  </si>
  <si>
    <t>9</t>
  </si>
  <si>
    <t>ООО «Жилищник»</t>
  </si>
  <si>
    <t>МУП г.Владимира «ГУК»</t>
  </si>
  <si>
    <t>ООО «МУПЖРЭП»</t>
  </si>
  <si>
    <t>6</t>
  </si>
  <si>
    <t>ТСЖ «Центр»</t>
  </si>
  <si>
    <t>ООО «Жилищник-Центр»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</si>
  <si>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</si>
  <si>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</si>
  <si>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</si>
  <si>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</si>
  <si>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</si>
  <si>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7</t>
  </si>
  <si>
    <t>ООО «Жилищная компания»</t>
  </si>
  <si>
    <t>ООО «УК Лидер»</t>
  </si>
  <si>
    <t>10</t>
  </si>
  <si>
    <t>Кирпичные, блочные</t>
  </si>
  <si>
    <t>МУП города Владимира "ГУК"</t>
  </si>
  <si>
    <t>Непосредственное управление</t>
  </si>
  <si>
    <t>ООО"УК ЛЮКС"</t>
  </si>
  <si>
    <t>ООО "Управляющая организация ремонтно-эксплуатационное управление № 1"</t>
  </si>
  <si>
    <t>ООО "Управляющая организация"</t>
  </si>
  <si>
    <t>"Дом - 27"</t>
  </si>
  <si>
    <t>ООО "МКД - Сервис"</t>
  </si>
  <si>
    <t>1957</t>
  </si>
  <si>
    <t>Шлакоблочные</t>
  </si>
  <si>
    <t xml:space="preserve">Панельные </t>
  </si>
  <si>
    <t>"Нить"</t>
  </si>
  <si>
    <t>ООО "Стройград"</t>
  </si>
  <si>
    <t>ООО "УК РЭУ №1"</t>
  </si>
  <si>
    <t>ООО "УПРАВЛЯЮЩАЯ ОРГАНИЗАЦИЯ" Г.ГУСЬ-ХРУСТАЛЬНЫЙ</t>
  </si>
  <si>
    <t>ООО "Фортуна"</t>
  </si>
  <si>
    <t>ООО ДУК "Территория"</t>
  </si>
  <si>
    <t>1989</t>
  </si>
  <si>
    <t>ООО "Союз"</t>
  </si>
  <si>
    <t>ООО "РЕМСТРОЙ Южный"</t>
  </si>
  <si>
    <t xml:space="preserve">ООО ДУК "Территория" </t>
  </si>
  <si>
    <t>ООО "Ремстрой Южный"</t>
  </si>
  <si>
    <t>ООО "ДОМОУПРАВ"</t>
  </si>
  <si>
    <t>Кирпичные/блочные</t>
  </si>
  <si>
    <t>ООО "Домоуправ" </t>
  </si>
  <si>
    <t>1992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</si>
  <si>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</si>
  <si>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</si>
  <si>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</si>
  <si>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</si>
  <si>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</si>
  <si>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"УК "Жилсервис"</t>
  </si>
  <si>
    <t>ООО УК "Парадигма"</t>
  </si>
  <si>
    <t>ООО УК "Вика"</t>
  </si>
  <si>
    <t>12</t>
  </si>
  <si>
    <t>ООО УК "ВИКА" </t>
  </si>
  <si>
    <t>ТСЖ "Мир-2"</t>
  </si>
  <si>
    <t>ЖСК</t>
  </si>
  <si>
    <t>ЖСК № 55</t>
  </si>
  <si>
    <t>ООО УК "Восточное"</t>
  </si>
  <si>
    <t>ООО "ЖКО Роско"</t>
  </si>
  <si>
    <t>ООО УК "Жилсервис"</t>
  </si>
  <si>
    <t>ООО "УК "ВИКА"</t>
  </si>
  <si>
    <t>ООО "УК "Восточное"</t>
  </si>
  <si>
    <t>ООО"УК"ЖКО РОСКО"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</si>
  <si>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</si>
  <si>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</si>
  <si>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</si>
  <si>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</si>
  <si>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</si>
  <si>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БУ</t>
  </si>
  <si>
    <t>ТСЖ "Калина"</t>
  </si>
  <si>
    <t>2001</t>
  </si>
  <si>
    <t>ООО РСК</t>
  </si>
  <si>
    <t>1975</t>
  </si>
  <si>
    <t>ООО "ПОТЕНЦИАЛ"</t>
  </si>
  <si>
    <t>ООО "ЖКО"</t>
  </si>
  <si>
    <t>Каменные/блочные</t>
  </si>
  <si>
    <t>ООО "ЖКО" </t>
  </si>
  <si>
    <t>ООО "НУК"</t>
  </si>
  <si>
    <t>ООО "Содружество-С"</t>
  </si>
  <si>
    <t>ООО "Новая управляющая компания"</t>
  </si>
  <si>
    <t>ООО "УК СОДРУЖЕСТВО С"</t>
  </si>
  <si>
    <t>ТСЖ "Совхозное"</t>
  </si>
  <si>
    <t>ТСЖ "Степанцевское"</t>
  </si>
  <si>
    <t>ООО "Степанцевское ЖКХ"</t>
  </si>
  <si>
    <t>ООО "ЖЭК Никологоры"</t>
  </si>
  <si>
    <t>1960</t>
  </si>
  <si>
    <t>ООО "ЖЭК "Никологоры"</t>
  </si>
  <si>
    <t>МУП "ЖКС"</t>
  </si>
  <si>
    <t>ТСЖ "Ефимьево 10"</t>
  </si>
  <si>
    <t>ООО "ЖЭК № 3"</t>
  </si>
  <si>
    <t>ООО "ЖЭК № 2"</t>
  </si>
  <si>
    <t>1973</t>
  </si>
  <si>
    <t>1959</t>
  </si>
  <si>
    <t>1880</t>
  </si>
  <si>
    <t>ООО "Жилцентр"</t>
  </si>
  <si>
    <t>ООО "ДомСервис"</t>
  </si>
  <si>
    <t>МУП "Коммунальщик"</t>
  </si>
  <si>
    <t xml:space="preserve">Блочные </t>
  </si>
  <si>
    <t>"Галицы"</t>
  </si>
  <si>
    <t>ООО "МП "Альтернатива"</t>
  </si>
  <si>
    <t>ООО "УЮТ"</t>
  </si>
  <si>
    <t>ООО"Жилфонд"</t>
  </si>
  <si>
    <t>ООО" Монолит"</t>
  </si>
  <si>
    <t xml:space="preserve">ООО"УК"Наш Дом" </t>
  </si>
  <si>
    <t>ООО "Монолит"</t>
  </si>
  <si>
    <t>ООО "УК Наш Дом"</t>
  </si>
  <si>
    <t>ООО "МОНОЛИТ"</t>
  </si>
  <si>
    <t>ФУМП ЖКХ</t>
  </si>
  <si>
    <t xml:space="preserve">УК </t>
  </si>
  <si>
    <t>ООО "Лидер"</t>
  </si>
  <si>
    <t>ООО "Плес+"</t>
  </si>
  <si>
    <t>ООО "Комсервис+" </t>
  </si>
  <si>
    <t>ООО "Сфера"</t>
  </si>
  <si>
    <t>ООО "ЖЭУ №3"</t>
  </si>
  <si>
    <t>ООО "УК в ЖКХ в г. Кольчугино"</t>
  </si>
  <si>
    <t>ООО "Уютный дом"</t>
  </si>
  <si>
    <t>ООО "КОМФОРТ"</t>
  </si>
  <si>
    <t>ООО " Комфорт"</t>
  </si>
  <si>
    <t>ООО "УК"Меленковского района"</t>
  </si>
  <si>
    <t>МУП "Аэлита"</t>
  </si>
  <si>
    <t>МУП "АЭЛИТА"</t>
  </si>
  <si>
    <t>ООО "УК Покров"</t>
  </si>
  <si>
    <t>ООО "Эксперт"</t>
  </si>
  <si>
    <t>ООО "ЖКХ г. Костерево"</t>
  </si>
  <si>
    <t>МУП "Инфраструктура и сервис"</t>
  </si>
  <si>
    <t>МУП "РСУ" г.Петушки</t>
  </si>
  <si>
    <t>ООО УК "Селиваново"</t>
  </si>
  <si>
    <t xml:space="preserve">ООО УК "Теплый дом" </t>
  </si>
  <si>
    <t>МУП ЖКХ "УК Собинского района"</t>
  </si>
  <si>
    <t>ООО "ЖилСтрой"</t>
  </si>
  <si>
    <t>ООО "Плазма"</t>
  </si>
  <si>
    <t>ЖК</t>
  </si>
  <si>
    <t>ЖСК ул. Гагарина, д.9</t>
  </si>
  <si>
    <t>ЖСК ул. Мира,д.3</t>
  </si>
  <si>
    <t xml:space="preserve">ООО УК ЖКХ Собинского района </t>
  </si>
  <si>
    <t>ООО УК "Пономарев С.А." </t>
  </si>
  <si>
    <t>ЖСК ул. Гагарина, д.8</t>
  </si>
  <si>
    <t>ТСЖ Г.СОБИНКА, УЛ.ЛАКИНА, Д.9</t>
  </si>
  <si>
    <t>ООО "Тепломир" </t>
  </si>
  <si>
    <t>ООО "Андреевская УК"</t>
  </si>
  <si>
    <t>ООО "Комстройсервис"</t>
  </si>
  <si>
    <t>ООО "АТ плюс"</t>
  </si>
  <si>
    <t>1917</t>
  </si>
  <si>
    <t>ООО "Жилищник" г.Суздаль</t>
  </si>
  <si>
    <t>ИП Деркач В. Н. </t>
  </si>
  <si>
    <t>ИП Деркач В.Н.</t>
  </si>
  <si>
    <t>ООО "Жилищник" город Суздаль</t>
  </si>
  <si>
    <t>1968</t>
  </si>
  <si>
    <t>ООО УК "Влад-комстрой"</t>
  </si>
  <si>
    <t>УК "Порядок"</t>
  </si>
  <si>
    <t>ООО "Управляющая компания № 1"</t>
  </si>
  <si>
    <t>ООО  "Управляющая компания №1"</t>
  </si>
  <si>
    <t>1972</t>
  </si>
  <si>
    <t>1971</t>
  </si>
  <si>
    <t>1982</t>
  </si>
  <si>
    <t>ООО»Жилищник-Центр»</t>
  </si>
  <si>
    <t>1980</t>
  </si>
  <si>
    <t>1969</t>
  </si>
  <si>
    <t>1986</t>
  </si>
  <si>
    <t>ЗАО «Альтернатива»</t>
  </si>
  <si>
    <t>ЖСК 9</t>
  </si>
  <si>
    <t>1912</t>
  </si>
  <si>
    <t xml:space="preserve"> ООО «УниверсалСтрой»</t>
  </si>
  <si>
    <t>1941</t>
  </si>
  <si>
    <t>деревянные</t>
  </si>
  <si>
    <t xml:space="preserve"> ООО «Жилремстрой»</t>
  </si>
  <si>
    <t xml:space="preserve"> МУП г.Владимира «ГУК»</t>
  </si>
  <si>
    <t>1999</t>
  </si>
  <si>
    <t xml:space="preserve"> ООО «ТЭК»</t>
  </si>
  <si>
    <t>НО</t>
  </si>
  <si>
    <t>1962</t>
  </si>
  <si>
    <t>ООО "Ресурс"</t>
  </si>
  <si>
    <t>ООО «Оникс»</t>
  </si>
  <si>
    <t>1974</t>
  </si>
  <si>
    <t>ООО УК «ЛЮКС»</t>
  </si>
  <si>
    <t>"Новый-1"</t>
  </si>
  <si>
    <t>ООО "МКД-Сервис" </t>
  </si>
  <si>
    <t>МУП "ЖКХ" ЗАТО г. Радужный </t>
  </si>
  <si>
    <t>МУП "ЖКХ"</t>
  </si>
  <si>
    <t>ООО "ЖКХ"УЮТ"</t>
  </si>
  <si>
    <t>Каменные, блочные</t>
  </si>
  <si>
    <t>ООО "ЖКС "Алдега"</t>
  </si>
  <si>
    <t>ООО"Жилтрест"</t>
  </si>
  <si>
    <t>ООО "БАЛРЕМСТРОЙ"</t>
  </si>
  <si>
    <t>УК "НУК"</t>
  </si>
  <si>
    <t>ООО "УК "Содружество С"</t>
  </si>
  <si>
    <t>ТСЖ "Волна"</t>
  </si>
  <si>
    <t>Бетонные</t>
  </si>
  <si>
    <t>ООО "ЖЭК"Никологоры"</t>
  </si>
  <si>
    <t>ТСЖ "Южная 11"</t>
  </si>
  <si>
    <t>ООО "ЖЭК №4"</t>
  </si>
  <si>
    <t>ТСЖ "Березка"</t>
  </si>
  <si>
    <t>ТСН</t>
  </si>
  <si>
    <t>ТСН "СОГЛАСИЕ 108"</t>
  </si>
  <si>
    <t>ООО "ЖЭК №2"</t>
  </si>
  <si>
    <t>ООО "Уют"</t>
  </si>
  <si>
    <t>ООО "Надежда"</t>
  </si>
  <si>
    <t>ООО "Жилфонд"</t>
  </si>
  <si>
    <t>ООО "ГКС 1"</t>
  </si>
  <si>
    <t>Плес+</t>
  </si>
  <si>
    <t>Комсервис+</t>
  </si>
  <si>
    <t>ООО "Нерехта"</t>
  </si>
  <si>
    <t>МУП г Кольчугино Коммунальник</t>
  </si>
  <si>
    <t>ООО "ЖЭУ 2"</t>
  </si>
  <si>
    <t>ООО"УК "Меленковского района </t>
  </si>
  <si>
    <t>ООО УК "Наш дом"</t>
  </si>
  <si>
    <t>Каркаснозасыпной</t>
  </si>
  <si>
    <t>МУП "РСУ г. Петушки"</t>
  </si>
  <si>
    <t>ЖСК ул. Гагарина,д.12</t>
  </si>
  <si>
    <t>ООО "Управляющая компания № 3"</t>
  </si>
  <si>
    <t xml:space="preserve"> ООО «Жилищник»</t>
  </si>
  <si>
    <t>1978</t>
  </si>
  <si>
    <t>1979</t>
  </si>
  <si>
    <t>1956</t>
  </si>
  <si>
    <t>1994</t>
  </si>
  <si>
    <t>1990</t>
  </si>
  <si>
    <t>ООО «ВУК»</t>
  </si>
  <si>
    <t>1964</t>
  </si>
  <si>
    <t>1963</t>
  </si>
  <si>
    <t>1965</t>
  </si>
  <si>
    <t>ООО "ЖЭУ"</t>
  </si>
  <si>
    <t>1970</t>
  </si>
  <si>
    <t>1958</t>
  </si>
  <si>
    <t>2002</t>
  </si>
  <si>
    <t xml:space="preserve">ТСН </t>
  </si>
  <si>
    <t>"Надежда"</t>
  </si>
  <si>
    <t>ООО "Алдега"</t>
  </si>
  <si>
    <t>ООО "Потенциал"</t>
  </si>
  <si>
    <t>ООО "Содружество С"</t>
  </si>
  <si>
    <t>ТСЖ "Дечинский 14"</t>
  </si>
  <si>
    <t xml:space="preserve"> </t>
  </si>
  <si>
    <t xml:space="preserve"> "Новый-2" </t>
  </si>
  <si>
    <t>ООО УК "ТеплоСервис"</t>
  </si>
  <si>
    <t>ЖСК ул. Гоголя, д.1б</t>
  </si>
  <si>
    <t>ООО УК Теплый дом</t>
  </si>
  <si>
    <t>ООО "Универсалстрой"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</si>
  <si>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</si>
  <si>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ТСЖ "Стрелецкий"</t>
  </si>
  <si>
    <t>ТСЖ "Весна"</t>
  </si>
  <si>
    <t>ООО "Управляющая компания в ЖКХ города Кольчугино"</t>
  </si>
  <si>
    <t>ОАО "ПЭО "Сфера"</t>
  </si>
  <si>
    <t>Приложение к Таблице №1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</si>
  <si>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</si>
  <si>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Получатель бюджетных средств - Некоммерческая организация "Фонд капитального ремонта многоквартирных домов Владимирской области"</t>
  </si>
  <si>
    <t xml:space="preserve">Источники финансирования </t>
  </si>
  <si>
    <t>Объем финансирования в 2020 г., руб.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</si>
  <si>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</si>
  <si>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</si>
  <si>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</si>
  <si>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</si>
  <si>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</si>
  <si>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Объем финансирования в 2021 г., руб.</t>
  </si>
  <si>
    <t>Объем финансирования в 2022 г., руб.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</si>
  <si>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№742 от 05.10.2018) </t>
  </si>
  <si>
    <t>в том числе нераспределенный остаток</t>
  </si>
  <si>
    <t xml:space="preserve">Получатель бюджетных средств - Некоммерческая организация (дополнительная помощь при возникновении неотложной необходимости в проведении капитального ремонта общего имущества в многоквартирных домах в рамках постановления администрации Владимирской области от 05.10.2018 №742) </t>
  </si>
  <si>
    <t>Объем финансирования в 2023 г., руб.</t>
  </si>
  <si>
    <t xml:space="preserve">Получатель бюджетных средств - Некоммерческая организация (проведение капитального ремонта общего имущества в связи с возникновением аварии, иных чрезвычайных ситуаций природного или техногенного характера) </t>
  </si>
  <si>
    <t xml:space="preserve">Таблица №2 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</si>
  <si>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</si>
  <si>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</si>
  <si>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Количество жителей,
зарегистрированных в МКД на дату утверждения
программы</t>
  </si>
  <si>
    <t xml:space="preserve">город Владимир  </t>
  </si>
  <si>
    <t xml:space="preserve">город Гусь-Хрустальный  </t>
  </si>
  <si>
    <t xml:space="preserve">округ Муром  </t>
  </si>
  <si>
    <t xml:space="preserve">ЗАТО город Радужный  </t>
  </si>
  <si>
    <t>город Карабаново</t>
  </si>
  <si>
    <t>город Струнино</t>
  </si>
  <si>
    <t>Краснопламенское</t>
  </si>
  <si>
    <t>Степанцевское</t>
  </si>
  <si>
    <t>Паустовское</t>
  </si>
  <si>
    <t>Денисовское</t>
  </si>
  <si>
    <t>поселок Анопино</t>
  </si>
  <si>
    <t>город Камешково</t>
  </si>
  <si>
    <t>Вахромеевское</t>
  </si>
  <si>
    <t>Сергеихинское</t>
  </si>
  <si>
    <t>Филипповское</t>
  </si>
  <si>
    <t>Кипревское</t>
  </si>
  <si>
    <t>Першинское</t>
  </si>
  <si>
    <t>Малыгинское</t>
  </si>
  <si>
    <t>Клязьминское</t>
  </si>
  <si>
    <t>Ивановское</t>
  </si>
  <si>
    <t>Бавленское</t>
  </si>
  <si>
    <t>поселок Вольгинский</t>
  </si>
  <si>
    <t>город Костерево</t>
  </si>
  <si>
    <t>поселок Городищи</t>
  </si>
  <si>
    <t>поселок Красная Горбатка</t>
  </si>
  <si>
    <t>Воршинское</t>
  </si>
  <si>
    <t>Черкутинское</t>
  </si>
  <si>
    <t>Колокшанское</t>
  </si>
  <si>
    <t>город Судогда</t>
  </si>
  <si>
    <t>Андреевское</t>
  </si>
  <si>
    <t>Головинское</t>
  </si>
  <si>
    <t xml:space="preserve">Вяткинское </t>
  </si>
  <si>
    <t>Селецкое</t>
  </si>
  <si>
    <t>город Юрьев-Польский</t>
  </si>
  <si>
    <t>Небыловское</t>
  </si>
  <si>
    <t>Симское</t>
  </si>
  <si>
    <t>Красносельское</t>
  </si>
  <si>
    <t>поселок Мстера</t>
  </si>
  <si>
    <t xml:space="preserve">Денисовское </t>
  </si>
  <si>
    <t>поселок Добрятино</t>
  </si>
  <si>
    <t>поселок Великодворский</t>
  </si>
  <si>
    <t>Ильинское</t>
  </si>
  <si>
    <t>Ляховское</t>
  </si>
  <si>
    <t>Дмитриевогорское</t>
  </si>
  <si>
    <t>Петушинское</t>
  </si>
  <si>
    <t>Куриловское</t>
  </si>
  <si>
    <t>Толпуховское</t>
  </si>
  <si>
    <t>Вяткинское</t>
  </si>
  <si>
    <t xml:space="preserve">город Ковров </t>
  </si>
  <si>
    <t>город Курлово</t>
  </si>
  <si>
    <t>поселок Иванищи</t>
  </si>
  <si>
    <t>Пенкинское</t>
  </si>
  <si>
    <t>Флорищинское</t>
  </si>
  <si>
    <t>Ковардицкое</t>
  </si>
  <si>
    <t>Павловское</t>
  </si>
  <si>
    <t>Информация по многоквартирным домам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</si>
  <si>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Итого по Владимирской области на 2020 год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</si>
  <si>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</si>
  <si>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</si>
  <si>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</si>
  <si>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</si>
  <si>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</si>
  <si>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</si>
  <si>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</si>
  <si>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</si>
  <si>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</si>
  <si>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</si>
  <si>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</si>
  <si>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</si>
  <si>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</si>
  <si>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Горкинское</t>
  </si>
  <si>
    <t>Киржачский р-н, Горка п, Шелковиков ул, 6</t>
  </si>
  <si>
    <t>Владимир г, Юбилейная ул, 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</si>
</sst>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р_._-;\-* #,##0.00_р_._-;_-* &quot;-&quot;??_р_._-;_-@_-"/>
    <numFmt numFmtId="164" formatCode="[$-419]General"/>
    <numFmt numFmtId="165" formatCode="###\ ###\ ###\ ##0.00"/>
    <numFmt numFmtId="166" formatCode="###\ ###\ ###\ ##0"/>
    <numFmt numFmtId="167" formatCode="[$-419]#,##0.00"/>
    <numFmt numFmtId="168" formatCode="_-* #,##0.00_-;\-* #,##0.00_-;_-* &quot;-&quot;??_-;_-@_-"/>
    <numFmt numFmtId="169" formatCode="_-* #,##0.00\ _₽_-;\-* #,##0.00\ _₽_-;_-* &quot;-&quot;??\ _₽_-;_-@_-"/>
  </numFmts>
  <fonts count="70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48"/>
      <name val="Times New Roman"/>
      <family val="1"/>
      <charset val="204"/>
    </font>
    <font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40"/>
      <color theme="1"/>
      <name val="Times New Roman"/>
      <family val="1"/>
      <charset val="204"/>
    </font>
    <font>
      <sz val="48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9"/>
      <color theme="1"/>
      <name val="Times New Roman"/>
      <family val="1"/>
      <charset val="204"/>
    </font>
    <font>
      <sz val="48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b/>
      <sz val="36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rgb="FF000000"/>
      <name val="Tahoma"/>
      <family val="2"/>
      <charset val="204"/>
    </font>
    <font>
      <b/>
      <sz val="48"/>
      <color indexed="81"/>
      <name val="Tahoma"/>
      <family val="2"/>
      <charset val="204"/>
    </font>
    <font>
      <sz val="28"/>
      <color theme="1"/>
      <name val="Calibri"/>
      <family val="2"/>
      <scheme val="minor"/>
    </font>
    <font>
      <b/>
      <sz val="4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4"/>
      <color rgb="FF000000"/>
      <name val="Times New Roman"/>
      <family val="1"/>
      <charset val="204"/>
    </font>
    <font>
      <b/>
      <sz val="16"/>
      <color theme="1"/>
      <name val="Times New Roman"/>
      <family val="1"/>
    </font>
    <font>
      <sz val="2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164" fontId="5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5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 applyFont="0" applyFill="0" applyBorder="0" applyAlignment="0" applyProtection="0"/>
  </cellStyleXfs>
  <cellXfs count="467">
    <xf numFmtId="0" fontId="0" fillId="0" borderId="0" xfId="0"/>
    <xf numFmtId="0" fontId="0" fillId="0" borderId="0" xfId="0" applyFill="1"/>
    <xf numFmtId="0" fontId="1" fillId="0" borderId="0" xfId="0" applyFont="1" applyFill="1"/>
    <xf numFmtId="0" fontId="13" fillId="0" borderId="1" xfId="0" applyFont="1" applyFill="1" applyBorder="1" applyAlignment="1">
      <alignment horizontal="left"/>
    </xf>
    <xf numFmtId="0" fontId="16" fillId="0" borderId="1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right"/>
    </xf>
    <xf numFmtId="1" fontId="13" fillId="0" borderId="5" xfId="0" applyNumberFormat="1" applyFont="1" applyFill="1" applyBorder="1" applyAlignment="1">
      <alignment horizontal="center"/>
    </xf>
    <xf numFmtId="4" fontId="15" fillId="0" borderId="1" xfId="0" applyNumberFormat="1" applyFont="1" applyFill="1" applyBorder="1" applyAlignment="1">
      <alignment horizontal="right"/>
    </xf>
    <xf numFmtId="0" fontId="19" fillId="0" borderId="0" xfId="19" applyFont="1" applyFill="1" applyAlignment="1">
      <alignment wrapText="1"/>
    </xf>
    <xf numFmtId="0" fontId="19" fillId="0" borderId="0" xfId="19" applyFont="1" applyFill="1" applyAlignment="1">
      <alignment horizontal="center" wrapText="1"/>
    </xf>
    <xf numFmtId="0" fontId="19" fillId="0" borderId="0" xfId="19" applyFont="1" applyFill="1" applyAlignment="1">
      <alignment vertical="center" wrapText="1"/>
    </xf>
    <xf numFmtId="0" fontId="19" fillId="0" borderId="1" xfId="29" applyFont="1" applyFill="1" applyBorder="1" applyAlignment="1">
      <alignment horizontal="center" vertical="center"/>
    </xf>
    <xf numFmtId="1" fontId="19" fillId="0" borderId="1" xfId="29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6" fillId="0" borderId="11" xfId="0" applyFont="1" applyFill="1" applyBorder="1" applyAlignment="1">
      <alignment horizontal="center" vertical="center" textRotation="90" wrapText="1"/>
    </xf>
    <xf numFmtId="0" fontId="16" fillId="0" borderId="1" xfId="0" applyNumberFormat="1" applyFont="1" applyFill="1" applyBorder="1" applyAlignment="1">
      <alignment horizontal="center" wrapText="1"/>
    </xf>
    <xf numFmtId="0" fontId="20" fillId="0" borderId="0" xfId="0" applyFont="1" applyFill="1"/>
    <xf numFmtId="0" fontId="0" fillId="0" borderId="0" xfId="0" applyNumberFormat="1" applyFill="1"/>
    <xf numFmtId="0" fontId="18" fillId="0" borderId="1" xfId="28" applyFont="1" applyFill="1" applyBorder="1" applyAlignment="1">
      <alignment horizontal="center"/>
    </xf>
    <xf numFmtId="4" fontId="13" fillId="0" borderId="1" xfId="0" applyNumberFormat="1" applyFont="1" applyFill="1" applyBorder="1" applyAlignment="1"/>
    <xf numFmtId="4" fontId="13" fillId="0" borderId="1" xfId="0" applyNumberFormat="1" applyFont="1" applyFill="1" applyBorder="1" applyAlignment="1">
      <alignment horizontal="center"/>
    </xf>
    <xf numFmtId="10" fontId="13" fillId="0" borderId="1" xfId="0" applyNumberFormat="1" applyFont="1" applyFill="1" applyBorder="1" applyAlignment="1">
      <alignment horizontal="center"/>
    </xf>
    <xf numFmtId="0" fontId="18" fillId="0" borderId="1" xfId="28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/>
    </xf>
    <xf numFmtId="0" fontId="13" fillId="0" borderId="1" xfId="0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right"/>
    </xf>
    <xf numFmtId="0" fontId="13" fillId="0" borderId="5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left"/>
    </xf>
    <xf numFmtId="0" fontId="23" fillId="0" borderId="1" xfId="28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4" fontId="24" fillId="0" borderId="1" xfId="0" applyNumberFormat="1" applyFont="1" applyFill="1" applyBorder="1" applyAlignment="1">
      <alignment horizontal="right"/>
    </xf>
    <xf numFmtId="4" fontId="24" fillId="0" borderId="1" xfId="0" applyNumberFormat="1" applyFont="1" applyFill="1" applyBorder="1"/>
    <xf numFmtId="0" fontId="19" fillId="0" borderId="1" xfId="0" applyFont="1" applyFill="1" applyBorder="1" applyAlignment="1">
      <alignment horizontal="left" vertical="center"/>
    </xf>
    <xf numFmtId="0" fontId="23" fillId="0" borderId="1" xfId="28" applyFont="1" applyFill="1" applyBorder="1" applyAlignment="1">
      <alignment horizontal="left" vertical="center"/>
    </xf>
    <xf numFmtId="3" fontId="24" fillId="0" borderId="1" xfId="0" applyNumberFormat="1" applyFont="1" applyFill="1" applyBorder="1"/>
    <xf numFmtId="4" fontId="18" fillId="0" borderId="1" xfId="0" applyNumberFormat="1" applyFont="1" applyFill="1" applyBorder="1" applyAlignment="1">
      <alignment horizontal="right"/>
    </xf>
    <xf numFmtId="4" fontId="13" fillId="0" borderId="1" xfId="0" applyNumberFormat="1" applyFont="1" applyFill="1" applyBorder="1"/>
    <xf numFmtId="4" fontId="24" fillId="0" borderId="1" xfId="0" applyNumberFormat="1" applyFont="1" applyFill="1" applyBorder="1" applyAlignment="1">
      <alignment vertical="center"/>
    </xf>
    <xf numFmtId="0" fontId="23" fillId="0" borderId="1" xfId="28" applyFont="1" applyFill="1" applyBorder="1" applyAlignment="1">
      <alignment horizontal="center" vertical="center"/>
    </xf>
    <xf numFmtId="0" fontId="2" fillId="0" borderId="0" xfId="23" applyFill="1"/>
    <xf numFmtId="0" fontId="26" fillId="0" borderId="0" xfId="0" applyFont="1" applyFill="1"/>
    <xf numFmtId="0" fontId="27" fillId="0" borderId="1" xfId="8" applyFont="1" applyFill="1" applyBorder="1" applyAlignment="1">
      <alignment horizontal="center" vertical="center" textRotation="90" wrapText="1"/>
    </xf>
    <xf numFmtId="0" fontId="26" fillId="0" borderId="0" xfId="0" applyFont="1" applyFill="1" applyAlignment="1">
      <alignment vertical="center"/>
    </xf>
    <xf numFmtId="4" fontId="26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3" fillId="0" borderId="0" xfId="8" applyFill="1"/>
    <xf numFmtId="4" fontId="15" fillId="0" borderId="1" xfId="0" applyNumberFormat="1" applyFont="1" applyFill="1" applyBorder="1" applyAlignment="1">
      <alignment horizontal="right" wrapText="1"/>
    </xf>
    <xf numFmtId="4" fontId="27" fillId="0" borderId="1" xfId="0" applyNumberFormat="1" applyFont="1" applyFill="1" applyBorder="1" applyAlignment="1">
      <alignment horizontal="right"/>
    </xf>
    <xf numFmtId="0" fontId="32" fillId="0" borderId="1" xfId="28" applyFont="1" applyFill="1" applyBorder="1" applyAlignment="1">
      <alignment horizontal="left"/>
    </xf>
    <xf numFmtId="4" fontId="15" fillId="0" borderId="1" xfId="0" applyNumberFormat="1" applyFont="1" applyFill="1" applyBorder="1"/>
    <xf numFmtId="0" fontId="27" fillId="0" borderId="1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wrapText="1"/>
    </xf>
    <xf numFmtId="3" fontId="27" fillId="0" borderId="1" xfId="0" applyNumberFormat="1" applyFont="1" applyFill="1" applyBorder="1" applyAlignment="1">
      <alignment horizontal="right"/>
    </xf>
    <xf numFmtId="3" fontId="27" fillId="0" borderId="1" xfId="0" applyNumberFormat="1" applyFont="1" applyFill="1" applyBorder="1" applyAlignment="1">
      <alignment horizontal="center"/>
    </xf>
    <xf numFmtId="1" fontId="23" fillId="0" borderId="1" xfId="28" applyNumberFormat="1" applyFont="1" applyFill="1" applyBorder="1" applyAlignment="1">
      <alignment horizontal="center"/>
    </xf>
    <xf numFmtId="165" fontId="19" fillId="0" borderId="1" xfId="0" applyNumberFormat="1" applyFont="1" applyFill="1" applyBorder="1" applyAlignment="1">
      <alignment horizontal="left" wrapText="1"/>
    </xf>
    <xf numFmtId="4" fontId="27" fillId="0" borderId="1" xfId="0" applyNumberFormat="1" applyFont="1" applyFill="1" applyBorder="1" applyAlignment="1">
      <alignment horizontal="center"/>
    </xf>
    <xf numFmtId="4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wrapText="1"/>
    </xf>
    <xf numFmtId="0" fontId="17" fillId="0" borderId="0" xfId="0" applyFont="1" applyFill="1" applyAlignment="1">
      <alignment horizontal="right"/>
    </xf>
    <xf numFmtId="0" fontId="27" fillId="0" borderId="1" xfId="0" applyFont="1" applyFill="1" applyBorder="1" applyAlignment="1">
      <alignment horizontal="center" vertical="center" wrapText="1"/>
    </xf>
    <xf numFmtId="0" fontId="19" fillId="0" borderId="0" xfId="19" applyFont="1" applyFill="1" applyAlignment="1">
      <alignment horizontal="right" wrapText="1"/>
    </xf>
    <xf numFmtId="0" fontId="1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8" fillId="0" borderId="1" xfId="28" applyFont="1" applyFill="1" applyBorder="1" applyAlignment="1">
      <alignment horizontal="left" vertical="center"/>
    </xf>
    <xf numFmtId="165" fontId="13" fillId="0" borderId="1" xfId="0" applyNumberFormat="1" applyFont="1" applyFill="1" applyBorder="1" applyAlignment="1">
      <alignment horizontal="left" wrapText="1"/>
    </xf>
    <xf numFmtId="0" fontId="13" fillId="0" borderId="5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165" fontId="13" fillId="0" borderId="1" xfId="0" applyNumberFormat="1" applyFont="1" applyFill="1" applyBorder="1" applyAlignment="1">
      <alignment horizontal="right"/>
    </xf>
    <xf numFmtId="166" fontId="13" fillId="0" borderId="1" xfId="0" applyNumberFormat="1" applyFont="1" applyFill="1" applyBorder="1" applyAlignment="1">
      <alignment horizontal="left"/>
    </xf>
    <xf numFmtId="165" fontId="20" fillId="0" borderId="1" xfId="0" applyNumberFormat="1" applyFont="1" applyFill="1" applyBorder="1" applyAlignment="1">
      <alignment wrapText="1"/>
    </xf>
    <xf numFmtId="0" fontId="33" fillId="0" borderId="0" xfId="8" applyFont="1" applyFill="1"/>
    <xf numFmtId="0" fontId="34" fillId="0" borderId="0" xfId="8" applyFont="1" applyFill="1"/>
    <xf numFmtId="0" fontId="35" fillId="0" borderId="0" xfId="8" applyFont="1" applyFill="1"/>
    <xf numFmtId="0" fontId="36" fillId="0" borderId="0" xfId="8" applyFont="1" applyFill="1"/>
    <xf numFmtId="0" fontId="37" fillId="0" borderId="0" xfId="0" applyFont="1" applyFill="1" applyAlignment="1"/>
    <xf numFmtId="0" fontId="37" fillId="0" borderId="0" xfId="0" applyFont="1" applyFill="1" applyAlignment="1">
      <alignment horizontal="right"/>
    </xf>
    <xf numFmtId="0" fontId="37" fillId="0" borderId="0" xfId="19" applyFont="1" applyFill="1" applyAlignment="1">
      <alignment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 applyAlignment="1">
      <alignment horizontal="right"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right" vertical="center"/>
    </xf>
    <xf numFmtId="0" fontId="19" fillId="0" borderId="1" xfId="19" applyFont="1" applyFill="1" applyBorder="1" applyAlignment="1">
      <alignment horizontal="left"/>
    </xf>
    <xf numFmtId="0" fontId="19" fillId="0" borderId="1" xfId="19" applyFont="1" applyFill="1" applyBorder="1"/>
    <xf numFmtId="4" fontId="8" fillId="0" borderId="1" xfId="19" applyNumberFormat="1" applyFont="1" applyFill="1" applyBorder="1" applyAlignment="1">
      <alignment horizontal="right" wrapText="1"/>
    </xf>
    <xf numFmtId="1" fontId="8" fillId="0" borderId="1" xfId="19" applyNumberFormat="1" applyFont="1" applyFill="1" applyBorder="1" applyAlignment="1">
      <alignment horizontal="right" wrapText="1"/>
    </xf>
    <xf numFmtId="4" fontId="8" fillId="0" borderId="1" xfId="19" applyNumberFormat="1" applyFont="1" applyFill="1" applyBorder="1" applyAlignment="1">
      <alignment horizontal="center" wrapText="1"/>
    </xf>
    <xf numFmtId="4" fontId="8" fillId="0" borderId="1" xfId="19" applyNumberFormat="1" applyFont="1" applyFill="1" applyBorder="1"/>
    <xf numFmtId="1" fontId="8" fillId="0" borderId="1" xfId="19" applyNumberFormat="1" applyFont="1" applyFill="1" applyBorder="1"/>
    <xf numFmtId="0" fontId="8" fillId="0" borderId="1" xfId="19" applyFont="1" applyFill="1" applyBorder="1" applyAlignment="1">
      <alignment horizontal="center"/>
    </xf>
    <xf numFmtId="4" fontId="8" fillId="0" borderId="1" xfId="19" applyNumberFormat="1" applyFont="1" applyFill="1" applyBorder="1" applyAlignment="1">
      <alignment horizontal="right"/>
    </xf>
    <xf numFmtId="1" fontId="8" fillId="0" borderId="1" xfId="19" applyNumberFormat="1" applyFont="1" applyFill="1" applyBorder="1" applyAlignment="1">
      <alignment horizontal="right"/>
    </xf>
    <xf numFmtId="0" fontId="19" fillId="0" borderId="1" xfId="0" applyFont="1" applyFill="1" applyBorder="1"/>
    <xf numFmtId="0" fontId="19" fillId="0" borderId="6" xfId="19" applyFont="1" applyFill="1" applyBorder="1" applyAlignment="1">
      <alignment horizontal="left"/>
    </xf>
    <xf numFmtId="0" fontId="17" fillId="0" borderId="0" xfId="0" applyFont="1" applyFill="1" applyAlignment="1"/>
    <xf numFmtId="4" fontId="13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right" vertical="center" wrapText="1"/>
    </xf>
    <xf numFmtId="4" fontId="15" fillId="0" borderId="1" xfId="33" applyNumberFormat="1" applyFont="1" applyFill="1" applyBorder="1" applyAlignment="1">
      <alignment horizontal="right"/>
    </xf>
    <xf numFmtId="166" fontId="13" fillId="0" borderId="5" xfId="0" applyNumberFormat="1" applyFont="1" applyFill="1" applyBorder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right"/>
    </xf>
    <xf numFmtId="0" fontId="16" fillId="0" borderId="0" xfId="19" applyFont="1" applyFill="1" applyAlignment="1">
      <alignment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right" vertical="center"/>
    </xf>
    <xf numFmtId="0" fontId="19" fillId="0" borderId="1" xfId="0" applyFont="1" applyFill="1" applyBorder="1" applyAlignment="1">
      <alignment horizontal="center" vertical="center"/>
    </xf>
    <xf numFmtId="0" fontId="23" fillId="0" borderId="1" xfId="28" applyFont="1" applyFill="1" applyBorder="1" applyAlignment="1">
      <alignment horizontal="left"/>
    </xf>
    <xf numFmtId="166" fontId="19" fillId="0" borderId="1" xfId="0" applyNumberFormat="1" applyFont="1" applyFill="1" applyBorder="1" applyAlignment="1">
      <alignment horizontal="left"/>
    </xf>
    <xf numFmtId="0" fontId="26" fillId="0" borderId="0" xfId="0" applyFont="1" applyFill="1" applyAlignment="1">
      <alignment horizontal="right"/>
    </xf>
    <xf numFmtId="0" fontId="10" fillId="0" borderId="0" xfId="0" applyFont="1" applyFill="1" applyAlignment="1"/>
    <xf numFmtId="0" fontId="10" fillId="0" borderId="0" xfId="19" applyFont="1" applyFill="1" applyAlignment="1">
      <alignment wrapText="1"/>
    </xf>
    <xf numFmtId="0" fontId="10" fillId="0" borderId="0" xfId="0" applyFont="1" applyFill="1" applyAlignment="1">
      <alignment vertical="center"/>
    </xf>
    <xf numFmtId="0" fontId="26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right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right" wrapText="1"/>
    </xf>
    <xf numFmtId="165" fontId="22" fillId="0" borderId="1" xfId="0" applyNumberFormat="1" applyFont="1" applyFill="1" applyBorder="1" applyAlignment="1">
      <alignment horizontal="center" wrapText="1"/>
    </xf>
    <xf numFmtId="3" fontId="22" fillId="0" borderId="1" xfId="0" applyNumberFormat="1" applyFont="1" applyFill="1" applyBorder="1" applyAlignment="1">
      <alignment horizontal="center" wrapText="1"/>
    </xf>
    <xf numFmtId="1" fontId="22" fillId="0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/>
    </xf>
    <xf numFmtId="165" fontId="8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 wrapText="1"/>
    </xf>
    <xf numFmtId="4" fontId="8" fillId="0" borderId="1" xfId="0" applyNumberFormat="1" applyFont="1" applyFill="1" applyBorder="1" applyAlignment="1">
      <alignment horizontal="center"/>
    </xf>
    <xf numFmtId="165" fontId="22" fillId="0" borderId="1" xfId="0" applyNumberFormat="1" applyFont="1" applyFill="1" applyBorder="1" applyAlignment="1">
      <alignment horizontal="center"/>
    </xf>
    <xf numFmtId="4" fontId="22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wrapText="1"/>
    </xf>
    <xf numFmtId="3" fontId="8" fillId="0" borderId="1" xfId="0" applyNumberFormat="1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 wrapText="1"/>
    </xf>
    <xf numFmtId="166" fontId="13" fillId="0" borderId="6" xfId="0" applyNumberFormat="1" applyFont="1" applyFill="1" applyBorder="1" applyAlignment="1">
      <alignment horizontal="left"/>
    </xf>
    <xf numFmtId="166" fontId="13" fillId="0" borderId="5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/>
    </xf>
    <xf numFmtId="2" fontId="16" fillId="0" borderId="2" xfId="19" applyNumberFormat="1" applyFont="1" applyFill="1" applyBorder="1" applyAlignment="1">
      <alignment horizontal="center" vertical="center" textRotation="90" wrapText="1"/>
    </xf>
    <xf numFmtId="2" fontId="16" fillId="0" borderId="4" xfId="19" applyNumberFormat="1" applyFont="1" applyFill="1" applyBorder="1" applyAlignment="1">
      <alignment horizontal="center" vertical="center" textRotation="90" wrapText="1"/>
    </xf>
    <xf numFmtId="2" fontId="16" fillId="0" borderId="2" xfId="0" applyNumberFormat="1" applyFont="1" applyFill="1" applyBorder="1" applyAlignment="1">
      <alignment horizontal="center" vertical="center" textRotation="90" wrapText="1"/>
    </xf>
    <xf numFmtId="2" fontId="16" fillId="0" borderId="4" xfId="0" applyNumberFormat="1" applyFont="1" applyFill="1" applyBorder="1" applyAlignment="1">
      <alignment horizontal="center" vertical="center" textRotation="90" wrapText="1"/>
    </xf>
    <xf numFmtId="0" fontId="16" fillId="0" borderId="2" xfId="0" applyFont="1" applyFill="1" applyBorder="1" applyAlignment="1">
      <alignment horizontal="center" vertical="center" textRotation="90" wrapText="1"/>
    </xf>
    <xf numFmtId="0" fontId="16" fillId="0" borderId="3" xfId="0" applyFont="1" applyFill="1" applyBorder="1" applyAlignment="1">
      <alignment horizontal="center" vertical="center" textRotation="90" wrapText="1"/>
    </xf>
    <xf numFmtId="0" fontId="16" fillId="0" borderId="4" xfId="0" applyFont="1" applyFill="1" applyBorder="1" applyAlignment="1">
      <alignment horizontal="center" vertical="center" textRotation="90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top" wrapText="1"/>
    </xf>
    <xf numFmtId="0" fontId="11" fillId="0" borderId="0" xfId="0" applyFont="1" applyFill="1" applyAlignment="1">
      <alignment horizontal="left" wrapText="1"/>
    </xf>
    <xf numFmtId="0" fontId="11" fillId="0" borderId="8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3" xfId="0" applyNumberFormat="1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2" fontId="16" fillId="0" borderId="1" xfId="19" applyNumberFormat="1" applyFont="1" applyFill="1" applyBorder="1" applyAlignment="1">
      <alignment horizontal="center" vertical="center" wrapText="1"/>
    </xf>
    <xf numFmtId="0" fontId="16" fillId="0" borderId="6" xfId="29" applyFont="1" applyFill="1" applyBorder="1" applyAlignment="1">
      <alignment horizontal="center" vertical="center"/>
    </xf>
    <xf numFmtId="0" fontId="16" fillId="0" borderId="7" xfId="29" applyFont="1" applyFill="1" applyBorder="1" applyAlignment="1">
      <alignment horizontal="center" vertical="center"/>
    </xf>
    <xf numFmtId="0" fontId="16" fillId="0" borderId="5" xfId="29" applyFont="1" applyFill="1" applyBorder="1" applyAlignment="1">
      <alignment horizontal="center" vertical="center"/>
    </xf>
    <xf numFmtId="0" fontId="19" fillId="0" borderId="1" xfId="29" applyFont="1" applyFill="1" applyBorder="1" applyAlignment="1">
      <alignment horizontal="center" textRotation="90" wrapText="1"/>
    </xf>
    <xf numFmtId="0" fontId="19" fillId="0" borderId="1" xfId="29" applyFont="1" applyFill="1" applyBorder="1" applyAlignment="1">
      <alignment horizontal="center" wrapText="1"/>
    </xf>
    <xf numFmtId="0" fontId="19" fillId="0" borderId="1" xfId="29" applyFont="1" applyFill="1" applyBorder="1" applyAlignment="1">
      <alignment horizontal="center" vertical="center" textRotation="90" wrapText="1"/>
    </xf>
    <xf numFmtId="0" fontId="19" fillId="0" borderId="1" xfId="29" applyFont="1" applyFill="1" applyBorder="1" applyAlignment="1">
      <alignment vertical="center" wrapText="1"/>
    </xf>
    <xf numFmtId="0" fontId="19" fillId="0" borderId="1" xfId="29" applyFont="1" applyFill="1" applyBorder="1" applyAlignment="1">
      <alignment vertical="center"/>
    </xf>
    <xf numFmtId="0" fontId="19" fillId="0" borderId="2" xfId="29" applyFont="1" applyFill="1" applyBorder="1" applyAlignment="1">
      <alignment horizontal="center" vertical="center" textRotation="90" wrapText="1"/>
    </xf>
    <xf numFmtId="0" fontId="19" fillId="0" borderId="3" xfId="29" applyFont="1" applyFill="1" applyBorder="1" applyAlignment="1">
      <alignment horizontal="center" vertical="center" wrapText="1"/>
    </xf>
    <xf numFmtId="0" fontId="19" fillId="0" borderId="4" xfId="29" applyFont="1" applyFill="1" applyBorder="1" applyAlignment="1">
      <alignment horizontal="center" vertical="center"/>
    </xf>
    <xf numFmtId="0" fontId="19" fillId="0" borderId="4" xfId="29" applyFont="1" applyFill="1" applyBorder="1" applyAlignment="1">
      <alignment vertical="center" wrapText="1"/>
    </xf>
    <xf numFmtId="0" fontId="19" fillId="0" borderId="1" xfId="29" applyFont="1" applyFill="1" applyBorder="1" applyAlignment="1">
      <alignment horizontal="center" vertical="center" wrapText="1"/>
    </xf>
    <xf numFmtId="0" fontId="19" fillId="0" borderId="2" xfId="29" applyFont="1" applyFill="1" applyBorder="1" applyAlignment="1">
      <alignment horizontal="center" textRotation="90" wrapText="1"/>
    </xf>
    <xf numFmtId="0" fontId="19" fillId="0" borderId="3" xfId="29" applyFont="1" applyFill="1" applyBorder="1" applyAlignment="1">
      <alignment horizontal="center" wrapText="1"/>
    </xf>
    <xf numFmtId="0" fontId="19" fillId="0" borderId="4" xfId="29" applyFont="1" applyFill="1" applyBorder="1" applyAlignment="1">
      <alignment horizontal="center" wrapText="1"/>
    </xf>
    <xf numFmtId="0" fontId="19" fillId="0" borderId="3" xfId="29" applyFont="1" applyFill="1" applyBorder="1" applyAlignment="1">
      <alignment horizontal="center" textRotation="90" wrapText="1"/>
    </xf>
    <xf numFmtId="0" fontId="19" fillId="0" borderId="4" xfId="29" applyFont="1" applyFill="1" applyBorder="1" applyAlignment="1">
      <alignment horizontal="center" textRotation="90" wrapText="1"/>
    </xf>
    <xf numFmtId="0" fontId="19" fillId="0" borderId="2" xfId="29" applyFont="1" applyFill="1" applyBorder="1" applyAlignment="1">
      <alignment horizontal="center" vertical="center" wrapText="1"/>
    </xf>
    <xf numFmtId="0" fontId="19" fillId="0" borderId="4" xfId="29" applyFont="1" applyFill="1" applyBorder="1" applyAlignment="1">
      <alignment horizontal="center" vertical="center" wrapText="1"/>
    </xf>
    <xf numFmtId="0" fontId="19" fillId="0" borderId="0" xfId="19" applyFont="1" applyFill="1" applyAlignment="1">
      <alignment horizontal="right" wrapText="1"/>
    </xf>
    <xf numFmtId="0" fontId="19" fillId="0" borderId="0" xfId="19" applyFont="1" applyFill="1" applyAlignment="1">
      <alignment horizontal="right" vertical="center" wrapText="1"/>
    </xf>
    <xf numFmtId="0" fontId="25" fillId="0" borderId="0" xfId="19" applyFont="1" applyFill="1" applyAlignment="1">
      <alignment horizontal="center" vertical="center" wrapText="1"/>
    </xf>
    <xf numFmtId="0" fontId="19" fillId="0" borderId="3" xfId="29" applyFont="1" applyFill="1" applyBorder="1" applyAlignment="1">
      <alignment vertical="center" wrapText="1"/>
    </xf>
    <xf numFmtId="0" fontId="19" fillId="0" borderId="4" xfId="29" applyFont="1" applyFill="1" applyBorder="1" applyAlignment="1">
      <alignment vertical="center"/>
    </xf>
    <xf numFmtId="0" fontId="26" fillId="0" borderId="0" xfId="0" applyFont="1" applyFill="1" applyAlignment="1">
      <alignment horizontal="right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0" xfId="19" applyFont="1" applyFill="1" applyAlignment="1">
      <alignment horizontal="right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2" fontId="27" fillId="0" borderId="1" xfId="0" applyNumberFormat="1" applyFont="1" applyFill="1" applyBorder="1" applyAlignment="1">
      <alignment horizontal="center" vertical="center" textRotation="90" wrapText="1"/>
    </xf>
    <xf numFmtId="0" fontId="14" fillId="0" borderId="8" xfId="23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center" vertical="center" textRotation="90" wrapText="1"/>
    </xf>
    <xf numFmtId="4" fontId="27" fillId="0" borderId="3" xfId="0" applyNumberFormat="1" applyFont="1" applyFill="1" applyBorder="1" applyAlignment="1">
      <alignment horizontal="center" vertical="center" textRotation="90" wrapText="1"/>
    </xf>
    <xf numFmtId="4" fontId="27" fillId="0" borderId="4" xfId="0" applyNumberFormat="1" applyFont="1" applyFill="1" applyBorder="1" applyAlignment="1">
      <alignment horizontal="center" vertical="center" textRotation="90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8" fillId="0" borderId="1" xfId="32" applyFont="1" applyFill="1" applyBorder="1" applyAlignment="1">
      <alignment horizontal="center" vertical="center" textRotation="90" wrapText="1"/>
    </xf>
    <xf numFmtId="0" fontId="27" fillId="0" borderId="1" xfId="0" applyFont="1" applyFill="1" applyBorder="1" applyAlignment="1">
      <alignment horizontal="center" vertical="center" textRotation="90" wrapText="1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right"/>
    </xf>
    <xf numFmtId="3" fontId="10" fillId="0" borderId="0" xfId="0" applyNumberFormat="1" applyFont="1" applyFill="1" applyAlignment="1">
      <alignment horizontal="right"/>
    </xf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right" vertical="center" wrapText="1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wrapText="1"/>
    </xf>
    <xf numFmtId="3" fontId="17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vertical="center" wrapText="1"/>
    </xf>
    <xf numFmtId="1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1" fontId="1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3" fontId="1" fillId="0" borderId="0" xfId="0" applyNumberFormat="1" applyFont="1" applyFill="1"/>
    <xf numFmtId="4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textRotation="90" wrapText="1"/>
    </xf>
    <xf numFmtId="2" fontId="16" fillId="0" borderId="1" xfId="0" applyNumberFormat="1" applyFont="1" applyFill="1" applyBorder="1" applyAlignment="1">
      <alignment horizontal="center" vertical="center" textRotation="90" wrapText="1"/>
    </xf>
    <xf numFmtId="4" fontId="16" fillId="0" borderId="1" xfId="0" applyNumberFormat="1" applyFont="1" applyFill="1" applyBorder="1" applyAlignment="1">
      <alignment horizontal="center" vertical="center" textRotation="90" wrapText="1"/>
    </xf>
    <xf numFmtId="0" fontId="16" fillId="0" borderId="1" xfId="0" applyFont="1" applyFill="1" applyBorder="1" applyAlignment="1">
      <alignment horizontal="center" wrapText="1"/>
    </xf>
    <xf numFmtId="3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/>
    <xf numFmtId="4" fontId="14" fillId="0" borderId="1" xfId="0" applyNumberFormat="1" applyFont="1" applyFill="1" applyBorder="1" applyAlignment="1">
      <alignment horizontal="right" wrapText="1"/>
    </xf>
    <xf numFmtId="4" fontId="13" fillId="0" borderId="1" xfId="0" applyNumberFormat="1" applyFont="1" applyFill="1" applyBorder="1" applyAlignment="1">
      <alignment horizontal="right" wrapText="1"/>
    </xf>
    <xf numFmtId="0" fontId="13" fillId="0" borderId="1" xfId="0" applyNumberFormat="1" applyFont="1" applyFill="1" applyBorder="1" applyAlignment="1">
      <alignment horizontal="right" wrapText="1"/>
    </xf>
    <xf numFmtId="4" fontId="13" fillId="0" borderId="0" xfId="0" applyNumberFormat="1" applyFont="1" applyFill="1"/>
    <xf numFmtId="4" fontId="14" fillId="0" borderId="1" xfId="0" applyNumberFormat="1" applyFont="1" applyFill="1" applyBorder="1" applyAlignment="1"/>
    <xf numFmtId="0" fontId="13" fillId="0" borderId="1" xfId="0" applyNumberFormat="1" applyFont="1" applyFill="1" applyBorder="1" applyAlignment="1"/>
    <xf numFmtId="0" fontId="1" fillId="0" borderId="0" xfId="0" applyFont="1"/>
    <xf numFmtId="0" fontId="13" fillId="0" borderId="0" xfId="0" applyFont="1"/>
    <xf numFmtId="0" fontId="13" fillId="0" borderId="1" xfId="0" applyNumberFormat="1" applyFont="1" applyFill="1" applyBorder="1" applyAlignment="1">
      <alignment horizontal="right"/>
    </xf>
    <xf numFmtId="0" fontId="13" fillId="0" borderId="0" xfId="0" applyFont="1" applyFill="1"/>
    <xf numFmtId="0" fontId="1" fillId="2" borderId="0" xfId="0" applyFont="1" applyFill="1"/>
    <xf numFmtId="4" fontId="14" fillId="0" borderId="1" xfId="0" applyNumberFormat="1" applyFont="1" applyFill="1" applyBorder="1" applyAlignment="1">
      <alignment horizontal="right"/>
    </xf>
    <xf numFmtId="4" fontId="13" fillId="0" borderId="1" xfId="8" applyNumberFormat="1" applyFont="1" applyFill="1" applyBorder="1" applyAlignment="1">
      <alignment horizontal="right"/>
    </xf>
    <xf numFmtId="1" fontId="13" fillId="0" borderId="1" xfId="0" applyNumberFormat="1" applyFont="1" applyFill="1" applyBorder="1" applyAlignment="1">
      <alignment horizontal="center"/>
    </xf>
    <xf numFmtId="4" fontId="15" fillId="0" borderId="1" xfId="10" applyNumberFormat="1" applyFont="1" applyFill="1" applyBorder="1" applyAlignment="1">
      <alignment horizontal="right" wrapText="1"/>
    </xf>
    <xf numFmtId="4" fontId="15" fillId="0" borderId="1" xfId="22" applyNumberFormat="1" applyFont="1" applyFill="1" applyBorder="1" applyAlignment="1">
      <alignment horizontal="right"/>
    </xf>
    <xf numFmtId="4" fontId="15" fillId="0" borderId="1" xfId="10" applyNumberFormat="1" applyFont="1" applyFill="1" applyBorder="1" applyAlignment="1">
      <alignment horizontal="right"/>
    </xf>
    <xf numFmtId="0" fontId="1" fillId="0" borderId="0" xfId="0" applyFont="1" applyFill="1" applyAlignment="1">
      <alignment vertical="center"/>
    </xf>
    <xf numFmtId="4" fontId="13" fillId="0" borderId="1" xfId="0" applyNumberFormat="1" applyFont="1" applyFill="1" applyBorder="1" applyAlignment="1">
      <alignment horizontal="right" vertical="center"/>
    </xf>
    <xf numFmtId="0" fontId="13" fillId="0" borderId="1" xfId="0" applyNumberFormat="1" applyFont="1" applyFill="1" applyBorder="1" applyAlignment="1">
      <alignment horizontal="right" vertical="center"/>
    </xf>
    <xf numFmtId="4" fontId="13" fillId="0" borderId="0" xfId="0" applyNumberFormat="1" applyFont="1" applyFill="1" applyAlignment="1">
      <alignment vertical="center"/>
    </xf>
    <xf numFmtId="4" fontId="13" fillId="0" borderId="1" xfId="0" applyNumberFormat="1" applyFont="1" applyFill="1" applyBorder="1" applyAlignment="1">
      <alignment horizontal="right" vertical="center" readingOrder="1"/>
    </xf>
    <xf numFmtId="4" fontId="18" fillId="0" borderId="1" xfId="0" applyNumberFormat="1" applyFont="1" applyFill="1" applyBorder="1" applyAlignment="1">
      <alignment horizontal="right" wrapText="1"/>
    </xf>
    <xf numFmtId="0" fontId="18" fillId="0" borderId="1" xfId="0" applyNumberFormat="1" applyFont="1" applyFill="1" applyBorder="1" applyAlignment="1">
      <alignment horizontal="right" wrapText="1"/>
    </xf>
    <xf numFmtId="0" fontId="15" fillId="0" borderId="1" xfId="10" applyNumberFormat="1" applyFont="1" applyFill="1" applyBorder="1" applyAlignment="1">
      <alignment horizontal="right"/>
    </xf>
    <xf numFmtId="0" fontId="39" fillId="0" borderId="0" xfId="0" applyFont="1" applyFill="1"/>
    <xf numFmtId="4" fontId="18" fillId="0" borderId="1" xfId="10" applyNumberFormat="1" applyFont="1" applyFill="1" applyBorder="1" applyAlignment="1">
      <alignment horizontal="right" wrapText="1"/>
    </xf>
    <xf numFmtId="0" fontId="18" fillId="0" borderId="1" xfId="0" applyNumberFormat="1" applyFont="1" applyFill="1" applyBorder="1" applyAlignment="1">
      <alignment horizontal="right"/>
    </xf>
    <xf numFmtId="1" fontId="18" fillId="0" borderId="1" xfId="0" applyNumberFormat="1" applyFont="1" applyFill="1" applyBorder="1" applyAlignment="1">
      <alignment horizontal="center"/>
    </xf>
    <xf numFmtId="1" fontId="18" fillId="0" borderId="5" xfId="0" applyNumberFormat="1" applyFont="1" applyFill="1" applyBorder="1" applyAlignment="1">
      <alignment horizontal="center"/>
    </xf>
    <xf numFmtId="4" fontId="18" fillId="0" borderId="0" xfId="0" applyNumberFormat="1" applyFont="1" applyFill="1"/>
    <xf numFmtId="1" fontId="13" fillId="0" borderId="1" xfId="0" applyNumberFormat="1" applyFont="1" applyFill="1" applyBorder="1" applyAlignment="1">
      <alignment horizontal="center" vertical="center"/>
    </xf>
    <xf numFmtId="1" fontId="13" fillId="0" borderId="5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40" fillId="0" borderId="0" xfId="0" applyFont="1"/>
    <xf numFmtId="0" fontId="41" fillId="0" borderId="6" xfId="28" applyFont="1" applyFill="1" applyBorder="1" applyAlignment="1">
      <alignment horizontal="center" vertical="center"/>
    </xf>
    <xf numFmtId="0" fontId="41" fillId="0" borderId="7" xfId="28" applyFont="1" applyFill="1" applyBorder="1" applyAlignment="1">
      <alignment horizontal="center" vertical="center"/>
    </xf>
    <xf numFmtId="0" fontId="41" fillId="0" borderId="5" xfId="28" applyFont="1" applyFill="1" applyBorder="1" applyAlignment="1">
      <alignment horizontal="center" vertical="center"/>
    </xf>
    <xf numFmtId="0" fontId="41" fillId="0" borderId="0" xfId="28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42" fillId="0" borderId="6" xfId="0" applyFont="1" applyFill="1" applyBorder="1" applyAlignment="1">
      <alignment horizontal="center" vertical="center" wrapText="1"/>
    </xf>
    <xf numFmtId="0" fontId="42" fillId="0" borderId="7" xfId="0" applyFont="1" applyFill="1" applyBorder="1" applyAlignment="1">
      <alignment horizontal="center" vertical="center" wrapText="1"/>
    </xf>
    <xf numFmtId="0" fontId="42" fillId="0" borderId="5" xfId="0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4" fontId="13" fillId="0" borderId="1" xfId="0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right" vertical="center"/>
    </xf>
    <xf numFmtId="4" fontId="11" fillId="0" borderId="1" xfId="8" applyNumberFormat="1" applyFont="1" applyFill="1" applyBorder="1" applyAlignment="1">
      <alignment horizontal="center" vertical="center"/>
    </xf>
    <xf numFmtId="4" fontId="11" fillId="0" borderId="0" xfId="8" applyNumberFormat="1" applyFont="1" applyFill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4" fontId="13" fillId="0" borderId="0" xfId="0" applyNumberFormat="1" applyFont="1" applyFill="1" applyAlignment="1">
      <alignment horizontal="center" vertical="center" wrapText="1"/>
    </xf>
    <xf numFmtId="0" fontId="18" fillId="0" borderId="1" xfId="28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wrapText="1"/>
    </xf>
    <xf numFmtId="3" fontId="1" fillId="0" borderId="0" xfId="0" applyNumberFormat="1" applyFont="1" applyFill="1" applyAlignment="1">
      <alignment horizontal="center"/>
    </xf>
    <xf numFmtId="0" fontId="1" fillId="0" borderId="0" xfId="0" applyNumberFormat="1" applyFont="1" applyFill="1"/>
    <xf numFmtId="0" fontId="53" fillId="0" borderId="0" xfId="0" applyFont="1" applyFill="1" applyAlignment="1">
      <alignment wrapText="1"/>
    </xf>
    <xf numFmtId="0" fontId="19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24" fillId="0" borderId="0" xfId="0" applyFont="1" applyFill="1" applyAlignment="1">
      <alignment horizontal="right"/>
    </xf>
    <xf numFmtId="0" fontId="24" fillId="0" borderId="0" xfId="0" applyFont="1" applyFill="1"/>
    <xf numFmtId="4" fontId="24" fillId="0" borderId="0" xfId="0" applyNumberFormat="1" applyFont="1" applyFill="1"/>
    <xf numFmtId="0" fontId="19" fillId="0" borderId="0" xfId="0" applyFont="1" applyFill="1" applyAlignment="1">
      <alignment horizontal="right" vertical="center" wrapText="1"/>
    </xf>
    <xf numFmtId="0" fontId="19" fillId="0" borderId="0" xfId="0" applyFont="1" applyFill="1" applyAlignment="1">
      <alignment horizontal="right" vertical="center" wrapText="1"/>
    </xf>
    <xf numFmtId="0" fontId="24" fillId="0" borderId="0" xfId="0" applyFont="1" applyFill="1" applyAlignment="1">
      <alignment horizontal="right" vertical="center" wrapText="1"/>
    </xf>
    <xf numFmtId="0" fontId="54" fillId="0" borderId="0" xfId="0" applyFont="1" applyFill="1" applyAlignment="1">
      <alignment horizontal="center" vertical="center" wrapText="1"/>
    </xf>
    <xf numFmtId="0" fontId="54" fillId="0" borderId="0" xfId="0" applyNumberFormat="1" applyFont="1" applyFill="1" applyAlignment="1">
      <alignment horizontal="center" vertical="center" wrapText="1"/>
    </xf>
    <xf numFmtId="0" fontId="54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 wrapText="1"/>
    </xf>
    <xf numFmtId="0" fontId="56" fillId="0" borderId="0" xfId="0" applyFont="1" applyFill="1"/>
    <xf numFmtId="0" fontId="19" fillId="0" borderId="1" xfId="9" applyFont="1" applyFill="1" applyBorder="1" applyAlignment="1">
      <alignment horizontal="center" vertical="center" wrapText="1"/>
    </xf>
    <xf numFmtId="0" fontId="19" fillId="0" borderId="1" xfId="9" applyFont="1" applyFill="1" applyBorder="1" applyAlignment="1">
      <alignment horizontal="center" vertical="center" textRotation="90" wrapText="1"/>
    </xf>
    <xf numFmtId="0" fontId="19" fillId="0" borderId="1" xfId="9" applyNumberFormat="1" applyFont="1" applyFill="1" applyBorder="1" applyAlignment="1">
      <alignment horizontal="center" vertical="center" textRotation="90" wrapText="1"/>
    </xf>
    <xf numFmtId="0" fontId="19" fillId="0" borderId="1" xfId="9" applyFont="1" applyFill="1" applyBorder="1" applyAlignment="1">
      <alignment horizontal="center" textRotation="90" wrapText="1"/>
    </xf>
    <xf numFmtId="4" fontId="19" fillId="0" borderId="1" xfId="9" applyNumberFormat="1" applyFont="1" applyFill="1" applyBorder="1" applyAlignment="1">
      <alignment horizontal="center" vertical="center" wrapText="1"/>
    </xf>
    <xf numFmtId="4" fontId="19" fillId="0" borderId="1" xfId="9" applyNumberFormat="1" applyFont="1" applyFill="1" applyBorder="1" applyAlignment="1">
      <alignment horizontal="center" vertical="center" textRotation="90" wrapText="1"/>
    </xf>
    <xf numFmtId="4" fontId="19" fillId="0" borderId="0" xfId="9" applyNumberFormat="1" applyFont="1" applyFill="1" applyBorder="1" applyAlignment="1">
      <alignment horizontal="center" vertical="center" textRotation="90" wrapText="1"/>
    </xf>
    <xf numFmtId="4" fontId="24" fillId="0" borderId="0" xfId="9" applyNumberFormat="1" applyFont="1" applyFill="1" applyBorder="1" applyAlignment="1">
      <alignment horizontal="center" vertical="center" textRotation="90" wrapText="1"/>
    </xf>
    <xf numFmtId="0" fontId="19" fillId="0" borderId="1" xfId="9" applyNumberFormat="1" applyFont="1" applyFill="1" applyBorder="1" applyAlignment="1">
      <alignment horizontal="center" vertical="center" wrapText="1"/>
    </xf>
    <xf numFmtId="4" fontId="19" fillId="0" borderId="0" xfId="9" applyNumberFormat="1" applyFont="1" applyFill="1" applyBorder="1" applyAlignment="1">
      <alignment horizontal="center" vertical="center" wrapText="1"/>
    </xf>
    <xf numFmtId="4" fontId="24" fillId="0" borderId="0" xfId="9" applyNumberFormat="1" applyFont="1" applyFill="1" applyBorder="1" applyAlignment="1">
      <alignment horizontal="center" vertical="center" wrapText="1"/>
    </xf>
    <xf numFmtId="0" fontId="19" fillId="0" borderId="1" xfId="9" applyFont="1" applyFill="1" applyBorder="1" applyAlignment="1">
      <alignment horizontal="center" vertical="center"/>
    </xf>
    <xf numFmtId="0" fontId="19" fillId="0" borderId="1" xfId="9" applyFont="1" applyFill="1" applyBorder="1" applyAlignment="1">
      <alignment horizontal="center" vertical="center"/>
    </xf>
    <xf numFmtId="0" fontId="19" fillId="0" borderId="1" xfId="9" applyNumberFormat="1" applyFont="1" applyFill="1" applyBorder="1" applyAlignment="1">
      <alignment horizontal="center" vertical="center"/>
    </xf>
    <xf numFmtId="4" fontId="19" fillId="0" borderId="1" xfId="9" applyNumberFormat="1" applyFont="1" applyFill="1" applyBorder="1" applyAlignment="1">
      <alignment horizontal="center" vertical="center"/>
    </xf>
    <xf numFmtId="4" fontId="19" fillId="0" borderId="0" xfId="9" applyNumberFormat="1" applyFont="1" applyFill="1" applyBorder="1" applyAlignment="1">
      <alignment horizontal="center" vertical="center"/>
    </xf>
    <xf numFmtId="4" fontId="24" fillId="0" borderId="0" xfId="9" applyNumberFormat="1" applyFont="1" applyFill="1" applyBorder="1" applyAlignment="1">
      <alignment horizontal="center" vertical="center"/>
    </xf>
    <xf numFmtId="0" fontId="19" fillId="0" borderId="1" xfId="9" applyFont="1" applyFill="1" applyBorder="1" applyAlignment="1">
      <alignment horizontal="center" vertical="center" wrapText="1"/>
    </xf>
    <xf numFmtId="0" fontId="19" fillId="0" borderId="0" xfId="9" applyFont="1" applyFill="1" applyBorder="1" applyAlignment="1">
      <alignment horizontal="center" vertical="center"/>
    </xf>
    <xf numFmtId="0" fontId="24" fillId="0" borderId="0" xfId="9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3" fontId="24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right" vertical="center"/>
    </xf>
    <xf numFmtId="0" fontId="58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center" wrapText="1"/>
    </xf>
    <xf numFmtId="3" fontId="24" fillId="0" borderId="1" xfId="0" applyNumberFormat="1" applyFont="1" applyFill="1" applyBorder="1" applyAlignment="1">
      <alignment vertical="center"/>
    </xf>
    <xf numFmtId="0" fontId="60" fillId="0" borderId="1" xfId="0" applyFont="1" applyBorder="1" applyAlignment="1">
      <alignment horizontal="left" vertical="center"/>
    </xf>
    <xf numFmtId="0" fontId="61" fillId="0" borderId="0" xfId="0" applyFont="1" applyAlignment="1">
      <alignment vertical="center"/>
    </xf>
    <xf numFmtId="4" fontId="1" fillId="0" borderId="0" xfId="0" applyNumberFormat="1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59" fillId="0" borderId="1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left" vertical="center"/>
    </xf>
    <xf numFmtId="0" fontId="19" fillId="0" borderId="1" xfId="0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right" vertical="center" wrapText="1"/>
    </xf>
    <xf numFmtId="0" fontId="24" fillId="0" borderId="1" xfId="0" applyFont="1" applyFill="1" applyBorder="1" applyAlignment="1">
      <alignment horizontal="right" vertical="center"/>
    </xf>
    <xf numFmtId="4" fontId="24" fillId="0" borderId="5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/>
    </xf>
    <xf numFmtId="0" fontId="0" fillId="0" borderId="0" xfId="0" applyNumberFormat="1" applyFill="1" applyAlignment="1">
      <alignment horizontal="right"/>
    </xf>
    <xf numFmtId="0" fontId="0" fillId="0" borderId="0" xfId="0" applyFill="1" applyAlignment="1">
      <alignment wrapText="1"/>
    </xf>
    <xf numFmtId="4" fontId="0" fillId="0" borderId="0" xfId="0" applyNumberFormat="1" applyFill="1"/>
    <xf numFmtId="0" fontId="40" fillId="0" borderId="0" xfId="23" applyFont="1" applyAlignment="1">
      <alignment wrapText="1"/>
    </xf>
    <xf numFmtId="0" fontId="40" fillId="0" borderId="0" xfId="23" applyFont="1" applyAlignment="1">
      <alignment horizontal="right"/>
    </xf>
    <xf numFmtId="0" fontId="62" fillId="0" borderId="0" xfId="23" applyFont="1" applyAlignment="1">
      <alignment horizontal="center" vertical="center" wrapText="1"/>
    </xf>
    <xf numFmtId="0" fontId="40" fillId="0" borderId="6" xfId="23" applyFont="1" applyBorder="1" applyAlignment="1">
      <alignment horizontal="center" vertical="center" wrapText="1"/>
    </xf>
    <xf numFmtId="0" fontId="40" fillId="0" borderId="7" xfId="23" applyFont="1" applyBorder="1" applyAlignment="1">
      <alignment horizontal="center" vertical="center" wrapText="1"/>
    </xf>
    <xf numFmtId="0" fontId="40" fillId="0" borderId="5" xfId="23" applyFont="1" applyBorder="1" applyAlignment="1">
      <alignment horizontal="center" vertical="center" wrapText="1"/>
    </xf>
    <xf numFmtId="0" fontId="40" fillId="0" borderId="1" xfId="23" applyFont="1" applyBorder="1" applyAlignment="1">
      <alignment horizontal="center" vertical="center" wrapText="1"/>
    </xf>
    <xf numFmtId="0" fontId="40" fillId="0" borderId="6" xfId="23" applyFont="1" applyBorder="1" applyAlignment="1">
      <alignment wrapText="1"/>
    </xf>
    <xf numFmtId="0" fontId="40" fillId="0" borderId="5" xfId="23" applyFont="1" applyBorder="1" applyAlignment="1">
      <alignment wrapText="1"/>
    </xf>
    <xf numFmtId="4" fontId="40" fillId="0" borderId="1" xfId="0" applyNumberFormat="1" applyFont="1" applyBorder="1"/>
    <xf numFmtId="4" fontId="0" fillId="0" borderId="0" xfId="0" applyNumberFormat="1"/>
    <xf numFmtId="0" fontId="2" fillId="0" borderId="0" xfId="23"/>
    <xf numFmtId="0" fontId="40" fillId="0" borderId="0" xfId="0" applyFont="1" applyFill="1" applyAlignment="1">
      <alignment horizontal="right" vertical="center" wrapText="1"/>
    </xf>
    <xf numFmtId="0" fontId="63" fillId="0" borderId="0" xfId="0" applyFont="1" applyFill="1" applyAlignment="1">
      <alignment horizontal="right" vertical="center" wrapText="1"/>
    </xf>
    <xf numFmtId="0" fontId="64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right" vertical="top" wrapText="1"/>
    </xf>
    <xf numFmtId="0" fontId="9" fillId="0" borderId="0" xfId="0" applyFont="1" applyFill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/>
    </xf>
    <xf numFmtId="0" fontId="65" fillId="0" borderId="3" xfId="0" applyFont="1" applyFill="1" applyBorder="1" applyAlignment="1">
      <alignment horizontal="center" vertical="center" wrapText="1"/>
    </xf>
    <xf numFmtId="0" fontId="65" fillId="0" borderId="1" xfId="0" applyFont="1" applyFill="1" applyBorder="1" applyAlignment="1">
      <alignment horizontal="center" vertical="center"/>
    </xf>
    <xf numFmtId="0" fontId="63" fillId="0" borderId="3" xfId="0" applyFont="1" applyFill="1" applyBorder="1" applyAlignment="1">
      <alignment horizontal="center" vertical="center" wrapText="1"/>
    </xf>
    <xf numFmtId="0" fontId="63" fillId="0" borderId="4" xfId="0" applyFont="1" applyFill="1" applyBorder="1" applyAlignment="1">
      <alignment horizontal="center" vertical="center" wrapText="1"/>
    </xf>
    <xf numFmtId="0" fontId="65" fillId="0" borderId="4" xfId="0" applyFont="1" applyFill="1" applyBorder="1" applyAlignment="1">
      <alignment horizontal="center" vertical="center" wrapText="1"/>
    </xf>
    <xf numFmtId="0" fontId="65" fillId="0" borderId="2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horizontal="center"/>
    </xf>
    <xf numFmtId="0" fontId="63" fillId="0" borderId="1" xfId="0" applyFont="1" applyFill="1" applyBorder="1" applyAlignment="1">
      <alignment horizontal="center"/>
    </xf>
    <xf numFmtId="0" fontId="66" fillId="0" borderId="1" xfId="0" applyFont="1" applyFill="1" applyBorder="1"/>
    <xf numFmtId="0" fontId="66" fillId="0" borderId="1" xfId="9" applyFont="1" applyFill="1" applyBorder="1" applyAlignment="1">
      <alignment horizontal="center" vertical="center"/>
    </xf>
    <xf numFmtId="4" fontId="67" fillId="0" borderId="1" xfId="0" applyNumberFormat="1" applyFont="1" applyFill="1" applyBorder="1" applyAlignment="1">
      <alignment horizontal="center"/>
    </xf>
    <xf numFmtId="3" fontId="67" fillId="0" borderId="1" xfId="0" applyNumberFormat="1" applyFont="1" applyFill="1" applyBorder="1" applyAlignment="1">
      <alignment horizontal="center"/>
    </xf>
    <xf numFmtId="168" fontId="0" fillId="0" borderId="0" xfId="34" applyFont="1" applyFill="1"/>
    <xf numFmtId="0" fontId="66" fillId="0" borderId="1" xfId="0" applyFont="1" applyFill="1" applyBorder="1" applyAlignment="1">
      <alignment horizontal="center"/>
    </xf>
    <xf numFmtId="3" fontId="40" fillId="0" borderId="1" xfId="0" applyNumberFormat="1" applyFont="1" applyFill="1" applyBorder="1" applyAlignment="1">
      <alignment horizontal="center"/>
    </xf>
    <xf numFmtId="4" fontId="40" fillId="0" borderId="1" xfId="0" applyNumberFormat="1" applyFont="1" applyFill="1" applyBorder="1" applyAlignment="1">
      <alignment horizontal="center"/>
    </xf>
    <xf numFmtId="4" fontId="67" fillId="0" borderId="1" xfId="0" applyNumberFormat="1" applyFont="1" applyFill="1" applyBorder="1" applyAlignment="1">
      <alignment horizontal="center" vertical="center"/>
    </xf>
    <xf numFmtId="3" fontId="67" fillId="0" borderId="1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/>
    </xf>
    <xf numFmtId="3" fontId="40" fillId="0" borderId="3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center" vertical="center" wrapText="1"/>
    </xf>
    <xf numFmtId="1" fontId="62" fillId="0" borderId="6" xfId="0" applyNumberFormat="1" applyFont="1" applyBorder="1" applyAlignment="1">
      <alignment horizontal="left" vertical="center"/>
    </xf>
    <xf numFmtId="1" fontId="62" fillId="0" borderId="5" xfId="0" applyNumberFormat="1" applyFont="1" applyBorder="1" applyAlignment="1">
      <alignment horizontal="left" vertical="center"/>
    </xf>
    <xf numFmtId="4" fontId="62" fillId="0" borderId="1" xfId="0" applyNumberFormat="1" applyFont="1" applyBorder="1" applyAlignment="1">
      <alignment horizontal="center"/>
    </xf>
    <xf numFmtId="3" fontId="62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66" fillId="0" borderId="1" xfId="0" applyFont="1" applyBorder="1"/>
    <xf numFmtId="4" fontId="40" fillId="0" borderId="1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0" fontId="40" fillId="0" borderId="6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169" fontId="0" fillId="0" borderId="0" xfId="0" applyNumberFormat="1" applyFill="1"/>
    <xf numFmtId="0" fontId="2" fillId="0" borderId="0" xfId="24"/>
    <xf numFmtId="0" fontId="69" fillId="0" borderId="0" xfId="24" applyFont="1"/>
    <xf numFmtId="0" fontId="69" fillId="0" borderId="0" xfId="24" applyFont="1" applyAlignment="1">
      <alignment horizontal="center"/>
    </xf>
    <xf numFmtId="0" fontId="65" fillId="0" borderId="0" xfId="24" applyFont="1" applyAlignment="1">
      <alignment horizontal="right"/>
    </xf>
    <xf numFmtId="0" fontId="63" fillId="0" borderId="0" xfId="24" applyFont="1" applyAlignment="1">
      <alignment horizontal="right"/>
    </xf>
    <xf numFmtId="0" fontId="10" fillId="0" borderId="0" xfId="24" applyFont="1" applyAlignment="1">
      <alignment horizontal="right"/>
    </xf>
    <xf numFmtId="0" fontId="2" fillId="0" borderId="0" xfId="24" applyAlignment="1">
      <alignment horizontal="center"/>
    </xf>
    <xf numFmtId="0" fontId="14" fillId="0" borderId="8" xfId="24" applyFont="1" applyBorder="1" applyAlignment="1">
      <alignment horizontal="center" vertical="center" wrapText="1"/>
    </xf>
    <xf numFmtId="0" fontId="24" fillId="0" borderId="0" xfId="24" applyFont="1"/>
    <xf numFmtId="0" fontId="19" fillId="0" borderId="1" xfId="24" applyFont="1" applyBorder="1" applyAlignment="1">
      <alignment horizontal="center" vertical="center" wrapText="1"/>
    </xf>
    <xf numFmtId="4" fontId="27" fillId="0" borderId="2" xfId="24" applyNumberFormat="1" applyFont="1" applyBorder="1" applyAlignment="1">
      <alignment horizontal="center" vertical="center" textRotation="90" wrapText="1"/>
    </xf>
    <xf numFmtId="0" fontId="27" fillId="0" borderId="1" xfId="24" applyFont="1" applyBorder="1" applyAlignment="1">
      <alignment horizontal="center" vertical="center" wrapText="1"/>
    </xf>
    <xf numFmtId="2" fontId="27" fillId="0" borderId="9" xfId="24" applyNumberFormat="1" applyFont="1" applyBorder="1" applyAlignment="1">
      <alignment horizontal="center" vertical="center" wrapText="1"/>
    </xf>
    <xf numFmtId="2" fontId="27" fillId="0" borderId="13" xfId="24" applyNumberFormat="1" applyFont="1" applyBorder="1" applyAlignment="1">
      <alignment horizontal="center" vertical="center" wrapText="1"/>
    </xf>
    <xf numFmtId="0" fontId="27" fillId="0" borderId="1" xfId="31" applyFont="1" applyBorder="1" applyAlignment="1">
      <alignment horizontal="center" vertical="center" textRotation="90" wrapText="1"/>
    </xf>
    <xf numFmtId="4" fontId="27" fillId="0" borderId="3" xfId="24" applyNumberFormat="1" applyFont="1" applyBorder="1" applyAlignment="1">
      <alignment horizontal="center" vertical="center" textRotation="90" wrapText="1"/>
    </xf>
    <xf numFmtId="0" fontId="27" fillId="0" borderId="1" xfId="24" applyFont="1" applyBorder="1" applyAlignment="1">
      <alignment horizontal="center" vertical="center" textRotation="90" wrapText="1"/>
    </xf>
    <xf numFmtId="2" fontId="27" fillId="0" borderId="2" xfId="24" applyNumberFormat="1" applyFont="1" applyBorder="1" applyAlignment="1">
      <alignment horizontal="center" vertical="center" textRotation="90" wrapText="1"/>
    </xf>
    <xf numFmtId="4" fontId="27" fillId="0" borderId="4" xfId="24" applyNumberFormat="1" applyFont="1" applyBorder="1" applyAlignment="1">
      <alignment horizontal="center" vertical="center" textRotation="90" wrapText="1"/>
    </xf>
    <xf numFmtId="0" fontId="27" fillId="0" borderId="1" xfId="8" applyFont="1" applyBorder="1" applyAlignment="1">
      <alignment horizontal="center" vertical="center" textRotation="90" wrapText="1"/>
    </xf>
    <xf numFmtId="2" fontId="27" fillId="0" borderId="4" xfId="24" applyNumberFormat="1" applyFont="1" applyBorder="1" applyAlignment="1">
      <alignment horizontal="center" vertical="center" textRotation="90" wrapText="1"/>
    </xf>
    <xf numFmtId="4" fontId="27" fillId="0" borderId="1" xfId="24" applyNumberFormat="1" applyFont="1" applyBorder="1" applyAlignment="1">
      <alignment horizontal="center" vertical="center" wrapText="1"/>
    </xf>
    <xf numFmtId="0" fontId="27" fillId="0" borderId="1" xfId="24" applyFont="1" applyBorder="1" applyAlignment="1">
      <alignment horizontal="center" vertical="center" wrapText="1"/>
    </xf>
    <xf numFmtId="0" fontId="24" fillId="0" borderId="1" xfId="24" applyFont="1" applyBorder="1" applyAlignment="1">
      <alignment horizontal="center" wrapText="1"/>
    </xf>
    <xf numFmtId="0" fontId="27" fillId="0" borderId="1" xfId="24" applyFont="1" applyBorder="1" applyAlignment="1">
      <alignment horizontal="center" wrapText="1"/>
    </xf>
    <xf numFmtId="0" fontId="24" fillId="0" borderId="6" xfId="24" applyFont="1" applyBorder="1" applyAlignment="1">
      <alignment horizontal="left"/>
    </xf>
    <xf numFmtId="4" fontId="24" fillId="0" borderId="1" xfId="24" applyNumberFormat="1" applyFont="1" applyBorder="1" applyAlignment="1">
      <alignment horizontal="right" wrapText="1"/>
    </xf>
    <xf numFmtId="0" fontId="24" fillId="0" borderId="1" xfId="24" applyFont="1" applyBorder="1" applyAlignment="1">
      <alignment horizontal="right" wrapText="1"/>
    </xf>
    <xf numFmtId="0" fontId="24" fillId="0" borderId="1" xfId="24" applyFont="1" applyBorder="1" applyAlignment="1">
      <alignment horizontal="left"/>
    </xf>
    <xf numFmtId="0" fontId="24" fillId="0" borderId="1" xfId="24" applyFont="1" applyBorder="1" applyAlignment="1">
      <alignment horizontal="center"/>
    </xf>
    <xf numFmtId="0" fontId="24" fillId="0" borderId="1" xfId="24" applyFont="1" applyBorder="1"/>
    <xf numFmtId="4" fontId="24" fillId="0" borderId="1" xfId="24" applyNumberFormat="1" applyFont="1" applyBorder="1"/>
    <xf numFmtId="0" fontId="14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right"/>
    </xf>
    <xf numFmtId="4" fontId="15" fillId="0" borderId="1" xfId="8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left"/>
    </xf>
    <xf numFmtId="4" fontId="13" fillId="0" borderId="1" xfId="0" applyNumberFormat="1" applyFont="1" applyFill="1" applyBorder="1" applyAlignment="1">
      <alignment vertical="center" wrapText="1"/>
    </xf>
    <xf numFmtId="0" fontId="38" fillId="0" borderId="1" xfId="0" applyFont="1" applyFill="1" applyBorder="1" applyAlignment="1">
      <alignment horizontal="right"/>
    </xf>
    <xf numFmtId="167" fontId="15" fillId="0" borderId="1" xfId="10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40" fillId="0" borderId="0" xfId="0" applyFont="1" applyFill="1"/>
    <xf numFmtId="0" fontId="13" fillId="0" borderId="0" xfId="0" applyFont="1" applyFill="1" applyAlignment="1">
      <alignment vertical="center"/>
    </xf>
    <xf numFmtId="4" fontId="43" fillId="0" borderId="1" xfId="0" applyNumberFormat="1" applyFont="1" applyFill="1" applyBorder="1" applyAlignment="1">
      <alignment horizontal="right" vertical="center"/>
    </xf>
    <xf numFmtId="4" fontId="14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4" fontId="15" fillId="0" borderId="1" xfId="0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vertical="center"/>
    </xf>
    <xf numFmtId="4" fontId="24" fillId="0" borderId="0" xfId="0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57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left" vertical="center" wrapText="1"/>
    </xf>
    <xf numFmtId="0" fontId="19" fillId="0" borderId="6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</cellXfs>
  <cellStyles count="35">
    <cellStyle name="Excel Built-in Normal" xfId="10"/>
    <cellStyle name="Excel Built-in Normal 1" xfId="22"/>
    <cellStyle name="Excel Built-in Normal 2 2" xfId="14"/>
    <cellStyle name="Обычный" xfId="0" builtinId="0"/>
    <cellStyle name="Обычный 10" xfId="11"/>
    <cellStyle name="Обычный 11" xfId="19"/>
    <cellStyle name="Обычный 13" xfId="17"/>
    <cellStyle name="Обычный 14" xfId="1"/>
    <cellStyle name="Обычный 15" xfId="24"/>
    <cellStyle name="Обычный 17" xfId="6"/>
    <cellStyle name="Обычный 18" xfId="4"/>
    <cellStyle name="Обычный 19" xfId="5"/>
    <cellStyle name="Обычный 2" xfId="9"/>
    <cellStyle name="Обычный 2 10" xfId="12"/>
    <cellStyle name="Обычный 2 2 2" xfId="16"/>
    <cellStyle name="Обычный 2 3" xfId="26"/>
    <cellStyle name="Обычный 2 6" xfId="32"/>
    <cellStyle name="Обычный 2 8" xfId="29"/>
    <cellStyle name="Обычный 2 9" xfId="31"/>
    <cellStyle name="Обычный 21" xfId="7"/>
    <cellStyle name="Обычный 3" xfId="2"/>
    <cellStyle name="Обычный 3 16" xfId="8"/>
    <cellStyle name="Обычный 3 2" xfId="27"/>
    <cellStyle name="Обычный 3 3" xfId="15"/>
    <cellStyle name="Обычный 4" xfId="3"/>
    <cellStyle name="Обычный 4 2" xfId="13"/>
    <cellStyle name="Обычный 4 2 2 2" xfId="23"/>
    <cellStyle name="Обычный 5" xfId="20"/>
    <cellStyle name="Обычный 6" xfId="18"/>
    <cellStyle name="Обычный 7" xfId="33"/>
    <cellStyle name="Обычный 8" xfId="30"/>
    <cellStyle name="Обычный 9" xfId="21"/>
    <cellStyle name="Обычный_Лист1" xfId="28"/>
    <cellStyle name="Финансовый 2" xfId="25"/>
    <cellStyle name="Финансовый 3" xfId="34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99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utylina/Desktop/2017%20&#1075;&#1086;&#1076;/&#1057;&#1042;&#1054;&#1044;%20&#1085;&#1072;%202020-2022%20&#1075;&#1086;&#1076;&#1099;_30.12.2020%20&#8470;26%20(10-&#1103;%20&#1088;&#1077;&#1076;&#1072;&#1082;&#1094;&#1080;&#110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Изменения КП и бонус"/>
    </sheetNames>
    <sheetDataSet>
      <sheetData sheetId="0">
        <row r="1290">
          <cell r="F1290">
            <v>17442384.330000002</v>
          </cell>
        </row>
      </sheetData>
      <sheetData sheetId="1">
        <row r="14">
          <cell r="P14">
            <v>1112243634.7800002</v>
          </cell>
          <cell r="Q14">
            <v>0</v>
          </cell>
          <cell r="R14">
            <v>2908349.77</v>
          </cell>
        </row>
        <row r="47">
          <cell r="Q47">
            <v>0</v>
          </cell>
          <cell r="R47">
            <v>0</v>
          </cell>
        </row>
        <row r="550">
          <cell r="P550">
            <v>1363886777.0699999</v>
          </cell>
          <cell r="Q550">
            <v>0</v>
          </cell>
          <cell r="R550">
            <v>3015567.51</v>
          </cell>
        </row>
        <row r="998">
          <cell r="P998">
            <v>814479561.79999995</v>
          </cell>
          <cell r="Q998">
            <v>0</v>
          </cell>
          <cell r="R998">
            <v>1851570.68</v>
          </cell>
        </row>
        <row r="1275">
          <cell r="Q1275">
            <v>4599545.3899999997</v>
          </cell>
          <cell r="R1275">
            <v>1178018</v>
          </cell>
          <cell r="S1275">
            <v>1256638.3399999999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B1298"/>
  <sheetViews>
    <sheetView tabSelected="1" view="pageBreakPreview" topLeftCell="A12" zoomScale="20" zoomScaleNormal="20" zoomScaleSheetLayoutView="20" workbookViewId="0">
      <pane xSplit="3" ySplit="7" topLeftCell="D19" activePane="bottomRight" state="frozen"/>
      <selection activeCell="B12" sqref="B12"/>
      <selection pane="topRight" activeCell="D12" sqref="D12"/>
      <selection pane="bottomLeft" activeCell="B19" sqref="B19"/>
      <selection pane="bottomRight" activeCell="B11" sqref="B1:JB1048576"/>
    </sheetView>
  </sheetViews>
  <sheetFormatPr defaultColWidth="9.140625" defaultRowHeight="15" x14ac:dyDescent="0.25"/>
  <cols>
    <col min="1" max="1" width="7.28515625" style="2" hidden="1" customWidth="1"/>
    <col min="2" max="2" width="17" style="221" bestFit="1" customWidth="1"/>
    <col min="3" max="3" width="255.7109375" style="222" bestFit="1" customWidth="1"/>
    <col min="4" max="6" width="75.85546875" style="2" customWidth="1"/>
    <col min="7" max="7" width="56.5703125" style="2" customWidth="1"/>
    <col min="8" max="8" width="53" style="2" customWidth="1"/>
    <col min="9" max="10" width="58.7109375" style="2" customWidth="1"/>
    <col min="11" max="11" width="58" style="2" customWidth="1"/>
    <col min="12" max="12" width="49.42578125" style="2" customWidth="1"/>
    <col min="13" max="13" width="32.28515625" style="223" customWidth="1"/>
    <col min="14" max="14" width="64.42578125" style="2" customWidth="1"/>
    <col min="15" max="15" width="50.140625" style="2" customWidth="1"/>
    <col min="16" max="16" width="70.28515625" style="2" customWidth="1"/>
    <col min="17" max="17" width="43" style="2" customWidth="1"/>
    <col min="18" max="18" width="61.85546875" style="2" customWidth="1"/>
    <col min="19" max="19" width="48.7109375" style="2" customWidth="1"/>
    <col min="20" max="20" width="63" style="2" customWidth="1"/>
    <col min="21" max="21" width="34.42578125" style="2" customWidth="1"/>
    <col min="22" max="22" width="58.28515625" style="2" customWidth="1"/>
    <col min="23" max="23" width="55.140625" style="2" customWidth="1"/>
    <col min="24" max="24" width="54.42578125" style="2" customWidth="1"/>
    <col min="25" max="25" width="75.85546875" style="2" customWidth="1"/>
    <col min="26" max="26" width="46.5703125" style="2" customWidth="1"/>
    <col min="27" max="27" width="33.7109375" style="2" customWidth="1"/>
    <col min="28" max="28" width="54.42578125" style="2" customWidth="1"/>
    <col min="29" max="29" width="85.85546875" style="2" customWidth="1"/>
    <col min="30" max="30" width="58.7109375" style="2" customWidth="1"/>
    <col min="31" max="31" width="55.140625" style="2" customWidth="1"/>
    <col min="32" max="32" width="53.7109375" style="2" customWidth="1"/>
    <col min="33" max="33" width="53" style="2" customWidth="1"/>
    <col min="34" max="36" width="38.85546875" style="221" customWidth="1"/>
    <col min="37" max="50" width="9.140625" style="2" hidden="1" customWidth="1"/>
    <col min="51" max="51" width="68.42578125" style="2" hidden="1" customWidth="1"/>
    <col min="52" max="77" width="9.140625" style="2" hidden="1" customWidth="1"/>
    <col min="78" max="79" width="9.140625" style="2"/>
    <col min="80" max="80" width="66.28515625" style="2" hidden="1" customWidth="1"/>
    <col min="81" max="81" width="0" style="2" hidden="1" customWidth="1"/>
    <col min="82" max="82" width="66.5703125" style="2" hidden="1" customWidth="1"/>
    <col min="83" max="83" width="74.140625" style="2" hidden="1" customWidth="1"/>
    <col min="84" max="84" width="55.5703125" style="2" hidden="1" customWidth="1"/>
    <col min="85" max="85" width="45.140625" style="2" hidden="1" customWidth="1"/>
    <col min="86" max="86" width="22.28515625" style="2" hidden="1" customWidth="1"/>
    <col min="87" max="88" width="0" style="2" hidden="1" customWidth="1"/>
    <col min="89" max="16384" width="9.140625" style="2"/>
  </cols>
  <sheetData>
    <row r="1" spans="2:36" ht="91.5" x14ac:dyDescent="1.25">
      <c r="B1" s="207"/>
      <c r="C1" s="208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62"/>
      <c r="Y1" s="211" t="s">
        <v>902</v>
      </c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</row>
    <row r="2" spans="2:36" ht="143.25" customHeight="1" x14ac:dyDescent="0.45">
      <c r="B2" s="207"/>
      <c r="C2" s="208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12" t="s">
        <v>891</v>
      </c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</row>
    <row r="3" spans="2:36" ht="154.5" customHeight="1" x14ac:dyDescent="1.25">
      <c r="B3" s="213"/>
      <c r="C3" s="214"/>
      <c r="D3" s="62"/>
      <c r="E3" s="62"/>
      <c r="F3" s="62"/>
      <c r="G3" s="62"/>
      <c r="H3" s="62"/>
      <c r="I3" s="62"/>
      <c r="J3" s="62"/>
      <c r="K3" s="62"/>
      <c r="L3" s="62"/>
      <c r="M3" s="215"/>
      <c r="N3" s="62"/>
      <c r="O3" s="62"/>
      <c r="P3" s="62"/>
      <c r="Q3" s="62"/>
      <c r="R3" s="62"/>
      <c r="S3" s="62"/>
      <c r="T3" s="62"/>
      <c r="U3" s="62"/>
      <c r="V3" s="62"/>
      <c r="W3" s="62"/>
      <c r="X3" s="212" t="s">
        <v>163</v>
      </c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</row>
    <row r="4" spans="2:36" ht="90" x14ac:dyDescent="1.1499999999999999">
      <c r="B4" s="216" t="s">
        <v>164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</row>
    <row r="5" spans="2:36" ht="90" x14ac:dyDescent="0.25">
      <c r="B5" s="217" t="s">
        <v>903</v>
      </c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</row>
    <row r="6" spans="2:36" ht="90" x14ac:dyDescent="0.25">
      <c r="B6" s="217" t="s">
        <v>904</v>
      </c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</row>
    <row r="7" spans="2:36" x14ac:dyDescent="0.25">
      <c r="B7" s="218" t="s">
        <v>165</v>
      </c>
      <c r="C7" s="219" t="s">
        <v>905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</row>
    <row r="8" spans="2:36" ht="117.75" customHeight="1" x14ac:dyDescent="0.25">
      <c r="B8" s="218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</row>
    <row r="9" spans="2:36" ht="117.75" customHeight="1" x14ac:dyDescent="0.25">
      <c r="B9" s="220" t="s">
        <v>166</v>
      </c>
      <c r="C9" s="219" t="s">
        <v>906</v>
      </c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</row>
    <row r="10" spans="2:36" hidden="1" x14ac:dyDescent="0.25"/>
    <row r="11" spans="2:36" ht="90.75" hidden="1" customHeight="1" x14ac:dyDescent="0.25">
      <c r="B11" s="148" t="s">
        <v>0</v>
      </c>
      <c r="C11" s="148" t="s">
        <v>1</v>
      </c>
      <c r="D11" s="156" t="s">
        <v>2</v>
      </c>
      <c r="E11" s="59"/>
      <c r="F11" s="224" t="s">
        <v>2</v>
      </c>
      <c r="G11" s="148" t="s">
        <v>167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225" t="s">
        <v>3</v>
      </c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6" t="s">
        <v>4</v>
      </c>
      <c r="AI11" s="226" t="s">
        <v>5</v>
      </c>
      <c r="AJ11" s="226" t="s">
        <v>6</v>
      </c>
    </row>
    <row r="12" spans="2:36" ht="90.75" customHeight="1" x14ac:dyDescent="0.25">
      <c r="B12" s="148"/>
      <c r="C12" s="148"/>
      <c r="D12" s="157"/>
      <c r="E12" s="156"/>
      <c r="F12" s="224"/>
      <c r="G12" s="148" t="s">
        <v>7</v>
      </c>
      <c r="H12" s="148"/>
      <c r="I12" s="148"/>
      <c r="J12" s="148"/>
      <c r="K12" s="148"/>
      <c r="L12" s="148"/>
      <c r="M12" s="148" t="s">
        <v>8</v>
      </c>
      <c r="N12" s="148"/>
      <c r="O12" s="148" t="s">
        <v>9</v>
      </c>
      <c r="P12" s="148"/>
      <c r="Q12" s="148" t="s">
        <v>10</v>
      </c>
      <c r="R12" s="148"/>
      <c r="S12" s="148" t="s">
        <v>11</v>
      </c>
      <c r="T12" s="148"/>
      <c r="U12" s="148" t="s">
        <v>12</v>
      </c>
      <c r="V12" s="148"/>
      <c r="W12" s="227" t="s">
        <v>13</v>
      </c>
      <c r="X12" s="227" t="s">
        <v>14</v>
      </c>
      <c r="Y12" s="227" t="s">
        <v>15</v>
      </c>
      <c r="Z12" s="227" t="s">
        <v>16</v>
      </c>
      <c r="AA12" s="227" t="s">
        <v>17</v>
      </c>
      <c r="AB12" s="227" t="s">
        <v>18</v>
      </c>
      <c r="AC12" s="227" t="s">
        <v>907</v>
      </c>
      <c r="AD12" s="227" t="s">
        <v>908</v>
      </c>
      <c r="AE12" s="227" t="s">
        <v>19</v>
      </c>
      <c r="AF12" s="228" t="s">
        <v>20</v>
      </c>
      <c r="AG12" s="227" t="s">
        <v>909</v>
      </c>
      <c r="AH12" s="226"/>
      <c r="AI12" s="226"/>
      <c r="AJ12" s="226"/>
    </row>
    <row r="13" spans="2:36" ht="18.75" customHeight="1" x14ac:dyDescent="0.25">
      <c r="B13" s="148"/>
      <c r="C13" s="148"/>
      <c r="D13" s="157"/>
      <c r="E13" s="157"/>
      <c r="F13" s="224"/>
      <c r="G13" s="226" t="s">
        <v>21</v>
      </c>
      <c r="H13" s="226" t="s">
        <v>22</v>
      </c>
      <c r="I13" s="226" t="s">
        <v>23</v>
      </c>
      <c r="J13" s="226" t="s">
        <v>24</v>
      </c>
      <c r="K13" s="226" t="s">
        <v>25</v>
      </c>
      <c r="L13" s="226" t="s">
        <v>26</v>
      </c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227"/>
      <c r="X13" s="227"/>
      <c r="Y13" s="227"/>
      <c r="Z13" s="227"/>
      <c r="AA13" s="227"/>
      <c r="AB13" s="227"/>
      <c r="AC13" s="227"/>
      <c r="AD13" s="227"/>
      <c r="AE13" s="227"/>
      <c r="AF13" s="228"/>
      <c r="AG13" s="227"/>
      <c r="AH13" s="226"/>
      <c r="AI13" s="226"/>
      <c r="AJ13" s="226"/>
    </row>
    <row r="14" spans="2:36" ht="18.75" customHeight="1" x14ac:dyDescent="0.25">
      <c r="B14" s="148"/>
      <c r="C14" s="148"/>
      <c r="D14" s="157"/>
      <c r="E14" s="157"/>
      <c r="F14" s="224"/>
      <c r="G14" s="226"/>
      <c r="H14" s="226"/>
      <c r="I14" s="226"/>
      <c r="J14" s="226"/>
      <c r="K14" s="226"/>
      <c r="L14" s="226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227"/>
      <c r="X14" s="227"/>
      <c r="Y14" s="227"/>
      <c r="Z14" s="227"/>
      <c r="AA14" s="227"/>
      <c r="AB14" s="227"/>
      <c r="AC14" s="227"/>
      <c r="AD14" s="227"/>
      <c r="AE14" s="227"/>
      <c r="AF14" s="228"/>
      <c r="AG14" s="227"/>
      <c r="AH14" s="226"/>
      <c r="AI14" s="226"/>
      <c r="AJ14" s="226"/>
    </row>
    <row r="15" spans="2:36" ht="18.75" customHeight="1" x14ac:dyDescent="0.25">
      <c r="B15" s="148"/>
      <c r="C15" s="148"/>
      <c r="D15" s="157"/>
      <c r="E15" s="157"/>
      <c r="F15" s="224"/>
      <c r="G15" s="226"/>
      <c r="H15" s="226"/>
      <c r="I15" s="226"/>
      <c r="J15" s="226"/>
      <c r="K15" s="226"/>
      <c r="L15" s="226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227"/>
      <c r="X15" s="227"/>
      <c r="Y15" s="227"/>
      <c r="Z15" s="227"/>
      <c r="AA15" s="227"/>
      <c r="AB15" s="227"/>
      <c r="AC15" s="227"/>
      <c r="AD15" s="227"/>
      <c r="AE15" s="227"/>
      <c r="AF15" s="228"/>
      <c r="AG15" s="227"/>
      <c r="AH15" s="226"/>
      <c r="AI15" s="226"/>
      <c r="AJ15" s="226"/>
    </row>
    <row r="16" spans="2:36" ht="409.5" customHeight="1" x14ac:dyDescent="0.25">
      <c r="B16" s="148"/>
      <c r="C16" s="148"/>
      <c r="D16" s="158"/>
      <c r="E16" s="157"/>
      <c r="F16" s="224"/>
      <c r="G16" s="226"/>
      <c r="H16" s="226"/>
      <c r="I16" s="226"/>
      <c r="J16" s="226"/>
      <c r="K16" s="226"/>
      <c r="L16" s="226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227"/>
      <c r="X16" s="227"/>
      <c r="Y16" s="227"/>
      <c r="Z16" s="227"/>
      <c r="AA16" s="227"/>
      <c r="AB16" s="227"/>
      <c r="AC16" s="227"/>
      <c r="AD16" s="227"/>
      <c r="AE16" s="227"/>
      <c r="AF16" s="228"/>
      <c r="AG16" s="227"/>
      <c r="AH16" s="226"/>
      <c r="AI16" s="226"/>
      <c r="AJ16" s="226"/>
    </row>
    <row r="17" spans="1:262" ht="80.25" customHeight="1" x14ac:dyDescent="0.25">
      <c r="B17" s="229"/>
      <c r="C17" s="229"/>
      <c r="D17" s="59" t="s">
        <v>27</v>
      </c>
      <c r="E17" s="158"/>
      <c r="F17" s="59" t="s">
        <v>27</v>
      </c>
      <c r="G17" s="59" t="s">
        <v>27</v>
      </c>
      <c r="H17" s="59" t="s">
        <v>27</v>
      </c>
      <c r="I17" s="59" t="s">
        <v>27</v>
      </c>
      <c r="J17" s="59" t="s">
        <v>27</v>
      </c>
      <c r="K17" s="59" t="s">
        <v>27</v>
      </c>
      <c r="L17" s="59" t="s">
        <v>27</v>
      </c>
      <c r="M17" s="230" t="s">
        <v>28</v>
      </c>
      <c r="N17" s="65" t="s">
        <v>27</v>
      </c>
      <c r="O17" s="65" t="s">
        <v>29</v>
      </c>
      <c r="P17" s="65" t="s">
        <v>27</v>
      </c>
      <c r="Q17" s="65" t="s">
        <v>29</v>
      </c>
      <c r="R17" s="65" t="s">
        <v>27</v>
      </c>
      <c r="S17" s="65" t="s">
        <v>29</v>
      </c>
      <c r="T17" s="65" t="s">
        <v>27</v>
      </c>
      <c r="U17" s="65" t="s">
        <v>30</v>
      </c>
      <c r="V17" s="65" t="s">
        <v>27</v>
      </c>
      <c r="W17" s="65" t="s">
        <v>27</v>
      </c>
      <c r="X17" s="231" t="s">
        <v>27</v>
      </c>
      <c r="Y17" s="65" t="s">
        <v>27</v>
      </c>
      <c r="Z17" s="65" t="s">
        <v>27</v>
      </c>
      <c r="AA17" s="59" t="s">
        <v>27</v>
      </c>
      <c r="AB17" s="65" t="s">
        <v>27</v>
      </c>
      <c r="AC17" s="65" t="s">
        <v>27</v>
      </c>
      <c r="AD17" s="65" t="s">
        <v>27</v>
      </c>
      <c r="AE17" s="65" t="s">
        <v>27</v>
      </c>
      <c r="AF17" s="59" t="s">
        <v>27</v>
      </c>
      <c r="AG17" s="65" t="s">
        <v>27</v>
      </c>
      <c r="AH17" s="226"/>
      <c r="AI17" s="226"/>
      <c r="AJ17" s="226"/>
    </row>
    <row r="18" spans="1:262" ht="59.25" customHeight="1" x14ac:dyDescent="0.25">
      <c r="B18" s="65">
        <v>1</v>
      </c>
      <c r="C18" s="65">
        <v>2</v>
      </c>
      <c r="D18" s="65">
        <v>3</v>
      </c>
      <c r="E18" s="65"/>
      <c r="F18" s="65">
        <v>3</v>
      </c>
      <c r="G18" s="65">
        <v>4</v>
      </c>
      <c r="H18" s="65">
        <v>5</v>
      </c>
      <c r="I18" s="65">
        <v>6</v>
      </c>
      <c r="J18" s="65">
        <v>7</v>
      </c>
      <c r="K18" s="65">
        <v>8</v>
      </c>
      <c r="L18" s="65">
        <v>9</v>
      </c>
      <c r="M18" s="230">
        <v>10</v>
      </c>
      <c r="N18" s="65">
        <v>11</v>
      </c>
      <c r="O18" s="65">
        <v>12</v>
      </c>
      <c r="P18" s="65">
        <v>13</v>
      </c>
      <c r="Q18" s="65">
        <v>14</v>
      </c>
      <c r="R18" s="65">
        <v>15</v>
      </c>
      <c r="S18" s="65">
        <v>16</v>
      </c>
      <c r="T18" s="65">
        <v>17</v>
      </c>
      <c r="U18" s="65">
        <v>18</v>
      </c>
      <c r="V18" s="65">
        <v>19</v>
      </c>
      <c r="W18" s="65">
        <v>20</v>
      </c>
      <c r="X18" s="65">
        <v>21</v>
      </c>
      <c r="Y18" s="65">
        <v>22</v>
      </c>
      <c r="Z18" s="65">
        <v>23</v>
      </c>
      <c r="AA18" s="65">
        <v>24</v>
      </c>
      <c r="AB18" s="65">
        <v>25</v>
      </c>
      <c r="AC18" s="65">
        <v>26</v>
      </c>
      <c r="AD18" s="65">
        <v>27</v>
      </c>
      <c r="AE18" s="65">
        <v>28</v>
      </c>
      <c r="AF18" s="65">
        <v>29</v>
      </c>
      <c r="AG18" s="65">
        <v>30</v>
      </c>
      <c r="AH18" s="65">
        <v>31</v>
      </c>
      <c r="AI18" s="65">
        <v>32</v>
      </c>
      <c r="AJ18" s="65">
        <v>33</v>
      </c>
    </row>
    <row r="19" spans="1:262" ht="99" customHeight="1" x14ac:dyDescent="0.85">
      <c r="B19" s="3" t="s">
        <v>910</v>
      </c>
      <c r="C19" s="232"/>
      <c r="D19" s="233">
        <v>3291470140.5300007</v>
      </c>
      <c r="E19" s="233">
        <f t="shared" ref="E19:E82" si="0">D19-F19</f>
        <v>860166.88000011444</v>
      </c>
      <c r="F19" s="233">
        <f t="shared" ref="F19:AG19" si="1">F20+F556+F1004</f>
        <v>3290609973.6500006</v>
      </c>
      <c r="G19" s="234">
        <f t="shared" si="1"/>
        <v>10164616.710000001</v>
      </c>
      <c r="H19" s="234">
        <f t="shared" si="1"/>
        <v>13417832.539999999</v>
      </c>
      <c r="I19" s="234">
        <f t="shared" si="1"/>
        <v>102183973.30000001</v>
      </c>
      <c r="J19" s="234">
        <f t="shared" si="1"/>
        <v>19465560.859999999</v>
      </c>
      <c r="K19" s="234">
        <f t="shared" si="1"/>
        <v>41309098.5</v>
      </c>
      <c r="L19" s="234">
        <f t="shared" si="1"/>
        <v>0</v>
      </c>
      <c r="M19" s="235">
        <f t="shared" si="1"/>
        <v>185</v>
      </c>
      <c r="N19" s="234">
        <f t="shared" si="1"/>
        <v>330465826.94999999</v>
      </c>
      <c r="O19" s="234">
        <f t="shared" si="1"/>
        <v>502588.35000000003</v>
      </c>
      <c r="P19" s="234">
        <f t="shared" si="1"/>
        <v>2198416903.2700005</v>
      </c>
      <c r="Q19" s="234">
        <f t="shared" si="1"/>
        <v>2724</v>
      </c>
      <c r="R19" s="234">
        <f t="shared" si="1"/>
        <v>9121851.1499999985</v>
      </c>
      <c r="S19" s="234">
        <f t="shared" si="1"/>
        <v>125535.31200000001</v>
      </c>
      <c r="T19" s="234">
        <f t="shared" si="1"/>
        <v>354967251.37</v>
      </c>
      <c r="U19" s="234">
        <f t="shared" si="1"/>
        <v>1343.54</v>
      </c>
      <c r="V19" s="234">
        <f t="shared" si="1"/>
        <v>27702399.589999996</v>
      </c>
      <c r="W19" s="234">
        <f t="shared" si="1"/>
        <v>62624175.820000008</v>
      </c>
      <c r="X19" s="234">
        <f t="shared" si="1"/>
        <v>550198.58000000007</v>
      </c>
      <c r="Y19" s="234">
        <f t="shared" si="1"/>
        <v>0</v>
      </c>
      <c r="Z19" s="234">
        <f t="shared" si="1"/>
        <v>0</v>
      </c>
      <c r="AA19" s="234">
        <f t="shared" si="1"/>
        <v>0</v>
      </c>
      <c r="AB19" s="234">
        <f t="shared" si="1"/>
        <v>0</v>
      </c>
      <c r="AC19" s="234">
        <f t="shared" si="1"/>
        <v>400000</v>
      </c>
      <c r="AD19" s="234">
        <f t="shared" si="1"/>
        <v>0</v>
      </c>
      <c r="AE19" s="234">
        <f t="shared" si="1"/>
        <v>39463479.540000007</v>
      </c>
      <c r="AF19" s="234">
        <f t="shared" si="1"/>
        <v>77116805.469999999</v>
      </c>
      <c r="AG19" s="234">
        <f t="shared" si="1"/>
        <v>3240000</v>
      </c>
      <c r="AH19" s="23" t="s">
        <v>90</v>
      </c>
      <c r="AI19" s="23" t="s">
        <v>90</v>
      </c>
      <c r="AJ19" s="27" t="s">
        <v>90</v>
      </c>
      <c r="CB19" s="236">
        <v>3277602434.1900005</v>
      </c>
    </row>
    <row r="20" spans="1:262" ht="87.75" customHeight="1" x14ac:dyDescent="0.85">
      <c r="B20" s="3" t="s">
        <v>911</v>
      </c>
      <c r="C20" s="232"/>
      <c r="D20" s="237">
        <v>1472013756.6300004</v>
      </c>
      <c r="E20" s="233">
        <f t="shared" si="0"/>
        <v>359770121.85000014</v>
      </c>
      <c r="F20" s="237">
        <f t="shared" ref="F20:AG20" si="2">F21+F126+F157+F203+F241+F247+F274+F287+F280+F294+F297+F303+F309+F311+F327+F344+F350+F356+F353+F360+F363+F365+F383+F380+F385+F387+F392+F395+F397+F402+F412+F404+F414+F418+F422+F424+F428+F435+F441+F444+F457+F459+F463+F465+F467+F473+F485+F494+F503+F509+F511+F514+F517+F519+F522+F528+F530+F533+F535+F545+F550+F553+F292+F461+F496+F455+F498</f>
        <v>1112243634.7800002</v>
      </c>
      <c r="G20" s="19">
        <f t="shared" si="2"/>
        <v>4124043.09</v>
      </c>
      <c r="H20" s="19">
        <f t="shared" si="2"/>
        <v>4286185.58</v>
      </c>
      <c r="I20" s="19">
        <f t="shared" si="2"/>
        <v>47178097.130000003</v>
      </c>
      <c r="J20" s="19">
        <f t="shared" si="2"/>
        <v>4376797.2700000005</v>
      </c>
      <c r="K20" s="19">
        <f t="shared" si="2"/>
        <v>12329670.109999999</v>
      </c>
      <c r="L20" s="19">
        <f t="shared" si="2"/>
        <v>0</v>
      </c>
      <c r="M20" s="238">
        <f t="shared" si="2"/>
        <v>146</v>
      </c>
      <c r="N20" s="19">
        <f t="shared" si="2"/>
        <v>249138974.69000003</v>
      </c>
      <c r="O20" s="19">
        <f t="shared" si="2"/>
        <v>166409.43000000005</v>
      </c>
      <c r="P20" s="19">
        <f t="shared" si="2"/>
        <v>626125161.31000006</v>
      </c>
      <c r="Q20" s="19">
        <f t="shared" si="2"/>
        <v>1520</v>
      </c>
      <c r="R20" s="19">
        <f t="shared" si="2"/>
        <v>6195832.9299999997</v>
      </c>
      <c r="S20" s="19">
        <f t="shared" si="2"/>
        <v>47545.942000000017</v>
      </c>
      <c r="T20" s="19">
        <f t="shared" si="2"/>
        <v>123536263.82000001</v>
      </c>
      <c r="U20" s="19">
        <f t="shared" si="2"/>
        <v>19.07</v>
      </c>
      <c r="V20" s="19">
        <f t="shared" si="2"/>
        <v>210458.31</v>
      </c>
      <c r="W20" s="19">
        <f t="shared" si="2"/>
        <v>4132272.85</v>
      </c>
      <c r="X20" s="19">
        <f t="shared" si="2"/>
        <v>340198.58</v>
      </c>
      <c r="Y20" s="19">
        <f t="shared" si="2"/>
        <v>0</v>
      </c>
      <c r="Z20" s="19">
        <f t="shared" si="2"/>
        <v>0</v>
      </c>
      <c r="AA20" s="19">
        <f t="shared" si="2"/>
        <v>0</v>
      </c>
      <c r="AB20" s="19">
        <f t="shared" si="2"/>
        <v>0</v>
      </c>
      <c r="AC20" s="19">
        <f t="shared" si="2"/>
        <v>0</v>
      </c>
      <c r="AD20" s="19">
        <f t="shared" si="2"/>
        <v>0</v>
      </c>
      <c r="AE20" s="19">
        <f t="shared" si="2"/>
        <v>9560835.1600000001</v>
      </c>
      <c r="AF20" s="19">
        <f t="shared" si="2"/>
        <v>19868843.949999996</v>
      </c>
      <c r="AG20" s="19">
        <f t="shared" si="2"/>
        <v>840000</v>
      </c>
      <c r="AH20" s="23" t="s">
        <v>90</v>
      </c>
      <c r="AI20" s="23" t="s">
        <v>90</v>
      </c>
      <c r="AJ20" s="27" t="s">
        <v>90</v>
      </c>
      <c r="CB20" s="236">
        <v>1686794801.2800004</v>
      </c>
    </row>
    <row r="21" spans="1:262" ht="61.5" x14ac:dyDescent="0.85">
      <c r="B21" s="3" t="s">
        <v>912</v>
      </c>
      <c r="C21" s="439"/>
      <c r="D21" s="237">
        <v>343675633.75000006</v>
      </c>
      <c r="E21" s="233">
        <f t="shared" si="0"/>
        <v>65042445.879999936</v>
      </c>
      <c r="F21" s="237">
        <f t="shared" ref="F21:AG21" si="3">SUM(F22:F125)</f>
        <v>278633187.87000012</v>
      </c>
      <c r="G21" s="19">
        <f t="shared" si="3"/>
        <v>87007.41</v>
      </c>
      <c r="H21" s="19">
        <f t="shared" si="3"/>
        <v>0</v>
      </c>
      <c r="I21" s="19">
        <f t="shared" si="3"/>
        <v>0</v>
      </c>
      <c r="J21" s="19">
        <f t="shared" si="3"/>
        <v>126575.53</v>
      </c>
      <c r="K21" s="19">
        <f t="shared" si="3"/>
        <v>0</v>
      </c>
      <c r="L21" s="19">
        <f t="shared" si="3"/>
        <v>0</v>
      </c>
      <c r="M21" s="238">
        <f t="shared" si="3"/>
        <v>44</v>
      </c>
      <c r="N21" s="19">
        <f t="shared" si="3"/>
        <v>78683233.189999998</v>
      </c>
      <c r="O21" s="19">
        <f t="shared" si="3"/>
        <v>41483.26</v>
      </c>
      <c r="P21" s="19">
        <f t="shared" si="3"/>
        <v>140172160.37999997</v>
      </c>
      <c r="Q21" s="19">
        <f t="shared" si="3"/>
        <v>0</v>
      </c>
      <c r="R21" s="19">
        <f t="shared" si="3"/>
        <v>0</v>
      </c>
      <c r="S21" s="19">
        <f t="shared" si="3"/>
        <v>20625.309999999998</v>
      </c>
      <c r="T21" s="19">
        <f t="shared" si="3"/>
        <v>50012218.130000003</v>
      </c>
      <c r="U21" s="19">
        <f t="shared" si="3"/>
        <v>0</v>
      </c>
      <c r="V21" s="19">
        <f t="shared" si="3"/>
        <v>0</v>
      </c>
      <c r="W21" s="19">
        <f t="shared" si="3"/>
        <v>4132272.85</v>
      </c>
      <c r="X21" s="19">
        <f t="shared" si="3"/>
        <v>0</v>
      </c>
      <c r="Y21" s="19">
        <f t="shared" si="3"/>
        <v>0</v>
      </c>
      <c r="Z21" s="19">
        <f t="shared" si="3"/>
        <v>0</v>
      </c>
      <c r="AA21" s="19">
        <f t="shared" si="3"/>
        <v>0</v>
      </c>
      <c r="AB21" s="19">
        <f t="shared" si="3"/>
        <v>0</v>
      </c>
      <c r="AC21" s="19">
        <f t="shared" si="3"/>
        <v>0</v>
      </c>
      <c r="AD21" s="19">
        <f t="shared" si="3"/>
        <v>0</v>
      </c>
      <c r="AE21" s="19">
        <f t="shared" si="3"/>
        <v>2614766.4799999991</v>
      </c>
      <c r="AF21" s="19">
        <f t="shared" si="3"/>
        <v>2804953.9</v>
      </c>
      <c r="AG21" s="19">
        <f t="shared" si="3"/>
        <v>0</v>
      </c>
      <c r="AH21" s="23" t="s">
        <v>90</v>
      </c>
      <c r="AI21" s="23" t="s">
        <v>90</v>
      </c>
      <c r="AJ21" s="27" t="s">
        <v>90</v>
      </c>
      <c r="CB21" s="236">
        <v>383462452.64000016</v>
      </c>
    </row>
    <row r="22" spans="1:262" s="239" customFormat="1" ht="61.5" x14ac:dyDescent="0.85">
      <c r="A22" s="239">
        <v>1</v>
      </c>
      <c r="B22" s="18">
        <f>SUBTOTAL(103,$A$22:A22)</f>
        <v>1</v>
      </c>
      <c r="C22" s="3" t="s">
        <v>913</v>
      </c>
      <c r="D22" s="5">
        <v>2167261.7599999998</v>
      </c>
      <c r="E22" s="5">
        <f t="shared" si="0"/>
        <v>0</v>
      </c>
      <c r="F22" s="5">
        <f>G22+H22+I22+J22+K22+L22+N22+P22+R22+T22+V22+W22+X22+Y22+Z22+AA22+AB22+AC22+AD22+AE22+AF22+AG22</f>
        <v>2167261.7599999998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25">
        <v>0</v>
      </c>
      <c r="N22" s="5">
        <v>0</v>
      </c>
      <c r="O22" s="5">
        <v>433.51</v>
      </c>
      <c r="P22" s="5">
        <v>2075821.44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31137.32</v>
      </c>
      <c r="AF22" s="48">
        <v>60303</v>
      </c>
      <c r="AG22" s="5">
        <v>0</v>
      </c>
      <c r="AH22" s="246">
        <v>2020</v>
      </c>
      <c r="AI22" s="246">
        <v>2020</v>
      </c>
      <c r="AJ22" s="246">
        <v>2020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 t="e">
        <f t="shared" ref="AV22:AV35" si="4">VLOOKUP(C22,AY:AZ,2,FALSE)</f>
        <v>#N/A</v>
      </c>
      <c r="AW22" s="2"/>
      <c r="AX22" s="2"/>
      <c r="AY22" s="2" t="s">
        <v>914</v>
      </c>
      <c r="AZ22" s="2">
        <v>1</v>
      </c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36"/>
      <c r="CC22" s="2"/>
      <c r="CD22" s="2"/>
      <c r="CE22" s="2"/>
      <c r="CF22" s="2" t="e">
        <f t="shared" ref="CF22:CF39" si="5">VLOOKUP(C22,CG:CH,2,FALSE)</f>
        <v>#N/A</v>
      </c>
      <c r="CG22" s="242" t="s">
        <v>915</v>
      </c>
      <c r="CH22" s="242">
        <v>644</v>
      </c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</row>
    <row r="23" spans="1:262" ht="61.5" x14ac:dyDescent="0.85">
      <c r="A23" s="2">
        <v>1</v>
      </c>
      <c r="B23" s="18">
        <f>SUBTOTAL(103,$A$22:A23)</f>
        <v>2</v>
      </c>
      <c r="C23" s="3" t="s">
        <v>916</v>
      </c>
      <c r="D23" s="5">
        <v>2182367.5499999998</v>
      </c>
      <c r="E23" s="5">
        <f t="shared" si="0"/>
        <v>2112589</v>
      </c>
      <c r="F23" s="5">
        <f t="shared" ref="F23:F86" si="6">G23+H23+I23+J23+K23+L23+N23+P23+R23+T23+V23+W23+X23+Y23+Z23+AA23+AB23+AC23+AD23+AE23+AF23+AG23</f>
        <v>69778.55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241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7">
        <v>69778.55</v>
      </c>
      <c r="AG23" s="5">
        <v>0</v>
      </c>
      <c r="AH23" s="246">
        <v>2020</v>
      </c>
      <c r="AI23" s="6" t="s">
        <v>49</v>
      </c>
      <c r="AJ23" s="6" t="s">
        <v>49</v>
      </c>
      <c r="AV23" s="2" t="e">
        <f t="shared" si="4"/>
        <v>#N/A</v>
      </c>
      <c r="AY23" s="2" t="s">
        <v>917</v>
      </c>
      <c r="AZ23" s="2">
        <v>1</v>
      </c>
      <c r="CB23" s="236"/>
      <c r="CF23" s="2" t="e">
        <f t="shared" si="5"/>
        <v>#N/A</v>
      </c>
      <c r="CG23" s="242" t="s">
        <v>918</v>
      </c>
      <c r="CH23" s="242">
        <v>761.5</v>
      </c>
    </row>
    <row r="24" spans="1:262" ht="61.5" x14ac:dyDescent="0.85">
      <c r="A24" s="2">
        <v>1</v>
      </c>
      <c r="B24" s="18">
        <f>SUBTOTAL(103,$A$22:A24)</f>
        <v>3</v>
      </c>
      <c r="C24" s="3" t="s">
        <v>919</v>
      </c>
      <c r="D24" s="5">
        <v>2059937.96</v>
      </c>
      <c r="E24" s="5">
        <f t="shared" si="0"/>
        <v>284558.29000000004</v>
      </c>
      <c r="F24" s="5">
        <f t="shared" si="6"/>
        <v>1775379.67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440">
        <v>1</v>
      </c>
      <c r="N24" s="7">
        <v>1775379.67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246" t="s">
        <v>49</v>
      </c>
      <c r="AI24" s="246">
        <v>2020</v>
      </c>
      <c r="AJ24" s="6" t="s">
        <v>49</v>
      </c>
      <c r="AV24" s="2" t="e">
        <f t="shared" si="4"/>
        <v>#N/A</v>
      </c>
      <c r="AY24" s="2" t="s">
        <v>920</v>
      </c>
      <c r="AZ24" s="2">
        <v>1</v>
      </c>
      <c r="CB24" s="236"/>
      <c r="CF24" s="2" t="e">
        <f t="shared" si="5"/>
        <v>#N/A</v>
      </c>
      <c r="CG24" s="242" t="s">
        <v>921</v>
      </c>
      <c r="CH24" s="242">
        <v>342</v>
      </c>
    </row>
    <row r="25" spans="1:262" ht="61.5" x14ac:dyDescent="0.85">
      <c r="A25" s="2">
        <v>1</v>
      </c>
      <c r="B25" s="18">
        <f>SUBTOTAL(103,$A$22:A25)</f>
        <v>4</v>
      </c>
      <c r="C25" s="3" t="s">
        <v>922</v>
      </c>
      <c r="D25" s="5">
        <v>2571347.14</v>
      </c>
      <c r="E25" s="5">
        <f t="shared" si="0"/>
        <v>126737.39000000013</v>
      </c>
      <c r="F25" s="5">
        <f t="shared" si="6"/>
        <v>2444609.75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241">
        <v>0</v>
      </c>
      <c r="N25" s="5">
        <v>0</v>
      </c>
      <c r="O25" s="7">
        <v>632.16999999999996</v>
      </c>
      <c r="P25" s="7">
        <v>2411333.36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33276.39</v>
      </c>
      <c r="AF25" s="5">
        <v>0</v>
      </c>
      <c r="AG25" s="5">
        <v>0</v>
      </c>
      <c r="AH25" s="246" t="s">
        <v>49</v>
      </c>
      <c r="AI25" s="246">
        <v>2020</v>
      </c>
      <c r="AJ25" s="6">
        <v>2020</v>
      </c>
      <c r="AV25" s="2" t="e">
        <f t="shared" si="4"/>
        <v>#N/A</v>
      </c>
      <c r="AY25" s="2" t="s">
        <v>923</v>
      </c>
      <c r="AZ25" s="2">
        <v>1</v>
      </c>
      <c r="CB25" s="236"/>
      <c r="CF25" s="2" t="e">
        <f t="shared" si="5"/>
        <v>#N/A</v>
      </c>
      <c r="CG25" s="242" t="s">
        <v>924</v>
      </c>
      <c r="CH25" s="242">
        <v>2070.63</v>
      </c>
    </row>
    <row r="26" spans="1:262" ht="61.5" x14ac:dyDescent="0.85">
      <c r="A26" s="2">
        <v>1</v>
      </c>
      <c r="B26" s="18">
        <f>SUBTOTAL(103,$A$22:A26)</f>
        <v>5</v>
      </c>
      <c r="C26" s="3" t="s">
        <v>925</v>
      </c>
      <c r="D26" s="5">
        <v>1179710.26</v>
      </c>
      <c r="E26" s="5">
        <f t="shared" si="0"/>
        <v>1394.7299999999814</v>
      </c>
      <c r="F26" s="5">
        <f t="shared" si="6"/>
        <v>1178315.53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241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499.8</v>
      </c>
      <c r="T26" s="5">
        <v>1162276.1200000001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7">
        <v>16039.41</v>
      </c>
      <c r="AF26" s="5">
        <v>0</v>
      </c>
      <c r="AG26" s="5">
        <v>0</v>
      </c>
      <c r="AH26" s="246" t="s">
        <v>49</v>
      </c>
      <c r="AI26" s="246">
        <v>2020</v>
      </c>
      <c r="AJ26" s="6">
        <v>2020</v>
      </c>
      <c r="AV26" s="2" t="e">
        <f t="shared" si="4"/>
        <v>#N/A</v>
      </c>
      <c r="AY26" s="2" t="s">
        <v>926</v>
      </c>
      <c r="AZ26" s="2">
        <v>1</v>
      </c>
      <c r="CB26" s="236"/>
      <c r="CF26" s="2" t="e">
        <f t="shared" si="5"/>
        <v>#N/A</v>
      </c>
      <c r="CG26" s="242" t="s">
        <v>927</v>
      </c>
      <c r="CH26" s="242">
        <v>600</v>
      </c>
    </row>
    <row r="27" spans="1:262" ht="61.5" x14ac:dyDescent="0.85">
      <c r="A27" s="2">
        <v>1</v>
      </c>
      <c r="B27" s="18">
        <f>SUBTOTAL(103,$A$22:A27)</f>
        <v>6</v>
      </c>
      <c r="C27" s="3" t="s">
        <v>915</v>
      </c>
      <c r="D27" s="5">
        <v>2362258.88</v>
      </c>
      <c r="E27" s="5">
        <f t="shared" si="0"/>
        <v>365891.91999999969</v>
      </c>
      <c r="F27" s="5">
        <f t="shared" si="6"/>
        <v>1996366.9600000002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241">
        <v>0</v>
      </c>
      <c r="N27" s="5">
        <v>0</v>
      </c>
      <c r="O27" s="7">
        <v>612</v>
      </c>
      <c r="P27" s="48">
        <v>1969192.11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48">
        <v>27174.85</v>
      </c>
      <c r="AF27" s="5">
        <v>0</v>
      </c>
      <c r="AG27" s="5">
        <v>0</v>
      </c>
      <c r="AH27" s="246" t="s">
        <v>49</v>
      </c>
      <c r="AI27" s="246">
        <v>2020</v>
      </c>
      <c r="AJ27" s="6">
        <v>2020</v>
      </c>
      <c r="AV27" s="2" t="e">
        <f t="shared" si="4"/>
        <v>#N/A</v>
      </c>
      <c r="AY27" s="2" t="s">
        <v>928</v>
      </c>
      <c r="AZ27" s="2">
        <v>1</v>
      </c>
      <c r="CB27" s="236"/>
      <c r="CF27" s="2">
        <f t="shared" si="5"/>
        <v>644</v>
      </c>
      <c r="CG27" s="242" t="s">
        <v>929</v>
      </c>
      <c r="CH27" s="242">
        <v>334.02</v>
      </c>
    </row>
    <row r="28" spans="1:262" ht="61.5" x14ac:dyDescent="0.85">
      <c r="A28" s="2">
        <v>1</v>
      </c>
      <c r="B28" s="18">
        <f>SUBTOTAL(103,$A$22:A28)</f>
        <v>7</v>
      </c>
      <c r="C28" s="3" t="s">
        <v>930</v>
      </c>
      <c r="D28" s="5">
        <v>2862415.7800000003</v>
      </c>
      <c r="E28" s="5">
        <f t="shared" si="0"/>
        <v>-191465.74999999953</v>
      </c>
      <c r="F28" s="5">
        <f t="shared" si="6"/>
        <v>3053881.53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241">
        <v>0</v>
      </c>
      <c r="N28" s="5">
        <v>0</v>
      </c>
      <c r="O28" s="7">
        <v>713.67</v>
      </c>
      <c r="P28" s="7">
        <v>2950406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40715.589999999997</v>
      </c>
      <c r="AF28" s="7">
        <v>62759.94</v>
      </c>
      <c r="AG28" s="5">
        <v>0</v>
      </c>
      <c r="AH28" s="246">
        <v>2020</v>
      </c>
      <c r="AI28" s="246">
        <v>2020</v>
      </c>
      <c r="AJ28" s="6">
        <v>2020</v>
      </c>
      <c r="AV28" s="2" t="e">
        <f t="shared" si="4"/>
        <v>#N/A</v>
      </c>
      <c r="AY28" s="2" t="s">
        <v>931</v>
      </c>
      <c r="AZ28" s="2">
        <v>1</v>
      </c>
      <c r="CB28" s="236"/>
      <c r="CF28" s="2" t="e">
        <f t="shared" si="5"/>
        <v>#N/A</v>
      </c>
      <c r="CG28" s="242" t="s">
        <v>932</v>
      </c>
      <c r="CH28" s="242">
        <v>1124.75</v>
      </c>
    </row>
    <row r="29" spans="1:262" s="239" customFormat="1" ht="61.5" x14ac:dyDescent="0.85">
      <c r="A29" s="239">
        <v>1</v>
      </c>
      <c r="B29" s="18">
        <f>SUBTOTAL(103,$A$22:A29)</f>
        <v>8</v>
      </c>
      <c r="C29" s="3" t="s">
        <v>933</v>
      </c>
      <c r="D29" s="5">
        <v>2008550.03</v>
      </c>
      <c r="E29" s="5">
        <f t="shared" si="0"/>
        <v>0</v>
      </c>
      <c r="F29" s="5">
        <f t="shared" si="6"/>
        <v>2008550.03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25">
        <v>0</v>
      </c>
      <c r="N29" s="5">
        <v>0</v>
      </c>
      <c r="O29" s="5">
        <v>591</v>
      </c>
      <c r="P29" s="5">
        <v>1921468.16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28822.02</v>
      </c>
      <c r="AF29" s="7">
        <v>58259.85</v>
      </c>
      <c r="AG29" s="5">
        <v>0</v>
      </c>
      <c r="AH29" s="246">
        <v>2020</v>
      </c>
      <c r="AI29" s="246">
        <v>2020</v>
      </c>
      <c r="AJ29" s="246">
        <v>2020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 t="e">
        <f t="shared" si="4"/>
        <v>#N/A</v>
      </c>
      <c r="AW29" s="2"/>
      <c r="AX29" s="2"/>
      <c r="AY29" s="2" t="s">
        <v>934</v>
      </c>
      <c r="AZ29" s="2">
        <v>1</v>
      </c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36"/>
      <c r="CC29" s="2"/>
      <c r="CD29" s="2"/>
      <c r="CE29" s="2"/>
      <c r="CF29" s="2" t="e">
        <f t="shared" si="5"/>
        <v>#N/A</v>
      </c>
      <c r="CG29" s="242" t="s">
        <v>935</v>
      </c>
      <c r="CH29" s="242">
        <v>555.39</v>
      </c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</row>
    <row r="30" spans="1:262" ht="61.5" x14ac:dyDescent="0.85">
      <c r="A30" s="2">
        <v>1</v>
      </c>
      <c r="B30" s="18">
        <f>SUBTOTAL(103,$A$22:A30)</f>
        <v>9</v>
      </c>
      <c r="C30" s="3" t="s">
        <v>936</v>
      </c>
      <c r="D30" s="5">
        <v>2712409.97</v>
      </c>
      <c r="E30" s="5">
        <f t="shared" si="0"/>
        <v>2613625</v>
      </c>
      <c r="F30" s="5">
        <f t="shared" si="6"/>
        <v>98784.97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241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7">
        <v>98784.97</v>
      </c>
      <c r="AG30" s="5">
        <v>0</v>
      </c>
      <c r="AH30" s="246">
        <v>2020</v>
      </c>
      <c r="AI30" s="246" t="s">
        <v>49</v>
      </c>
      <c r="AJ30" s="246" t="s">
        <v>49</v>
      </c>
      <c r="AV30" s="2" t="e">
        <f t="shared" si="4"/>
        <v>#N/A</v>
      </c>
      <c r="AY30" s="2" t="s">
        <v>937</v>
      </c>
      <c r="AZ30" s="2">
        <v>1</v>
      </c>
      <c r="CB30" s="236"/>
      <c r="CF30" s="2" t="e">
        <f t="shared" si="5"/>
        <v>#N/A</v>
      </c>
      <c r="CG30" s="242" t="s">
        <v>938</v>
      </c>
      <c r="CH30" s="242">
        <v>865.12</v>
      </c>
    </row>
    <row r="31" spans="1:262" ht="61.5" x14ac:dyDescent="0.85">
      <c r="A31" s="2">
        <v>1</v>
      </c>
      <c r="B31" s="18">
        <f>SUBTOTAL(103,$A$22:A31)</f>
        <v>10</v>
      </c>
      <c r="C31" s="3" t="s">
        <v>939</v>
      </c>
      <c r="D31" s="5">
        <v>3274095.59</v>
      </c>
      <c r="E31" s="5">
        <f t="shared" si="0"/>
        <v>149428.58999999985</v>
      </c>
      <c r="F31" s="5">
        <f t="shared" si="6"/>
        <v>3124667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241">
        <v>0</v>
      </c>
      <c r="N31" s="5">
        <v>0</v>
      </c>
      <c r="O31" s="7">
        <v>1089.8</v>
      </c>
      <c r="P31" s="7">
        <v>3124667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246" t="s">
        <v>49</v>
      </c>
      <c r="AI31" s="246">
        <v>2020</v>
      </c>
      <c r="AJ31" s="246" t="s">
        <v>49</v>
      </c>
      <c r="AV31" s="2" t="e">
        <f t="shared" si="4"/>
        <v>#N/A</v>
      </c>
      <c r="AY31" s="2" t="s">
        <v>940</v>
      </c>
      <c r="AZ31" s="2">
        <v>1</v>
      </c>
      <c r="CB31" s="236"/>
      <c r="CF31" s="2">
        <f t="shared" si="5"/>
        <v>1089.8</v>
      </c>
      <c r="CG31" s="242" t="s">
        <v>941</v>
      </c>
      <c r="CH31" s="242">
        <v>860.91</v>
      </c>
    </row>
    <row r="32" spans="1:262" ht="61.5" x14ac:dyDescent="0.85">
      <c r="A32" s="2">
        <v>1</v>
      </c>
      <c r="B32" s="18">
        <f>SUBTOTAL(103,$A$22:A32)</f>
        <v>11</v>
      </c>
      <c r="C32" s="3" t="s">
        <v>942</v>
      </c>
      <c r="D32" s="5">
        <v>3977663.1999999997</v>
      </c>
      <c r="E32" s="5">
        <f t="shared" si="0"/>
        <v>3888265.4</v>
      </c>
      <c r="F32" s="5">
        <f t="shared" si="6"/>
        <v>89397.8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241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7">
        <v>89397.8</v>
      </c>
      <c r="AG32" s="5">
        <v>0</v>
      </c>
      <c r="AH32" s="246">
        <v>2020</v>
      </c>
      <c r="AI32" s="246" t="s">
        <v>49</v>
      </c>
      <c r="AJ32" s="246" t="s">
        <v>49</v>
      </c>
      <c r="AV32" s="2" t="e">
        <f t="shared" si="4"/>
        <v>#N/A</v>
      </c>
      <c r="AY32" s="2" t="s">
        <v>943</v>
      </c>
      <c r="AZ32" s="2">
        <v>1</v>
      </c>
      <c r="CB32" s="236"/>
      <c r="CF32" s="2" t="e">
        <f t="shared" si="5"/>
        <v>#N/A</v>
      </c>
      <c r="CG32" s="242" t="s">
        <v>944</v>
      </c>
      <c r="CH32" s="242">
        <v>1319.27</v>
      </c>
    </row>
    <row r="33" spans="1:262" ht="61.5" x14ac:dyDescent="0.85">
      <c r="A33" s="2">
        <v>1</v>
      </c>
      <c r="B33" s="18">
        <f>SUBTOTAL(103,$A$22:A33)</f>
        <v>12</v>
      </c>
      <c r="C33" s="3" t="s">
        <v>918</v>
      </c>
      <c r="D33" s="5">
        <v>2688426.41</v>
      </c>
      <c r="E33" s="5">
        <f t="shared" si="0"/>
        <v>334513.55000000028</v>
      </c>
      <c r="F33" s="5">
        <f t="shared" si="6"/>
        <v>2353912.86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241">
        <v>0</v>
      </c>
      <c r="N33" s="5">
        <v>0</v>
      </c>
      <c r="O33" s="7">
        <v>740.47</v>
      </c>
      <c r="P33" s="7">
        <v>2321871.04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7">
        <v>32041.82</v>
      </c>
      <c r="AF33" s="5">
        <v>0</v>
      </c>
      <c r="AG33" s="5">
        <v>0</v>
      </c>
      <c r="AH33" s="246" t="s">
        <v>49</v>
      </c>
      <c r="AI33" s="246">
        <v>2020</v>
      </c>
      <c r="AJ33" s="6">
        <v>2020</v>
      </c>
      <c r="AV33" s="2" t="e">
        <f t="shared" si="4"/>
        <v>#N/A</v>
      </c>
      <c r="AY33" s="2" t="s">
        <v>945</v>
      </c>
      <c r="AZ33" s="2">
        <v>1</v>
      </c>
      <c r="CB33" s="236"/>
      <c r="CF33" s="2">
        <f t="shared" si="5"/>
        <v>761.5</v>
      </c>
      <c r="CG33" s="242" t="s">
        <v>946</v>
      </c>
      <c r="CH33" s="242">
        <v>900</v>
      </c>
    </row>
    <row r="34" spans="1:262" ht="61.5" x14ac:dyDescent="0.85">
      <c r="A34" s="2">
        <v>1</v>
      </c>
      <c r="B34" s="18">
        <f>SUBTOTAL(103,$A$22:A34)</f>
        <v>13</v>
      </c>
      <c r="C34" s="3" t="s">
        <v>947</v>
      </c>
      <c r="D34" s="5">
        <v>2593330.65</v>
      </c>
      <c r="E34" s="5">
        <f t="shared" si="0"/>
        <v>0</v>
      </c>
      <c r="F34" s="5">
        <f t="shared" si="6"/>
        <v>2593330.65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241">
        <v>0</v>
      </c>
      <c r="N34" s="5">
        <v>0</v>
      </c>
      <c r="O34" s="7">
        <v>940</v>
      </c>
      <c r="P34" s="7">
        <v>2593330.65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246" t="s">
        <v>49</v>
      </c>
      <c r="AI34" s="246">
        <v>2020</v>
      </c>
      <c r="AJ34" s="6" t="s">
        <v>49</v>
      </c>
      <c r="AV34" s="2" t="e">
        <f t="shared" si="4"/>
        <v>#N/A</v>
      </c>
      <c r="AY34" s="2" t="s">
        <v>948</v>
      </c>
      <c r="AZ34" s="2">
        <v>1</v>
      </c>
      <c r="CB34" s="236"/>
      <c r="CF34" s="2">
        <f t="shared" si="5"/>
        <v>1041.5</v>
      </c>
      <c r="CG34" s="242" t="s">
        <v>949</v>
      </c>
      <c r="CH34" s="242">
        <v>900</v>
      </c>
    </row>
    <row r="35" spans="1:262" ht="61.5" x14ac:dyDescent="0.85">
      <c r="A35" s="2">
        <v>1</v>
      </c>
      <c r="B35" s="18">
        <f>SUBTOTAL(103,$A$22:A35)</f>
        <v>14</v>
      </c>
      <c r="C35" s="3" t="s">
        <v>914</v>
      </c>
      <c r="D35" s="5">
        <v>16664175.41</v>
      </c>
      <c r="E35" s="5">
        <f t="shared" si="0"/>
        <v>2321166.8499999996</v>
      </c>
      <c r="F35" s="5">
        <f t="shared" si="6"/>
        <v>14343008.560000001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440">
        <v>8</v>
      </c>
      <c r="N35" s="7">
        <f>3587787.94+6*1792536.77</f>
        <v>14343008.560000001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246" t="s">
        <v>49</v>
      </c>
      <c r="AI35" s="246">
        <v>2020</v>
      </c>
      <c r="AJ35" s="6" t="s">
        <v>49</v>
      </c>
      <c r="AV35" s="2">
        <f t="shared" si="4"/>
        <v>1</v>
      </c>
      <c r="CB35" s="236"/>
      <c r="CF35" s="2" t="e">
        <f t="shared" si="5"/>
        <v>#N/A</v>
      </c>
      <c r="CG35" s="242" t="s">
        <v>950</v>
      </c>
      <c r="CH35" s="242">
        <v>870</v>
      </c>
    </row>
    <row r="36" spans="1:262" ht="61.5" x14ac:dyDescent="0.85">
      <c r="A36" s="2">
        <v>1</v>
      </c>
      <c r="B36" s="18">
        <f>SUBTOTAL(103,$A$22:A36)</f>
        <v>15</v>
      </c>
      <c r="C36" s="3" t="s">
        <v>951</v>
      </c>
      <c r="D36" s="5">
        <v>855995.43</v>
      </c>
      <c r="E36" s="5">
        <f t="shared" si="0"/>
        <v>134164.12</v>
      </c>
      <c r="F36" s="5">
        <f t="shared" si="6"/>
        <v>721831.31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241">
        <v>0</v>
      </c>
      <c r="N36" s="5">
        <v>0</v>
      </c>
      <c r="O36" s="7">
        <v>250</v>
      </c>
      <c r="P36" s="48">
        <v>712005.63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9825.68</v>
      </c>
      <c r="AF36" s="5">
        <v>0</v>
      </c>
      <c r="AG36" s="5">
        <v>0</v>
      </c>
      <c r="AH36" s="246" t="s">
        <v>49</v>
      </c>
      <c r="AI36" s="246">
        <v>2020</v>
      </c>
      <c r="AJ36" s="6">
        <v>2020</v>
      </c>
      <c r="CB36" s="236"/>
      <c r="CF36" s="2" t="e">
        <f t="shared" si="5"/>
        <v>#N/A</v>
      </c>
      <c r="CG36" s="242" t="s">
        <v>952</v>
      </c>
      <c r="CH36" s="242">
        <v>313.10000000000002</v>
      </c>
    </row>
    <row r="37" spans="1:262" ht="61.5" x14ac:dyDescent="0.85">
      <c r="A37" s="2">
        <v>1</v>
      </c>
      <c r="B37" s="18">
        <f>SUBTOTAL(103,$A$22:A37)</f>
        <v>16</v>
      </c>
      <c r="C37" s="3" t="s">
        <v>953</v>
      </c>
      <c r="D37" s="5">
        <v>4205685.74</v>
      </c>
      <c r="E37" s="5">
        <f t="shared" si="0"/>
        <v>0</v>
      </c>
      <c r="F37" s="5">
        <f t="shared" si="6"/>
        <v>4205685.74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241">
        <v>0</v>
      </c>
      <c r="N37" s="5">
        <v>0</v>
      </c>
      <c r="O37" s="5">
        <v>1100</v>
      </c>
      <c r="P37" s="5">
        <v>4143532.75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62152.99</v>
      </c>
      <c r="AF37" s="5">
        <v>0</v>
      </c>
      <c r="AG37" s="5">
        <v>0</v>
      </c>
      <c r="AH37" s="246" t="s">
        <v>49</v>
      </c>
      <c r="AI37" s="246">
        <v>2020</v>
      </c>
      <c r="AJ37" s="6">
        <v>2020</v>
      </c>
      <c r="AV37" s="2" t="e">
        <f>VLOOKUP(C37,AY:AZ,2,FALSE)</f>
        <v>#N/A</v>
      </c>
      <c r="CB37" s="236"/>
      <c r="CF37" s="2" t="e">
        <f t="shared" si="5"/>
        <v>#N/A</v>
      </c>
      <c r="CG37" s="242" t="s">
        <v>954</v>
      </c>
      <c r="CH37" s="242">
        <v>1035.9000000000001</v>
      </c>
    </row>
    <row r="38" spans="1:262" ht="61.5" x14ac:dyDescent="0.85">
      <c r="A38" s="2">
        <v>1</v>
      </c>
      <c r="B38" s="18">
        <f>SUBTOTAL(103,$A$22:A38)</f>
        <v>17</v>
      </c>
      <c r="C38" s="3" t="s">
        <v>955</v>
      </c>
      <c r="D38" s="5">
        <v>2349201.9300000002</v>
      </c>
      <c r="E38" s="5">
        <f t="shared" si="0"/>
        <v>0</v>
      </c>
      <c r="F38" s="5">
        <f t="shared" si="6"/>
        <v>2349201.9300000002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241">
        <v>0</v>
      </c>
      <c r="N38" s="5">
        <v>0</v>
      </c>
      <c r="O38" s="7">
        <v>626.64</v>
      </c>
      <c r="P38" s="5">
        <v>2314484.66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34717.269999999997</v>
      </c>
      <c r="AF38" s="5">
        <v>0</v>
      </c>
      <c r="AG38" s="5">
        <v>0</v>
      </c>
      <c r="AH38" s="246" t="s">
        <v>49</v>
      </c>
      <c r="AI38" s="246">
        <v>2020</v>
      </c>
      <c r="AJ38" s="6">
        <v>2020</v>
      </c>
      <c r="CB38" s="236"/>
      <c r="CF38" s="2" t="e">
        <f t="shared" si="5"/>
        <v>#N/A</v>
      </c>
      <c r="CG38" s="242" t="s">
        <v>939</v>
      </c>
      <c r="CH38" s="242">
        <v>1089.8</v>
      </c>
    </row>
    <row r="39" spans="1:262" ht="61.5" x14ac:dyDescent="0.85">
      <c r="A39" s="2">
        <v>1</v>
      </c>
      <c r="B39" s="18">
        <f>SUBTOTAL(103,$A$22:A39)</f>
        <v>18</v>
      </c>
      <c r="C39" s="3" t="s">
        <v>956</v>
      </c>
      <c r="D39" s="5">
        <v>4136394.6</v>
      </c>
      <c r="E39" s="5">
        <f t="shared" si="0"/>
        <v>1148118.6000000001</v>
      </c>
      <c r="F39" s="5">
        <f t="shared" si="6"/>
        <v>2988276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241">
        <v>0</v>
      </c>
      <c r="N39" s="5">
        <v>0</v>
      </c>
      <c r="O39" s="7">
        <v>980</v>
      </c>
      <c r="P39" s="7">
        <v>2988276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246" t="s">
        <v>49</v>
      </c>
      <c r="AI39" s="246">
        <v>2020</v>
      </c>
      <c r="AJ39" s="6" t="s">
        <v>49</v>
      </c>
      <c r="AV39" s="2" t="e">
        <f>VLOOKUP(C39,AY:AZ,2,FALSE)</f>
        <v>#N/A</v>
      </c>
      <c r="CB39" s="236"/>
      <c r="CF39" s="2" t="e">
        <f t="shared" si="5"/>
        <v>#N/A</v>
      </c>
      <c r="CG39" s="242" t="s">
        <v>947</v>
      </c>
      <c r="CH39" s="242">
        <v>1041.5</v>
      </c>
    </row>
    <row r="40" spans="1:262" s="239" customFormat="1" ht="61.5" x14ac:dyDescent="0.85">
      <c r="A40" s="239">
        <v>1</v>
      </c>
      <c r="B40" s="18">
        <f>SUBTOTAL(103,$A$22:A40)</f>
        <v>19</v>
      </c>
      <c r="C40" s="3" t="s">
        <v>957</v>
      </c>
      <c r="D40" s="5">
        <v>56688.3</v>
      </c>
      <c r="E40" s="5">
        <f t="shared" si="0"/>
        <v>0</v>
      </c>
      <c r="F40" s="5">
        <f t="shared" si="6"/>
        <v>56688.3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2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7">
        <v>56688.3</v>
      </c>
      <c r="AG40" s="5">
        <v>0</v>
      </c>
      <c r="AH40" s="246">
        <v>2020</v>
      </c>
      <c r="AI40" s="246" t="s">
        <v>49</v>
      </c>
      <c r="AJ40" s="6" t="s">
        <v>49</v>
      </c>
      <c r="AK40" s="2"/>
      <c r="AL40" s="2"/>
      <c r="AM40" s="2"/>
      <c r="AN40" s="2"/>
      <c r="AO40" s="2"/>
      <c r="AP40" s="2"/>
      <c r="AQ40" s="2"/>
      <c r="AR40" s="2"/>
      <c r="AS40" s="2"/>
      <c r="AT40" s="2" t="e">
        <f>VLOOKUP(C40,AW:AX,2,FALSE)</f>
        <v>#N/A</v>
      </c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36"/>
      <c r="CA40" s="2"/>
      <c r="CB40" s="2"/>
      <c r="CC40" s="2"/>
      <c r="CD40" s="2" t="e">
        <f>VLOOKUP(C40,CE:CF,2,FALSE)</f>
        <v>#N/A</v>
      </c>
      <c r="CE40" s="242" t="s">
        <v>958</v>
      </c>
      <c r="CF40" s="242">
        <v>777.1</v>
      </c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</row>
    <row r="41" spans="1:262" ht="61.5" x14ac:dyDescent="0.85">
      <c r="A41" s="2">
        <v>1</v>
      </c>
      <c r="B41" s="18">
        <f>SUBTOTAL(103,$A$22:A41)</f>
        <v>20</v>
      </c>
      <c r="C41" s="3" t="s">
        <v>959</v>
      </c>
      <c r="D41" s="5">
        <v>2626564.2799999998</v>
      </c>
      <c r="E41" s="5">
        <f t="shared" si="0"/>
        <v>2537500</v>
      </c>
      <c r="F41" s="5">
        <f t="shared" si="6"/>
        <v>89064.28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241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8">
        <v>89064.28</v>
      </c>
      <c r="AG41" s="5">
        <v>0</v>
      </c>
      <c r="AH41" s="246">
        <v>2020</v>
      </c>
      <c r="AI41" s="246" t="s">
        <v>49</v>
      </c>
      <c r="AJ41" s="6" t="s">
        <v>49</v>
      </c>
      <c r="AV41" s="2" t="e">
        <f t="shared" ref="AV41:AV47" si="7">VLOOKUP(C41,AY:AZ,2,FALSE)</f>
        <v>#N/A</v>
      </c>
      <c r="CB41" s="236"/>
      <c r="CF41" s="2" t="e">
        <f t="shared" ref="CF41:CF104" si="8">VLOOKUP(C41,CG:CH,2,FALSE)</f>
        <v>#N/A</v>
      </c>
      <c r="CG41" s="242" t="s">
        <v>960</v>
      </c>
      <c r="CH41" s="242">
        <v>1000</v>
      </c>
    </row>
    <row r="42" spans="1:262" ht="61.5" x14ac:dyDescent="0.85">
      <c r="A42" s="2">
        <v>1</v>
      </c>
      <c r="B42" s="18">
        <f>SUBTOTAL(103,$A$22:A42)</f>
        <v>21</v>
      </c>
      <c r="C42" s="3" t="s">
        <v>961</v>
      </c>
      <c r="D42" s="5">
        <v>2644244.0599999996</v>
      </c>
      <c r="E42" s="5">
        <f t="shared" si="0"/>
        <v>3026.9699999997392</v>
      </c>
      <c r="F42" s="5">
        <f t="shared" si="6"/>
        <v>2641217.09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241">
        <v>0</v>
      </c>
      <c r="N42" s="5">
        <v>0</v>
      </c>
      <c r="O42" s="5">
        <v>780</v>
      </c>
      <c r="P42" s="5">
        <v>2522475.65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7">
        <v>34810.160000000003</v>
      </c>
      <c r="AF42" s="48">
        <v>83931.28</v>
      </c>
      <c r="AG42" s="5">
        <v>0</v>
      </c>
      <c r="AH42" s="246">
        <v>2020</v>
      </c>
      <c r="AI42" s="246">
        <v>2020</v>
      </c>
      <c r="AJ42" s="6">
        <v>2020</v>
      </c>
      <c r="AV42" s="2" t="e">
        <f t="shared" si="7"/>
        <v>#N/A</v>
      </c>
      <c r="CB42" s="236"/>
      <c r="CF42" s="2" t="e">
        <f t="shared" si="8"/>
        <v>#N/A</v>
      </c>
      <c r="CG42" s="242" t="s">
        <v>962</v>
      </c>
      <c r="CH42" s="242">
        <v>800</v>
      </c>
    </row>
    <row r="43" spans="1:262" ht="61.5" x14ac:dyDescent="0.85">
      <c r="A43" s="2">
        <v>1</v>
      </c>
      <c r="B43" s="18">
        <f>SUBTOTAL(103,$A$22:A43)</f>
        <v>22</v>
      </c>
      <c r="C43" s="3" t="s">
        <v>963</v>
      </c>
      <c r="D43" s="5">
        <v>14212345.49</v>
      </c>
      <c r="E43" s="5">
        <f t="shared" si="0"/>
        <v>1971609.7599999998</v>
      </c>
      <c r="F43" s="5">
        <f t="shared" si="6"/>
        <v>12240735.73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440">
        <v>7</v>
      </c>
      <c r="N43" s="7">
        <v>12240735.73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246" t="s">
        <v>49</v>
      </c>
      <c r="AI43" s="246">
        <v>2020</v>
      </c>
      <c r="AJ43" s="6" t="s">
        <v>49</v>
      </c>
      <c r="AV43" s="2" t="e">
        <f t="shared" si="7"/>
        <v>#N/A</v>
      </c>
      <c r="CB43" s="236"/>
      <c r="CF43" s="2" t="e">
        <f t="shared" si="8"/>
        <v>#N/A</v>
      </c>
      <c r="CG43" s="242" t="s">
        <v>964</v>
      </c>
      <c r="CH43" s="242">
        <v>1180.0999999999999</v>
      </c>
    </row>
    <row r="44" spans="1:262" ht="61.5" x14ac:dyDescent="0.85">
      <c r="A44" s="2">
        <v>1</v>
      </c>
      <c r="B44" s="18">
        <f>SUBTOTAL(103,$A$22:A44)</f>
        <v>23</v>
      </c>
      <c r="C44" s="3" t="s">
        <v>965</v>
      </c>
      <c r="D44" s="5">
        <v>3983582.65</v>
      </c>
      <c r="E44" s="5">
        <f t="shared" si="0"/>
        <v>550422.60000000009</v>
      </c>
      <c r="F44" s="5">
        <f t="shared" si="6"/>
        <v>3433160.05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440">
        <v>2</v>
      </c>
      <c r="N44" s="7">
        <f>1657599.77+1775560.28</f>
        <v>3433160.05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246" t="s">
        <v>49</v>
      </c>
      <c r="AI44" s="246">
        <v>2020</v>
      </c>
      <c r="AJ44" s="6" t="s">
        <v>49</v>
      </c>
      <c r="AV44" s="2" t="e">
        <f t="shared" si="7"/>
        <v>#N/A</v>
      </c>
      <c r="CB44" s="236"/>
      <c r="CF44" s="2" t="e">
        <f t="shared" si="8"/>
        <v>#N/A</v>
      </c>
      <c r="CG44" s="242" t="s">
        <v>966</v>
      </c>
      <c r="CH44" s="242">
        <v>789</v>
      </c>
    </row>
    <row r="45" spans="1:262" ht="61.5" x14ac:dyDescent="0.85">
      <c r="A45" s="2">
        <v>1</v>
      </c>
      <c r="B45" s="18">
        <f>SUBTOTAL(103,$A$22:A45)</f>
        <v>24</v>
      </c>
      <c r="C45" s="3" t="s">
        <v>967</v>
      </c>
      <c r="D45" s="5">
        <v>2058639.13</v>
      </c>
      <c r="E45" s="5">
        <f t="shared" si="0"/>
        <v>285891.37999999989</v>
      </c>
      <c r="F45" s="5">
        <f t="shared" si="6"/>
        <v>1772747.75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440">
        <v>1</v>
      </c>
      <c r="N45" s="7">
        <v>1772747.75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246" t="s">
        <v>49</v>
      </c>
      <c r="AI45" s="246">
        <v>2020</v>
      </c>
      <c r="AJ45" s="6" t="s">
        <v>49</v>
      </c>
      <c r="AV45" s="2" t="e">
        <f t="shared" si="7"/>
        <v>#N/A</v>
      </c>
      <c r="CB45" s="236"/>
      <c r="CF45" s="2" t="e">
        <f t="shared" si="8"/>
        <v>#N/A</v>
      </c>
      <c r="CG45" s="242" t="s">
        <v>968</v>
      </c>
      <c r="CH45" s="242">
        <v>1147.7</v>
      </c>
    </row>
    <row r="46" spans="1:262" ht="61.5" x14ac:dyDescent="0.85">
      <c r="A46" s="2">
        <v>1</v>
      </c>
      <c r="B46" s="18">
        <f>SUBTOTAL(103,$A$22:A46)</f>
        <v>25</v>
      </c>
      <c r="C46" s="3" t="s">
        <v>969</v>
      </c>
      <c r="D46" s="5">
        <v>4117278.25</v>
      </c>
      <c r="E46" s="5">
        <f t="shared" si="0"/>
        <v>574630.79</v>
      </c>
      <c r="F46" s="5">
        <f t="shared" si="6"/>
        <v>3542647.46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440">
        <v>2</v>
      </c>
      <c r="N46" s="7">
        <f>1771323.73+1771323.73</f>
        <v>3542647.46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246" t="s">
        <v>49</v>
      </c>
      <c r="AI46" s="246">
        <v>2020</v>
      </c>
      <c r="AJ46" s="6" t="s">
        <v>49</v>
      </c>
      <c r="AV46" s="2" t="e">
        <f t="shared" si="7"/>
        <v>#N/A</v>
      </c>
      <c r="CB46" s="236"/>
      <c r="CF46" s="2" t="e">
        <f t="shared" si="8"/>
        <v>#N/A</v>
      </c>
      <c r="CG46" s="242" t="s">
        <v>970</v>
      </c>
      <c r="CH46" s="242">
        <v>218.8</v>
      </c>
    </row>
    <row r="47" spans="1:262" ht="61.5" x14ac:dyDescent="0.85">
      <c r="A47" s="2">
        <v>1</v>
      </c>
      <c r="B47" s="18">
        <f>SUBTOTAL(103,$A$22:A47)</f>
        <v>26</v>
      </c>
      <c r="C47" s="3" t="s">
        <v>921</v>
      </c>
      <c r="D47" s="5">
        <v>1143421.82</v>
      </c>
      <c r="E47" s="5">
        <f t="shared" si="0"/>
        <v>1351.8300000000745</v>
      </c>
      <c r="F47" s="5">
        <f t="shared" si="6"/>
        <v>1142069.99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241">
        <v>0</v>
      </c>
      <c r="N47" s="5">
        <v>0</v>
      </c>
      <c r="O47" s="7">
        <v>305.72000000000003</v>
      </c>
      <c r="P47" s="7">
        <v>1126523.96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7">
        <v>15546.03</v>
      </c>
      <c r="AF47" s="5">
        <v>0</v>
      </c>
      <c r="AG47" s="5">
        <v>0</v>
      </c>
      <c r="AH47" s="246" t="s">
        <v>49</v>
      </c>
      <c r="AI47" s="246">
        <v>2020</v>
      </c>
      <c r="AJ47" s="6">
        <v>2020</v>
      </c>
      <c r="AV47" s="2" t="e">
        <f t="shared" si="7"/>
        <v>#N/A</v>
      </c>
      <c r="CB47" s="236"/>
      <c r="CF47" s="2">
        <f t="shared" si="8"/>
        <v>342</v>
      </c>
      <c r="CG47" s="242" t="s">
        <v>971</v>
      </c>
      <c r="CH47" s="242">
        <v>912.27</v>
      </c>
    </row>
    <row r="48" spans="1:262" ht="61.5" x14ac:dyDescent="0.85">
      <c r="A48" s="2">
        <v>1</v>
      </c>
      <c r="B48" s="18">
        <f>SUBTOTAL(103,$A$22:A48)</f>
        <v>27</v>
      </c>
      <c r="C48" s="3" t="s">
        <v>972</v>
      </c>
      <c r="D48" s="5">
        <v>947034.45</v>
      </c>
      <c r="E48" s="5">
        <f t="shared" si="0"/>
        <v>0</v>
      </c>
      <c r="F48" s="5">
        <f t="shared" si="6"/>
        <v>947034.45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241">
        <v>0</v>
      </c>
      <c r="N48" s="5">
        <v>0</v>
      </c>
      <c r="O48" s="5">
        <v>207</v>
      </c>
      <c r="P48" s="5">
        <v>933038.87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13995.58</v>
      </c>
      <c r="AF48" s="5">
        <v>0</v>
      </c>
      <c r="AG48" s="5">
        <v>0</v>
      </c>
      <c r="AH48" s="246" t="s">
        <v>49</v>
      </c>
      <c r="AI48" s="246">
        <v>2020</v>
      </c>
      <c r="AJ48" s="6">
        <v>2020</v>
      </c>
      <c r="CB48" s="236"/>
      <c r="CF48" s="2" t="e">
        <f t="shared" si="8"/>
        <v>#N/A</v>
      </c>
      <c r="CG48" s="242" t="s">
        <v>973</v>
      </c>
      <c r="CH48" s="242">
        <v>979.44</v>
      </c>
    </row>
    <row r="49" spans="1:262" ht="61.5" x14ac:dyDescent="0.85">
      <c r="A49" s="2">
        <v>1</v>
      </c>
      <c r="B49" s="18">
        <f>SUBTOTAL(103,$A$22:A49)</f>
        <v>28</v>
      </c>
      <c r="C49" s="3" t="s">
        <v>974</v>
      </c>
      <c r="D49" s="5">
        <v>1287913.6700000002</v>
      </c>
      <c r="E49" s="5">
        <f t="shared" si="0"/>
        <v>8750.6400000001304</v>
      </c>
      <c r="F49" s="5">
        <f t="shared" si="6"/>
        <v>1279163.03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241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7">
        <v>392</v>
      </c>
      <c r="T49" s="5">
        <v>1222063.8700000001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18345.96</v>
      </c>
      <c r="AF49" s="48">
        <v>38753.199999999997</v>
      </c>
      <c r="AG49" s="5">
        <v>0</v>
      </c>
      <c r="AH49" s="246">
        <v>2020</v>
      </c>
      <c r="AI49" s="246">
        <v>2020</v>
      </c>
      <c r="AJ49" s="6">
        <v>2020</v>
      </c>
      <c r="AV49" s="2" t="e">
        <f t="shared" ref="AV49:AV64" si="9">VLOOKUP(C49,AY:AZ,2,FALSE)</f>
        <v>#N/A</v>
      </c>
      <c r="CB49" s="236"/>
      <c r="CF49" s="2" t="e">
        <f t="shared" si="8"/>
        <v>#N/A</v>
      </c>
      <c r="CG49" s="242" t="s">
        <v>975</v>
      </c>
      <c r="CH49" s="242">
        <v>730.17</v>
      </c>
    </row>
    <row r="50" spans="1:262" ht="61.5" x14ac:dyDescent="0.85">
      <c r="A50" s="2">
        <v>1</v>
      </c>
      <c r="B50" s="18">
        <f>SUBTOTAL(103,$A$22:A50)</f>
        <v>29</v>
      </c>
      <c r="C50" s="3" t="s">
        <v>976</v>
      </c>
      <c r="D50" s="5">
        <v>2046760.76</v>
      </c>
      <c r="E50" s="5">
        <f t="shared" si="0"/>
        <v>284674.34000000008</v>
      </c>
      <c r="F50" s="5">
        <f t="shared" si="6"/>
        <v>1762086.42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440">
        <v>1</v>
      </c>
      <c r="N50" s="7">
        <v>1762086.42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246" t="s">
        <v>49</v>
      </c>
      <c r="AI50" s="246">
        <v>2020</v>
      </c>
      <c r="AJ50" s="6" t="s">
        <v>49</v>
      </c>
      <c r="AV50" s="2" t="e">
        <f t="shared" si="9"/>
        <v>#N/A</v>
      </c>
      <c r="CB50" s="236"/>
      <c r="CF50" s="2" t="e">
        <f t="shared" si="8"/>
        <v>#N/A</v>
      </c>
      <c r="CG50" s="242" t="s">
        <v>977</v>
      </c>
      <c r="CH50" s="242">
        <v>874.18</v>
      </c>
    </row>
    <row r="51" spans="1:262" ht="61.5" x14ac:dyDescent="0.85">
      <c r="A51" s="2">
        <v>1</v>
      </c>
      <c r="B51" s="18">
        <f>SUBTOTAL(103,$A$22:A51)</f>
        <v>30</v>
      </c>
      <c r="C51" s="3" t="s">
        <v>978</v>
      </c>
      <c r="D51" s="5">
        <v>2502648.29</v>
      </c>
      <c r="E51" s="5">
        <f t="shared" si="0"/>
        <v>85603.699999999721</v>
      </c>
      <c r="F51" s="5">
        <f t="shared" si="6"/>
        <v>2417044.5900000003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241">
        <v>0</v>
      </c>
      <c r="N51" s="5">
        <v>0</v>
      </c>
      <c r="O51" s="7">
        <v>952</v>
      </c>
      <c r="P51" s="7">
        <v>2302037.7400000002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31768.11</v>
      </c>
      <c r="AF51" s="7">
        <v>83238.740000000005</v>
      </c>
      <c r="AG51" s="5">
        <v>0</v>
      </c>
      <c r="AH51" s="246">
        <v>2020</v>
      </c>
      <c r="AI51" s="246">
        <v>2020</v>
      </c>
      <c r="AJ51" s="6">
        <v>2020</v>
      </c>
      <c r="AV51" s="2" t="e">
        <f t="shared" si="9"/>
        <v>#N/A</v>
      </c>
      <c r="CB51" s="236"/>
      <c r="CF51" s="2">
        <f t="shared" si="8"/>
        <v>952</v>
      </c>
      <c r="CG51" s="242" t="s">
        <v>979</v>
      </c>
      <c r="CH51" s="242">
        <v>1200</v>
      </c>
    </row>
    <row r="52" spans="1:262" ht="61.5" x14ac:dyDescent="0.85">
      <c r="A52" s="2">
        <v>1</v>
      </c>
      <c r="B52" s="18">
        <f>SUBTOTAL(103,$A$22:A52)</f>
        <v>31</v>
      </c>
      <c r="C52" s="3" t="s">
        <v>980</v>
      </c>
      <c r="D52" s="5">
        <v>2398202</v>
      </c>
      <c r="E52" s="5">
        <f t="shared" si="0"/>
        <v>0</v>
      </c>
      <c r="F52" s="5">
        <f t="shared" si="6"/>
        <v>2398202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241">
        <v>0</v>
      </c>
      <c r="N52" s="5">
        <v>0</v>
      </c>
      <c r="O52" s="7">
        <v>677.7</v>
      </c>
      <c r="P52" s="48">
        <v>2398202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246" t="s">
        <v>49</v>
      </c>
      <c r="AI52" s="246">
        <v>2020</v>
      </c>
      <c r="AJ52" s="6" t="s">
        <v>49</v>
      </c>
      <c r="AV52" s="2" t="e">
        <f t="shared" si="9"/>
        <v>#N/A</v>
      </c>
      <c r="CB52" s="236"/>
      <c r="CF52" s="2">
        <f t="shared" si="8"/>
        <v>702.2</v>
      </c>
      <c r="CG52" s="242" t="s">
        <v>981</v>
      </c>
      <c r="CH52" s="242">
        <v>523.98</v>
      </c>
    </row>
    <row r="53" spans="1:262" ht="61.5" x14ac:dyDescent="0.85">
      <c r="A53" s="2">
        <v>1</v>
      </c>
      <c r="B53" s="18">
        <f>SUBTOTAL(103,$A$22:A53)</f>
        <v>32</v>
      </c>
      <c r="C53" s="3" t="s">
        <v>982</v>
      </c>
      <c r="D53" s="5">
        <v>1104719.2799999998</v>
      </c>
      <c r="E53" s="5">
        <f t="shared" si="0"/>
        <v>0</v>
      </c>
      <c r="F53" s="5">
        <f t="shared" si="6"/>
        <v>1104719.2799999998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241">
        <v>0</v>
      </c>
      <c r="N53" s="5">
        <v>0</v>
      </c>
      <c r="O53" s="5">
        <v>250.4</v>
      </c>
      <c r="P53" s="5">
        <v>1088099.8799999999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16619.400000000001</v>
      </c>
      <c r="AF53" s="5">
        <v>0</v>
      </c>
      <c r="AG53" s="5">
        <v>0</v>
      </c>
      <c r="AH53" s="246" t="s">
        <v>49</v>
      </c>
      <c r="AI53" s="246">
        <v>2020</v>
      </c>
      <c r="AJ53" s="6">
        <v>2020</v>
      </c>
      <c r="AV53" s="2" t="e">
        <f t="shared" si="9"/>
        <v>#N/A</v>
      </c>
      <c r="CB53" s="236"/>
      <c r="CF53" s="2" t="e">
        <f t="shared" si="8"/>
        <v>#N/A</v>
      </c>
      <c r="CG53" s="242" t="s">
        <v>983</v>
      </c>
      <c r="CH53" s="242">
        <v>1093</v>
      </c>
    </row>
    <row r="54" spans="1:262" ht="61.5" x14ac:dyDescent="0.85">
      <c r="A54" s="2">
        <v>1</v>
      </c>
      <c r="B54" s="18">
        <f>SUBTOTAL(103,$A$22:A54)</f>
        <v>33</v>
      </c>
      <c r="C54" s="3" t="s">
        <v>984</v>
      </c>
      <c r="D54" s="5">
        <v>2605870.27</v>
      </c>
      <c r="E54" s="5">
        <f t="shared" si="0"/>
        <v>3082.2099999999627</v>
      </c>
      <c r="F54" s="5">
        <f t="shared" si="6"/>
        <v>2602788.06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241">
        <v>0</v>
      </c>
      <c r="N54" s="5">
        <v>0</v>
      </c>
      <c r="O54" s="7">
        <v>1512.41</v>
      </c>
      <c r="P54" s="7">
        <v>2567359.87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7">
        <v>35428.19</v>
      </c>
      <c r="AF54" s="5">
        <v>0</v>
      </c>
      <c r="AG54" s="5">
        <v>0</v>
      </c>
      <c r="AH54" s="246" t="s">
        <v>49</v>
      </c>
      <c r="AI54" s="246">
        <v>2020</v>
      </c>
      <c r="AJ54" s="6">
        <v>2020</v>
      </c>
      <c r="AV54" s="2" t="e">
        <f t="shared" si="9"/>
        <v>#N/A</v>
      </c>
      <c r="CB54" s="236"/>
      <c r="CF54" s="2">
        <f t="shared" si="8"/>
        <v>1603.24</v>
      </c>
      <c r="CG54" s="242" t="s">
        <v>985</v>
      </c>
      <c r="CH54" s="242">
        <v>1004.3</v>
      </c>
    </row>
    <row r="55" spans="1:262" ht="61.5" x14ac:dyDescent="0.85">
      <c r="A55" s="2">
        <v>1</v>
      </c>
      <c r="B55" s="18">
        <f>SUBTOTAL(103,$A$22:A55)</f>
        <v>34</v>
      </c>
      <c r="C55" s="3" t="s">
        <v>924</v>
      </c>
      <c r="D55" s="5">
        <v>4726303.2699999996</v>
      </c>
      <c r="E55" s="5">
        <f t="shared" si="0"/>
        <v>488872.1799999997</v>
      </c>
      <c r="F55" s="5">
        <f t="shared" si="6"/>
        <v>4237431.09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241">
        <v>0</v>
      </c>
      <c r="N55" s="5">
        <v>0</v>
      </c>
      <c r="O55" s="7">
        <v>1812</v>
      </c>
      <c r="P55" s="7">
        <v>4179750.55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57680.54</v>
      </c>
      <c r="AF55" s="5">
        <v>0</v>
      </c>
      <c r="AG55" s="5">
        <v>0</v>
      </c>
      <c r="AH55" s="246" t="s">
        <v>49</v>
      </c>
      <c r="AI55" s="246">
        <v>2020</v>
      </c>
      <c r="AJ55" s="6">
        <v>2020</v>
      </c>
      <c r="AV55" s="2" t="e">
        <f t="shared" si="9"/>
        <v>#N/A</v>
      </c>
      <c r="CB55" s="236"/>
      <c r="CF55" s="2">
        <f t="shared" si="8"/>
        <v>2070.63</v>
      </c>
      <c r="CG55" s="242" t="s">
        <v>986</v>
      </c>
      <c r="CH55" s="242">
        <v>334.8</v>
      </c>
    </row>
    <row r="56" spans="1:262" ht="61.5" x14ac:dyDescent="0.85">
      <c r="A56" s="2">
        <v>1</v>
      </c>
      <c r="B56" s="18">
        <f>SUBTOTAL(103,$A$22:A56)</f>
        <v>35</v>
      </c>
      <c r="C56" s="3" t="s">
        <v>958</v>
      </c>
      <c r="D56" s="5">
        <v>2474623</v>
      </c>
      <c r="E56" s="5">
        <f t="shared" si="0"/>
        <v>0</v>
      </c>
      <c r="F56" s="5">
        <f t="shared" si="6"/>
        <v>2474623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241">
        <v>0</v>
      </c>
      <c r="N56" s="5">
        <v>0</v>
      </c>
      <c r="O56" s="7">
        <v>761</v>
      </c>
      <c r="P56" s="7">
        <v>2474623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246" t="s">
        <v>49</v>
      </c>
      <c r="AI56" s="246">
        <v>2020</v>
      </c>
      <c r="AJ56" s="6" t="s">
        <v>49</v>
      </c>
      <c r="AV56" s="2" t="e">
        <f t="shared" si="9"/>
        <v>#N/A</v>
      </c>
      <c r="CB56" s="236"/>
      <c r="CF56" s="2">
        <f t="shared" si="8"/>
        <v>777.1</v>
      </c>
      <c r="CG56" s="242" t="s">
        <v>987</v>
      </c>
      <c r="CH56" s="242">
        <v>1585</v>
      </c>
    </row>
    <row r="57" spans="1:262" ht="61.5" x14ac:dyDescent="0.85">
      <c r="A57" s="2">
        <v>1</v>
      </c>
      <c r="B57" s="18">
        <f>SUBTOTAL(103,$A$22:A57)</f>
        <v>36</v>
      </c>
      <c r="C57" s="3" t="s">
        <v>960</v>
      </c>
      <c r="D57" s="5">
        <v>4187098.32</v>
      </c>
      <c r="E57" s="5">
        <f t="shared" si="0"/>
        <v>0</v>
      </c>
      <c r="F57" s="5">
        <f t="shared" si="6"/>
        <v>4187098.32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241">
        <v>0</v>
      </c>
      <c r="N57" s="5">
        <v>0</v>
      </c>
      <c r="O57" s="5">
        <v>1000</v>
      </c>
      <c r="P57" s="5">
        <v>4125220.02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61878.3</v>
      </c>
      <c r="AF57" s="5">
        <v>0</v>
      </c>
      <c r="AG57" s="5">
        <v>0</v>
      </c>
      <c r="AH57" s="246" t="s">
        <v>49</v>
      </c>
      <c r="AI57" s="246">
        <v>2020</v>
      </c>
      <c r="AJ57" s="6">
        <v>2020</v>
      </c>
      <c r="AV57" s="2" t="e">
        <f t="shared" si="9"/>
        <v>#N/A</v>
      </c>
      <c r="CB57" s="236"/>
      <c r="CF57" s="2">
        <f t="shared" si="8"/>
        <v>1000</v>
      </c>
      <c r="CG57" s="242" t="s">
        <v>988</v>
      </c>
      <c r="CH57" s="242">
        <v>543.6</v>
      </c>
    </row>
    <row r="58" spans="1:262" ht="61.5" x14ac:dyDescent="0.85">
      <c r="A58" s="2">
        <v>1</v>
      </c>
      <c r="B58" s="18">
        <f>SUBTOTAL(103,$A$22:A58)</f>
        <v>37</v>
      </c>
      <c r="C58" s="3" t="s">
        <v>927</v>
      </c>
      <c r="D58" s="5">
        <v>2693319.61</v>
      </c>
      <c r="E58" s="5">
        <f t="shared" si="0"/>
        <v>356725.85999999987</v>
      </c>
      <c r="F58" s="5">
        <f t="shared" si="6"/>
        <v>2336593.75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241">
        <v>0</v>
      </c>
      <c r="N58" s="5">
        <v>0</v>
      </c>
      <c r="O58" s="7">
        <v>579</v>
      </c>
      <c r="P58" s="7">
        <v>2304787.69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31806.06</v>
      </c>
      <c r="AF58" s="5">
        <v>0</v>
      </c>
      <c r="AG58" s="5">
        <v>0</v>
      </c>
      <c r="AH58" s="246" t="s">
        <v>49</v>
      </c>
      <c r="AI58" s="246">
        <v>2020</v>
      </c>
      <c r="AJ58" s="6">
        <v>2020</v>
      </c>
      <c r="AV58" s="2" t="e">
        <f t="shared" si="9"/>
        <v>#N/A</v>
      </c>
      <c r="CB58" s="236"/>
      <c r="CF58" s="2">
        <f t="shared" si="8"/>
        <v>600</v>
      </c>
      <c r="CG58" s="242" t="s">
        <v>989</v>
      </c>
      <c r="CH58" s="242">
        <v>603.71</v>
      </c>
    </row>
    <row r="59" spans="1:262" ht="61.5" x14ac:dyDescent="0.85">
      <c r="A59" s="2">
        <v>1</v>
      </c>
      <c r="B59" s="18">
        <f>SUBTOTAL(103,$A$22:A59)</f>
        <v>38</v>
      </c>
      <c r="C59" s="3" t="s">
        <v>990</v>
      </c>
      <c r="D59" s="5">
        <v>2288122.8600000003</v>
      </c>
      <c r="E59" s="5">
        <f t="shared" si="0"/>
        <v>-182163.65999999968</v>
      </c>
      <c r="F59" s="5">
        <f t="shared" si="6"/>
        <v>2470286.52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241">
        <v>0</v>
      </c>
      <c r="N59" s="5">
        <v>0</v>
      </c>
      <c r="O59" s="7">
        <v>767</v>
      </c>
      <c r="P59" s="7">
        <v>2351994.85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48">
        <v>32457.53</v>
      </c>
      <c r="AF59" s="48">
        <v>85834.14</v>
      </c>
      <c r="AG59" s="5">
        <v>0</v>
      </c>
      <c r="AH59" s="246">
        <v>2020</v>
      </c>
      <c r="AI59" s="246">
        <v>2020</v>
      </c>
      <c r="AJ59" s="6">
        <v>2020</v>
      </c>
      <c r="AV59" s="2" t="e">
        <f t="shared" si="9"/>
        <v>#N/A</v>
      </c>
      <c r="CB59" s="236"/>
      <c r="CF59" s="2" t="e">
        <f t="shared" si="8"/>
        <v>#N/A</v>
      </c>
      <c r="CG59" s="242" t="s">
        <v>991</v>
      </c>
      <c r="CH59" s="242">
        <v>588.4</v>
      </c>
    </row>
    <row r="60" spans="1:262" ht="61.5" x14ac:dyDescent="0.85">
      <c r="A60" s="2">
        <v>1</v>
      </c>
      <c r="B60" s="18">
        <f>SUBTOTAL(103,$A$22:A60)</f>
        <v>39</v>
      </c>
      <c r="C60" s="3" t="s">
        <v>962</v>
      </c>
      <c r="D60" s="5">
        <v>3382151.3</v>
      </c>
      <c r="E60" s="5">
        <f t="shared" si="0"/>
        <v>0</v>
      </c>
      <c r="F60" s="5">
        <f t="shared" si="6"/>
        <v>3382151.3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241">
        <v>0</v>
      </c>
      <c r="N60" s="5">
        <v>0</v>
      </c>
      <c r="O60" s="5">
        <v>800</v>
      </c>
      <c r="P60" s="5">
        <v>3332168.77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49982.53</v>
      </c>
      <c r="AF60" s="5">
        <v>0</v>
      </c>
      <c r="AG60" s="5">
        <v>0</v>
      </c>
      <c r="AH60" s="246" t="s">
        <v>49</v>
      </c>
      <c r="AI60" s="246">
        <v>2020</v>
      </c>
      <c r="AJ60" s="6">
        <v>2020</v>
      </c>
      <c r="AV60" s="2" t="e">
        <f t="shared" si="9"/>
        <v>#N/A</v>
      </c>
      <c r="CB60" s="236"/>
      <c r="CF60" s="2">
        <f t="shared" si="8"/>
        <v>800</v>
      </c>
      <c r="CG60" s="242" t="s">
        <v>992</v>
      </c>
      <c r="CH60" s="242">
        <v>577</v>
      </c>
    </row>
    <row r="61" spans="1:262" s="239" customFormat="1" ht="61.5" x14ac:dyDescent="0.85">
      <c r="A61" s="239">
        <v>1</v>
      </c>
      <c r="B61" s="18">
        <f>SUBTOTAL(103,$A$22:A61)</f>
        <v>40</v>
      </c>
      <c r="C61" s="3" t="s">
        <v>993</v>
      </c>
      <c r="D61" s="5">
        <v>4414109.6800000006</v>
      </c>
      <c r="E61" s="5">
        <f t="shared" si="0"/>
        <v>0</v>
      </c>
      <c r="F61" s="5">
        <f t="shared" si="6"/>
        <v>4414109.6800000006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25">
        <v>0</v>
      </c>
      <c r="N61" s="5">
        <v>0</v>
      </c>
      <c r="O61" s="5">
        <v>1065</v>
      </c>
      <c r="P61" s="5">
        <v>4261440.63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63921.61</v>
      </c>
      <c r="AF61" s="7">
        <v>88747.44</v>
      </c>
      <c r="AG61" s="5">
        <v>0</v>
      </c>
      <c r="AH61" s="246">
        <v>2020</v>
      </c>
      <c r="AI61" s="246">
        <v>2020</v>
      </c>
      <c r="AJ61" s="246">
        <v>2020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 t="e">
        <f t="shared" si="9"/>
        <v>#N/A</v>
      </c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36"/>
      <c r="CC61" s="2"/>
      <c r="CD61" s="2"/>
      <c r="CE61" s="2"/>
      <c r="CF61" s="2" t="e">
        <f t="shared" si="8"/>
        <v>#N/A</v>
      </c>
      <c r="CG61" s="242" t="s">
        <v>994</v>
      </c>
      <c r="CH61" s="242">
        <v>633.34</v>
      </c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</row>
    <row r="62" spans="1:262" ht="61.5" x14ac:dyDescent="0.85">
      <c r="A62" s="2">
        <v>1</v>
      </c>
      <c r="B62" s="18">
        <f>SUBTOTAL(103,$A$22:A62)</f>
        <v>41</v>
      </c>
      <c r="C62" s="3" t="s">
        <v>995</v>
      </c>
      <c r="D62" s="5">
        <v>4032402</v>
      </c>
      <c r="E62" s="5">
        <f t="shared" si="0"/>
        <v>3949680.45</v>
      </c>
      <c r="F62" s="5">
        <f t="shared" si="6"/>
        <v>82721.55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241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7">
        <v>82721.55</v>
      </c>
      <c r="AG62" s="5">
        <v>0</v>
      </c>
      <c r="AH62" s="246">
        <v>2020</v>
      </c>
      <c r="AI62" s="246" t="s">
        <v>49</v>
      </c>
      <c r="AJ62" s="6" t="s">
        <v>49</v>
      </c>
      <c r="AV62" s="2" t="e">
        <f t="shared" si="9"/>
        <v>#N/A</v>
      </c>
      <c r="CB62" s="236"/>
      <c r="CF62" s="2">
        <f t="shared" si="8"/>
        <v>904</v>
      </c>
      <c r="CG62" s="242" t="s">
        <v>996</v>
      </c>
      <c r="CH62" s="242">
        <v>1674.7</v>
      </c>
    </row>
    <row r="63" spans="1:262" ht="61.5" x14ac:dyDescent="0.85">
      <c r="A63" s="2">
        <v>1</v>
      </c>
      <c r="B63" s="18">
        <f>SUBTOTAL(103,$A$22:A63)</f>
        <v>42</v>
      </c>
      <c r="C63" s="3" t="s">
        <v>964</v>
      </c>
      <c r="D63" s="5">
        <v>3491771.3</v>
      </c>
      <c r="E63" s="5">
        <f t="shared" si="0"/>
        <v>0</v>
      </c>
      <c r="F63" s="5">
        <f t="shared" si="6"/>
        <v>3491771.3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241">
        <v>0</v>
      </c>
      <c r="N63" s="5">
        <v>0</v>
      </c>
      <c r="O63" s="5">
        <v>1180.0999999999999</v>
      </c>
      <c r="P63" s="5">
        <v>3440168.77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51602.53</v>
      </c>
      <c r="AF63" s="5">
        <v>0</v>
      </c>
      <c r="AG63" s="5">
        <v>0</v>
      </c>
      <c r="AH63" s="246" t="s">
        <v>49</v>
      </c>
      <c r="AI63" s="246">
        <v>2020</v>
      </c>
      <c r="AJ63" s="6">
        <v>2020</v>
      </c>
      <c r="AV63" s="2" t="e">
        <f t="shared" si="9"/>
        <v>#N/A</v>
      </c>
      <c r="CB63" s="236"/>
      <c r="CF63" s="2">
        <f t="shared" si="8"/>
        <v>1180.0999999999999</v>
      </c>
      <c r="CG63" s="242" t="s">
        <v>997</v>
      </c>
      <c r="CH63" s="242">
        <v>1375.9</v>
      </c>
    </row>
    <row r="64" spans="1:262" ht="61.5" x14ac:dyDescent="0.85">
      <c r="A64" s="2">
        <v>1</v>
      </c>
      <c r="B64" s="18">
        <f>SUBTOTAL(103,$A$22:A64)</f>
        <v>43</v>
      </c>
      <c r="C64" s="3" t="s">
        <v>998</v>
      </c>
      <c r="D64" s="5">
        <v>2347677.0299999998</v>
      </c>
      <c r="E64" s="5">
        <f t="shared" si="0"/>
        <v>2285417.5299999998</v>
      </c>
      <c r="F64" s="5">
        <f t="shared" si="6"/>
        <v>62259.5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241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7">
        <v>62259.5</v>
      </c>
      <c r="AG64" s="5">
        <v>0</v>
      </c>
      <c r="AH64" s="246">
        <v>2020</v>
      </c>
      <c r="AI64" s="246" t="s">
        <v>49</v>
      </c>
      <c r="AJ64" s="246" t="s">
        <v>49</v>
      </c>
      <c r="AV64" s="2" t="e">
        <f t="shared" si="9"/>
        <v>#N/A</v>
      </c>
      <c r="CB64" s="236"/>
      <c r="CF64" s="2" t="e">
        <f t="shared" si="8"/>
        <v>#N/A</v>
      </c>
      <c r="CG64" s="242" t="s">
        <v>999</v>
      </c>
      <c r="CH64" s="242">
        <v>1206.22</v>
      </c>
    </row>
    <row r="65" spans="1:86" ht="61.5" x14ac:dyDescent="0.85">
      <c r="A65" s="2">
        <v>1</v>
      </c>
      <c r="B65" s="18">
        <f>SUBTOTAL(103,$A$22:A65)</f>
        <v>44</v>
      </c>
      <c r="C65" s="3" t="s">
        <v>929</v>
      </c>
      <c r="D65" s="5">
        <v>607882.55000000005</v>
      </c>
      <c r="E65" s="5">
        <f t="shared" si="0"/>
        <v>2201.5500000000466</v>
      </c>
      <c r="F65" s="5">
        <f t="shared" si="6"/>
        <v>605681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241">
        <v>0</v>
      </c>
      <c r="N65" s="5">
        <v>0</v>
      </c>
      <c r="O65" s="7">
        <v>305.76</v>
      </c>
      <c r="P65" s="7">
        <v>597436.38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7">
        <v>8244.6200000000008</v>
      </c>
      <c r="AF65" s="5">
        <v>0</v>
      </c>
      <c r="AG65" s="5">
        <v>0</v>
      </c>
      <c r="AH65" s="246" t="s">
        <v>49</v>
      </c>
      <c r="AI65" s="246">
        <v>2020</v>
      </c>
      <c r="AJ65" s="6">
        <v>2020</v>
      </c>
      <c r="CB65" s="236"/>
      <c r="CF65" s="2">
        <f t="shared" si="8"/>
        <v>334.02</v>
      </c>
      <c r="CG65" s="242" t="s">
        <v>1000</v>
      </c>
      <c r="CH65" s="242">
        <v>1137.3</v>
      </c>
    </row>
    <row r="66" spans="1:86" ht="61.5" x14ac:dyDescent="0.85">
      <c r="A66" s="2">
        <v>1</v>
      </c>
      <c r="B66" s="18">
        <f>SUBTOTAL(103,$A$22:A66)</f>
        <v>45</v>
      </c>
      <c r="C66" s="3" t="s">
        <v>966</v>
      </c>
      <c r="D66" s="5">
        <v>4183123.2600000002</v>
      </c>
      <c r="E66" s="5">
        <f t="shared" si="0"/>
        <v>690965.42000000039</v>
      </c>
      <c r="F66" s="5">
        <f t="shared" si="6"/>
        <v>3492157.84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241">
        <v>0</v>
      </c>
      <c r="N66" s="5">
        <v>0</v>
      </c>
      <c r="O66" s="7">
        <v>804</v>
      </c>
      <c r="P66" s="7">
        <v>3444622.07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47535.77</v>
      </c>
      <c r="AF66" s="5">
        <v>0</v>
      </c>
      <c r="AG66" s="5">
        <v>0</v>
      </c>
      <c r="AH66" s="246" t="s">
        <v>49</v>
      </c>
      <c r="AI66" s="246">
        <v>2020</v>
      </c>
      <c r="AJ66" s="6">
        <v>2020</v>
      </c>
      <c r="CB66" s="236"/>
      <c r="CF66" s="2">
        <f t="shared" si="8"/>
        <v>789</v>
      </c>
      <c r="CG66" s="242" t="s">
        <v>1001</v>
      </c>
      <c r="CH66" s="242">
        <v>386.2</v>
      </c>
    </row>
    <row r="67" spans="1:86" ht="61.5" x14ac:dyDescent="0.85">
      <c r="A67" s="2">
        <v>1</v>
      </c>
      <c r="B67" s="18">
        <f>SUBTOTAL(103,$A$22:A67)</f>
        <v>46</v>
      </c>
      <c r="C67" s="3" t="s">
        <v>1002</v>
      </c>
      <c r="D67" s="5">
        <v>4195168.8</v>
      </c>
      <c r="E67" s="5">
        <f t="shared" si="0"/>
        <v>0</v>
      </c>
      <c r="F67" s="5">
        <f t="shared" si="6"/>
        <v>4195168.8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440">
        <v>3</v>
      </c>
      <c r="N67" s="7">
        <v>4195168.8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246" t="s">
        <v>49</v>
      </c>
      <c r="AI67" s="246">
        <v>2020</v>
      </c>
      <c r="AJ67" s="6" t="s">
        <v>49</v>
      </c>
      <c r="CB67" s="236"/>
      <c r="CF67" s="2" t="e">
        <f t="shared" si="8"/>
        <v>#N/A</v>
      </c>
      <c r="CG67" s="242" t="s">
        <v>1003</v>
      </c>
      <c r="CH67" s="242">
        <v>540.5</v>
      </c>
    </row>
    <row r="68" spans="1:86" ht="61.5" x14ac:dyDescent="0.85">
      <c r="A68" s="2">
        <v>1</v>
      </c>
      <c r="B68" s="18">
        <f>SUBTOTAL(103,$A$22:A68)</f>
        <v>47</v>
      </c>
      <c r="C68" s="3" t="s">
        <v>1004</v>
      </c>
      <c r="D68" s="5">
        <v>12534252.41</v>
      </c>
      <c r="E68" s="5">
        <f t="shared" si="0"/>
        <v>866635.37999999896</v>
      </c>
      <c r="F68" s="5">
        <f t="shared" si="6"/>
        <v>11667617.030000001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241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7">
        <v>6500</v>
      </c>
      <c r="T68" s="7">
        <v>11496038.65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7">
        <v>171578.38</v>
      </c>
      <c r="AF68" s="5">
        <v>0</v>
      </c>
      <c r="AG68" s="5">
        <v>0</v>
      </c>
      <c r="AH68" s="246" t="s">
        <v>49</v>
      </c>
      <c r="AI68" s="246">
        <v>2020</v>
      </c>
      <c r="AJ68" s="6">
        <v>2020</v>
      </c>
      <c r="CB68" s="236"/>
      <c r="CF68" s="2" t="e">
        <f t="shared" si="8"/>
        <v>#N/A</v>
      </c>
      <c r="CG68" s="242" t="s">
        <v>1005</v>
      </c>
      <c r="CH68" s="242">
        <v>603.5</v>
      </c>
    </row>
    <row r="69" spans="1:86" ht="61.5" x14ac:dyDescent="0.85">
      <c r="A69" s="2">
        <v>1</v>
      </c>
      <c r="B69" s="18">
        <f>SUBTOTAL(103,$A$22:A69)</f>
        <v>48</v>
      </c>
      <c r="C69" s="3" t="s">
        <v>1006</v>
      </c>
      <c r="D69" s="5">
        <v>7710494.8799999999</v>
      </c>
      <c r="E69" s="5">
        <f t="shared" si="0"/>
        <v>0</v>
      </c>
      <c r="F69" s="5">
        <f t="shared" si="6"/>
        <v>7710494.8799999999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241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3852.16</v>
      </c>
      <c r="T69" s="5">
        <v>7596546.6799999997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113948.2</v>
      </c>
      <c r="AF69" s="5">
        <v>0</v>
      </c>
      <c r="AG69" s="5">
        <v>0</v>
      </c>
      <c r="AH69" s="246" t="s">
        <v>49</v>
      </c>
      <c r="AI69" s="246">
        <v>2020</v>
      </c>
      <c r="AJ69" s="6">
        <v>2020</v>
      </c>
      <c r="CB69" s="236"/>
      <c r="CF69" s="2" t="e">
        <f t="shared" si="8"/>
        <v>#N/A</v>
      </c>
      <c r="CG69" s="242" t="s">
        <v>1007</v>
      </c>
      <c r="CH69" s="242">
        <v>1650</v>
      </c>
    </row>
    <row r="70" spans="1:86" ht="61.5" x14ac:dyDescent="0.85">
      <c r="A70" s="2">
        <v>1</v>
      </c>
      <c r="B70" s="18">
        <f>SUBTOTAL(103,$A$22:A70)</f>
        <v>49</v>
      </c>
      <c r="C70" s="3" t="s">
        <v>970</v>
      </c>
      <c r="D70" s="5">
        <v>1186477.9099999999</v>
      </c>
      <c r="E70" s="5">
        <f t="shared" si="0"/>
        <v>234052.07999999984</v>
      </c>
      <c r="F70" s="5">
        <f t="shared" si="6"/>
        <v>952425.83000000007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241">
        <v>0</v>
      </c>
      <c r="N70" s="5">
        <v>0</v>
      </c>
      <c r="O70" s="7">
        <v>218.8</v>
      </c>
      <c r="P70" s="7">
        <f>119355.05+819064.86</f>
        <v>938419.91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14005.92</v>
      </c>
      <c r="AF70" s="5">
        <v>0</v>
      </c>
      <c r="AG70" s="5">
        <v>0</v>
      </c>
      <c r="AH70" s="246" t="s">
        <v>49</v>
      </c>
      <c r="AI70" s="246">
        <v>2020</v>
      </c>
      <c r="AJ70" s="6">
        <v>2020</v>
      </c>
      <c r="CB70" s="236"/>
      <c r="CF70" s="2">
        <f t="shared" si="8"/>
        <v>218.8</v>
      </c>
      <c r="CG70" s="242" t="s">
        <v>1008</v>
      </c>
      <c r="CH70" s="242">
        <v>1264.96</v>
      </c>
    </row>
    <row r="71" spans="1:86" ht="61.5" x14ac:dyDescent="0.85">
      <c r="A71" s="2">
        <v>1</v>
      </c>
      <c r="B71" s="18">
        <f>SUBTOTAL(103,$A$22:A71)</f>
        <v>50</v>
      </c>
      <c r="C71" s="3" t="s">
        <v>971</v>
      </c>
      <c r="D71" s="5">
        <v>3306287.7600000002</v>
      </c>
      <c r="E71" s="5">
        <f t="shared" si="0"/>
        <v>0</v>
      </c>
      <c r="F71" s="5">
        <f t="shared" si="6"/>
        <v>3306287.7600000002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241">
        <v>0</v>
      </c>
      <c r="N71" s="5">
        <v>0</v>
      </c>
      <c r="O71" s="7">
        <v>912.27</v>
      </c>
      <c r="P71" s="7">
        <v>3257667.08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7">
        <v>48620.68</v>
      </c>
      <c r="AF71" s="5">
        <v>0</v>
      </c>
      <c r="AG71" s="5">
        <v>0</v>
      </c>
      <c r="AH71" s="246" t="s">
        <v>49</v>
      </c>
      <c r="AI71" s="246">
        <v>2020</v>
      </c>
      <c r="AJ71" s="6">
        <v>2020</v>
      </c>
      <c r="CB71" s="236"/>
      <c r="CF71" s="2">
        <f t="shared" si="8"/>
        <v>912.27</v>
      </c>
      <c r="CG71" s="242" t="s">
        <v>1009</v>
      </c>
      <c r="CH71" s="242">
        <v>781</v>
      </c>
    </row>
    <row r="72" spans="1:86" ht="61.5" x14ac:dyDescent="0.85">
      <c r="A72" s="2">
        <v>1</v>
      </c>
      <c r="B72" s="18">
        <f>SUBTOTAL(103,$A$22:A72)</f>
        <v>51</v>
      </c>
      <c r="C72" s="3" t="s">
        <v>1010</v>
      </c>
      <c r="D72" s="5">
        <v>4193947.02</v>
      </c>
      <c r="E72" s="5">
        <f t="shared" si="0"/>
        <v>0</v>
      </c>
      <c r="F72" s="5">
        <f t="shared" si="6"/>
        <v>4193947.02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241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7">
        <v>4132272.85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7">
        <v>61674.17</v>
      </c>
      <c r="AF72" s="5">
        <v>0</v>
      </c>
      <c r="AG72" s="5">
        <v>0</v>
      </c>
      <c r="AH72" s="246" t="s">
        <v>49</v>
      </c>
      <c r="AI72" s="246">
        <v>2020</v>
      </c>
      <c r="AJ72" s="6">
        <v>2020</v>
      </c>
      <c r="CB72" s="236"/>
      <c r="CF72" s="2" t="e">
        <f t="shared" si="8"/>
        <v>#N/A</v>
      </c>
      <c r="CG72" s="242" t="s">
        <v>1011</v>
      </c>
      <c r="CH72" s="242">
        <v>1174.18</v>
      </c>
    </row>
    <row r="73" spans="1:86" ht="61.5" x14ac:dyDescent="0.85">
      <c r="A73" s="2">
        <v>1</v>
      </c>
      <c r="B73" s="18">
        <f>SUBTOTAL(103,$A$22:A73)</f>
        <v>52</v>
      </c>
      <c r="C73" s="3" t="s">
        <v>1012</v>
      </c>
      <c r="D73" s="5">
        <v>3323174.92</v>
      </c>
      <c r="E73" s="5">
        <f t="shared" si="0"/>
        <v>0</v>
      </c>
      <c r="F73" s="5">
        <f t="shared" si="6"/>
        <v>3323174.92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241">
        <v>0</v>
      </c>
      <c r="N73" s="5">
        <v>0</v>
      </c>
      <c r="O73" s="5">
        <v>945.1</v>
      </c>
      <c r="P73" s="5">
        <v>3195303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7">
        <v>47689.9</v>
      </c>
      <c r="AF73" s="7">
        <v>80182.02</v>
      </c>
      <c r="AG73" s="5">
        <v>0</v>
      </c>
      <c r="AH73" s="246">
        <v>2020</v>
      </c>
      <c r="AI73" s="246">
        <v>2020</v>
      </c>
      <c r="AJ73" s="6">
        <v>2020</v>
      </c>
      <c r="CB73" s="236"/>
      <c r="CF73" s="2" t="e">
        <f t="shared" si="8"/>
        <v>#N/A</v>
      </c>
      <c r="CG73" s="242" t="s">
        <v>1013</v>
      </c>
      <c r="CH73" s="242">
        <v>484</v>
      </c>
    </row>
    <row r="74" spans="1:86" ht="61.5" x14ac:dyDescent="0.85">
      <c r="A74" s="2">
        <v>1</v>
      </c>
      <c r="B74" s="18">
        <f>SUBTOTAL(103,$A$22:A74)</f>
        <v>53</v>
      </c>
      <c r="C74" s="3" t="s">
        <v>973</v>
      </c>
      <c r="D74" s="5">
        <v>4034658.0100000002</v>
      </c>
      <c r="E74" s="5">
        <f t="shared" si="0"/>
        <v>10297.380000000354</v>
      </c>
      <c r="F74" s="5">
        <f t="shared" si="6"/>
        <v>4024360.63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241">
        <v>0</v>
      </c>
      <c r="N74" s="5">
        <v>0</v>
      </c>
      <c r="O74" s="7">
        <v>967.44</v>
      </c>
      <c r="P74" s="7">
        <v>3965180.31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7">
        <v>59180.32</v>
      </c>
      <c r="AF74" s="5">
        <v>0</v>
      </c>
      <c r="AG74" s="5">
        <v>0</v>
      </c>
      <c r="AH74" s="246" t="s">
        <v>49</v>
      </c>
      <c r="AI74" s="246">
        <v>2020</v>
      </c>
      <c r="AJ74" s="6">
        <v>2020</v>
      </c>
      <c r="CB74" s="236"/>
      <c r="CF74" s="2">
        <f t="shared" si="8"/>
        <v>979.44</v>
      </c>
      <c r="CG74" s="242" t="s">
        <v>1014</v>
      </c>
      <c r="CH74" s="242">
        <v>1161</v>
      </c>
    </row>
    <row r="75" spans="1:86" ht="61.5" x14ac:dyDescent="0.85">
      <c r="A75" s="2">
        <v>1</v>
      </c>
      <c r="B75" s="18">
        <f>SUBTOTAL(103,$A$22:A75)</f>
        <v>54</v>
      </c>
      <c r="C75" s="3" t="s">
        <v>975</v>
      </c>
      <c r="D75" s="5">
        <v>2994194.1500000004</v>
      </c>
      <c r="E75" s="5">
        <f t="shared" si="0"/>
        <v>0</v>
      </c>
      <c r="F75" s="5">
        <f t="shared" si="6"/>
        <v>2994194.1500000004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241">
        <v>0</v>
      </c>
      <c r="N75" s="5">
        <v>0</v>
      </c>
      <c r="O75" s="7">
        <v>717</v>
      </c>
      <c r="P75" s="48">
        <v>2950162.97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48">
        <v>44031.18</v>
      </c>
      <c r="AF75" s="5">
        <v>0</v>
      </c>
      <c r="AG75" s="5">
        <v>0</v>
      </c>
      <c r="AH75" s="246" t="s">
        <v>49</v>
      </c>
      <c r="AI75" s="246">
        <v>2020</v>
      </c>
      <c r="AJ75" s="6">
        <v>2020</v>
      </c>
      <c r="CB75" s="236"/>
      <c r="CF75" s="2">
        <f t="shared" si="8"/>
        <v>730.17</v>
      </c>
      <c r="CG75" s="242" t="s">
        <v>1015</v>
      </c>
      <c r="CH75" s="242">
        <v>452.1</v>
      </c>
    </row>
    <row r="76" spans="1:86" ht="61.5" x14ac:dyDescent="0.85">
      <c r="A76" s="2">
        <v>1</v>
      </c>
      <c r="B76" s="18">
        <f>SUBTOTAL(103,$A$22:A76)</f>
        <v>55</v>
      </c>
      <c r="C76" s="3" t="s">
        <v>1016</v>
      </c>
      <c r="D76" s="5">
        <v>4839579.08</v>
      </c>
      <c r="E76" s="5">
        <f t="shared" si="0"/>
        <v>0</v>
      </c>
      <c r="F76" s="5">
        <f t="shared" si="6"/>
        <v>4839579.08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241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1085</v>
      </c>
      <c r="T76" s="5">
        <v>4768410.55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7">
        <v>71168.53</v>
      </c>
      <c r="AF76" s="5">
        <v>0</v>
      </c>
      <c r="AG76" s="5">
        <v>0</v>
      </c>
      <c r="AH76" s="246" t="s">
        <v>49</v>
      </c>
      <c r="AI76" s="246">
        <v>2020</v>
      </c>
      <c r="AJ76" s="6">
        <v>2020</v>
      </c>
      <c r="CB76" s="236"/>
      <c r="CF76" s="2" t="e">
        <f t="shared" si="8"/>
        <v>#N/A</v>
      </c>
      <c r="CG76" s="242" t="s">
        <v>1017</v>
      </c>
      <c r="CH76" s="242">
        <v>992</v>
      </c>
    </row>
    <row r="77" spans="1:86" ht="61.5" x14ac:dyDescent="0.85">
      <c r="A77" s="2">
        <v>1</v>
      </c>
      <c r="B77" s="18">
        <f>SUBTOTAL(103,$A$22:A77)</f>
        <v>56</v>
      </c>
      <c r="C77" s="3" t="s">
        <v>977</v>
      </c>
      <c r="D77" s="5">
        <v>1916160.69</v>
      </c>
      <c r="E77" s="5">
        <f t="shared" si="0"/>
        <v>44145.469999999972</v>
      </c>
      <c r="F77" s="5">
        <f t="shared" si="6"/>
        <v>1872015.22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241">
        <v>0</v>
      </c>
      <c r="N77" s="5">
        <v>0</v>
      </c>
      <c r="O77" s="7">
        <v>825</v>
      </c>
      <c r="P77" s="48">
        <v>1844486.26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48">
        <v>27528.959999999999</v>
      </c>
      <c r="AF77" s="5">
        <v>0</v>
      </c>
      <c r="AG77" s="5">
        <v>0</v>
      </c>
      <c r="AH77" s="246" t="s">
        <v>49</v>
      </c>
      <c r="AI77" s="246">
        <v>2020</v>
      </c>
      <c r="AJ77" s="6">
        <v>2020</v>
      </c>
      <c r="CB77" s="236"/>
      <c r="CF77" s="2">
        <f t="shared" si="8"/>
        <v>874.18</v>
      </c>
      <c r="CG77" s="242" t="s">
        <v>1018</v>
      </c>
      <c r="CH77" s="242">
        <v>796.1</v>
      </c>
    </row>
    <row r="78" spans="1:86" ht="61.5" x14ac:dyDescent="0.85">
      <c r="A78" s="2">
        <v>1</v>
      </c>
      <c r="B78" s="18">
        <f>SUBTOTAL(103,$A$22:A78)</f>
        <v>57</v>
      </c>
      <c r="C78" s="3" t="s">
        <v>1019</v>
      </c>
      <c r="D78" s="5">
        <v>2373016.2799999998</v>
      </c>
      <c r="E78" s="5">
        <f t="shared" si="0"/>
        <v>0</v>
      </c>
      <c r="F78" s="5">
        <f t="shared" si="6"/>
        <v>2373016.2799999998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241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7">
        <v>558.45000000000005</v>
      </c>
      <c r="T78" s="7">
        <v>2338119.84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7">
        <v>34896.44</v>
      </c>
      <c r="AF78" s="5">
        <v>0</v>
      </c>
      <c r="AG78" s="5">
        <v>0</v>
      </c>
      <c r="AH78" s="246" t="s">
        <v>49</v>
      </c>
      <c r="AI78" s="246">
        <v>2020</v>
      </c>
      <c r="AJ78" s="6">
        <v>2020</v>
      </c>
      <c r="CB78" s="236"/>
      <c r="CF78" s="2" t="e">
        <f t="shared" si="8"/>
        <v>#N/A</v>
      </c>
      <c r="CG78" s="242" t="s">
        <v>1020</v>
      </c>
      <c r="CH78" s="242">
        <v>1995.2</v>
      </c>
    </row>
    <row r="79" spans="1:86" ht="61.5" x14ac:dyDescent="0.85">
      <c r="A79" s="2">
        <v>1</v>
      </c>
      <c r="B79" s="18">
        <f>SUBTOTAL(103,$A$22:A79)</f>
        <v>58</v>
      </c>
      <c r="C79" s="3" t="s">
        <v>979</v>
      </c>
      <c r="D79" s="5">
        <v>3249268.89</v>
      </c>
      <c r="E79" s="5">
        <f t="shared" si="0"/>
        <v>0</v>
      </c>
      <c r="F79" s="5">
        <f t="shared" si="6"/>
        <v>3249268.89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241">
        <v>0</v>
      </c>
      <c r="N79" s="5">
        <v>0</v>
      </c>
      <c r="O79" s="7">
        <f>959.6+211</f>
        <v>1170.5999999999999</v>
      </c>
      <c r="P79" s="48">
        <v>3201486.7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48">
        <v>47782.19</v>
      </c>
      <c r="AF79" s="5">
        <v>0</v>
      </c>
      <c r="AG79" s="5">
        <v>0</v>
      </c>
      <c r="AH79" s="246" t="s">
        <v>49</v>
      </c>
      <c r="AI79" s="246">
        <v>2020</v>
      </c>
      <c r="AJ79" s="6">
        <v>2020</v>
      </c>
      <c r="CB79" s="236"/>
      <c r="CF79" s="2">
        <f t="shared" si="8"/>
        <v>1200</v>
      </c>
      <c r="CG79" s="242" t="s">
        <v>1021</v>
      </c>
      <c r="CH79" s="242">
        <v>855</v>
      </c>
    </row>
    <row r="80" spans="1:86" ht="61.5" x14ac:dyDescent="0.85">
      <c r="A80" s="2">
        <v>1</v>
      </c>
      <c r="B80" s="18">
        <f>SUBTOTAL(103,$A$22:A80)</f>
        <v>59</v>
      </c>
      <c r="C80" s="3" t="s">
        <v>1022</v>
      </c>
      <c r="D80" s="5">
        <v>2982453.63</v>
      </c>
      <c r="E80" s="5">
        <f t="shared" si="0"/>
        <v>420634.32999999961</v>
      </c>
      <c r="F80" s="5">
        <f t="shared" si="6"/>
        <v>2561819.3000000003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241">
        <v>0</v>
      </c>
      <c r="N80" s="5">
        <v>0</v>
      </c>
      <c r="O80" s="7">
        <v>929</v>
      </c>
      <c r="P80" s="48">
        <v>2524146.41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48">
        <v>37672.89</v>
      </c>
      <c r="AF80" s="5">
        <v>0</v>
      </c>
      <c r="AG80" s="5">
        <v>0</v>
      </c>
      <c r="AH80" s="246" t="s">
        <v>49</v>
      </c>
      <c r="AI80" s="246">
        <v>2020</v>
      </c>
      <c r="AJ80" s="6">
        <v>2020</v>
      </c>
      <c r="CB80" s="236"/>
      <c r="CF80" s="2">
        <f t="shared" si="8"/>
        <v>946</v>
      </c>
      <c r="CG80" s="242" t="s">
        <v>1023</v>
      </c>
      <c r="CH80" s="242">
        <v>1155.9000000000001</v>
      </c>
    </row>
    <row r="81" spans="1:86" ht="61.5" x14ac:dyDescent="0.85">
      <c r="A81" s="2">
        <v>1</v>
      </c>
      <c r="B81" s="18">
        <f>SUBTOTAL(103,$A$22:A81)</f>
        <v>60</v>
      </c>
      <c r="C81" s="3" t="s">
        <v>1024</v>
      </c>
      <c r="D81" s="5">
        <v>1571848.57</v>
      </c>
      <c r="E81" s="5">
        <f t="shared" si="0"/>
        <v>604338.49000000011</v>
      </c>
      <c r="F81" s="5">
        <f t="shared" si="6"/>
        <v>967510.08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241">
        <v>0</v>
      </c>
      <c r="N81" s="5">
        <v>0</v>
      </c>
      <c r="O81" s="7">
        <v>365</v>
      </c>
      <c r="P81" s="7">
        <v>953282.34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7">
        <v>14227.74</v>
      </c>
      <c r="AF81" s="5">
        <v>0</v>
      </c>
      <c r="AG81" s="5">
        <v>0</v>
      </c>
      <c r="AH81" s="246" t="s">
        <v>49</v>
      </c>
      <c r="AI81" s="246">
        <v>2020</v>
      </c>
      <c r="AJ81" s="6">
        <v>2020</v>
      </c>
      <c r="CB81" s="236"/>
      <c r="CF81" s="2">
        <f t="shared" si="8"/>
        <v>365.5</v>
      </c>
      <c r="CG81" s="242" t="s">
        <v>1025</v>
      </c>
      <c r="CH81" s="242">
        <v>1022</v>
      </c>
    </row>
    <row r="82" spans="1:86" ht="61.5" x14ac:dyDescent="0.85">
      <c r="A82" s="2">
        <v>1</v>
      </c>
      <c r="B82" s="18">
        <f>SUBTOTAL(103,$A$22:A82)</f>
        <v>61</v>
      </c>
      <c r="C82" s="3" t="s">
        <v>1026</v>
      </c>
      <c r="D82" s="5">
        <v>966096.24</v>
      </c>
      <c r="E82" s="5">
        <f t="shared" si="0"/>
        <v>71.380000000004657</v>
      </c>
      <c r="F82" s="5">
        <f t="shared" si="6"/>
        <v>966024.86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241">
        <v>0</v>
      </c>
      <c r="N82" s="5">
        <v>0</v>
      </c>
      <c r="O82" s="7">
        <v>358</v>
      </c>
      <c r="P82" s="7">
        <v>951818.96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7">
        <v>14205.9</v>
      </c>
      <c r="AF82" s="5">
        <v>0</v>
      </c>
      <c r="AG82" s="5">
        <v>0</v>
      </c>
      <c r="AH82" s="246" t="s">
        <v>49</v>
      </c>
      <c r="AI82" s="246">
        <v>2020</v>
      </c>
      <c r="AJ82" s="6">
        <v>2020</v>
      </c>
      <c r="CB82" s="236"/>
      <c r="CF82" s="2">
        <f t="shared" si="8"/>
        <v>365.5</v>
      </c>
      <c r="CG82" s="242" t="s">
        <v>1027</v>
      </c>
      <c r="CH82" s="242">
        <v>407.8</v>
      </c>
    </row>
    <row r="83" spans="1:86" ht="61.5" x14ac:dyDescent="0.85">
      <c r="A83" s="2">
        <v>1</v>
      </c>
      <c r="B83" s="18">
        <f>SUBTOTAL(103,$A$22:A83)</f>
        <v>62</v>
      </c>
      <c r="C83" s="3" t="s">
        <v>1028</v>
      </c>
      <c r="D83" s="5">
        <v>2880785.14</v>
      </c>
      <c r="E83" s="5">
        <f t="shared" ref="E83:E146" si="10">D83-F83</f>
        <v>0</v>
      </c>
      <c r="F83" s="5">
        <f t="shared" si="6"/>
        <v>2880785.14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440">
        <v>2</v>
      </c>
      <c r="N83" s="7">
        <v>2880785.14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246" t="s">
        <v>49</v>
      </c>
      <c r="AI83" s="246">
        <v>2020</v>
      </c>
      <c r="AJ83" s="6" t="s">
        <v>49</v>
      </c>
      <c r="CB83" s="236"/>
      <c r="CF83" s="2" t="e">
        <f t="shared" si="8"/>
        <v>#N/A</v>
      </c>
      <c r="CG83" s="242" t="s">
        <v>1029</v>
      </c>
      <c r="CH83" s="242">
        <v>953.5</v>
      </c>
    </row>
    <row r="84" spans="1:86" ht="61.5" x14ac:dyDescent="0.85">
      <c r="A84" s="2">
        <v>1</v>
      </c>
      <c r="B84" s="18">
        <f>SUBTOTAL(103,$A$22:A84)</f>
        <v>63</v>
      </c>
      <c r="C84" s="3" t="s">
        <v>1030</v>
      </c>
      <c r="D84" s="5">
        <v>3859190.52</v>
      </c>
      <c r="E84" s="5">
        <f t="shared" si="10"/>
        <v>0</v>
      </c>
      <c r="F84" s="5">
        <f t="shared" si="6"/>
        <v>3859190.52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440">
        <v>2</v>
      </c>
      <c r="N84" s="7">
        <v>3859190.52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246" t="s">
        <v>49</v>
      </c>
      <c r="AI84" s="246">
        <v>2020</v>
      </c>
      <c r="AJ84" s="6" t="s">
        <v>49</v>
      </c>
      <c r="CB84" s="236"/>
      <c r="CF84" s="2" t="e">
        <f t="shared" si="8"/>
        <v>#N/A</v>
      </c>
      <c r="CG84" s="242" t="s">
        <v>1031</v>
      </c>
      <c r="CH84" s="242">
        <v>738.92</v>
      </c>
    </row>
    <row r="85" spans="1:86" ht="61.5" x14ac:dyDescent="0.85">
      <c r="A85" s="2">
        <v>1</v>
      </c>
      <c r="B85" s="18">
        <f>SUBTOTAL(103,$A$22:A85)</f>
        <v>64</v>
      </c>
      <c r="C85" s="3" t="s">
        <v>1032</v>
      </c>
      <c r="D85" s="5">
        <v>227402.5</v>
      </c>
      <c r="E85" s="5">
        <f t="shared" si="10"/>
        <v>10631.829999999987</v>
      </c>
      <c r="F85" s="5">
        <f t="shared" si="6"/>
        <v>216770.67</v>
      </c>
      <c r="G85" s="48">
        <v>87007.41</v>
      </c>
      <c r="H85" s="5">
        <v>0</v>
      </c>
      <c r="I85" s="5">
        <v>0</v>
      </c>
      <c r="J85" s="48">
        <v>126575.53</v>
      </c>
      <c r="K85" s="5">
        <v>0</v>
      </c>
      <c r="L85" s="5">
        <v>0</v>
      </c>
      <c r="M85" s="241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3187.73</v>
      </c>
      <c r="AF85" s="5">
        <v>0</v>
      </c>
      <c r="AG85" s="5">
        <v>0</v>
      </c>
      <c r="AH85" s="246" t="s">
        <v>49</v>
      </c>
      <c r="AI85" s="246">
        <v>2020</v>
      </c>
      <c r="AJ85" s="6">
        <v>2020</v>
      </c>
      <c r="CB85" s="236"/>
      <c r="CF85" s="2" t="e">
        <f t="shared" si="8"/>
        <v>#N/A</v>
      </c>
      <c r="CG85" s="242" t="s">
        <v>1033</v>
      </c>
      <c r="CH85" s="242">
        <v>275.39999999999998</v>
      </c>
    </row>
    <row r="86" spans="1:86" ht="61.5" x14ac:dyDescent="0.85">
      <c r="A86" s="2">
        <v>1</v>
      </c>
      <c r="B86" s="18">
        <f>SUBTOTAL(103,$A$22:A86)</f>
        <v>65</v>
      </c>
      <c r="C86" s="3" t="s">
        <v>932</v>
      </c>
      <c r="D86" s="5">
        <v>4254119.95</v>
      </c>
      <c r="E86" s="5">
        <f t="shared" si="10"/>
        <v>489292.53000000026</v>
      </c>
      <c r="F86" s="5">
        <f t="shared" si="6"/>
        <v>3764827.42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241">
        <v>0</v>
      </c>
      <c r="N86" s="5">
        <v>0</v>
      </c>
      <c r="O86" s="7">
        <v>1174</v>
      </c>
      <c r="P86" s="7">
        <v>3713580.03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51247.39</v>
      </c>
      <c r="AF86" s="5">
        <v>0</v>
      </c>
      <c r="AG86" s="5">
        <v>0</v>
      </c>
      <c r="AH86" s="246" t="s">
        <v>49</v>
      </c>
      <c r="AI86" s="246">
        <v>2020</v>
      </c>
      <c r="AJ86" s="6">
        <v>2020</v>
      </c>
      <c r="CB86" s="236"/>
      <c r="CF86" s="2">
        <f t="shared" si="8"/>
        <v>1124.75</v>
      </c>
      <c r="CG86" s="242" t="s">
        <v>1034</v>
      </c>
      <c r="CH86" s="242">
        <v>344.5</v>
      </c>
    </row>
    <row r="87" spans="1:86" ht="61.5" x14ac:dyDescent="0.85">
      <c r="A87" s="2">
        <v>1</v>
      </c>
      <c r="B87" s="18">
        <f>SUBTOTAL(103,$A$22:A87)</f>
        <v>66</v>
      </c>
      <c r="C87" s="3" t="s">
        <v>1035</v>
      </c>
      <c r="D87" s="5">
        <v>3712372.02</v>
      </c>
      <c r="E87" s="5">
        <f t="shared" si="10"/>
        <v>0</v>
      </c>
      <c r="F87" s="5">
        <f t="shared" ref="F87:F118" si="11">G87+H87+I87+J87+K87+L87+N87+P87+R87+T87+V87+W87+X87+Y87+Z87+AA87+AB87+AC87+AD87+AE87+AF87+AG87</f>
        <v>3712372.02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241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7">
        <v>820</v>
      </c>
      <c r="T87" s="7">
        <v>3657509.38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7">
        <v>54862.64</v>
      </c>
      <c r="AF87" s="5">
        <v>0</v>
      </c>
      <c r="AG87" s="5">
        <v>0</v>
      </c>
      <c r="AH87" s="246" t="s">
        <v>49</v>
      </c>
      <c r="AI87" s="246">
        <v>2020</v>
      </c>
      <c r="AJ87" s="6">
        <v>2020</v>
      </c>
      <c r="CB87" s="236"/>
      <c r="CF87" s="2" t="e">
        <f t="shared" si="8"/>
        <v>#N/A</v>
      </c>
      <c r="CG87" s="242" t="s">
        <v>1036</v>
      </c>
      <c r="CH87" s="242">
        <v>374.3</v>
      </c>
    </row>
    <row r="88" spans="1:86" ht="61.5" x14ac:dyDescent="0.85">
      <c r="A88" s="2">
        <v>1</v>
      </c>
      <c r="B88" s="18">
        <f>SUBTOTAL(103,$A$22:A88)</f>
        <v>67</v>
      </c>
      <c r="C88" s="3" t="s">
        <v>1037</v>
      </c>
      <c r="D88" s="5">
        <v>1900391.55</v>
      </c>
      <c r="E88" s="5">
        <f t="shared" si="10"/>
        <v>0</v>
      </c>
      <c r="F88" s="5">
        <f t="shared" si="11"/>
        <v>1900391.55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241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7">
        <v>516</v>
      </c>
      <c r="T88" s="7">
        <v>1872306.95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7">
        <v>28084.6</v>
      </c>
      <c r="AF88" s="5">
        <v>0</v>
      </c>
      <c r="AG88" s="5">
        <v>0</v>
      </c>
      <c r="AH88" s="246" t="s">
        <v>49</v>
      </c>
      <c r="AI88" s="246">
        <v>2020</v>
      </c>
      <c r="AJ88" s="6">
        <v>2020</v>
      </c>
      <c r="CB88" s="236"/>
      <c r="CF88" s="2" t="e">
        <f t="shared" si="8"/>
        <v>#N/A</v>
      </c>
      <c r="CG88" s="242" t="s">
        <v>1038</v>
      </c>
      <c r="CH88" s="242">
        <v>329.1</v>
      </c>
    </row>
    <row r="89" spans="1:86" ht="61.5" x14ac:dyDescent="0.85">
      <c r="A89" s="2">
        <v>1</v>
      </c>
      <c r="B89" s="18">
        <f>SUBTOTAL(103,$A$22:A89)</f>
        <v>68</v>
      </c>
      <c r="C89" s="3" t="s">
        <v>1039</v>
      </c>
      <c r="D89" s="5">
        <v>2106147.9500000002</v>
      </c>
      <c r="E89" s="5">
        <f t="shared" si="10"/>
        <v>0</v>
      </c>
      <c r="F89" s="5">
        <f t="shared" si="11"/>
        <v>2106147.9500000002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241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7">
        <v>559</v>
      </c>
      <c r="T89" s="7">
        <v>2075022.61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7">
        <v>31125.34</v>
      </c>
      <c r="AF89" s="5">
        <v>0</v>
      </c>
      <c r="AG89" s="5">
        <v>0</v>
      </c>
      <c r="AH89" s="246" t="s">
        <v>49</v>
      </c>
      <c r="AI89" s="246">
        <v>2020</v>
      </c>
      <c r="AJ89" s="6">
        <v>2020</v>
      </c>
      <c r="CB89" s="236"/>
      <c r="CF89" s="2" t="e">
        <f t="shared" si="8"/>
        <v>#N/A</v>
      </c>
      <c r="CG89" s="242" t="s">
        <v>1040</v>
      </c>
      <c r="CH89" s="242">
        <v>611</v>
      </c>
    </row>
    <row r="90" spans="1:86" ht="61.5" x14ac:dyDescent="0.85">
      <c r="A90" s="2">
        <v>1</v>
      </c>
      <c r="B90" s="18">
        <f>SUBTOTAL(103,$A$22:A90)</f>
        <v>69</v>
      </c>
      <c r="C90" s="3" t="s">
        <v>1041</v>
      </c>
      <c r="D90" s="5">
        <v>3257277.38</v>
      </c>
      <c r="E90" s="5">
        <f t="shared" si="10"/>
        <v>443891.64000000013</v>
      </c>
      <c r="F90" s="5">
        <f t="shared" si="11"/>
        <v>2813385.7399999998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241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7">
        <v>1522.8</v>
      </c>
      <c r="T90" s="7">
        <v>2771808.61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7">
        <v>41577.129999999997</v>
      </c>
      <c r="AF90" s="5">
        <v>0</v>
      </c>
      <c r="AG90" s="5">
        <v>0</v>
      </c>
      <c r="AH90" s="246" t="s">
        <v>49</v>
      </c>
      <c r="AI90" s="246">
        <v>2020</v>
      </c>
      <c r="AJ90" s="6">
        <v>2020</v>
      </c>
      <c r="CB90" s="236"/>
      <c r="CF90" s="2" t="e">
        <f t="shared" si="8"/>
        <v>#N/A</v>
      </c>
      <c r="CG90" s="242" t="s">
        <v>1042</v>
      </c>
      <c r="CH90" s="242">
        <v>606</v>
      </c>
    </row>
    <row r="91" spans="1:86" ht="61.5" x14ac:dyDescent="0.85">
      <c r="A91" s="2">
        <v>1</v>
      </c>
      <c r="B91" s="18">
        <f>SUBTOTAL(103,$A$22:A91)</f>
        <v>70</v>
      </c>
      <c r="C91" s="3" t="s">
        <v>1043</v>
      </c>
      <c r="D91" s="5">
        <v>2278510.5799999996</v>
      </c>
      <c r="E91" s="5">
        <f t="shared" si="10"/>
        <v>0</v>
      </c>
      <c r="F91" s="5">
        <f t="shared" si="11"/>
        <v>2278510.5799999996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241">
        <v>0</v>
      </c>
      <c r="N91" s="5">
        <v>0</v>
      </c>
      <c r="O91" s="7">
        <v>556.6</v>
      </c>
      <c r="P91" s="7">
        <v>2244838.0099999998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7">
        <v>33672.57</v>
      </c>
      <c r="AF91" s="5">
        <v>0</v>
      </c>
      <c r="AG91" s="5">
        <v>0</v>
      </c>
      <c r="AH91" s="246" t="s">
        <v>49</v>
      </c>
      <c r="AI91" s="246">
        <v>2020</v>
      </c>
      <c r="AJ91" s="6">
        <v>2020</v>
      </c>
      <c r="CB91" s="236"/>
      <c r="CF91" s="2">
        <f t="shared" si="8"/>
        <v>556.6</v>
      </c>
      <c r="CG91" s="242" t="s">
        <v>1044</v>
      </c>
      <c r="CH91" s="242">
        <v>249</v>
      </c>
    </row>
    <row r="92" spans="1:86" ht="61.5" x14ac:dyDescent="0.85">
      <c r="A92" s="2">
        <v>1</v>
      </c>
      <c r="B92" s="18">
        <f>SUBTOTAL(103,$A$22:A92)</f>
        <v>71</v>
      </c>
      <c r="C92" s="3" t="s">
        <v>1045</v>
      </c>
      <c r="D92" s="5">
        <v>2391493.25</v>
      </c>
      <c r="E92" s="5">
        <f t="shared" si="10"/>
        <v>0</v>
      </c>
      <c r="F92" s="5">
        <f t="shared" si="11"/>
        <v>2391493.25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241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7">
        <v>649.6</v>
      </c>
      <c r="T92" s="7">
        <v>2356150.9900000002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7">
        <v>35342.26</v>
      </c>
      <c r="AF92" s="5">
        <v>0</v>
      </c>
      <c r="AG92" s="5">
        <v>0</v>
      </c>
      <c r="AH92" s="246" t="s">
        <v>49</v>
      </c>
      <c r="AI92" s="246">
        <v>2020</v>
      </c>
      <c r="AJ92" s="6">
        <v>2020</v>
      </c>
      <c r="CB92" s="236"/>
      <c r="CF92" s="2" t="e">
        <f t="shared" si="8"/>
        <v>#N/A</v>
      </c>
      <c r="CG92" s="242" t="s">
        <v>1046</v>
      </c>
      <c r="CH92" s="242">
        <v>309</v>
      </c>
    </row>
    <row r="93" spans="1:86" ht="61.5" x14ac:dyDescent="0.85">
      <c r="A93" s="2">
        <v>1</v>
      </c>
      <c r="B93" s="18">
        <f>SUBTOTAL(103,$A$22:A93)</f>
        <v>72</v>
      </c>
      <c r="C93" s="3" t="s">
        <v>1047</v>
      </c>
      <c r="D93" s="5">
        <v>5161607.8099999996</v>
      </c>
      <c r="E93" s="5">
        <f t="shared" si="10"/>
        <v>0</v>
      </c>
      <c r="F93" s="5">
        <f t="shared" si="11"/>
        <v>5161607.8099999996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241">
        <v>0</v>
      </c>
      <c r="N93" s="5">
        <v>0</v>
      </c>
      <c r="O93" s="5">
        <v>1200</v>
      </c>
      <c r="P93" s="5">
        <v>5085703.68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75904.13</v>
      </c>
      <c r="AF93" s="5">
        <v>0</v>
      </c>
      <c r="AG93" s="5">
        <v>0</v>
      </c>
      <c r="AH93" s="246" t="s">
        <v>49</v>
      </c>
      <c r="AI93" s="246">
        <v>2020</v>
      </c>
      <c r="AJ93" s="6">
        <v>2020</v>
      </c>
      <c r="CB93" s="236"/>
      <c r="CF93" s="2" t="e">
        <f t="shared" si="8"/>
        <v>#N/A</v>
      </c>
      <c r="CG93" s="242" t="s">
        <v>1048</v>
      </c>
      <c r="CH93" s="242">
        <v>762.8</v>
      </c>
    </row>
    <row r="94" spans="1:86" ht="61.5" x14ac:dyDescent="0.85">
      <c r="A94" s="2">
        <v>1</v>
      </c>
      <c r="B94" s="18">
        <f>SUBTOTAL(103,$A$22:A94)</f>
        <v>73</v>
      </c>
      <c r="C94" s="3" t="s">
        <v>1049</v>
      </c>
      <c r="D94" s="5">
        <v>1938049.3</v>
      </c>
      <c r="E94" s="5">
        <f t="shared" si="10"/>
        <v>0</v>
      </c>
      <c r="F94" s="5">
        <f t="shared" si="11"/>
        <v>1938049.3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241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7">
        <v>680</v>
      </c>
      <c r="T94" s="5">
        <v>1909408.18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28641.119999999999</v>
      </c>
      <c r="AF94" s="5">
        <v>0</v>
      </c>
      <c r="AG94" s="5">
        <v>0</v>
      </c>
      <c r="AH94" s="246" t="s">
        <v>49</v>
      </c>
      <c r="AI94" s="246">
        <v>2020</v>
      </c>
      <c r="AJ94" s="6">
        <v>2020</v>
      </c>
      <c r="CB94" s="236"/>
      <c r="CF94" s="2" t="e">
        <f t="shared" si="8"/>
        <v>#N/A</v>
      </c>
      <c r="CG94" s="242" t="s">
        <v>1050</v>
      </c>
      <c r="CH94" s="242">
        <v>1256.9000000000001</v>
      </c>
    </row>
    <row r="95" spans="1:86" ht="61.5" x14ac:dyDescent="0.85">
      <c r="A95" s="2">
        <v>1</v>
      </c>
      <c r="B95" s="18">
        <f>SUBTOTAL(103,$A$22:A95)</f>
        <v>74</v>
      </c>
      <c r="C95" s="3" t="s">
        <v>1051</v>
      </c>
      <c r="D95" s="5">
        <v>1663097.88</v>
      </c>
      <c r="E95" s="5">
        <f t="shared" si="10"/>
        <v>0</v>
      </c>
      <c r="F95" s="5">
        <f t="shared" si="11"/>
        <v>1663097.88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241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432</v>
      </c>
      <c r="T95" s="5">
        <v>1590465.92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23856.99</v>
      </c>
      <c r="AF95" s="7">
        <v>48774.97</v>
      </c>
      <c r="AG95" s="5">
        <v>0</v>
      </c>
      <c r="AH95" s="246">
        <v>2020</v>
      </c>
      <c r="AI95" s="246">
        <v>2020</v>
      </c>
      <c r="AJ95" s="6">
        <v>2020</v>
      </c>
      <c r="CB95" s="236"/>
      <c r="CF95" s="2" t="e">
        <f t="shared" si="8"/>
        <v>#N/A</v>
      </c>
      <c r="CG95" s="242" t="s">
        <v>1052</v>
      </c>
      <c r="CH95" s="242">
        <v>1150.3</v>
      </c>
    </row>
    <row r="96" spans="1:86" ht="61.5" x14ac:dyDescent="0.85">
      <c r="A96" s="2">
        <v>1</v>
      </c>
      <c r="B96" s="18">
        <f>SUBTOTAL(103,$A$22:A96)</f>
        <v>75</v>
      </c>
      <c r="C96" s="3" t="s">
        <v>1053</v>
      </c>
      <c r="D96" s="5">
        <v>1677475.96</v>
      </c>
      <c r="E96" s="5">
        <f t="shared" si="10"/>
        <v>0</v>
      </c>
      <c r="F96" s="5">
        <f t="shared" si="11"/>
        <v>1677475.96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241">
        <v>0</v>
      </c>
      <c r="N96" s="5">
        <v>0</v>
      </c>
      <c r="O96" s="441">
        <v>466.12</v>
      </c>
      <c r="P96" s="441">
        <v>1677475.96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246" t="s">
        <v>49</v>
      </c>
      <c r="AI96" s="246">
        <v>2020</v>
      </c>
      <c r="AJ96" s="6" t="s">
        <v>49</v>
      </c>
      <c r="CB96" s="236"/>
      <c r="CF96" s="2">
        <f t="shared" si="8"/>
        <v>466.12</v>
      </c>
      <c r="CG96" s="242" t="s">
        <v>1054</v>
      </c>
      <c r="CH96" s="242">
        <v>763.8</v>
      </c>
    </row>
    <row r="97" spans="1:262" ht="61.5" x14ac:dyDescent="0.85">
      <c r="A97" s="2">
        <v>1</v>
      </c>
      <c r="B97" s="18">
        <f>SUBTOTAL(103,$A$22:A97)</f>
        <v>76</v>
      </c>
      <c r="C97" s="3" t="s">
        <v>1055</v>
      </c>
      <c r="D97" s="5">
        <v>3647517.81</v>
      </c>
      <c r="E97" s="5">
        <f t="shared" si="10"/>
        <v>0</v>
      </c>
      <c r="F97" s="5">
        <f t="shared" si="11"/>
        <v>3647517.81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241">
        <v>0</v>
      </c>
      <c r="N97" s="5">
        <v>0</v>
      </c>
      <c r="O97" s="441">
        <v>859</v>
      </c>
      <c r="P97" s="441">
        <v>3593879.16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7">
        <v>53638.65</v>
      </c>
      <c r="AF97" s="5">
        <v>0</v>
      </c>
      <c r="AG97" s="5">
        <v>0</v>
      </c>
      <c r="AH97" s="246" t="s">
        <v>49</v>
      </c>
      <c r="AI97" s="246">
        <v>2020</v>
      </c>
      <c r="AJ97" s="6">
        <v>2020</v>
      </c>
      <c r="CB97" s="236"/>
      <c r="CF97" s="2">
        <f t="shared" si="8"/>
        <v>859</v>
      </c>
      <c r="CG97" s="242" t="s">
        <v>1056</v>
      </c>
      <c r="CH97" s="242">
        <v>461.1</v>
      </c>
    </row>
    <row r="98" spans="1:262" ht="61.5" x14ac:dyDescent="0.85">
      <c r="A98" s="2">
        <v>1</v>
      </c>
      <c r="B98" s="18">
        <f>SUBTOTAL(103,$A$22:A98)</f>
        <v>77</v>
      </c>
      <c r="C98" s="3" t="s">
        <v>985</v>
      </c>
      <c r="D98" s="5">
        <v>5096776.0799999991</v>
      </c>
      <c r="E98" s="5">
        <f t="shared" si="10"/>
        <v>0</v>
      </c>
      <c r="F98" s="5">
        <f t="shared" si="11"/>
        <v>5096776.0799999991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241">
        <v>0</v>
      </c>
      <c r="N98" s="5">
        <v>0</v>
      </c>
      <c r="O98" s="441">
        <v>1004.3</v>
      </c>
      <c r="P98" s="441">
        <v>5021454.2699999996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7">
        <v>75321.81</v>
      </c>
      <c r="AF98" s="5">
        <v>0</v>
      </c>
      <c r="AG98" s="5">
        <v>0</v>
      </c>
      <c r="AH98" s="246" t="s">
        <v>49</v>
      </c>
      <c r="AI98" s="246">
        <v>2020</v>
      </c>
      <c r="AJ98" s="6">
        <v>2020</v>
      </c>
      <c r="CB98" s="236"/>
      <c r="CF98" s="2">
        <f t="shared" si="8"/>
        <v>1004.3</v>
      </c>
      <c r="CG98" s="242" t="s">
        <v>1057</v>
      </c>
      <c r="CH98" s="242">
        <v>1528.9</v>
      </c>
    </row>
    <row r="99" spans="1:262" ht="61.5" x14ac:dyDescent="0.85">
      <c r="A99" s="2">
        <v>1</v>
      </c>
      <c r="B99" s="18">
        <f>SUBTOTAL(103,$A$22:A99)</f>
        <v>78</v>
      </c>
      <c r="C99" s="3" t="s">
        <v>1058</v>
      </c>
      <c r="D99" s="5">
        <v>3789473.9</v>
      </c>
      <c r="E99" s="5">
        <f t="shared" si="10"/>
        <v>0</v>
      </c>
      <c r="F99" s="5">
        <f t="shared" si="11"/>
        <v>3789473.9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241">
        <v>0</v>
      </c>
      <c r="N99" s="5">
        <v>0</v>
      </c>
      <c r="O99" s="441">
        <v>1028.5</v>
      </c>
      <c r="P99" s="441">
        <v>3733471.82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441">
        <v>56002.080000000002</v>
      </c>
      <c r="AF99" s="5">
        <v>0</v>
      </c>
      <c r="AG99" s="5">
        <v>0</v>
      </c>
      <c r="AH99" s="246" t="s">
        <v>49</v>
      </c>
      <c r="AI99" s="246">
        <v>2020</v>
      </c>
      <c r="AJ99" s="6">
        <v>2020</v>
      </c>
      <c r="CB99" s="236"/>
      <c r="CF99" s="2">
        <f t="shared" si="8"/>
        <v>1028.5</v>
      </c>
      <c r="CG99" s="242" t="s">
        <v>1059</v>
      </c>
      <c r="CH99" s="242">
        <v>541.1</v>
      </c>
    </row>
    <row r="100" spans="1:262" ht="61.5" x14ac:dyDescent="0.85">
      <c r="A100" s="2">
        <v>1</v>
      </c>
      <c r="B100" s="18">
        <f>SUBTOTAL(103,$A$22:A100)</f>
        <v>79</v>
      </c>
      <c r="C100" s="3" t="s">
        <v>986</v>
      </c>
      <c r="D100" s="5">
        <v>597387.81000000006</v>
      </c>
      <c r="E100" s="5">
        <f t="shared" si="10"/>
        <v>0</v>
      </c>
      <c r="F100" s="5">
        <f t="shared" si="11"/>
        <v>597387.81000000006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241">
        <v>0</v>
      </c>
      <c r="N100" s="5">
        <v>0</v>
      </c>
      <c r="O100" s="441">
        <v>334.8</v>
      </c>
      <c r="P100" s="441">
        <v>588602.91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7">
        <v>8784.9</v>
      </c>
      <c r="AF100" s="5">
        <v>0</v>
      </c>
      <c r="AG100" s="5">
        <v>0</v>
      </c>
      <c r="AH100" s="246" t="s">
        <v>49</v>
      </c>
      <c r="AI100" s="246">
        <v>2020</v>
      </c>
      <c r="AJ100" s="6">
        <v>2020</v>
      </c>
      <c r="CB100" s="236"/>
      <c r="CF100" s="2">
        <f t="shared" si="8"/>
        <v>334.8</v>
      </c>
      <c r="CG100" s="242" t="s">
        <v>1060</v>
      </c>
      <c r="CH100" s="242">
        <v>678.3</v>
      </c>
    </row>
    <row r="101" spans="1:262" ht="61.5" x14ac:dyDescent="0.85">
      <c r="A101" s="2">
        <v>1</v>
      </c>
      <c r="B101" s="18">
        <f>SUBTOTAL(103,$A$22:A101)</f>
        <v>80</v>
      </c>
      <c r="C101" s="3" t="s">
        <v>987</v>
      </c>
      <c r="D101" s="5">
        <v>5103753.3499999996</v>
      </c>
      <c r="E101" s="5">
        <f t="shared" si="10"/>
        <v>634887.13999999966</v>
      </c>
      <c r="F101" s="5">
        <f t="shared" si="11"/>
        <v>4468866.21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241">
        <v>0</v>
      </c>
      <c r="N101" s="5">
        <v>0</v>
      </c>
      <c r="O101" s="7">
        <v>1545</v>
      </c>
      <c r="P101" s="7">
        <v>4403149.21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7">
        <v>65717</v>
      </c>
      <c r="AF101" s="5">
        <v>0</v>
      </c>
      <c r="AG101" s="5">
        <v>0</v>
      </c>
      <c r="AH101" s="246" t="s">
        <v>49</v>
      </c>
      <c r="AI101" s="246">
        <v>2020</v>
      </c>
      <c r="AJ101" s="6">
        <v>2020</v>
      </c>
      <c r="CB101" s="236"/>
      <c r="CF101" s="2">
        <f t="shared" si="8"/>
        <v>1585</v>
      </c>
      <c r="CG101" s="242" t="s">
        <v>1061</v>
      </c>
      <c r="CH101" s="242">
        <v>975.2</v>
      </c>
    </row>
    <row r="102" spans="1:262" ht="61.5" x14ac:dyDescent="0.85">
      <c r="A102" s="2">
        <v>1</v>
      </c>
      <c r="B102" s="18">
        <f>SUBTOTAL(103,$A$22:A102)</f>
        <v>81</v>
      </c>
      <c r="C102" s="3" t="s">
        <v>1062</v>
      </c>
      <c r="D102" s="5">
        <v>6439254.3500000006</v>
      </c>
      <c r="E102" s="5">
        <f t="shared" si="10"/>
        <v>108748.70999999996</v>
      </c>
      <c r="F102" s="5">
        <f t="shared" si="11"/>
        <v>6330505.6400000006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241">
        <v>0</v>
      </c>
      <c r="N102" s="5">
        <v>0</v>
      </c>
      <c r="O102" s="441">
        <v>1663.4</v>
      </c>
      <c r="P102" s="441">
        <v>6142341.9000000004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441">
        <v>91674.45</v>
      </c>
      <c r="AF102" s="7">
        <v>96489.29</v>
      </c>
      <c r="AG102" s="5">
        <v>0</v>
      </c>
      <c r="AH102" s="246">
        <v>2020</v>
      </c>
      <c r="AI102" s="246">
        <v>2020</v>
      </c>
      <c r="AJ102" s="6">
        <v>2020</v>
      </c>
      <c r="CB102" s="236"/>
      <c r="CF102" s="2" t="e">
        <f t="shared" si="8"/>
        <v>#N/A</v>
      </c>
      <c r="CG102" s="242" t="s">
        <v>1063</v>
      </c>
      <c r="CH102" s="242">
        <v>600</v>
      </c>
    </row>
    <row r="103" spans="1:262" ht="61.5" x14ac:dyDescent="0.85">
      <c r="A103" s="2">
        <v>1</v>
      </c>
      <c r="B103" s="18">
        <f>SUBTOTAL(103,$A$22:A103)</f>
        <v>82</v>
      </c>
      <c r="C103" s="3" t="s">
        <v>988</v>
      </c>
      <c r="D103" s="5">
        <v>1913423.73</v>
      </c>
      <c r="E103" s="5">
        <f t="shared" si="10"/>
        <v>0</v>
      </c>
      <c r="F103" s="5">
        <f t="shared" si="11"/>
        <v>1913423.73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241">
        <v>0</v>
      </c>
      <c r="N103" s="5">
        <v>0</v>
      </c>
      <c r="O103" s="441">
        <v>508</v>
      </c>
      <c r="P103" s="441">
        <v>1913423.73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246" t="s">
        <v>49</v>
      </c>
      <c r="AI103" s="246">
        <v>2020</v>
      </c>
      <c r="AJ103" s="6" t="s">
        <v>49</v>
      </c>
      <c r="CB103" s="236"/>
      <c r="CF103" s="2">
        <f t="shared" si="8"/>
        <v>543.6</v>
      </c>
      <c r="CG103" s="242" t="s">
        <v>1064</v>
      </c>
      <c r="CH103" s="242">
        <v>596.4</v>
      </c>
    </row>
    <row r="104" spans="1:262" s="239" customFormat="1" ht="61.5" x14ac:dyDescent="0.85">
      <c r="A104" s="239">
        <v>1</v>
      </c>
      <c r="B104" s="18">
        <f>SUBTOTAL(103,$A$22:A104)</f>
        <v>83</v>
      </c>
      <c r="C104" s="3" t="s">
        <v>1065</v>
      </c>
      <c r="D104" s="5">
        <v>2139777.0500000003</v>
      </c>
      <c r="E104" s="5">
        <f t="shared" si="10"/>
        <v>8798.1499999999069</v>
      </c>
      <c r="F104" s="5">
        <f t="shared" si="11"/>
        <v>2130978.9000000004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25">
        <v>0</v>
      </c>
      <c r="N104" s="5">
        <v>0</v>
      </c>
      <c r="O104" s="5">
        <v>356</v>
      </c>
      <c r="P104" s="5">
        <v>2033939.08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30509.09</v>
      </c>
      <c r="AF104" s="7">
        <v>66530.73</v>
      </c>
      <c r="AG104" s="5">
        <v>0</v>
      </c>
      <c r="AH104" s="246">
        <v>2020</v>
      </c>
      <c r="AI104" s="246">
        <v>2020</v>
      </c>
      <c r="AJ104" s="246">
        <v>2020</v>
      </c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36"/>
      <c r="CC104" s="2"/>
      <c r="CD104" s="2"/>
      <c r="CE104" s="2"/>
      <c r="CF104" s="2" t="e">
        <f t="shared" si="8"/>
        <v>#N/A</v>
      </c>
      <c r="CG104" s="242" t="s">
        <v>1066</v>
      </c>
      <c r="CH104" s="242">
        <v>936.1</v>
      </c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</row>
    <row r="105" spans="1:262" ht="61.5" x14ac:dyDescent="0.85">
      <c r="A105" s="2">
        <v>1</v>
      </c>
      <c r="B105" s="18">
        <f>SUBTOTAL(103,$A$22:A105)</f>
        <v>84</v>
      </c>
      <c r="C105" s="3" t="s">
        <v>1067</v>
      </c>
      <c r="D105" s="5">
        <v>4640895.0699999994</v>
      </c>
      <c r="E105" s="5">
        <f t="shared" si="10"/>
        <v>4554152.0999999996</v>
      </c>
      <c r="F105" s="5">
        <f t="shared" si="11"/>
        <v>86742.97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241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7">
        <v>86742.97</v>
      </c>
      <c r="AG105" s="5">
        <v>0</v>
      </c>
      <c r="AH105" s="246">
        <v>2020</v>
      </c>
      <c r="AI105" s="6" t="s">
        <v>49</v>
      </c>
      <c r="AJ105" s="6" t="s">
        <v>49</v>
      </c>
      <c r="CB105" s="236"/>
      <c r="CF105" s="2" t="e">
        <f t="shared" ref="CF105:CF168" si="12">VLOOKUP(C105,CG:CH,2,FALSE)</f>
        <v>#N/A</v>
      </c>
      <c r="CG105" s="242" t="s">
        <v>1068</v>
      </c>
      <c r="CH105" s="242">
        <v>901.42</v>
      </c>
    </row>
    <row r="106" spans="1:262" ht="61.5" x14ac:dyDescent="0.85">
      <c r="A106" s="2">
        <v>1</v>
      </c>
      <c r="B106" s="18">
        <f>SUBTOTAL(103,$A$22:A106)</f>
        <v>85</v>
      </c>
      <c r="C106" s="3" t="s">
        <v>1069</v>
      </c>
      <c r="D106" s="5">
        <v>3080924.7199999997</v>
      </c>
      <c r="E106" s="5">
        <f t="shared" si="10"/>
        <v>3010334.7899999996</v>
      </c>
      <c r="F106" s="5">
        <f t="shared" si="11"/>
        <v>70589.929999999993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241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7">
        <v>70589.929999999993</v>
      </c>
      <c r="AG106" s="5">
        <v>0</v>
      </c>
      <c r="AH106" s="246">
        <v>2020</v>
      </c>
      <c r="AI106" s="6" t="s">
        <v>49</v>
      </c>
      <c r="AJ106" s="6" t="s">
        <v>49</v>
      </c>
      <c r="CB106" s="236"/>
      <c r="CF106" s="2" t="e">
        <f t="shared" si="12"/>
        <v>#N/A</v>
      </c>
      <c r="CG106" s="242" t="s">
        <v>1070</v>
      </c>
      <c r="CH106" s="242">
        <v>566</v>
      </c>
    </row>
    <row r="107" spans="1:262" ht="61.5" x14ac:dyDescent="0.85">
      <c r="A107" s="2">
        <v>1</v>
      </c>
      <c r="B107" s="18">
        <f>SUBTOTAL(103,$A$22:A107)</f>
        <v>86</v>
      </c>
      <c r="C107" s="3" t="s">
        <v>1071</v>
      </c>
      <c r="D107" s="5">
        <v>3171091.7600000002</v>
      </c>
      <c r="E107" s="5">
        <f t="shared" si="10"/>
        <v>1108201.8200000003</v>
      </c>
      <c r="F107" s="5">
        <f t="shared" si="11"/>
        <v>2062889.94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241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7">
        <v>780</v>
      </c>
      <c r="T107" s="7">
        <v>1965144.06</v>
      </c>
      <c r="U107" s="5"/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27118.98</v>
      </c>
      <c r="AF107" s="48">
        <v>70626.899999999994</v>
      </c>
      <c r="AG107" s="5">
        <v>0</v>
      </c>
      <c r="AH107" s="246">
        <v>2020</v>
      </c>
      <c r="AI107" s="246">
        <v>2020</v>
      </c>
      <c r="AJ107" s="6">
        <v>2020</v>
      </c>
      <c r="CB107" s="236"/>
      <c r="CF107" s="2" t="e">
        <f t="shared" si="12"/>
        <v>#N/A</v>
      </c>
      <c r="CG107" s="242" t="s">
        <v>1072</v>
      </c>
      <c r="CH107" s="242">
        <v>562</v>
      </c>
    </row>
    <row r="108" spans="1:262" ht="61.5" x14ac:dyDescent="0.85">
      <c r="A108" s="2">
        <v>1</v>
      </c>
      <c r="B108" s="18">
        <f>SUBTOTAL(103,$A$22:A108)</f>
        <v>87</v>
      </c>
      <c r="C108" s="3" t="s">
        <v>1073</v>
      </c>
      <c r="D108" s="5">
        <v>1538390.57</v>
      </c>
      <c r="E108" s="5">
        <f t="shared" si="10"/>
        <v>0</v>
      </c>
      <c r="F108" s="5">
        <f t="shared" si="11"/>
        <v>1538390.57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241">
        <v>0</v>
      </c>
      <c r="N108" s="5">
        <v>0</v>
      </c>
      <c r="O108" s="7">
        <v>387</v>
      </c>
      <c r="P108" s="5">
        <v>1515655.73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22734.84</v>
      </c>
      <c r="AF108" s="5">
        <v>0</v>
      </c>
      <c r="AG108" s="5">
        <v>0</v>
      </c>
      <c r="AH108" s="246" t="s">
        <v>49</v>
      </c>
      <c r="AI108" s="246">
        <v>2020</v>
      </c>
      <c r="AJ108" s="6">
        <v>2020</v>
      </c>
      <c r="CB108" s="236"/>
      <c r="CF108" s="2" t="e">
        <f t="shared" si="12"/>
        <v>#N/A</v>
      </c>
      <c r="CG108" s="242" t="s">
        <v>1074</v>
      </c>
      <c r="CH108" s="242">
        <v>454</v>
      </c>
    </row>
    <row r="109" spans="1:262" ht="61.5" x14ac:dyDescent="0.85">
      <c r="A109" s="2">
        <v>1</v>
      </c>
      <c r="B109" s="18">
        <f>SUBTOTAL(103,$A$22:A109)</f>
        <v>88</v>
      </c>
      <c r="C109" s="3" t="s">
        <v>1075</v>
      </c>
      <c r="D109" s="5">
        <v>2359648.1800000002</v>
      </c>
      <c r="E109" s="5">
        <f t="shared" si="10"/>
        <v>0</v>
      </c>
      <c r="F109" s="5">
        <f t="shared" si="11"/>
        <v>2359648.1800000002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241">
        <v>1</v>
      </c>
      <c r="N109" s="36">
        <v>2251070.23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36">
        <v>108577.95</v>
      </c>
      <c r="AG109" s="5">
        <v>0</v>
      </c>
      <c r="AH109" s="246">
        <v>2020</v>
      </c>
      <c r="AI109" s="246">
        <v>2020</v>
      </c>
      <c r="AJ109" s="6" t="s">
        <v>49</v>
      </c>
      <c r="CB109" s="236"/>
      <c r="CF109" s="2" t="e">
        <f t="shared" si="12"/>
        <v>#N/A</v>
      </c>
      <c r="CG109" s="242" t="s">
        <v>1076</v>
      </c>
      <c r="CH109" s="242">
        <v>595</v>
      </c>
    </row>
    <row r="110" spans="1:262" ht="61.5" x14ac:dyDescent="0.85">
      <c r="A110" s="2">
        <v>1</v>
      </c>
      <c r="B110" s="18">
        <f>SUBTOTAL(103,$A$22:A110)</f>
        <v>89</v>
      </c>
      <c r="C110" s="3" t="s">
        <v>1077</v>
      </c>
      <c r="D110" s="5">
        <v>3669425.82</v>
      </c>
      <c r="E110" s="5">
        <f t="shared" si="10"/>
        <v>384519.2799999998</v>
      </c>
      <c r="F110" s="5">
        <f t="shared" si="11"/>
        <v>3284906.54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241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7">
        <v>1778.5</v>
      </c>
      <c r="T110" s="7">
        <f>2245405.85+985539.87</f>
        <v>3230945.72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53960.82</v>
      </c>
      <c r="AF110" s="5">
        <v>0</v>
      </c>
      <c r="AG110" s="5">
        <v>0</v>
      </c>
      <c r="AH110" s="246" t="s">
        <v>49</v>
      </c>
      <c r="AI110" s="246">
        <v>2020</v>
      </c>
      <c r="AJ110" s="6">
        <v>2020</v>
      </c>
      <c r="CB110" s="236"/>
      <c r="CF110" s="2" t="e">
        <f t="shared" si="12"/>
        <v>#N/A</v>
      </c>
    </row>
    <row r="111" spans="1:262" ht="61.5" x14ac:dyDescent="0.85">
      <c r="A111" s="2">
        <v>1</v>
      </c>
      <c r="B111" s="18">
        <f>SUBTOTAL(103,$A$22:A111)</f>
        <v>90</v>
      </c>
      <c r="C111" s="3" t="s">
        <v>1078</v>
      </c>
      <c r="D111" s="5">
        <v>1843496.65</v>
      </c>
      <c r="E111" s="5">
        <f t="shared" si="10"/>
        <v>0</v>
      </c>
      <c r="F111" s="5">
        <f t="shared" si="11"/>
        <v>1843496.65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241">
        <v>1</v>
      </c>
      <c r="N111" s="5">
        <v>1772595.98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70900.67</v>
      </c>
      <c r="AG111" s="5">
        <v>0</v>
      </c>
      <c r="AH111" s="246">
        <v>2020</v>
      </c>
      <c r="AI111" s="246">
        <v>2020</v>
      </c>
      <c r="AJ111" s="6" t="s">
        <v>49</v>
      </c>
      <c r="AV111" s="2" t="e">
        <f>VLOOKUP(C111,AY:AZ,2,FALSE)</f>
        <v>#N/A</v>
      </c>
      <c r="CB111" s="236"/>
      <c r="CF111" s="2" t="e">
        <f t="shared" si="12"/>
        <v>#N/A</v>
      </c>
    </row>
    <row r="112" spans="1:262" ht="61.5" x14ac:dyDescent="0.85">
      <c r="A112" s="2">
        <v>1</v>
      </c>
      <c r="B112" s="18">
        <f>SUBTOTAL(103,$A$22:A112)</f>
        <v>91</v>
      </c>
      <c r="C112" s="3" t="s">
        <v>1079</v>
      </c>
      <c r="D112" s="5">
        <v>1838816.0899999999</v>
      </c>
      <c r="E112" s="5">
        <f t="shared" si="10"/>
        <v>0</v>
      </c>
      <c r="F112" s="5">
        <f t="shared" si="11"/>
        <v>1838816.0899999999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241">
        <v>1</v>
      </c>
      <c r="N112" s="5">
        <v>1767995.18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70820.91</v>
      </c>
      <c r="AG112" s="5">
        <v>0</v>
      </c>
      <c r="AH112" s="246">
        <v>2020</v>
      </c>
      <c r="AI112" s="246">
        <v>2020</v>
      </c>
      <c r="AJ112" s="6" t="s">
        <v>49</v>
      </c>
      <c r="AV112" s="2" t="e">
        <f>VLOOKUP(C112,AY:AZ,2,FALSE)</f>
        <v>#N/A</v>
      </c>
      <c r="CB112" s="236"/>
      <c r="CF112" s="2" t="e">
        <f t="shared" si="12"/>
        <v>#N/A</v>
      </c>
    </row>
    <row r="113" spans="1:262" ht="61.5" x14ac:dyDescent="0.85">
      <c r="A113" s="2">
        <v>1</v>
      </c>
      <c r="B113" s="18">
        <f>SUBTOTAL(103,$A$22:A113)</f>
        <v>92</v>
      </c>
      <c r="C113" s="3" t="s">
        <v>1080</v>
      </c>
      <c r="D113" s="5">
        <v>10746088.879999999</v>
      </c>
      <c r="E113" s="5">
        <f t="shared" si="10"/>
        <v>0</v>
      </c>
      <c r="F113" s="5">
        <f t="shared" si="11"/>
        <v>10746088.879999999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241">
        <v>6</v>
      </c>
      <c r="N113" s="5">
        <v>10646311.34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99777.54</v>
      </c>
      <c r="AG113" s="5">
        <v>0</v>
      </c>
      <c r="AH113" s="246">
        <v>2020</v>
      </c>
      <c r="AI113" s="246">
        <v>2020</v>
      </c>
      <c r="AJ113" s="6" t="s">
        <v>49</v>
      </c>
      <c r="CB113" s="236"/>
      <c r="CF113" s="2" t="e">
        <f t="shared" si="12"/>
        <v>#N/A</v>
      </c>
    </row>
    <row r="114" spans="1:262" ht="61.5" x14ac:dyDescent="0.85">
      <c r="A114" s="2">
        <v>1</v>
      </c>
      <c r="B114" s="18">
        <f>SUBTOTAL(103,$A$22:A114)</f>
        <v>93</v>
      </c>
      <c r="C114" s="3" t="s">
        <v>1081</v>
      </c>
      <c r="D114" s="5">
        <v>2078209.55</v>
      </c>
      <c r="E114" s="5">
        <f t="shared" si="10"/>
        <v>0</v>
      </c>
      <c r="F114" s="5">
        <f t="shared" si="11"/>
        <v>2078209.55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241">
        <v>1</v>
      </c>
      <c r="N114" s="5">
        <v>2005748.81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72460.740000000005</v>
      </c>
      <c r="AG114" s="5">
        <v>0</v>
      </c>
      <c r="AH114" s="246">
        <v>2020</v>
      </c>
      <c r="AI114" s="246">
        <v>2020</v>
      </c>
      <c r="AJ114" s="6" t="s">
        <v>49</v>
      </c>
      <c r="AV114" s="2" t="e">
        <f>VLOOKUP(C114,AY:AZ,2,FALSE)</f>
        <v>#N/A</v>
      </c>
      <c r="CB114" s="236"/>
      <c r="CF114" s="2" t="e">
        <f t="shared" si="12"/>
        <v>#N/A</v>
      </c>
    </row>
    <row r="115" spans="1:262" ht="61.5" x14ac:dyDescent="0.85">
      <c r="A115" s="2">
        <v>1</v>
      </c>
      <c r="B115" s="18">
        <f>SUBTOTAL(103,$A$22:A115)</f>
        <v>94</v>
      </c>
      <c r="C115" s="3" t="s">
        <v>1082</v>
      </c>
      <c r="D115" s="5">
        <v>8533423.2400000002</v>
      </c>
      <c r="E115" s="5">
        <f t="shared" si="10"/>
        <v>0</v>
      </c>
      <c r="F115" s="5">
        <f t="shared" si="11"/>
        <v>8533423.2400000002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241">
        <v>4</v>
      </c>
      <c r="N115" s="5">
        <v>8441723.0500000007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91700.19</v>
      </c>
      <c r="AG115" s="5">
        <v>0</v>
      </c>
      <c r="AH115" s="246">
        <v>2020</v>
      </c>
      <c r="AI115" s="246">
        <v>2020</v>
      </c>
      <c r="AJ115" s="6" t="s">
        <v>49</v>
      </c>
      <c r="CB115" s="236"/>
      <c r="CF115" s="2" t="e">
        <f t="shared" si="12"/>
        <v>#N/A</v>
      </c>
    </row>
    <row r="116" spans="1:262" ht="61.5" x14ac:dyDescent="0.85">
      <c r="A116" s="2">
        <v>1</v>
      </c>
      <c r="B116" s="18">
        <f>SUBTOTAL(103,$A$22:A116)</f>
        <v>95</v>
      </c>
      <c r="C116" s="3" t="s">
        <v>1083</v>
      </c>
      <c r="D116" s="5">
        <v>2063785.08</v>
      </c>
      <c r="E116" s="5">
        <f t="shared" si="10"/>
        <v>0</v>
      </c>
      <c r="F116" s="5">
        <f t="shared" si="11"/>
        <v>2063785.08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241">
        <v>1</v>
      </c>
      <c r="N116" s="5">
        <v>1992878.5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70906.58</v>
      </c>
      <c r="AG116" s="5">
        <v>0</v>
      </c>
      <c r="AH116" s="246">
        <v>2020</v>
      </c>
      <c r="AI116" s="246">
        <v>2020</v>
      </c>
      <c r="AJ116" s="6" t="s">
        <v>49</v>
      </c>
      <c r="AV116" s="2" t="e">
        <f>VLOOKUP(C116,AY:AZ,2,FALSE)</f>
        <v>#N/A</v>
      </c>
      <c r="CB116" s="236"/>
      <c r="CF116" s="2" t="e">
        <f t="shared" si="12"/>
        <v>#N/A</v>
      </c>
    </row>
    <row r="117" spans="1:262" ht="61.5" x14ac:dyDescent="0.85">
      <c r="A117" s="2">
        <v>1</v>
      </c>
      <c r="B117" s="18">
        <f>SUBTOTAL(103,$A$22:A117)</f>
        <v>96</v>
      </c>
      <c r="C117" s="3" t="s">
        <v>981</v>
      </c>
      <c r="D117" s="5">
        <v>1772415.75</v>
      </c>
      <c r="E117" s="5">
        <f t="shared" si="10"/>
        <v>0</v>
      </c>
      <c r="F117" s="5">
        <f>G117+H117+I117+J117+K117+L117+N117+P117+R117+T117+V117+W117+X117+Y117+Z117+AA117+AB117+AC117+AD117+AE117+AF117+AG117</f>
        <v>1772415.75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241">
        <v>0</v>
      </c>
      <c r="N117" s="5">
        <v>0</v>
      </c>
      <c r="O117" s="245">
        <v>523.98</v>
      </c>
      <c r="P117" s="245">
        <v>1746351.45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26064.3</v>
      </c>
      <c r="AF117" s="5">
        <v>0</v>
      </c>
      <c r="AG117" s="5">
        <v>0</v>
      </c>
      <c r="AH117" s="6" t="s">
        <v>49</v>
      </c>
      <c r="AI117" s="246">
        <v>2020</v>
      </c>
      <c r="AJ117" s="246">
        <v>2020</v>
      </c>
      <c r="CB117" s="236"/>
      <c r="CF117" s="2">
        <f t="shared" si="12"/>
        <v>523.98</v>
      </c>
    </row>
    <row r="118" spans="1:262" s="239" customFormat="1" ht="61.5" x14ac:dyDescent="0.85">
      <c r="A118" s="239">
        <v>1</v>
      </c>
      <c r="B118" s="18">
        <f>SUBTOTAL(103,$A$22:A118)</f>
        <v>97</v>
      </c>
      <c r="C118" s="3" t="s">
        <v>1084</v>
      </c>
      <c r="D118" s="5">
        <v>2364441.7000000002</v>
      </c>
      <c r="E118" s="5">
        <f t="shared" si="10"/>
        <v>2312170</v>
      </c>
      <c r="F118" s="5">
        <f t="shared" ref="F118:F125" si="13">G118+H118+I118+J118+K118+L118+N118+P118+R118+T118+V118+W118+X118+Y118+Z118+AA118+AB118+AC118+AD118+AE118+AF118+AG118</f>
        <v>52271.7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2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7">
        <v>52271.7</v>
      </c>
      <c r="AG118" s="5">
        <v>0</v>
      </c>
      <c r="AH118" s="246">
        <v>2020</v>
      </c>
      <c r="AI118" s="6" t="s">
        <v>49</v>
      </c>
      <c r="AJ118" s="6" t="s">
        <v>49</v>
      </c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36"/>
      <c r="CC118" s="2"/>
      <c r="CD118" s="2"/>
      <c r="CE118" s="2"/>
      <c r="CF118" s="2" t="e">
        <f t="shared" si="12"/>
        <v>#N/A</v>
      </c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</row>
    <row r="119" spans="1:262" s="239" customFormat="1" ht="61.5" x14ac:dyDescent="0.85">
      <c r="A119" s="239">
        <v>1</v>
      </c>
      <c r="B119" s="18">
        <f>SUBTOTAL(103,$A$22:A119)</f>
        <v>98</v>
      </c>
      <c r="C119" s="3" t="s">
        <v>1085</v>
      </c>
      <c r="D119" s="5">
        <v>4371676.9000000004</v>
      </c>
      <c r="E119" s="5">
        <f t="shared" si="10"/>
        <v>4288625.04</v>
      </c>
      <c r="F119" s="5">
        <f t="shared" si="13"/>
        <v>83051.86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2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83051.86</v>
      </c>
      <c r="AG119" s="5">
        <v>0</v>
      </c>
      <c r="AH119" s="246">
        <v>2020</v>
      </c>
      <c r="AI119" s="6" t="s">
        <v>49</v>
      </c>
      <c r="AJ119" s="6" t="s">
        <v>49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36"/>
      <c r="CC119" s="2"/>
      <c r="CD119" s="2"/>
      <c r="CE119" s="2"/>
      <c r="CF119" s="2" t="e">
        <f t="shared" si="12"/>
        <v>#N/A</v>
      </c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</row>
    <row r="120" spans="1:262" s="239" customFormat="1" ht="61.5" x14ac:dyDescent="0.85">
      <c r="A120" s="239">
        <v>1</v>
      </c>
      <c r="B120" s="18">
        <f>SUBTOTAL(103,$A$22:A120)</f>
        <v>99</v>
      </c>
      <c r="C120" s="3" t="s">
        <v>1086</v>
      </c>
      <c r="D120" s="5">
        <v>2747544.12</v>
      </c>
      <c r="E120" s="5">
        <f t="shared" si="10"/>
        <v>2696855</v>
      </c>
      <c r="F120" s="5">
        <f t="shared" si="13"/>
        <v>50689.120000000003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2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48">
        <v>50689.120000000003</v>
      </c>
      <c r="AG120" s="5">
        <v>0</v>
      </c>
      <c r="AH120" s="246">
        <v>2020</v>
      </c>
      <c r="AI120" s="6" t="s">
        <v>49</v>
      </c>
      <c r="AJ120" s="6" t="s">
        <v>49</v>
      </c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36"/>
      <c r="CC120" s="2"/>
      <c r="CD120" s="2"/>
      <c r="CE120" s="2"/>
      <c r="CF120" s="2" t="e">
        <f t="shared" si="12"/>
        <v>#N/A</v>
      </c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</row>
    <row r="121" spans="1:262" s="239" customFormat="1" ht="61.5" x14ac:dyDescent="0.85">
      <c r="A121" s="239">
        <v>1</v>
      </c>
      <c r="B121" s="18">
        <f>SUBTOTAL(103,$A$22:A121)</f>
        <v>100</v>
      </c>
      <c r="C121" s="3" t="s">
        <v>1087</v>
      </c>
      <c r="D121" s="5">
        <v>5829375</v>
      </c>
      <c r="E121" s="5">
        <f t="shared" si="10"/>
        <v>5733787.9100000001</v>
      </c>
      <c r="F121" s="5">
        <f t="shared" si="13"/>
        <v>95587.09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2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7">
        <v>95587.09</v>
      </c>
      <c r="AG121" s="5">
        <v>0</v>
      </c>
      <c r="AH121" s="246">
        <v>2020</v>
      </c>
      <c r="AI121" s="6" t="s">
        <v>49</v>
      </c>
      <c r="AJ121" s="6" t="s">
        <v>49</v>
      </c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36"/>
      <c r="CC121" s="2"/>
      <c r="CD121" s="2"/>
      <c r="CE121" s="2"/>
      <c r="CF121" s="2" t="e">
        <f t="shared" si="12"/>
        <v>#N/A</v>
      </c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</row>
    <row r="122" spans="1:262" s="239" customFormat="1" ht="61.5" x14ac:dyDescent="0.85">
      <c r="A122" s="239">
        <v>1</v>
      </c>
      <c r="B122" s="18">
        <f>SUBTOTAL(103,$A$22:A122)</f>
        <v>101</v>
      </c>
      <c r="C122" s="3" t="s">
        <v>1088</v>
      </c>
      <c r="D122" s="5">
        <v>2856740</v>
      </c>
      <c r="E122" s="5">
        <f t="shared" si="10"/>
        <v>2776955.84</v>
      </c>
      <c r="F122" s="5">
        <f t="shared" si="13"/>
        <v>79784.160000000003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2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79784.160000000003</v>
      </c>
      <c r="AG122" s="5">
        <v>0</v>
      </c>
      <c r="AH122" s="246">
        <v>2020</v>
      </c>
      <c r="AI122" s="6" t="s">
        <v>49</v>
      </c>
      <c r="AJ122" s="6" t="s">
        <v>49</v>
      </c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36"/>
      <c r="CC122" s="2"/>
      <c r="CD122" s="2"/>
      <c r="CE122" s="2"/>
      <c r="CF122" s="2" t="e">
        <f t="shared" si="12"/>
        <v>#N/A</v>
      </c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</row>
    <row r="123" spans="1:262" s="239" customFormat="1" ht="61.5" x14ac:dyDescent="0.85">
      <c r="A123" s="239">
        <v>1</v>
      </c>
      <c r="B123" s="18">
        <f>SUBTOTAL(103,$A$22:A123)</f>
        <v>102</v>
      </c>
      <c r="C123" s="3" t="s">
        <v>1089</v>
      </c>
      <c r="D123" s="5">
        <v>4012975</v>
      </c>
      <c r="E123" s="5">
        <f t="shared" si="10"/>
        <v>3941295.9</v>
      </c>
      <c r="F123" s="5">
        <f t="shared" si="13"/>
        <v>71679.100000000006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2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71679.100000000006</v>
      </c>
      <c r="AG123" s="5">
        <v>0</v>
      </c>
      <c r="AH123" s="246">
        <v>2020</v>
      </c>
      <c r="AI123" s="6" t="s">
        <v>49</v>
      </c>
      <c r="AJ123" s="6" t="s">
        <v>49</v>
      </c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36"/>
      <c r="CC123" s="2"/>
      <c r="CD123" s="2"/>
      <c r="CE123" s="2"/>
      <c r="CF123" s="2" t="e">
        <f t="shared" si="12"/>
        <v>#N/A</v>
      </c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</row>
    <row r="124" spans="1:262" s="239" customFormat="1" ht="61.5" x14ac:dyDescent="0.85">
      <c r="A124" s="239">
        <v>1</v>
      </c>
      <c r="B124" s="18">
        <f>SUBTOTAL(103,$A$22:A124)</f>
        <v>103</v>
      </c>
      <c r="C124" s="3" t="s">
        <v>1090</v>
      </c>
      <c r="D124" s="5">
        <v>2248303</v>
      </c>
      <c r="E124" s="5">
        <f t="shared" si="10"/>
        <v>2192398.62</v>
      </c>
      <c r="F124" s="5">
        <f t="shared" si="13"/>
        <v>55904.38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2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55904.38</v>
      </c>
      <c r="AG124" s="5">
        <v>0</v>
      </c>
      <c r="AH124" s="246">
        <v>2020</v>
      </c>
      <c r="AI124" s="6" t="s">
        <v>49</v>
      </c>
      <c r="AJ124" s="6" t="s">
        <v>49</v>
      </c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36"/>
      <c r="CC124" s="2"/>
      <c r="CD124" s="2"/>
      <c r="CE124" s="2"/>
      <c r="CF124" s="2" t="e">
        <f t="shared" si="12"/>
        <v>#N/A</v>
      </c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</row>
    <row r="125" spans="1:262" s="243" customFormat="1" ht="61.5" x14ac:dyDescent="0.85">
      <c r="A125" s="243">
        <v>1</v>
      </c>
      <c r="B125" s="18">
        <f>SUBTOTAL(103,$A$22:A125)</f>
        <v>104</v>
      </c>
      <c r="C125" s="3" t="s">
        <v>1091</v>
      </c>
      <c r="D125" s="5">
        <v>110000</v>
      </c>
      <c r="E125" s="5">
        <f t="shared" si="10"/>
        <v>9617.4400000000023</v>
      </c>
      <c r="F125" s="5">
        <f t="shared" si="13"/>
        <v>100382.56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241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36">
        <v>100382.56</v>
      </c>
      <c r="AG125" s="5">
        <v>0</v>
      </c>
      <c r="AH125" s="246">
        <v>2020</v>
      </c>
      <c r="AI125" s="6" t="s">
        <v>49</v>
      </c>
      <c r="AJ125" s="6" t="s">
        <v>49</v>
      </c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36"/>
      <c r="CC125" s="2"/>
      <c r="CD125" s="2"/>
      <c r="CE125" s="2"/>
      <c r="CF125" s="2" t="e">
        <f t="shared" si="12"/>
        <v>#N/A</v>
      </c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</row>
    <row r="126" spans="1:262" ht="61.5" x14ac:dyDescent="0.85">
      <c r="B126" s="3" t="s">
        <v>1092</v>
      </c>
      <c r="C126" s="442"/>
      <c r="D126" s="244">
        <v>79026156.439999998</v>
      </c>
      <c r="E126" s="233">
        <f t="shared" si="10"/>
        <v>26485250.969999999</v>
      </c>
      <c r="F126" s="244">
        <f t="shared" ref="F126:AG126" si="14">SUM(F127:F156)</f>
        <v>52540905.469999999</v>
      </c>
      <c r="G126" s="5">
        <f t="shared" si="14"/>
        <v>392971.79</v>
      </c>
      <c r="H126" s="5">
        <f t="shared" si="14"/>
        <v>287233.21999999997</v>
      </c>
      <c r="I126" s="5">
        <f t="shared" si="14"/>
        <v>1294699.6299999999</v>
      </c>
      <c r="J126" s="5">
        <f t="shared" si="14"/>
        <v>643435.68999999994</v>
      </c>
      <c r="K126" s="5">
        <f t="shared" si="14"/>
        <v>4483524.6500000004</v>
      </c>
      <c r="L126" s="5">
        <f t="shared" si="14"/>
        <v>0</v>
      </c>
      <c r="M126" s="241">
        <f t="shared" si="14"/>
        <v>4</v>
      </c>
      <c r="N126" s="5">
        <f t="shared" si="14"/>
        <v>5593558.4000000004</v>
      </c>
      <c r="O126" s="5">
        <f t="shared" si="14"/>
        <v>8193.49</v>
      </c>
      <c r="P126" s="5">
        <f t="shared" si="14"/>
        <v>32686848.039999999</v>
      </c>
      <c r="Q126" s="5">
        <f t="shared" si="14"/>
        <v>0</v>
      </c>
      <c r="R126" s="5">
        <f t="shared" si="14"/>
        <v>0</v>
      </c>
      <c r="S126" s="5">
        <f t="shared" si="14"/>
        <v>2678.1099999999997</v>
      </c>
      <c r="T126" s="5">
        <f t="shared" si="14"/>
        <v>5635955.5300000003</v>
      </c>
      <c r="U126" s="5">
        <f t="shared" si="14"/>
        <v>0</v>
      </c>
      <c r="V126" s="5">
        <f t="shared" si="14"/>
        <v>0</v>
      </c>
      <c r="W126" s="5">
        <f t="shared" si="14"/>
        <v>0</v>
      </c>
      <c r="X126" s="5">
        <f t="shared" si="14"/>
        <v>0</v>
      </c>
      <c r="Y126" s="5">
        <f t="shared" si="14"/>
        <v>0</v>
      </c>
      <c r="Z126" s="5">
        <f t="shared" si="14"/>
        <v>0</v>
      </c>
      <c r="AA126" s="5">
        <f t="shared" si="14"/>
        <v>0</v>
      </c>
      <c r="AB126" s="5">
        <f t="shared" si="14"/>
        <v>0</v>
      </c>
      <c r="AC126" s="5">
        <f t="shared" si="14"/>
        <v>0</v>
      </c>
      <c r="AD126" s="5">
        <f t="shared" si="14"/>
        <v>0</v>
      </c>
      <c r="AE126" s="5">
        <f t="shared" si="14"/>
        <v>443364.56000000011</v>
      </c>
      <c r="AF126" s="5">
        <f t="shared" si="14"/>
        <v>1079313.96</v>
      </c>
      <c r="AG126" s="5">
        <f t="shared" si="14"/>
        <v>0</v>
      </c>
      <c r="AH126" s="23" t="s">
        <v>90</v>
      </c>
      <c r="AI126" s="23" t="s">
        <v>90</v>
      </c>
      <c r="AJ126" s="27" t="s">
        <v>90</v>
      </c>
      <c r="AV126" s="2" t="e">
        <f t="shared" ref="AV126:AV139" si="15">VLOOKUP(C126,AY:AZ,2,FALSE)</f>
        <v>#N/A</v>
      </c>
      <c r="CB126" s="5">
        <v>95682574.419999987</v>
      </c>
      <c r="CC126" s="5"/>
      <c r="CD126" s="5">
        <f>CB126-F126</f>
        <v>43141668.949999988</v>
      </c>
      <c r="CF126" s="2" t="e">
        <f t="shared" si="12"/>
        <v>#N/A</v>
      </c>
      <c r="CG126" s="242" t="s">
        <v>1093</v>
      </c>
      <c r="CH126" s="242">
        <v>1278.8</v>
      </c>
    </row>
    <row r="127" spans="1:262" ht="61.5" x14ac:dyDescent="0.85">
      <c r="A127" s="2">
        <v>1</v>
      </c>
      <c r="B127" s="18">
        <f>SUBTOTAL(103,$A$22:A127)</f>
        <v>105</v>
      </c>
      <c r="C127" s="3" t="s">
        <v>1094</v>
      </c>
      <c r="D127" s="5">
        <v>3002974.44</v>
      </c>
      <c r="E127" s="5">
        <f t="shared" si="10"/>
        <v>711460.40999999968</v>
      </c>
      <c r="F127" s="5">
        <f t="shared" ref="F127:F156" si="16">G127+H127+I127+J127+K127+L127+N127+P127+R127+T127+V127+W127+X127+Y127+Z127+AA127+AB127+AC127+AD127+AE127+AF127+AG127</f>
        <v>2291514.0300000003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25">
        <v>0</v>
      </c>
      <c r="N127" s="5">
        <v>0</v>
      </c>
      <c r="O127" s="7">
        <v>636.21</v>
      </c>
      <c r="P127" s="7">
        <v>2242129.4900000002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7">
        <v>14461.74</v>
      </c>
      <c r="AF127" s="7">
        <v>34922.800000000003</v>
      </c>
      <c r="AG127" s="5">
        <v>0</v>
      </c>
      <c r="AH127" s="246">
        <v>2020</v>
      </c>
      <c r="AI127" s="246">
        <v>2020</v>
      </c>
      <c r="AJ127" s="6">
        <v>2020</v>
      </c>
      <c r="AV127" s="2" t="e">
        <f t="shared" si="15"/>
        <v>#N/A</v>
      </c>
      <c r="CB127" s="236"/>
      <c r="CF127" s="2">
        <f t="shared" si="12"/>
        <v>598</v>
      </c>
      <c r="CG127" s="242" t="s">
        <v>1095</v>
      </c>
      <c r="CH127" s="242">
        <v>225.04</v>
      </c>
    </row>
    <row r="128" spans="1:262" ht="61.5" x14ac:dyDescent="0.85">
      <c r="A128" s="2">
        <v>1</v>
      </c>
      <c r="B128" s="18">
        <f>SUBTOTAL(103,$A$22:A128)</f>
        <v>106</v>
      </c>
      <c r="C128" s="3" t="s">
        <v>1096</v>
      </c>
      <c r="D128" s="5">
        <v>3572063.7399999998</v>
      </c>
      <c r="E128" s="5">
        <f t="shared" si="10"/>
        <v>1382152.0899999994</v>
      </c>
      <c r="F128" s="5">
        <f t="shared" si="16"/>
        <v>2189911.6500000004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25">
        <v>0</v>
      </c>
      <c r="N128" s="5">
        <v>0</v>
      </c>
      <c r="O128" s="7">
        <v>585.59</v>
      </c>
      <c r="P128" s="48">
        <v>2122436.64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48">
        <v>13689.72</v>
      </c>
      <c r="AF128" s="7">
        <v>53785.29</v>
      </c>
      <c r="AG128" s="5">
        <v>0</v>
      </c>
      <c r="AH128" s="246">
        <v>2020</v>
      </c>
      <c r="AI128" s="246">
        <v>2020</v>
      </c>
      <c r="AJ128" s="6">
        <v>2020</v>
      </c>
      <c r="AV128" s="2" t="e">
        <f t="shared" si="15"/>
        <v>#N/A</v>
      </c>
      <c r="CB128" s="236"/>
      <c r="CF128" s="2">
        <f t="shared" si="12"/>
        <v>592.20000000000005</v>
      </c>
      <c r="CG128" s="242" t="s">
        <v>1097</v>
      </c>
      <c r="CH128" s="242">
        <v>337</v>
      </c>
    </row>
    <row r="129" spans="1:86" ht="61.5" x14ac:dyDescent="0.85">
      <c r="A129" s="2">
        <v>1</v>
      </c>
      <c r="B129" s="18">
        <f>SUBTOTAL(103,$A$22:A129)</f>
        <v>107</v>
      </c>
      <c r="C129" s="3" t="s">
        <v>1098</v>
      </c>
      <c r="D129" s="5">
        <v>2978080.5300000003</v>
      </c>
      <c r="E129" s="5">
        <f t="shared" si="10"/>
        <v>-698454.35999999987</v>
      </c>
      <c r="F129" s="5">
        <f t="shared" si="16"/>
        <v>3676534.89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25">
        <v>0</v>
      </c>
      <c r="N129" s="5">
        <v>0</v>
      </c>
      <c r="O129" s="5">
        <v>515.38</v>
      </c>
      <c r="P129" s="5">
        <f>2884911.16+688132.38</f>
        <v>3573043.54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f t="shared" ref="AE129:AE138" si="17">ROUND(P129*1.5%,2)</f>
        <v>53595.65</v>
      </c>
      <c r="AF129" s="7">
        <v>49895.7</v>
      </c>
      <c r="AG129" s="5">
        <v>0</v>
      </c>
      <c r="AH129" s="246">
        <v>2020</v>
      </c>
      <c r="AI129" s="246">
        <v>2020</v>
      </c>
      <c r="AJ129" s="246">
        <v>2020</v>
      </c>
      <c r="AV129" s="2" t="e">
        <f t="shared" si="15"/>
        <v>#N/A</v>
      </c>
      <c r="CB129" s="236"/>
      <c r="CF129" s="2" t="e">
        <f t="shared" si="12"/>
        <v>#N/A</v>
      </c>
      <c r="CG129" s="242" t="s">
        <v>1099</v>
      </c>
      <c r="CH129" s="242">
        <v>806.38</v>
      </c>
    </row>
    <row r="130" spans="1:86" ht="61.5" x14ac:dyDescent="0.85">
      <c r="A130" s="2">
        <v>1</v>
      </c>
      <c r="B130" s="18">
        <f>SUBTOTAL(103,$A$22:A130)</f>
        <v>108</v>
      </c>
      <c r="C130" s="3" t="s">
        <v>1100</v>
      </c>
      <c r="D130" s="5">
        <v>66096.710000000006</v>
      </c>
      <c r="E130" s="5">
        <f t="shared" si="10"/>
        <v>11016.12000000001</v>
      </c>
      <c r="F130" s="5">
        <f t="shared" si="16"/>
        <v>55080.59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2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f t="shared" si="17"/>
        <v>0</v>
      </c>
      <c r="AF130" s="48">
        <v>55080.59</v>
      </c>
      <c r="AG130" s="5">
        <v>0</v>
      </c>
      <c r="AH130" s="246">
        <v>2020</v>
      </c>
      <c r="AI130" s="246" t="s">
        <v>49</v>
      </c>
      <c r="AJ130" s="6" t="s">
        <v>49</v>
      </c>
      <c r="AV130" s="2" t="e">
        <f t="shared" si="15"/>
        <v>#N/A</v>
      </c>
      <c r="CB130" s="236"/>
      <c r="CF130" s="2" t="e">
        <f t="shared" si="12"/>
        <v>#N/A</v>
      </c>
      <c r="CG130" s="242" t="s">
        <v>1101</v>
      </c>
      <c r="CH130" s="242">
        <v>308.60000000000002</v>
      </c>
    </row>
    <row r="131" spans="1:86" ht="61.5" x14ac:dyDescent="0.85">
      <c r="A131" s="2">
        <v>1</v>
      </c>
      <c r="B131" s="18">
        <f>SUBTOTAL(103,$A$22:A131)</f>
        <v>109</v>
      </c>
      <c r="C131" s="3" t="s">
        <v>989</v>
      </c>
      <c r="D131" s="5">
        <v>3455519.85</v>
      </c>
      <c r="E131" s="5">
        <f t="shared" si="10"/>
        <v>955364.53000000026</v>
      </c>
      <c r="F131" s="5">
        <f t="shared" si="16"/>
        <v>2500155.3199999998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25">
        <v>0</v>
      </c>
      <c r="N131" s="5">
        <v>0</v>
      </c>
      <c r="O131" s="7">
        <v>597.83000000000004</v>
      </c>
      <c r="P131" s="7">
        <v>2411595.7999999998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f t="shared" si="17"/>
        <v>36173.94</v>
      </c>
      <c r="AF131" s="7">
        <v>52385.58</v>
      </c>
      <c r="AG131" s="5">
        <v>0</v>
      </c>
      <c r="AH131" s="246">
        <v>2020</v>
      </c>
      <c r="AI131" s="246">
        <v>2020</v>
      </c>
      <c r="AJ131" s="6">
        <v>2020</v>
      </c>
      <c r="AV131" s="2" t="e">
        <f t="shared" si="15"/>
        <v>#N/A</v>
      </c>
      <c r="CB131" s="236"/>
      <c r="CF131" s="2">
        <f t="shared" si="12"/>
        <v>603.71</v>
      </c>
      <c r="CG131" s="242" t="s">
        <v>1102</v>
      </c>
      <c r="CH131" s="242">
        <v>189.8</v>
      </c>
    </row>
    <row r="132" spans="1:86" ht="61.5" x14ac:dyDescent="0.85">
      <c r="A132" s="2">
        <v>1</v>
      </c>
      <c r="B132" s="18">
        <f>SUBTOTAL(103,$A$22:A132)</f>
        <v>110</v>
      </c>
      <c r="C132" s="3" t="s">
        <v>991</v>
      </c>
      <c r="D132" s="5">
        <v>2346811.4300000002</v>
      </c>
      <c r="E132" s="5">
        <f t="shared" si="10"/>
        <v>217956.02000000002</v>
      </c>
      <c r="F132" s="5">
        <f t="shared" si="16"/>
        <v>2128855.41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25">
        <v>0</v>
      </c>
      <c r="N132" s="5">
        <v>0</v>
      </c>
      <c r="O132" s="7">
        <v>618.17999999999995</v>
      </c>
      <c r="P132" s="48">
        <v>2062274.75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7">
        <v>13301.67</v>
      </c>
      <c r="AF132" s="7">
        <v>53278.99</v>
      </c>
      <c r="AG132" s="5">
        <v>0</v>
      </c>
      <c r="AH132" s="246">
        <v>2020</v>
      </c>
      <c r="AI132" s="246">
        <v>2020</v>
      </c>
      <c r="AJ132" s="6">
        <v>2020</v>
      </c>
      <c r="AV132" s="2" t="e">
        <f t="shared" si="15"/>
        <v>#N/A</v>
      </c>
      <c r="CB132" s="236"/>
      <c r="CF132" s="2">
        <f t="shared" si="12"/>
        <v>588.4</v>
      </c>
      <c r="CG132" s="242" t="s">
        <v>1103</v>
      </c>
      <c r="CH132" s="242">
        <v>1525.2</v>
      </c>
    </row>
    <row r="133" spans="1:86" ht="61.5" x14ac:dyDescent="0.85">
      <c r="A133" s="2">
        <v>1</v>
      </c>
      <c r="B133" s="18">
        <f>SUBTOTAL(103,$A$22:A133)</f>
        <v>111</v>
      </c>
      <c r="C133" s="3" t="s">
        <v>935</v>
      </c>
      <c r="D133" s="5">
        <v>3240517.53</v>
      </c>
      <c r="E133" s="5">
        <f t="shared" si="10"/>
        <v>679218.03999999957</v>
      </c>
      <c r="F133" s="5">
        <f t="shared" si="16"/>
        <v>2561299.4900000002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25">
        <v>0</v>
      </c>
      <c r="N133" s="5">
        <v>0</v>
      </c>
      <c r="O133" s="7">
        <v>548.33000000000004</v>
      </c>
      <c r="P133" s="7">
        <v>2453870.5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f t="shared" si="17"/>
        <v>36808.06</v>
      </c>
      <c r="AF133" s="7">
        <v>70620.929999999993</v>
      </c>
      <c r="AG133" s="5">
        <v>0</v>
      </c>
      <c r="AH133" s="246">
        <v>2020</v>
      </c>
      <c r="AI133" s="246">
        <v>2020</v>
      </c>
      <c r="AJ133" s="6">
        <v>2020</v>
      </c>
      <c r="AV133" s="2" t="e">
        <f t="shared" si="15"/>
        <v>#N/A</v>
      </c>
      <c r="CB133" s="236"/>
      <c r="CF133" s="2">
        <f t="shared" si="12"/>
        <v>555.39</v>
      </c>
      <c r="CG133" s="242" t="s">
        <v>1104</v>
      </c>
      <c r="CH133" s="242">
        <v>1373.6</v>
      </c>
    </row>
    <row r="134" spans="1:86" ht="61.5" x14ac:dyDescent="0.85">
      <c r="A134" s="2">
        <v>1</v>
      </c>
      <c r="B134" s="18">
        <f>SUBTOTAL(103,$A$22:A134)</f>
        <v>112</v>
      </c>
      <c r="C134" s="3" t="s">
        <v>992</v>
      </c>
      <c r="D134" s="5">
        <v>3239042.2399999998</v>
      </c>
      <c r="E134" s="5">
        <f t="shared" si="10"/>
        <v>921476.21</v>
      </c>
      <c r="F134" s="5">
        <f t="shared" si="16"/>
        <v>2317566.0299999998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25">
        <v>0</v>
      </c>
      <c r="N134" s="5">
        <v>0</v>
      </c>
      <c r="O134" s="7">
        <v>561.44000000000005</v>
      </c>
      <c r="P134" s="7">
        <v>2249862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7">
        <v>14511.61</v>
      </c>
      <c r="AF134" s="7">
        <v>53192.42</v>
      </c>
      <c r="AG134" s="5">
        <v>0</v>
      </c>
      <c r="AH134" s="246">
        <v>2020</v>
      </c>
      <c r="AI134" s="246">
        <v>2020</v>
      </c>
      <c r="AJ134" s="6">
        <v>2020</v>
      </c>
      <c r="AV134" s="2" t="e">
        <f t="shared" si="15"/>
        <v>#N/A</v>
      </c>
      <c r="CB134" s="236"/>
      <c r="CF134" s="2">
        <f t="shared" si="12"/>
        <v>577</v>
      </c>
      <c r="CG134" s="242" t="s">
        <v>1105</v>
      </c>
      <c r="CH134" s="242">
        <v>1062.4000000000001</v>
      </c>
    </row>
    <row r="135" spans="1:86" ht="61.5" x14ac:dyDescent="0.85">
      <c r="A135" s="2">
        <v>1</v>
      </c>
      <c r="B135" s="18">
        <f>SUBTOTAL(103,$A$22:A135)</f>
        <v>113</v>
      </c>
      <c r="C135" s="3" t="s">
        <v>1106</v>
      </c>
      <c r="D135" s="5">
        <v>2412051.81</v>
      </c>
      <c r="E135" s="5">
        <f t="shared" si="10"/>
        <v>19869.209999999963</v>
      </c>
      <c r="F135" s="5">
        <f t="shared" si="16"/>
        <v>2392182.6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25">
        <v>0</v>
      </c>
      <c r="N135" s="5">
        <v>0</v>
      </c>
      <c r="O135" s="7">
        <v>585.91</v>
      </c>
      <c r="P135" s="7">
        <v>2323884.75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7">
        <v>14989.06</v>
      </c>
      <c r="AF135" s="7">
        <v>53308.79</v>
      </c>
      <c r="AG135" s="5">
        <v>0</v>
      </c>
      <c r="AH135" s="246">
        <v>2020</v>
      </c>
      <c r="AI135" s="246">
        <v>2020</v>
      </c>
      <c r="AJ135" s="6">
        <v>2020</v>
      </c>
      <c r="AV135" s="2" t="e">
        <f t="shared" si="15"/>
        <v>#N/A</v>
      </c>
      <c r="CB135" s="236"/>
      <c r="CF135" s="2">
        <f t="shared" si="12"/>
        <v>567.62</v>
      </c>
      <c r="CG135" s="242" t="s">
        <v>1107</v>
      </c>
      <c r="CH135" s="242">
        <v>1105</v>
      </c>
    </row>
    <row r="136" spans="1:86" ht="61.5" x14ac:dyDescent="0.85">
      <c r="A136" s="2">
        <v>1</v>
      </c>
      <c r="B136" s="18">
        <f>SUBTOTAL(103,$A$22:A136)</f>
        <v>114</v>
      </c>
      <c r="C136" s="3" t="s">
        <v>938</v>
      </c>
      <c r="D136" s="5">
        <v>4833444.3199999994</v>
      </c>
      <c r="E136" s="5">
        <f t="shared" si="10"/>
        <v>1507258.5299999993</v>
      </c>
      <c r="F136" s="5">
        <f t="shared" si="16"/>
        <v>3326185.79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25">
        <v>0</v>
      </c>
      <c r="N136" s="5">
        <v>0</v>
      </c>
      <c r="O136" s="7">
        <v>847.77</v>
      </c>
      <c r="P136" s="7">
        <v>3158718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f t="shared" si="17"/>
        <v>47380.77</v>
      </c>
      <c r="AF136" s="7">
        <v>120087.02</v>
      </c>
      <c r="AG136" s="5">
        <v>0</v>
      </c>
      <c r="AH136" s="246">
        <v>2020</v>
      </c>
      <c r="AI136" s="246">
        <v>2020</v>
      </c>
      <c r="AJ136" s="6">
        <v>2020</v>
      </c>
      <c r="AV136" s="2" t="e">
        <f t="shared" si="15"/>
        <v>#N/A</v>
      </c>
      <c r="CB136" s="236"/>
      <c r="CF136" s="2">
        <f t="shared" si="12"/>
        <v>865.12</v>
      </c>
      <c r="CG136" s="242" t="s">
        <v>1108</v>
      </c>
      <c r="CH136" s="242">
        <v>1401.4</v>
      </c>
    </row>
    <row r="137" spans="1:86" ht="61.5" x14ac:dyDescent="0.85">
      <c r="A137" s="2">
        <v>1</v>
      </c>
      <c r="B137" s="18">
        <f>SUBTOTAL(103,$A$22:A137)</f>
        <v>115</v>
      </c>
      <c r="C137" s="3" t="s">
        <v>1109</v>
      </c>
      <c r="D137" s="5">
        <v>2874285.62</v>
      </c>
      <c r="E137" s="5">
        <f t="shared" si="10"/>
        <v>656025.93000000017</v>
      </c>
      <c r="F137" s="5">
        <f t="shared" si="16"/>
        <v>2218259.69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25">
        <v>0</v>
      </c>
      <c r="N137" s="5">
        <v>0</v>
      </c>
      <c r="O137" s="7">
        <v>581.07000000000005</v>
      </c>
      <c r="P137" s="7">
        <v>2150786.5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7">
        <v>13872.57</v>
      </c>
      <c r="AF137" s="7">
        <v>53600.62</v>
      </c>
      <c r="AG137" s="5">
        <v>0</v>
      </c>
      <c r="AH137" s="246">
        <v>2020</v>
      </c>
      <c r="AI137" s="246">
        <v>2020</v>
      </c>
      <c r="AJ137" s="6">
        <v>2020</v>
      </c>
      <c r="AV137" s="2" t="e">
        <f t="shared" si="15"/>
        <v>#N/A</v>
      </c>
      <c r="CB137" s="236"/>
      <c r="CF137" s="2">
        <f t="shared" si="12"/>
        <v>556.79999999999995</v>
      </c>
      <c r="CG137" s="242" t="s">
        <v>1110</v>
      </c>
      <c r="CH137" s="242">
        <v>467.74</v>
      </c>
    </row>
    <row r="138" spans="1:86" ht="61.5" x14ac:dyDescent="0.85">
      <c r="A138" s="2">
        <v>1</v>
      </c>
      <c r="B138" s="18">
        <f>SUBTOTAL(103,$A$22:A138)</f>
        <v>116</v>
      </c>
      <c r="C138" s="3" t="s">
        <v>941</v>
      </c>
      <c r="D138" s="5">
        <v>4498593.59</v>
      </c>
      <c r="E138" s="5">
        <f t="shared" si="10"/>
        <v>4406829.16</v>
      </c>
      <c r="F138" s="5">
        <f t="shared" si="16"/>
        <v>91764.43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2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f t="shared" si="17"/>
        <v>0</v>
      </c>
      <c r="AF138" s="7">
        <v>91764.43</v>
      </c>
      <c r="AG138" s="5">
        <v>0</v>
      </c>
      <c r="AH138" s="246">
        <v>2020</v>
      </c>
      <c r="AI138" s="246" t="s">
        <v>49</v>
      </c>
      <c r="AJ138" s="246" t="s">
        <v>49</v>
      </c>
      <c r="AV138" s="2" t="e">
        <f t="shared" si="15"/>
        <v>#N/A</v>
      </c>
      <c r="CB138" s="236"/>
      <c r="CF138" s="2">
        <f t="shared" si="12"/>
        <v>860.91</v>
      </c>
      <c r="CG138" s="242" t="s">
        <v>1111</v>
      </c>
      <c r="CH138" s="242">
        <v>949</v>
      </c>
    </row>
    <row r="139" spans="1:86" ht="61.5" x14ac:dyDescent="0.85">
      <c r="A139" s="2">
        <v>1</v>
      </c>
      <c r="B139" s="18">
        <f>SUBTOTAL(103,$A$22:A139)</f>
        <v>117</v>
      </c>
      <c r="C139" s="3" t="s">
        <v>1112</v>
      </c>
      <c r="D139" s="5">
        <v>45369.9</v>
      </c>
      <c r="E139" s="5">
        <f t="shared" si="10"/>
        <v>0</v>
      </c>
      <c r="F139" s="5">
        <f t="shared" si="16"/>
        <v>45369.9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2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f>ROUND(T139*1.5%,2)</f>
        <v>0</v>
      </c>
      <c r="AF139" s="5">
        <v>45369.9</v>
      </c>
      <c r="AG139" s="5">
        <v>0</v>
      </c>
      <c r="AH139" s="246">
        <v>2020</v>
      </c>
      <c r="AI139" s="246" t="s">
        <v>49</v>
      </c>
      <c r="AJ139" s="246" t="s">
        <v>49</v>
      </c>
      <c r="AV139" s="2" t="e">
        <f t="shared" si="15"/>
        <v>#N/A</v>
      </c>
      <c r="CB139" s="236"/>
      <c r="CF139" s="2" t="e">
        <f t="shared" si="12"/>
        <v>#N/A</v>
      </c>
      <c r="CG139" s="242" t="s">
        <v>1113</v>
      </c>
      <c r="CH139" s="242">
        <v>437.4</v>
      </c>
    </row>
    <row r="140" spans="1:86" ht="61.5" x14ac:dyDescent="0.85">
      <c r="A140" s="2">
        <v>1</v>
      </c>
      <c r="B140" s="18">
        <f>SUBTOTAL(103,$A$22:A140)</f>
        <v>118</v>
      </c>
      <c r="C140" s="3" t="s">
        <v>1114</v>
      </c>
      <c r="D140" s="5">
        <v>2879103.97</v>
      </c>
      <c r="E140" s="5">
        <f t="shared" si="10"/>
        <v>0</v>
      </c>
      <c r="F140" s="5">
        <f t="shared" si="16"/>
        <v>2879103.97</v>
      </c>
      <c r="G140" s="5">
        <v>0</v>
      </c>
      <c r="H140" s="5">
        <v>0</v>
      </c>
      <c r="I140" s="5">
        <v>1294699.6299999999</v>
      </c>
      <c r="J140" s="5">
        <v>0</v>
      </c>
      <c r="K140" s="5">
        <v>1564983.85</v>
      </c>
      <c r="L140" s="5">
        <v>0</v>
      </c>
      <c r="M140" s="2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f>ROUND((I140)*1.5%,2)</f>
        <v>19420.490000000002</v>
      </c>
      <c r="AF140" s="5">
        <v>0</v>
      </c>
      <c r="AG140" s="5">
        <v>0</v>
      </c>
      <c r="AH140" s="246" t="s">
        <v>49</v>
      </c>
      <c r="AI140" s="246">
        <v>2020</v>
      </c>
      <c r="AJ140" s="6">
        <v>2020</v>
      </c>
      <c r="CB140" s="236"/>
      <c r="CF140" s="2" t="e">
        <f t="shared" si="12"/>
        <v>#N/A</v>
      </c>
      <c r="CG140" s="242" t="s">
        <v>1115</v>
      </c>
      <c r="CH140" s="242">
        <v>408</v>
      </c>
    </row>
    <row r="141" spans="1:86" ht="61.5" x14ac:dyDescent="0.85">
      <c r="A141" s="2">
        <v>1</v>
      </c>
      <c r="B141" s="18">
        <f>SUBTOTAL(103,$A$22:A141)</f>
        <v>119</v>
      </c>
      <c r="C141" s="3" t="s">
        <v>1116</v>
      </c>
      <c r="D141" s="5">
        <v>1093205.01</v>
      </c>
      <c r="E141" s="5">
        <f t="shared" si="10"/>
        <v>98419.280000000028</v>
      </c>
      <c r="F141" s="5">
        <f t="shared" si="16"/>
        <v>994785.73</v>
      </c>
      <c r="G141" s="5">
        <v>0</v>
      </c>
      <c r="H141" s="5">
        <v>0</v>
      </c>
      <c r="I141" s="245">
        <v>0</v>
      </c>
      <c r="J141" s="5">
        <v>0</v>
      </c>
      <c r="K141" s="48">
        <v>980084.46</v>
      </c>
      <c r="L141" s="5">
        <v>0</v>
      </c>
      <c r="M141" s="2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f>ROUND((G141+H141+I141+J141+K141+L141)*1.5%,2)</f>
        <v>14701.27</v>
      </c>
      <c r="AF141" s="5">
        <v>0</v>
      </c>
      <c r="AG141" s="5">
        <v>0</v>
      </c>
      <c r="AH141" s="246" t="s">
        <v>49</v>
      </c>
      <c r="AI141" s="246">
        <v>2020</v>
      </c>
      <c r="AJ141" s="6">
        <v>2020</v>
      </c>
      <c r="CB141" s="236"/>
      <c r="CF141" s="2" t="e">
        <f t="shared" si="12"/>
        <v>#N/A</v>
      </c>
      <c r="CG141" s="242" t="s">
        <v>1117</v>
      </c>
      <c r="CH141" s="242">
        <v>1028.5999999999999</v>
      </c>
    </row>
    <row r="142" spans="1:86" ht="61.5" x14ac:dyDescent="0.85">
      <c r="A142" s="2">
        <v>1</v>
      </c>
      <c r="B142" s="18">
        <f>SUBTOTAL(103,$A$22:A142)</f>
        <v>120</v>
      </c>
      <c r="C142" s="3" t="s">
        <v>1118</v>
      </c>
      <c r="D142" s="5">
        <v>1804069.72</v>
      </c>
      <c r="E142" s="5">
        <f t="shared" si="10"/>
        <v>0</v>
      </c>
      <c r="F142" s="5">
        <f t="shared" si="16"/>
        <v>1804069.72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2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7">
        <v>866.16</v>
      </c>
      <c r="T142" s="7">
        <v>1777408.59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f>ROUND(T142*1.5%,2)</f>
        <v>26661.13</v>
      </c>
      <c r="AF142" s="5">
        <v>0</v>
      </c>
      <c r="AG142" s="5">
        <v>0</v>
      </c>
      <c r="AH142" s="246" t="s">
        <v>49</v>
      </c>
      <c r="AI142" s="246">
        <v>2020</v>
      </c>
      <c r="AJ142" s="6">
        <v>2020</v>
      </c>
      <c r="CB142" s="236"/>
      <c r="CF142" s="2" t="e">
        <f t="shared" si="12"/>
        <v>#N/A</v>
      </c>
      <c r="CG142" s="242" t="s">
        <v>1119</v>
      </c>
      <c r="CH142" s="242">
        <v>378</v>
      </c>
    </row>
    <row r="143" spans="1:86" ht="61.5" x14ac:dyDescent="0.85">
      <c r="A143" s="2">
        <v>1</v>
      </c>
      <c r="B143" s="18">
        <f>SUBTOTAL(103,$A$22:A143)</f>
        <v>121</v>
      </c>
      <c r="C143" s="3" t="s">
        <v>1120</v>
      </c>
      <c r="D143" s="5">
        <v>122956.06</v>
      </c>
      <c r="E143" s="5">
        <f t="shared" si="10"/>
        <v>1158.5099999999948</v>
      </c>
      <c r="F143" s="5">
        <f t="shared" si="16"/>
        <v>121797.55</v>
      </c>
      <c r="G143" s="5">
        <v>0</v>
      </c>
      <c r="H143" s="5">
        <v>0</v>
      </c>
      <c r="I143" s="5">
        <v>0</v>
      </c>
      <c r="J143" s="5">
        <v>0</v>
      </c>
      <c r="K143" s="5">
        <v>121138.98</v>
      </c>
      <c r="L143" s="5">
        <v>0</v>
      </c>
      <c r="M143" s="2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7">
        <v>658.57</v>
      </c>
      <c r="AF143" s="5">
        <v>0</v>
      </c>
      <c r="AG143" s="5">
        <v>0</v>
      </c>
      <c r="AH143" s="246" t="s">
        <v>49</v>
      </c>
      <c r="AI143" s="246">
        <v>2020</v>
      </c>
      <c r="AJ143" s="6">
        <v>2020</v>
      </c>
      <c r="CB143" s="236"/>
      <c r="CF143" s="2" t="e">
        <f t="shared" si="12"/>
        <v>#N/A</v>
      </c>
      <c r="CG143" s="242" t="s">
        <v>1121</v>
      </c>
      <c r="CH143" s="242">
        <v>1057.07</v>
      </c>
    </row>
    <row r="144" spans="1:86" ht="61.5" x14ac:dyDescent="0.85">
      <c r="A144" s="2">
        <v>1</v>
      </c>
      <c r="B144" s="18">
        <f>SUBTOTAL(103,$A$22:A144)</f>
        <v>122</v>
      </c>
      <c r="C144" s="3" t="s">
        <v>1122</v>
      </c>
      <c r="D144" s="5">
        <v>1865511.7</v>
      </c>
      <c r="E144" s="5">
        <f t="shared" si="10"/>
        <v>916194.57</v>
      </c>
      <c r="F144" s="5">
        <f t="shared" si="16"/>
        <v>949317.13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2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7">
        <v>435.9</v>
      </c>
      <c r="T144" s="48">
        <v>935287.81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f>ROUND(T144*1.5%,2)</f>
        <v>14029.32</v>
      </c>
      <c r="AF144" s="5">
        <v>0</v>
      </c>
      <c r="AG144" s="5">
        <v>0</v>
      </c>
      <c r="AH144" s="246" t="s">
        <v>49</v>
      </c>
      <c r="AI144" s="246">
        <v>2020</v>
      </c>
      <c r="AJ144" s="6">
        <v>2020</v>
      </c>
      <c r="CB144" s="236"/>
      <c r="CF144" s="2" t="e">
        <f t="shared" si="12"/>
        <v>#N/A</v>
      </c>
      <c r="CG144" s="242" t="s">
        <v>1123</v>
      </c>
      <c r="CH144" s="242">
        <v>615.20000000000005</v>
      </c>
    </row>
    <row r="145" spans="1:86" ht="61.5" x14ac:dyDescent="0.85">
      <c r="A145" s="2">
        <v>1</v>
      </c>
      <c r="B145" s="18">
        <f>SUBTOTAL(103,$A$22:A145)</f>
        <v>123</v>
      </c>
      <c r="C145" s="3" t="s">
        <v>1124</v>
      </c>
      <c r="D145" s="5">
        <v>294696.21999999997</v>
      </c>
      <c r="E145" s="5">
        <f t="shared" si="10"/>
        <v>0</v>
      </c>
      <c r="F145" s="5">
        <f t="shared" si="16"/>
        <v>294696.21999999997</v>
      </c>
      <c r="G145" s="5">
        <v>65413.4</v>
      </c>
      <c r="H145" s="5">
        <v>0</v>
      </c>
      <c r="I145" s="5">
        <v>0</v>
      </c>
      <c r="J145" s="5">
        <v>73602.460000000006</v>
      </c>
      <c r="K145" s="5">
        <v>151325.24</v>
      </c>
      <c r="L145" s="5">
        <v>0</v>
      </c>
      <c r="M145" s="2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f>ROUND((G145+H145+I145+J145+K145+L145)*1.5%,2)</f>
        <v>4355.12</v>
      </c>
      <c r="AF145" s="5">
        <v>0</v>
      </c>
      <c r="AG145" s="5">
        <v>0</v>
      </c>
      <c r="AH145" s="246" t="s">
        <v>49</v>
      </c>
      <c r="AI145" s="246">
        <v>2020</v>
      </c>
      <c r="AJ145" s="6">
        <v>2020</v>
      </c>
      <c r="CB145" s="236"/>
      <c r="CF145" s="2" t="e">
        <f t="shared" si="12"/>
        <v>#N/A</v>
      </c>
      <c r="CG145" s="242" t="s">
        <v>1125</v>
      </c>
      <c r="CH145" s="242">
        <v>289.86</v>
      </c>
    </row>
    <row r="146" spans="1:86" ht="61.5" x14ac:dyDescent="0.85">
      <c r="A146" s="2">
        <v>1</v>
      </c>
      <c r="B146" s="18">
        <f>SUBTOTAL(103,$A$22:A146)</f>
        <v>124</v>
      </c>
      <c r="C146" s="3" t="s">
        <v>1126</v>
      </c>
      <c r="D146" s="5">
        <v>1771786.28</v>
      </c>
      <c r="E146" s="5">
        <f t="shared" si="10"/>
        <v>16694.159999999916</v>
      </c>
      <c r="F146" s="5">
        <f t="shared" si="16"/>
        <v>1755092.12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2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802.93</v>
      </c>
      <c r="T146" s="234">
        <v>1745602.25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7">
        <v>9489.8700000000008</v>
      </c>
      <c r="AF146" s="5">
        <v>0</v>
      </c>
      <c r="AG146" s="5">
        <v>0</v>
      </c>
      <c r="AH146" s="246" t="s">
        <v>49</v>
      </c>
      <c r="AI146" s="246">
        <v>2020</v>
      </c>
      <c r="AJ146" s="6">
        <v>2020</v>
      </c>
      <c r="CB146" s="236"/>
      <c r="CF146" s="2" t="e">
        <f t="shared" si="12"/>
        <v>#N/A</v>
      </c>
      <c r="CG146" s="242" t="s">
        <v>978</v>
      </c>
      <c r="CH146" s="242">
        <v>952</v>
      </c>
    </row>
    <row r="147" spans="1:86" ht="61.5" x14ac:dyDescent="0.85">
      <c r="A147" s="2">
        <v>1</v>
      </c>
      <c r="B147" s="18">
        <f>SUBTOTAL(103,$A$22:A147)</f>
        <v>125</v>
      </c>
      <c r="C147" s="3" t="s">
        <v>1127</v>
      </c>
      <c r="D147" s="5">
        <v>1195321.73</v>
      </c>
      <c r="E147" s="5">
        <f t="shared" ref="E147:E210" si="18">D147-F147</f>
        <v>11262.580000000075</v>
      </c>
      <c r="F147" s="5">
        <f t="shared" si="16"/>
        <v>1184059.1499999999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2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573.12</v>
      </c>
      <c r="T147" s="234">
        <v>1177656.8799999999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48">
        <v>6402.27</v>
      </c>
      <c r="AF147" s="5">
        <v>0</v>
      </c>
      <c r="AG147" s="5">
        <v>0</v>
      </c>
      <c r="AH147" s="246" t="s">
        <v>49</v>
      </c>
      <c r="AI147" s="246">
        <v>2020</v>
      </c>
      <c r="AJ147" s="6">
        <v>2020</v>
      </c>
      <c r="CB147" s="236"/>
      <c r="CF147" s="2" t="e">
        <f t="shared" si="12"/>
        <v>#N/A</v>
      </c>
      <c r="CG147" s="242" t="s">
        <v>995</v>
      </c>
      <c r="CH147" s="242">
        <v>904</v>
      </c>
    </row>
    <row r="148" spans="1:86" ht="61.5" x14ac:dyDescent="0.85">
      <c r="A148" s="2">
        <v>1</v>
      </c>
      <c r="B148" s="18">
        <f>SUBTOTAL(103,$A$22:A148)</f>
        <v>126</v>
      </c>
      <c r="C148" s="3" t="s">
        <v>1128</v>
      </c>
      <c r="D148" s="5">
        <v>5593558.4000000004</v>
      </c>
      <c r="E148" s="5">
        <f t="shared" si="18"/>
        <v>0</v>
      </c>
      <c r="F148" s="5">
        <f t="shared" si="16"/>
        <v>5593558.4000000004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25">
        <v>4</v>
      </c>
      <c r="N148" s="5">
        <v>5593558.4000000004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246" t="s">
        <v>49</v>
      </c>
      <c r="AI148" s="246">
        <v>2020</v>
      </c>
      <c r="AJ148" s="6" t="s">
        <v>49</v>
      </c>
      <c r="CB148" s="236"/>
      <c r="CF148" s="2" t="e">
        <f t="shared" si="12"/>
        <v>#N/A</v>
      </c>
      <c r="CG148" s="242" t="s">
        <v>1129</v>
      </c>
      <c r="CH148" s="242">
        <v>586.70000000000005</v>
      </c>
    </row>
    <row r="149" spans="1:86" ht="61.5" x14ac:dyDescent="0.85">
      <c r="A149" s="2">
        <v>1</v>
      </c>
      <c r="B149" s="18">
        <f>SUBTOTAL(103,$A$22:A149)</f>
        <v>127</v>
      </c>
      <c r="C149" s="3" t="s">
        <v>1130</v>
      </c>
      <c r="D149" s="5">
        <v>1580499.5999999999</v>
      </c>
      <c r="E149" s="5">
        <f t="shared" si="18"/>
        <v>518355.74999999977</v>
      </c>
      <c r="F149" s="5">
        <f t="shared" si="16"/>
        <v>1062143.8500000001</v>
      </c>
      <c r="G149" s="234">
        <v>167591.53</v>
      </c>
      <c r="H149" s="5">
        <v>0</v>
      </c>
      <c r="I149" s="5">
        <v>0</v>
      </c>
      <c r="J149" s="234">
        <v>140858.07999999999</v>
      </c>
      <c r="K149" s="48">
        <v>737997.53</v>
      </c>
      <c r="L149" s="5">
        <v>0</v>
      </c>
      <c r="M149" s="2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f>ROUND((G149+H149+I149+J149+K149+L149)*1.5%,2)</f>
        <v>15696.71</v>
      </c>
      <c r="AF149" s="5">
        <v>0</v>
      </c>
      <c r="AG149" s="5">
        <v>0</v>
      </c>
      <c r="AH149" s="246" t="s">
        <v>49</v>
      </c>
      <c r="AI149" s="246">
        <v>2020</v>
      </c>
      <c r="AJ149" s="6">
        <v>2020</v>
      </c>
      <c r="CB149" s="236"/>
      <c r="CF149" s="2" t="e">
        <f t="shared" si="12"/>
        <v>#N/A</v>
      </c>
      <c r="CG149" s="242" t="s">
        <v>1131</v>
      </c>
      <c r="CH149" s="242">
        <v>384.56</v>
      </c>
    </row>
    <row r="150" spans="1:86" ht="61.5" x14ac:dyDescent="0.85">
      <c r="A150" s="2">
        <v>1</v>
      </c>
      <c r="B150" s="18">
        <f>SUBTOTAL(103,$A$22:A150)</f>
        <v>128</v>
      </c>
      <c r="C150" s="3" t="s">
        <v>1132</v>
      </c>
      <c r="D150" s="5">
        <v>3155480.78</v>
      </c>
      <c r="E150" s="5">
        <f t="shared" si="18"/>
        <v>1612544.3199999998</v>
      </c>
      <c r="F150" s="5">
        <f t="shared" si="16"/>
        <v>1542936.46</v>
      </c>
      <c r="G150" s="5">
        <v>159966.85999999999</v>
      </c>
      <c r="H150" s="5">
        <v>287233.21999999997</v>
      </c>
      <c r="I150" s="5">
        <v>0</v>
      </c>
      <c r="J150" s="5">
        <v>144939.76999999999</v>
      </c>
      <c r="K150" s="7">
        <v>927994.59</v>
      </c>
      <c r="L150" s="5">
        <v>0</v>
      </c>
      <c r="M150" s="2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f>ROUND((G150+H150+I150+J150+K150+L150)*1.5%,2)</f>
        <v>22802.02</v>
      </c>
      <c r="AF150" s="5">
        <v>0</v>
      </c>
      <c r="AG150" s="5">
        <v>0</v>
      </c>
      <c r="AH150" s="246" t="s">
        <v>49</v>
      </c>
      <c r="AI150" s="246">
        <v>2020</v>
      </c>
      <c r="AJ150" s="6">
        <v>2020</v>
      </c>
      <c r="CB150" s="236"/>
      <c r="CF150" s="2" t="e">
        <f t="shared" si="12"/>
        <v>#N/A</v>
      </c>
      <c r="CG150" s="242" t="s">
        <v>1133</v>
      </c>
      <c r="CH150" s="242">
        <v>500</v>
      </c>
    </row>
    <row r="151" spans="1:86" ht="61.5" x14ac:dyDescent="0.85">
      <c r="A151" s="2">
        <v>1</v>
      </c>
      <c r="B151" s="18">
        <f>SUBTOTAL(103,$A$22:A151)</f>
        <v>129</v>
      </c>
      <c r="C151" s="3" t="s">
        <v>1134</v>
      </c>
      <c r="D151" s="5">
        <v>288295.91000000003</v>
      </c>
      <c r="E151" s="5">
        <f t="shared" si="18"/>
        <v>2716.390000000014</v>
      </c>
      <c r="F151" s="5">
        <f t="shared" si="16"/>
        <v>285579.52000000002</v>
      </c>
      <c r="G151" s="5">
        <v>0</v>
      </c>
      <c r="H151" s="5">
        <v>0</v>
      </c>
      <c r="I151" s="5">
        <v>0</v>
      </c>
      <c r="J151" s="234">
        <v>284035.38</v>
      </c>
      <c r="K151" s="5">
        <v>0</v>
      </c>
      <c r="L151" s="5">
        <v>0</v>
      </c>
      <c r="M151" s="2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48">
        <v>1544.14</v>
      </c>
      <c r="AF151" s="5">
        <v>0</v>
      </c>
      <c r="AG151" s="5">
        <v>0</v>
      </c>
      <c r="AH151" s="246" t="s">
        <v>49</v>
      </c>
      <c r="AI151" s="246">
        <v>2020</v>
      </c>
      <c r="AJ151" s="6">
        <v>2020</v>
      </c>
      <c r="CB151" s="236"/>
      <c r="CF151" s="2" t="e">
        <f t="shared" si="12"/>
        <v>#N/A</v>
      </c>
      <c r="CG151" s="242" t="s">
        <v>1022</v>
      </c>
      <c r="CH151" s="242">
        <v>946</v>
      </c>
    </row>
    <row r="152" spans="1:86" ht="61.5" x14ac:dyDescent="0.85">
      <c r="A152" s="2">
        <v>1</v>
      </c>
      <c r="B152" s="18">
        <f>SUBTOTAL(103,$A$22:A152)</f>
        <v>130</v>
      </c>
      <c r="C152" s="3" t="s">
        <v>994</v>
      </c>
      <c r="D152" s="5">
        <v>2438149.1599999997</v>
      </c>
      <c r="E152" s="5">
        <f t="shared" si="18"/>
        <v>22483.509999999776</v>
      </c>
      <c r="F152" s="5">
        <f t="shared" si="16"/>
        <v>2415665.65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25">
        <v>0</v>
      </c>
      <c r="N152" s="5">
        <v>0</v>
      </c>
      <c r="O152" s="5">
        <v>619</v>
      </c>
      <c r="P152" s="5">
        <v>2350957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7">
        <v>12780.85</v>
      </c>
      <c r="AF152" s="5">
        <v>51927.8</v>
      </c>
      <c r="AG152" s="5">
        <v>0</v>
      </c>
      <c r="AH152" s="246">
        <v>2020</v>
      </c>
      <c r="AI152" s="246">
        <v>2020</v>
      </c>
      <c r="AJ152" s="6">
        <v>2020</v>
      </c>
      <c r="CB152" s="236"/>
      <c r="CF152" s="2">
        <f t="shared" si="12"/>
        <v>633.34</v>
      </c>
      <c r="CG152" s="242" t="s">
        <v>1024</v>
      </c>
      <c r="CH152" s="242">
        <v>365.5</v>
      </c>
    </row>
    <row r="153" spans="1:86" ht="61.5" x14ac:dyDescent="0.85">
      <c r="A153" s="2">
        <v>1</v>
      </c>
      <c r="B153" s="18">
        <f>SUBTOTAL(103,$A$22:A153)</f>
        <v>131</v>
      </c>
      <c r="C153" s="3" t="s">
        <v>996</v>
      </c>
      <c r="D153" s="5">
        <v>5623327.0800000001</v>
      </c>
      <c r="E153" s="5">
        <f t="shared" si="18"/>
        <v>0</v>
      </c>
      <c r="F153" s="5">
        <f t="shared" si="16"/>
        <v>5623327.0800000001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25">
        <v>0</v>
      </c>
      <c r="N153" s="5">
        <v>0</v>
      </c>
      <c r="O153" s="5">
        <v>1496.78</v>
      </c>
      <c r="P153" s="5">
        <v>5587289.0700000003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7">
        <v>36038.01</v>
      </c>
      <c r="AF153" s="5">
        <v>0</v>
      </c>
      <c r="AG153" s="5">
        <v>0</v>
      </c>
      <c r="AH153" s="246" t="s">
        <v>49</v>
      </c>
      <c r="AI153" s="246">
        <v>2020</v>
      </c>
      <c r="AJ153" s="6">
        <v>2020</v>
      </c>
      <c r="CB153" s="236"/>
      <c r="CF153" s="2">
        <f t="shared" si="12"/>
        <v>1674.7</v>
      </c>
      <c r="CG153" s="242" t="s">
        <v>1026</v>
      </c>
      <c r="CH153" s="242">
        <v>365.5</v>
      </c>
    </row>
    <row r="154" spans="1:86" ht="61.5" x14ac:dyDescent="0.85">
      <c r="A154" s="2">
        <v>1</v>
      </c>
      <c r="B154" s="18">
        <f>SUBTOTAL(103,$A$22:A154)</f>
        <v>132</v>
      </c>
      <c r="C154" s="3" t="s">
        <v>1135</v>
      </c>
      <c r="D154" s="5">
        <v>4291269.42</v>
      </c>
      <c r="E154" s="5">
        <f t="shared" si="18"/>
        <v>4238701.74</v>
      </c>
      <c r="F154" s="5">
        <f t="shared" si="16"/>
        <v>52567.68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2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f>ROUND(P154*1.5%,2)</f>
        <v>0</v>
      </c>
      <c r="AF154" s="5">
        <v>52567.68</v>
      </c>
      <c r="AG154" s="5">
        <v>0</v>
      </c>
      <c r="AH154" s="246">
        <v>2020</v>
      </c>
      <c r="AI154" s="246" t="s">
        <v>49</v>
      </c>
      <c r="AJ154" s="246" t="s">
        <v>49</v>
      </c>
      <c r="CB154" s="236"/>
      <c r="CF154" s="2" t="e">
        <f t="shared" si="12"/>
        <v>#N/A</v>
      </c>
      <c r="CG154" s="242" t="s">
        <v>1094</v>
      </c>
      <c r="CH154" s="242">
        <v>598</v>
      </c>
    </row>
    <row r="155" spans="1:86" ht="61.5" x14ac:dyDescent="0.85">
      <c r="A155" s="2">
        <v>1</v>
      </c>
      <c r="B155" s="18">
        <f>SUBTOTAL(103,$A$22:A155)</f>
        <v>133</v>
      </c>
      <c r="C155" s="3" t="s">
        <v>1136</v>
      </c>
      <c r="D155" s="5">
        <v>2983424.5999999996</v>
      </c>
      <c r="E155" s="5">
        <f t="shared" si="18"/>
        <v>2922293.2399999998</v>
      </c>
      <c r="F155" s="5">
        <f t="shared" si="16"/>
        <v>61131.360000000001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2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f>ROUND(T155*1.5%,2)</f>
        <v>0</v>
      </c>
      <c r="AF155" s="5">
        <v>61131.360000000001</v>
      </c>
      <c r="AG155" s="5">
        <v>0</v>
      </c>
      <c r="AH155" s="246">
        <v>2020</v>
      </c>
      <c r="AI155" s="246" t="s">
        <v>49</v>
      </c>
      <c r="AJ155" s="246" t="s">
        <v>49</v>
      </c>
      <c r="CB155" s="236"/>
      <c r="CF155" s="2" t="e">
        <f t="shared" si="12"/>
        <v>#N/A</v>
      </c>
      <c r="CG155" s="242" t="s">
        <v>1137</v>
      </c>
      <c r="CH155" s="242">
        <v>486.27</v>
      </c>
    </row>
    <row r="156" spans="1:86" ht="61.5" x14ac:dyDescent="0.85">
      <c r="A156" s="2">
        <v>1</v>
      </c>
      <c r="B156" s="18">
        <f>SUBTOTAL(103,$A$22:A156)</f>
        <v>134</v>
      </c>
      <c r="C156" s="3" t="s">
        <v>1138</v>
      </c>
      <c r="D156" s="5">
        <v>3147456.93</v>
      </c>
      <c r="E156" s="5">
        <f t="shared" si="18"/>
        <v>3021062.87</v>
      </c>
      <c r="F156" s="5">
        <f t="shared" si="16"/>
        <v>126394.06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2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f>ROUND(T156*1.5%,2)</f>
        <v>0</v>
      </c>
      <c r="AF156" s="5">
        <f>120000+6394.06</f>
        <v>126394.06</v>
      </c>
      <c r="AG156" s="5">
        <v>0</v>
      </c>
      <c r="AH156" s="246">
        <v>2020</v>
      </c>
      <c r="AI156" s="246" t="s">
        <v>49</v>
      </c>
      <c r="AJ156" s="246" t="s">
        <v>49</v>
      </c>
      <c r="CB156" s="236"/>
      <c r="CF156" s="2" t="e">
        <f t="shared" si="12"/>
        <v>#N/A</v>
      </c>
      <c r="CG156" s="242" t="s">
        <v>1139</v>
      </c>
      <c r="CH156" s="242">
        <v>1151</v>
      </c>
    </row>
    <row r="157" spans="1:86" ht="61.5" x14ac:dyDescent="0.85">
      <c r="B157" s="3" t="s">
        <v>1140</v>
      </c>
      <c r="C157" s="442"/>
      <c r="D157" s="244">
        <v>116895934.09999999</v>
      </c>
      <c r="E157" s="233">
        <f t="shared" si="18"/>
        <v>1161108.1099999845</v>
      </c>
      <c r="F157" s="244">
        <f t="shared" ref="F157:AG157" si="19">SUM(F158:F202)</f>
        <v>115734825.99000001</v>
      </c>
      <c r="G157" s="5">
        <f t="shared" si="19"/>
        <v>358075</v>
      </c>
      <c r="H157" s="5">
        <f t="shared" si="19"/>
        <v>609470</v>
      </c>
      <c r="I157" s="5">
        <f t="shared" si="19"/>
        <v>10937113.330000002</v>
      </c>
      <c r="J157" s="5">
        <f t="shared" si="19"/>
        <v>118902</v>
      </c>
      <c r="K157" s="5">
        <f t="shared" si="19"/>
        <v>228228</v>
      </c>
      <c r="L157" s="5">
        <f t="shared" si="19"/>
        <v>0</v>
      </c>
      <c r="M157" s="241">
        <f t="shared" si="19"/>
        <v>17</v>
      </c>
      <c r="N157" s="5">
        <f t="shared" si="19"/>
        <v>27184194.339999996</v>
      </c>
      <c r="O157" s="5">
        <f t="shared" si="19"/>
        <v>16658.260000000002</v>
      </c>
      <c r="P157" s="5">
        <f t="shared" si="19"/>
        <v>69631090.189999998</v>
      </c>
      <c r="Q157" s="5">
        <f t="shared" si="19"/>
        <v>725.5</v>
      </c>
      <c r="R157" s="5">
        <f t="shared" si="19"/>
        <v>2835629.57</v>
      </c>
      <c r="S157" s="5">
        <f t="shared" si="19"/>
        <v>0</v>
      </c>
      <c r="T157" s="5">
        <f t="shared" si="19"/>
        <v>0</v>
      </c>
      <c r="U157" s="5">
        <f t="shared" si="19"/>
        <v>19.07</v>
      </c>
      <c r="V157" s="5">
        <f t="shared" si="19"/>
        <v>210458.31</v>
      </c>
      <c r="W157" s="5">
        <f t="shared" si="19"/>
        <v>0</v>
      </c>
      <c r="X157" s="5">
        <f t="shared" si="19"/>
        <v>0</v>
      </c>
      <c r="Y157" s="5">
        <f t="shared" si="19"/>
        <v>0</v>
      </c>
      <c r="Z157" s="5">
        <f t="shared" si="19"/>
        <v>0</v>
      </c>
      <c r="AA157" s="5">
        <f t="shared" si="19"/>
        <v>0</v>
      </c>
      <c r="AB157" s="5">
        <f t="shared" si="19"/>
        <v>0</v>
      </c>
      <c r="AC157" s="5">
        <f t="shared" si="19"/>
        <v>0</v>
      </c>
      <c r="AD157" s="5">
        <f t="shared" si="19"/>
        <v>0</v>
      </c>
      <c r="AE157" s="5">
        <f t="shared" si="19"/>
        <v>678662.15</v>
      </c>
      <c r="AF157" s="5">
        <f t="shared" si="19"/>
        <v>2943003.0999999992</v>
      </c>
      <c r="AG157" s="5">
        <f t="shared" si="19"/>
        <v>0</v>
      </c>
      <c r="AH157" s="23" t="s">
        <v>90</v>
      </c>
      <c r="AI157" s="23" t="s">
        <v>90</v>
      </c>
      <c r="AJ157" s="27" t="s">
        <v>90</v>
      </c>
      <c r="AV157" s="2" t="e">
        <f t="shared" ref="AV157:AV173" si="20">VLOOKUP(C157,AY:AZ,2,FALSE)</f>
        <v>#N/A</v>
      </c>
      <c r="CB157" s="5">
        <v>157621357.26999998</v>
      </c>
      <c r="CC157" s="5"/>
      <c r="CD157" s="5">
        <f>CB157-F157</f>
        <v>41886531.279999971</v>
      </c>
      <c r="CF157" s="2" t="e">
        <f t="shared" si="12"/>
        <v>#N/A</v>
      </c>
      <c r="CG157" s="242" t="s">
        <v>1141</v>
      </c>
      <c r="CH157" s="242">
        <v>336.14</v>
      </c>
    </row>
    <row r="158" spans="1:86" ht="61.5" x14ac:dyDescent="0.85">
      <c r="A158" s="2">
        <v>1</v>
      </c>
      <c r="B158" s="18">
        <f>SUBTOTAL(103,$A$22:A158)</f>
        <v>135</v>
      </c>
      <c r="C158" s="3" t="s">
        <v>1142</v>
      </c>
      <c r="D158" s="5">
        <v>2649277.08</v>
      </c>
      <c r="E158" s="5">
        <f t="shared" si="18"/>
        <v>0</v>
      </c>
      <c r="F158" s="5">
        <f t="shared" ref="F158:F194" si="21">G158+H158+I158+J158+K158+L158+N158+P158+R158+T158+V158+W158+X158+Y158+Z158+AA158+AB158+AC158+AD158+AE158+AF158+AG158</f>
        <v>2649277.08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241">
        <v>0</v>
      </c>
      <c r="N158" s="5">
        <v>0</v>
      </c>
      <c r="O158" s="5">
        <v>1108.98</v>
      </c>
      <c r="P158" s="5">
        <v>2492694.84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7">
        <v>156582.24</v>
      </c>
      <c r="AG158" s="5">
        <v>0</v>
      </c>
      <c r="AH158" s="246">
        <v>2020</v>
      </c>
      <c r="AI158" s="246">
        <v>2020</v>
      </c>
      <c r="AJ158" s="6" t="s">
        <v>49</v>
      </c>
      <c r="AV158" s="2" t="e">
        <f t="shared" si="20"/>
        <v>#N/A</v>
      </c>
      <c r="CB158" s="236"/>
      <c r="CF158" s="2">
        <f t="shared" si="12"/>
        <v>1108.98</v>
      </c>
      <c r="CG158" s="242" t="s">
        <v>1143</v>
      </c>
      <c r="CH158" s="242">
        <v>335</v>
      </c>
    </row>
    <row r="159" spans="1:86" ht="61.5" x14ac:dyDescent="0.85">
      <c r="A159" s="2">
        <v>1</v>
      </c>
      <c r="B159" s="18">
        <f>SUBTOTAL(103,$A$22:A159)</f>
        <v>136</v>
      </c>
      <c r="C159" s="3" t="s">
        <v>1144</v>
      </c>
      <c r="D159" s="5">
        <v>2624505.91</v>
      </c>
      <c r="E159" s="5">
        <f t="shared" si="18"/>
        <v>24812.540000000037</v>
      </c>
      <c r="F159" s="5">
        <f t="shared" si="21"/>
        <v>2599693.37</v>
      </c>
      <c r="G159" s="5">
        <v>358075</v>
      </c>
      <c r="H159" s="5">
        <v>609470</v>
      </c>
      <c r="I159" s="5">
        <v>1447301</v>
      </c>
      <c r="J159" s="5">
        <v>0</v>
      </c>
      <c r="K159" s="5">
        <v>0</v>
      </c>
      <c r="L159" s="5">
        <v>0</v>
      </c>
      <c r="M159" s="241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7">
        <v>11410.15</v>
      </c>
      <c r="AF159" s="7">
        <v>173437.22</v>
      </c>
      <c r="AG159" s="5">
        <v>0</v>
      </c>
      <c r="AH159" s="246">
        <v>2020</v>
      </c>
      <c r="AI159" s="246">
        <v>2020</v>
      </c>
      <c r="AJ159" s="6">
        <v>2020</v>
      </c>
      <c r="AV159" s="2" t="e">
        <f t="shared" si="20"/>
        <v>#N/A</v>
      </c>
      <c r="CB159" s="236"/>
      <c r="CF159" s="2" t="e">
        <f t="shared" si="12"/>
        <v>#N/A</v>
      </c>
      <c r="CG159" s="242" t="s">
        <v>1145</v>
      </c>
      <c r="CH159" s="242">
        <v>678.5</v>
      </c>
    </row>
    <row r="160" spans="1:86" ht="61.5" x14ac:dyDescent="0.85">
      <c r="A160" s="2">
        <v>1</v>
      </c>
      <c r="B160" s="18">
        <f>SUBTOTAL(103,$A$22:A160)</f>
        <v>137</v>
      </c>
      <c r="C160" s="3" t="s">
        <v>1146</v>
      </c>
      <c r="D160" s="5">
        <v>3188621.1</v>
      </c>
      <c r="E160" s="5">
        <f t="shared" si="18"/>
        <v>0</v>
      </c>
      <c r="F160" s="5">
        <f t="shared" si="21"/>
        <v>3188621.1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241">
        <v>0</v>
      </c>
      <c r="N160" s="5">
        <v>0</v>
      </c>
      <c r="O160" s="7">
        <v>600</v>
      </c>
      <c r="P160" s="7">
        <v>3110660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7">
        <v>77961.100000000006</v>
      </c>
      <c r="AG160" s="5">
        <v>0</v>
      </c>
      <c r="AH160" s="246">
        <v>2020</v>
      </c>
      <c r="AI160" s="246">
        <v>2020</v>
      </c>
      <c r="AJ160" s="6" t="s">
        <v>49</v>
      </c>
      <c r="AV160" s="2" t="e">
        <f t="shared" si="20"/>
        <v>#N/A</v>
      </c>
      <c r="CB160" s="236"/>
      <c r="CF160" s="2">
        <f t="shared" si="12"/>
        <v>600</v>
      </c>
      <c r="CG160" s="242" t="s">
        <v>1147</v>
      </c>
      <c r="CH160" s="242">
        <v>453.4</v>
      </c>
    </row>
    <row r="161" spans="1:86" ht="61.5" x14ac:dyDescent="0.85">
      <c r="A161" s="2">
        <v>1</v>
      </c>
      <c r="B161" s="18">
        <f>SUBTOTAL(103,$A$22:A161)</f>
        <v>138</v>
      </c>
      <c r="C161" s="3" t="s">
        <v>1148</v>
      </c>
      <c r="D161" s="5">
        <v>5265781.6800000006</v>
      </c>
      <c r="E161" s="5">
        <f t="shared" si="18"/>
        <v>0</v>
      </c>
      <c r="F161" s="5">
        <f t="shared" si="21"/>
        <v>5265781.6800000006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241">
        <v>0</v>
      </c>
      <c r="N161" s="5">
        <v>0</v>
      </c>
      <c r="O161" s="7">
        <v>1093</v>
      </c>
      <c r="P161" s="48">
        <v>5109413.2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48">
        <v>24141.98</v>
      </c>
      <c r="AF161" s="7">
        <v>132226.5</v>
      </c>
      <c r="AG161" s="5">
        <v>0</v>
      </c>
      <c r="AH161" s="246">
        <v>2020</v>
      </c>
      <c r="AI161" s="246">
        <v>2020</v>
      </c>
      <c r="AJ161" s="6">
        <v>2020</v>
      </c>
      <c r="AV161" s="2" t="e">
        <f t="shared" si="20"/>
        <v>#N/A</v>
      </c>
      <c r="CB161" s="236"/>
      <c r="CF161" s="2" t="e">
        <f t="shared" si="12"/>
        <v>#N/A</v>
      </c>
      <c r="CG161" s="242" t="s">
        <v>1149</v>
      </c>
      <c r="CH161" s="242">
        <v>511.8</v>
      </c>
    </row>
    <row r="162" spans="1:86" ht="61.5" x14ac:dyDescent="0.85">
      <c r="A162" s="2">
        <v>1</v>
      </c>
      <c r="B162" s="18">
        <f>SUBTOTAL(103,$A$22:A162)</f>
        <v>139</v>
      </c>
      <c r="C162" s="3" t="s">
        <v>1150</v>
      </c>
      <c r="D162" s="5">
        <v>4707897.5999999996</v>
      </c>
      <c r="E162" s="5">
        <f t="shared" si="18"/>
        <v>-685177.33000000007</v>
      </c>
      <c r="F162" s="5">
        <f t="shared" si="21"/>
        <v>5393074.9299999997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241">
        <v>0</v>
      </c>
      <c r="N162" s="5">
        <v>0</v>
      </c>
      <c r="O162" s="7">
        <v>1092.54</v>
      </c>
      <c r="P162" s="48">
        <v>5234761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48">
        <v>24734.25</v>
      </c>
      <c r="AF162" s="7">
        <v>133579.68</v>
      </c>
      <c r="AG162" s="5">
        <v>0</v>
      </c>
      <c r="AH162" s="246">
        <v>2020</v>
      </c>
      <c r="AI162" s="246">
        <v>2020</v>
      </c>
      <c r="AJ162" s="6">
        <v>2020</v>
      </c>
      <c r="AV162" s="2" t="e">
        <f t="shared" si="20"/>
        <v>#N/A</v>
      </c>
      <c r="CB162" s="236"/>
      <c r="CF162" s="2" t="e">
        <f t="shared" si="12"/>
        <v>#N/A</v>
      </c>
      <c r="CG162" s="242" t="s">
        <v>1043</v>
      </c>
      <c r="CH162" s="242">
        <v>556.6</v>
      </c>
    </row>
    <row r="163" spans="1:86" ht="61.5" x14ac:dyDescent="0.85">
      <c r="A163" s="2">
        <v>1</v>
      </c>
      <c r="B163" s="18">
        <f>SUBTOTAL(103,$A$22:A163)</f>
        <v>140</v>
      </c>
      <c r="C163" s="3" t="s">
        <v>917</v>
      </c>
      <c r="D163" s="5">
        <v>4873547.67</v>
      </c>
      <c r="E163" s="5">
        <f t="shared" si="18"/>
        <v>0</v>
      </c>
      <c r="F163" s="5">
        <f t="shared" si="21"/>
        <v>4873547.67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25">
        <v>3</v>
      </c>
      <c r="N163" s="5">
        <v>4873547.67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246" t="s">
        <v>49</v>
      </c>
      <c r="AI163" s="246">
        <v>2020</v>
      </c>
      <c r="AJ163" s="6" t="s">
        <v>49</v>
      </c>
      <c r="AV163" s="2">
        <f t="shared" si="20"/>
        <v>1</v>
      </c>
      <c r="CB163" s="236"/>
      <c r="CF163" s="2" t="e">
        <f t="shared" si="12"/>
        <v>#N/A</v>
      </c>
      <c r="CG163" s="242" t="s">
        <v>1053</v>
      </c>
      <c r="CH163" s="242">
        <v>466.12</v>
      </c>
    </row>
    <row r="164" spans="1:86" ht="61.5" x14ac:dyDescent="0.85">
      <c r="A164" s="2">
        <v>1</v>
      </c>
      <c r="B164" s="18">
        <f>SUBTOTAL(103,$A$22:A164)</f>
        <v>141</v>
      </c>
      <c r="C164" s="3" t="s">
        <v>1151</v>
      </c>
      <c r="D164" s="5">
        <v>2215482.85</v>
      </c>
      <c r="E164" s="5">
        <f t="shared" si="18"/>
        <v>0</v>
      </c>
      <c r="F164" s="5">
        <f t="shared" si="21"/>
        <v>2215482.85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241">
        <v>0</v>
      </c>
      <c r="N164" s="5">
        <v>0</v>
      </c>
      <c r="O164" s="5">
        <v>443.8</v>
      </c>
      <c r="P164" s="5">
        <v>2215482.85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246" t="s">
        <v>49</v>
      </c>
      <c r="AI164" s="246">
        <v>2020</v>
      </c>
      <c r="AJ164" s="6" t="s">
        <v>49</v>
      </c>
      <c r="AV164" s="2" t="e">
        <f t="shared" si="20"/>
        <v>#N/A</v>
      </c>
      <c r="CB164" s="236"/>
      <c r="CF164" s="2">
        <f t="shared" si="12"/>
        <v>443.8</v>
      </c>
      <c r="CG164" s="242" t="s">
        <v>1055</v>
      </c>
      <c r="CH164" s="242">
        <v>859</v>
      </c>
    </row>
    <row r="165" spans="1:86" ht="61.5" x14ac:dyDescent="0.85">
      <c r="A165" s="2">
        <v>1</v>
      </c>
      <c r="B165" s="18">
        <f>SUBTOTAL(103,$A$22:A165)</f>
        <v>142</v>
      </c>
      <c r="C165" s="3" t="s">
        <v>1152</v>
      </c>
      <c r="D165" s="5">
        <v>4885396.4400000004</v>
      </c>
      <c r="E165" s="5">
        <f t="shared" si="18"/>
        <v>0</v>
      </c>
      <c r="F165" s="5">
        <f t="shared" si="21"/>
        <v>4885396.4400000004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25">
        <v>3</v>
      </c>
      <c r="N165" s="5">
        <v>4885396.4400000004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246" t="s">
        <v>49</v>
      </c>
      <c r="AI165" s="246">
        <v>2020</v>
      </c>
      <c r="AJ165" s="6" t="s">
        <v>49</v>
      </c>
      <c r="AV165" s="2" t="e">
        <f t="shared" si="20"/>
        <v>#N/A</v>
      </c>
      <c r="CB165" s="236"/>
      <c r="CF165" s="2" t="e">
        <f t="shared" si="12"/>
        <v>#N/A</v>
      </c>
      <c r="CG165" s="242" t="s">
        <v>1058</v>
      </c>
      <c r="CH165" s="242">
        <v>1028.5</v>
      </c>
    </row>
    <row r="166" spans="1:86" ht="61.5" x14ac:dyDescent="0.85">
      <c r="A166" s="2">
        <v>1</v>
      </c>
      <c r="B166" s="18">
        <f>SUBTOTAL(103,$A$22:A166)</f>
        <v>143</v>
      </c>
      <c r="C166" s="3" t="s">
        <v>1153</v>
      </c>
      <c r="D166" s="5">
        <v>7963246.8599999994</v>
      </c>
      <c r="E166" s="5">
        <f t="shared" si="18"/>
        <v>78992.609999999404</v>
      </c>
      <c r="F166" s="5">
        <f t="shared" si="21"/>
        <v>7884254.25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241">
        <v>0</v>
      </c>
      <c r="N166" s="5">
        <v>0</v>
      </c>
      <c r="O166" s="19">
        <v>1503.05</v>
      </c>
      <c r="P166" s="19">
        <v>7687845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7">
        <v>36325.07</v>
      </c>
      <c r="AF166" s="7">
        <v>160084.18</v>
      </c>
      <c r="AG166" s="5">
        <v>0</v>
      </c>
      <c r="AH166" s="246">
        <v>2020</v>
      </c>
      <c r="AI166" s="246">
        <v>2020</v>
      </c>
      <c r="AJ166" s="6">
        <v>2020</v>
      </c>
      <c r="AV166" s="2" t="e">
        <f t="shared" si="20"/>
        <v>#N/A</v>
      </c>
      <c r="CB166" s="236"/>
      <c r="CF166" s="2" t="e">
        <f t="shared" si="12"/>
        <v>#N/A</v>
      </c>
      <c r="CG166" s="242" t="s">
        <v>1142</v>
      </c>
      <c r="CH166" s="242">
        <v>1108.98</v>
      </c>
    </row>
    <row r="167" spans="1:86" ht="61.5" x14ac:dyDescent="0.85">
      <c r="A167" s="2">
        <v>1</v>
      </c>
      <c r="B167" s="18">
        <f>SUBTOTAL(103,$A$22:A167)</f>
        <v>144</v>
      </c>
      <c r="C167" s="3" t="s">
        <v>1154</v>
      </c>
      <c r="D167" s="5">
        <v>2936954.38</v>
      </c>
      <c r="E167" s="5">
        <f t="shared" si="18"/>
        <v>28140.950000000186</v>
      </c>
      <c r="F167" s="5">
        <f t="shared" si="21"/>
        <v>2908813.4299999997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241">
        <v>0</v>
      </c>
      <c r="N167" s="5">
        <v>0</v>
      </c>
      <c r="O167" s="19">
        <v>935.22</v>
      </c>
      <c r="P167" s="443">
        <v>2738778.69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7">
        <v>12940.73</v>
      </c>
      <c r="AF167" s="7">
        <v>157094.01</v>
      </c>
      <c r="AG167" s="5">
        <v>0</v>
      </c>
      <c r="AH167" s="246">
        <v>2020</v>
      </c>
      <c r="AI167" s="246">
        <v>2020</v>
      </c>
      <c r="AJ167" s="6">
        <v>2020</v>
      </c>
      <c r="AV167" s="2" t="e">
        <f t="shared" si="20"/>
        <v>#N/A</v>
      </c>
      <c r="CB167" s="236"/>
      <c r="CF167" s="2" t="e">
        <f t="shared" si="12"/>
        <v>#N/A</v>
      </c>
      <c r="CG167" s="242" t="s">
        <v>1146</v>
      </c>
      <c r="CH167" s="242">
        <v>600</v>
      </c>
    </row>
    <row r="168" spans="1:86" ht="61.5" x14ac:dyDescent="0.85">
      <c r="A168" s="2">
        <v>1</v>
      </c>
      <c r="B168" s="18">
        <f>SUBTOTAL(103,$A$22:A168)</f>
        <v>145</v>
      </c>
      <c r="C168" s="3" t="s">
        <v>1155</v>
      </c>
      <c r="D168" s="5">
        <v>2189551</v>
      </c>
      <c r="E168" s="5">
        <f t="shared" si="18"/>
        <v>0</v>
      </c>
      <c r="F168" s="5">
        <f t="shared" si="21"/>
        <v>2189551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241">
        <v>0</v>
      </c>
      <c r="N168" s="5">
        <v>0</v>
      </c>
      <c r="O168" s="19">
        <v>473</v>
      </c>
      <c r="P168" s="19">
        <v>2189551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246" t="s">
        <v>49</v>
      </c>
      <c r="AI168" s="246">
        <v>2020</v>
      </c>
      <c r="AJ168" s="6" t="s">
        <v>49</v>
      </c>
      <c r="AV168" s="2" t="e">
        <f t="shared" si="20"/>
        <v>#N/A</v>
      </c>
      <c r="CB168" s="236"/>
      <c r="CF168" s="2">
        <f t="shared" si="12"/>
        <v>473</v>
      </c>
      <c r="CG168" s="242" t="s">
        <v>1151</v>
      </c>
      <c r="CH168" s="242">
        <v>443.8</v>
      </c>
    </row>
    <row r="169" spans="1:86" ht="61.5" x14ac:dyDescent="0.85">
      <c r="A169" s="2">
        <v>1</v>
      </c>
      <c r="B169" s="18">
        <f>SUBTOTAL(103,$A$22:A169)</f>
        <v>146</v>
      </c>
      <c r="C169" s="3" t="s">
        <v>1156</v>
      </c>
      <c r="D169" s="5">
        <v>2855710.47</v>
      </c>
      <c r="E169" s="5">
        <f t="shared" si="18"/>
        <v>0</v>
      </c>
      <c r="F169" s="5">
        <f t="shared" si="21"/>
        <v>2855710.47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241">
        <v>0</v>
      </c>
      <c r="N169" s="5">
        <v>0</v>
      </c>
      <c r="O169" s="19">
        <v>550</v>
      </c>
      <c r="P169" s="19">
        <v>2777462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7">
        <v>78248.47</v>
      </c>
      <c r="AG169" s="5">
        <v>0</v>
      </c>
      <c r="AH169" s="246">
        <v>2020</v>
      </c>
      <c r="AI169" s="246">
        <v>2020</v>
      </c>
      <c r="AJ169" s="6" t="s">
        <v>49</v>
      </c>
      <c r="AV169" s="2" t="e">
        <f t="shared" si="20"/>
        <v>#N/A</v>
      </c>
      <c r="CB169" s="236"/>
      <c r="CF169" s="2">
        <f t="shared" ref="CF169:CF196" si="22">VLOOKUP(C169,CG:CH,2,FALSE)</f>
        <v>550</v>
      </c>
      <c r="CG169" s="242" t="s">
        <v>1155</v>
      </c>
      <c r="CH169" s="242">
        <v>473</v>
      </c>
    </row>
    <row r="170" spans="1:86" ht="61.5" x14ac:dyDescent="0.85">
      <c r="A170" s="2">
        <v>1</v>
      </c>
      <c r="B170" s="18">
        <f>SUBTOTAL(103,$A$22:A170)</f>
        <v>147</v>
      </c>
      <c r="C170" s="3" t="s">
        <v>1157</v>
      </c>
      <c r="D170" s="5">
        <v>3951540.32</v>
      </c>
      <c r="E170" s="5">
        <f t="shared" si="18"/>
        <v>-33757.330000000075</v>
      </c>
      <c r="F170" s="5">
        <f t="shared" si="21"/>
        <v>3985297.65</v>
      </c>
      <c r="G170" s="5">
        <v>0</v>
      </c>
      <c r="H170" s="5">
        <v>0</v>
      </c>
      <c r="I170" s="7">
        <v>3842425</v>
      </c>
      <c r="J170" s="5">
        <v>0</v>
      </c>
      <c r="K170" s="5">
        <v>0</v>
      </c>
      <c r="L170" s="5">
        <v>0</v>
      </c>
      <c r="M170" s="241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f>ROUND((G170+H170+I170+J170+K170+L170)*1.5%,2)</f>
        <v>57636.38</v>
      </c>
      <c r="AF170" s="7">
        <v>85236.27</v>
      </c>
      <c r="AG170" s="5">
        <v>0</v>
      </c>
      <c r="AH170" s="246">
        <v>2020</v>
      </c>
      <c r="AI170" s="246">
        <v>2020</v>
      </c>
      <c r="AJ170" s="6">
        <v>2020</v>
      </c>
      <c r="AV170" s="2" t="e">
        <f t="shared" si="20"/>
        <v>#N/A</v>
      </c>
      <c r="CB170" s="236"/>
      <c r="CF170" s="2" t="e">
        <f t="shared" si="22"/>
        <v>#N/A</v>
      </c>
      <c r="CG170" s="242" t="s">
        <v>1156</v>
      </c>
      <c r="CH170" s="242">
        <v>550</v>
      </c>
    </row>
    <row r="171" spans="1:86" ht="61.5" x14ac:dyDescent="0.85">
      <c r="A171" s="2">
        <v>1</v>
      </c>
      <c r="B171" s="18">
        <f>SUBTOTAL(103,$A$22:A171)</f>
        <v>148</v>
      </c>
      <c r="C171" s="3" t="s">
        <v>1158</v>
      </c>
      <c r="D171" s="5">
        <v>2766905.7600000002</v>
      </c>
      <c r="E171" s="5">
        <f t="shared" si="18"/>
        <v>0</v>
      </c>
      <c r="F171" s="5">
        <f t="shared" si="21"/>
        <v>2766905.7600000002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241">
        <v>0</v>
      </c>
      <c r="N171" s="5">
        <v>0</v>
      </c>
      <c r="O171" s="7">
        <v>1190.4000000000001</v>
      </c>
      <c r="P171" s="7">
        <v>2598303.89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7">
        <v>12276.99</v>
      </c>
      <c r="AF171" s="7">
        <v>156324.88</v>
      </c>
      <c r="AG171" s="5">
        <v>0</v>
      </c>
      <c r="AH171" s="246">
        <v>2020</v>
      </c>
      <c r="AI171" s="246">
        <v>2020</v>
      </c>
      <c r="AJ171" s="6">
        <v>2020</v>
      </c>
      <c r="AV171" s="2" t="e">
        <f t="shared" si="20"/>
        <v>#N/A</v>
      </c>
      <c r="CB171" s="236"/>
      <c r="CF171" s="2" t="e">
        <f t="shared" si="22"/>
        <v>#N/A</v>
      </c>
      <c r="CG171" s="242" t="s">
        <v>1159</v>
      </c>
      <c r="CH171" s="242">
        <v>342</v>
      </c>
    </row>
    <row r="172" spans="1:86" ht="61.5" x14ac:dyDescent="0.85">
      <c r="A172" s="2">
        <v>1</v>
      </c>
      <c r="B172" s="18">
        <f>SUBTOTAL(103,$A$22:A172)</f>
        <v>149</v>
      </c>
      <c r="C172" s="3" t="s">
        <v>1159</v>
      </c>
      <c r="D172" s="5">
        <v>1828369.47</v>
      </c>
      <c r="E172" s="5">
        <f t="shared" si="18"/>
        <v>0</v>
      </c>
      <c r="F172" s="5">
        <f t="shared" si="21"/>
        <v>1828369.47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241">
        <v>0</v>
      </c>
      <c r="N172" s="5">
        <v>0</v>
      </c>
      <c r="O172" s="7">
        <v>342</v>
      </c>
      <c r="P172" s="7">
        <v>1828369.47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246" t="s">
        <v>49</v>
      </c>
      <c r="AI172" s="246">
        <v>2020</v>
      </c>
      <c r="AJ172" s="6" t="s">
        <v>49</v>
      </c>
      <c r="AV172" s="2" t="e">
        <f t="shared" si="20"/>
        <v>#N/A</v>
      </c>
      <c r="CB172" s="236"/>
      <c r="CF172" s="2">
        <f t="shared" si="22"/>
        <v>342</v>
      </c>
      <c r="CG172" s="242" t="s">
        <v>1160</v>
      </c>
      <c r="CH172" s="242">
        <v>331</v>
      </c>
    </row>
    <row r="173" spans="1:86" ht="61.5" x14ac:dyDescent="0.85">
      <c r="A173" s="2">
        <v>1</v>
      </c>
      <c r="B173" s="18">
        <f>SUBTOTAL(103,$A$22:A173)</f>
        <v>150</v>
      </c>
      <c r="C173" s="3" t="s">
        <v>1161</v>
      </c>
      <c r="D173" s="5">
        <v>9454848.4199999999</v>
      </c>
      <c r="E173" s="5">
        <f t="shared" si="18"/>
        <v>44292.469999998808</v>
      </c>
      <c r="F173" s="5">
        <f t="shared" si="21"/>
        <v>9410555.9500000011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241">
        <v>0</v>
      </c>
      <c r="N173" s="5">
        <v>0</v>
      </c>
      <c r="O173" s="7">
        <v>2014</v>
      </c>
      <c r="P173" s="7">
        <v>9115520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f>ROUND(P173*1.5%,2)</f>
        <v>136732.79999999999</v>
      </c>
      <c r="AF173" s="7">
        <v>158303.15</v>
      </c>
      <c r="AG173" s="5">
        <v>0</v>
      </c>
      <c r="AH173" s="246">
        <v>2020</v>
      </c>
      <c r="AI173" s="246">
        <v>2020</v>
      </c>
      <c r="AJ173" s="6">
        <v>2020</v>
      </c>
      <c r="AV173" s="2" t="e">
        <f t="shared" si="20"/>
        <v>#N/A</v>
      </c>
      <c r="CB173" s="236"/>
      <c r="CF173" s="2" t="e">
        <f t="shared" si="22"/>
        <v>#N/A</v>
      </c>
      <c r="CG173" s="242" t="s">
        <v>1162</v>
      </c>
      <c r="CH173" s="242">
        <v>792</v>
      </c>
    </row>
    <row r="174" spans="1:86" ht="61.5" x14ac:dyDescent="0.85">
      <c r="A174" s="2">
        <v>1</v>
      </c>
      <c r="B174" s="18">
        <f>SUBTOTAL(103,$A$22:A174)</f>
        <v>151</v>
      </c>
      <c r="C174" s="3" t="s">
        <v>1163</v>
      </c>
      <c r="D174" s="5">
        <v>2217294.33</v>
      </c>
      <c r="E174" s="5">
        <f t="shared" si="18"/>
        <v>744805.41000000015</v>
      </c>
      <c r="F174" s="5">
        <f t="shared" si="21"/>
        <v>1472488.92</v>
      </c>
      <c r="G174" s="5">
        <v>0</v>
      </c>
      <c r="H174" s="5">
        <v>0</v>
      </c>
      <c r="I174" s="7">
        <v>1103598</v>
      </c>
      <c r="J174" s="7">
        <v>118902</v>
      </c>
      <c r="K174" s="7">
        <v>228228</v>
      </c>
      <c r="L174" s="5">
        <v>0</v>
      </c>
      <c r="M174" s="241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f>ROUND((G174+H174+I174+J174+K174+L174)*1.5%,2)</f>
        <v>21760.92</v>
      </c>
      <c r="AF174" s="5">
        <v>0</v>
      </c>
      <c r="AG174" s="5">
        <v>0</v>
      </c>
      <c r="AH174" s="246" t="s">
        <v>49</v>
      </c>
      <c r="AI174" s="246">
        <v>2020</v>
      </c>
      <c r="AJ174" s="6">
        <v>2020</v>
      </c>
      <c r="CB174" s="236"/>
      <c r="CF174" s="2" t="e">
        <f t="shared" si="22"/>
        <v>#N/A</v>
      </c>
      <c r="CG174" s="242" t="s">
        <v>1164</v>
      </c>
      <c r="CH174" s="242">
        <v>592.07000000000005</v>
      </c>
    </row>
    <row r="175" spans="1:86" ht="61.5" x14ac:dyDescent="0.85">
      <c r="A175" s="2">
        <v>1</v>
      </c>
      <c r="B175" s="18">
        <f>SUBTOTAL(103,$A$22:A175)</f>
        <v>152</v>
      </c>
      <c r="C175" s="3" t="s">
        <v>1160</v>
      </c>
      <c r="D175" s="5">
        <v>1557950.91</v>
      </c>
      <c r="E175" s="5">
        <f t="shared" si="18"/>
        <v>0</v>
      </c>
      <c r="F175" s="5">
        <f t="shared" si="21"/>
        <v>1557950.91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241">
        <v>0</v>
      </c>
      <c r="N175" s="5">
        <v>0</v>
      </c>
      <c r="O175" s="5">
        <v>331</v>
      </c>
      <c r="P175" s="245">
        <v>1549352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7">
        <v>8598.91</v>
      </c>
      <c r="AF175" s="5">
        <v>0</v>
      </c>
      <c r="AG175" s="5">
        <v>0</v>
      </c>
      <c r="AH175" s="246" t="s">
        <v>49</v>
      </c>
      <c r="AI175" s="246">
        <v>2020</v>
      </c>
      <c r="AJ175" s="6">
        <v>2020</v>
      </c>
      <c r="CB175" s="236"/>
      <c r="CF175" s="2">
        <f t="shared" si="22"/>
        <v>331</v>
      </c>
      <c r="CG175" s="242" t="s">
        <v>1165</v>
      </c>
      <c r="CH175" s="242">
        <v>618.1</v>
      </c>
    </row>
    <row r="176" spans="1:86" ht="61.5" x14ac:dyDescent="0.85">
      <c r="A176" s="2">
        <v>1</v>
      </c>
      <c r="B176" s="18">
        <f>SUBTOTAL(103,$A$22:A176)</f>
        <v>153</v>
      </c>
      <c r="C176" s="3" t="s">
        <v>1166</v>
      </c>
      <c r="D176" s="5">
        <v>2712861.94</v>
      </c>
      <c r="E176" s="5">
        <f t="shared" si="18"/>
        <v>0</v>
      </c>
      <c r="F176" s="5">
        <f t="shared" si="21"/>
        <v>2712861.94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25">
        <v>2</v>
      </c>
      <c r="N176" s="5">
        <v>2712861.94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246" t="s">
        <v>49</v>
      </c>
      <c r="AI176" s="246">
        <v>2020</v>
      </c>
      <c r="AJ176" s="6" t="s">
        <v>49</v>
      </c>
      <c r="CB176" s="236"/>
      <c r="CF176" s="2" t="e">
        <f t="shared" si="22"/>
        <v>#N/A</v>
      </c>
      <c r="CG176" s="242" t="s">
        <v>1167</v>
      </c>
      <c r="CH176" s="242">
        <v>807.4</v>
      </c>
    </row>
    <row r="177" spans="1:86" ht="61.5" x14ac:dyDescent="0.85">
      <c r="A177" s="2">
        <v>1</v>
      </c>
      <c r="B177" s="18">
        <f>SUBTOTAL(103,$A$22:A177)</f>
        <v>154</v>
      </c>
      <c r="C177" s="3" t="s">
        <v>1168</v>
      </c>
      <c r="D177" s="5">
        <v>211626.35</v>
      </c>
      <c r="E177" s="5">
        <f t="shared" si="18"/>
        <v>0</v>
      </c>
      <c r="F177" s="5">
        <f t="shared" si="21"/>
        <v>211626.35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241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19.07</v>
      </c>
      <c r="V177" s="234">
        <v>210458.31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48">
        <v>1168.04</v>
      </c>
      <c r="AF177" s="5">
        <v>0</v>
      </c>
      <c r="AG177" s="5">
        <v>0</v>
      </c>
      <c r="AH177" s="246" t="s">
        <v>49</v>
      </c>
      <c r="AI177" s="246">
        <v>2020</v>
      </c>
      <c r="AJ177" s="6">
        <v>2020</v>
      </c>
      <c r="CB177" s="236"/>
      <c r="CF177" s="2" t="e">
        <f t="shared" si="22"/>
        <v>#N/A</v>
      </c>
      <c r="CG177" s="242" t="s">
        <v>1169</v>
      </c>
      <c r="CH177" s="242">
        <v>837.3</v>
      </c>
    </row>
    <row r="178" spans="1:86" ht="61.5" x14ac:dyDescent="0.85">
      <c r="A178" s="2">
        <v>1</v>
      </c>
      <c r="B178" s="18">
        <f>SUBTOTAL(103,$A$22:A178)</f>
        <v>155</v>
      </c>
      <c r="C178" s="3" t="s">
        <v>1170</v>
      </c>
      <c r="D178" s="5">
        <v>2878164.01</v>
      </c>
      <c r="E178" s="5">
        <f t="shared" si="18"/>
        <v>0</v>
      </c>
      <c r="F178" s="5">
        <f t="shared" si="21"/>
        <v>2878164.01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241">
        <v>0</v>
      </c>
      <c r="N178" s="5">
        <v>0</v>
      </c>
      <c r="O178" s="5">
        <v>0</v>
      </c>
      <c r="P178" s="5">
        <v>0</v>
      </c>
      <c r="Q178" s="5">
        <v>725.5</v>
      </c>
      <c r="R178" s="5">
        <v>2835629.57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f>ROUND(R178*1.5%,2)</f>
        <v>42534.44</v>
      </c>
      <c r="AF178" s="5">
        <v>0</v>
      </c>
      <c r="AG178" s="5">
        <v>0</v>
      </c>
      <c r="AH178" s="246" t="s">
        <v>49</v>
      </c>
      <c r="AI178" s="246">
        <v>2020</v>
      </c>
      <c r="AJ178" s="6">
        <v>2020</v>
      </c>
      <c r="CB178" s="236"/>
      <c r="CF178" s="2" t="e">
        <f t="shared" si="22"/>
        <v>#N/A</v>
      </c>
      <c r="CG178" s="242" t="s">
        <v>1171</v>
      </c>
      <c r="CH178" s="242">
        <v>317.8</v>
      </c>
    </row>
    <row r="179" spans="1:86" ht="61.5" x14ac:dyDescent="0.85">
      <c r="A179" s="2">
        <v>1</v>
      </c>
      <c r="B179" s="18">
        <f>SUBTOTAL(103,$A$22:A179)</f>
        <v>156</v>
      </c>
      <c r="C179" s="3" t="s">
        <v>1172</v>
      </c>
      <c r="D179" s="5">
        <v>2712861.94</v>
      </c>
      <c r="E179" s="5">
        <f t="shared" si="18"/>
        <v>0</v>
      </c>
      <c r="F179" s="5">
        <f t="shared" si="21"/>
        <v>2712861.94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25">
        <v>2</v>
      </c>
      <c r="N179" s="5">
        <v>2712861.94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246" t="s">
        <v>49</v>
      </c>
      <c r="AI179" s="246">
        <v>2020</v>
      </c>
      <c r="AJ179" s="6" t="s">
        <v>49</v>
      </c>
      <c r="CB179" s="236"/>
      <c r="CF179" s="2" t="e">
        <f t="shared" si="22"/>
        <v>#N/A</v>
      </c>
      <c r="CG179" s="242" t="s">
        <v>1173</v>
      </c>
      <c r="CH179" s="242">
        <v>835.43</v>
      </c>
    </row>
    <row r="180" spans="1:86" ht="61.5" x14ac:dyDescent="0.85">
      <c r="A180" s="2">
        <v>1</v>
      </c>
      <c r="B180" s="18">
        <f>SUBTOTAL(103,$A$22:A180)</f>
        <v>157</v>
      </c>
      <c r="C180" s="3" t="s">
        <v>1174</v>
      </c>
      <c r="D180" s="5">
        <v>2771146.97</v>
      </c>
      <c r="E180" s="5">
        <f t="shared" si="18"/>
        <v>533464.42000000039</v>
      </c>
      <c r="F180" s="5">
        <f t="shared" si="21"/>
        <v>2237682.5499999998</v>
      </c>
      <c r="G180" s="5">
        <v>0</v>
      </c>
      <c r="H180" s="5">
        <v>0</v>
      </c>
      <c r="I180" s="7">
        <v>2225331.96</v>
      </c>
      <c r="J180" s="5">
        <v>0</v>
      </c>
      <c r="K180" s="5">
        <v>0</v>
      </c>
      <c r="L180" s="5">
        <v>0</v>
      </c>
      <c r="M180" s="241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7">
        <v>12350.59</v>
      </c>
      <c r="AF180" s="5">
        <v>0</v>
      </c>
      <c r="AG180" s="5">
        <v>0</v>
      </c>
      <c r="AH180" s="246" t="s">
        <v>49</v>
      </c>
      <c r="AI180" s="246">
        <v>2020</v>
      </c>
      <c r="AJ180" s="6">
        <v>2020</v>
      </c>
      <c r="CB180" s="236"/>
      <c r="CF180" s="2" t="e">
        <f t="shared" si="22"/>
        <v>#N/A</v>
      </c>
      <c r="CG180" s="242" t="s">
        <v>1175</v>
      </c>
      <c r="CH180" s="242">
        <v>613.20000000000005</v>
      </c>
    </row>
    <row r="181" spans="1:86" ht="61.5" x14ac:dyDescent="0.85">
      <c r="A181" s="2">
        <v>1</v>
      </c>
      <c r="B181" s="18">
        <f>SUBTOTAL(103,$A$22:A181)</f>
        <v>158</v>
      </c>
      <c r="C181" s="3" t="s">
        <v>1176</v>
      </c>
      <c r="D181" s="5">
        <v>2438759.5300000003</v>
      </c>
      <c r="E181" s="5">
        <f t="shared" si="18"/>
        <v>19885.930000000168</v>
      </c>
      <c r="F181" s="5">
        <f t="shared" si="21"/>
        <v>2418873.6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241">
        <v>0</v>
      </c>
      <c r="N181" s="5">
        <v>0</v>
      </c>
      <c r="O181" s="7">
        <v>494.53</v>
      </c>
      <c r="P181" s="48">
        <v>2337937.12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48">
        <v>12975.55</v>
      </c>
      <c r="AF181" s="7">
        <v>67960.929999999993</v>
      </c>
      <c r="AG181" s="5">
        <v>0</v>
      </c>
      <c r="AH181" s="246">
        <v>2020</v>
      </c>
      <c r="AI181" s="246">
        <v>2020</v>
      </c>
      <c r="AJ181" s="6">
        <v>2020</v>
      </c>
      <c r="CB181" s="236"/>
      <c r="CF181" s="2" t="e">
        <f t="shared" si="22"/>
        <v>#N/A</v>
      </c>
      <c r="CG181" s="242" t="s">
        <v>1106</v>
      </c>
      <c r="CH181" s="242">
        <v>567.62</v>
      </c>
    </row>
    <row r="182" spans="1:86" ht="61.5" x14ac:dyDescent="0.85">
      <c r="A182" s="2">
        <v>1</v>
      </c>
      <c r="B182" s="18">
        <f>SUBTOTAL(103,$A$22:A182)</f>
        <v>159</v>
      </c>
      <c r="C182" s="3" t="s">
        <v>236</v>
      </c>
      <c r="D182" s="5">
        <v>1640571.49</v>
      </c>
      <c r="E182" s="5">
        <f t="shared" si="18"/>
        <v>0</v>
      </c>
      <c r="F182" s="5">
        <f t="shared" si="21"/>
        <v>1640571.49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444">
        <v>1</v>
      </c>
      <c r="N182" s="245">
        <v>1640571.49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246" t="s">
        <v>49</v>
      </c>
      <c r="AI182" s="246">
        <v>2020</v>
      </c>
      <c r="AJ182" s="6" t="s">
        <v>49</v>
      </c>
      <c r="CB182" s="236"/>
      <c r="CF182" s="2" t="e">
        <f t="shared" si="22"/>
        <v>#N/A</v>
      </c>
      <c r="CG182" s="242" t="s">
        <v>1177</v>
      </c>
      <c r="CH182" s="242">
        <v>958</v>
      </c>
    </row>
    <row r="183" spans="1:86" ht="61.5" x14ac:dyDescent="0.85">
      <c r="A183" s="2">
        <v>1</v>
      </c>
      <c r="B183" s="18">
        <f>SUBTOTAL(103,$A$22:A183)</f>
        <v>160</v>
      </c>
      <c r="C183" s="3" t="s">
        <v>1178</v>
      </c>
      <c r="D183" s="5">
        <v>1784450.96</v>
      </c>
      <c r="E183" s="5">
        <f t="shared" si="18"/>
        <v>0</v>
      </c>
      <c r="F183" s="5">
        <f t="shared" si="21"/>
        <v>1784450.96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444">
        <v>1</v>
      </c>
      <c r="N183" s="245">
        <v>1784450.96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246" t="s">
        <v>49</v>
      </c>
      <c r="AI183" s="246">
        <v>2020</v>
      </c>
      <c r="AJ183" s="6" t="s">
        <v>49</v>
      </c>
      <c r="CB183" s="236"/>
      <c r="CF183" s="2" t="e">
        <f t="shared" si="22"/>
        <v>#N/A</v>
      </c>
      <c r="CG183" s="242" t="s">
        <v>1179</v>
      </c>
      <c r="CH183" s="242">
        <v>255.2</v>
      </c>
    </row>
    <row r="184" spans="1:86" ht="61.5" x14ac:dyDescent="0.85">
      <c r="A184" s="2">
        <v>1</v>
      </c>
      <c r="B184" s="18">
        <f>SUBTOTAL(103,$A$22:A184)</f>
        <v>161</v>
      </c>
      <c r="C184" s="3" t="s">
        <v>1180</v>
      </c>
      <c r="D184" s="5">
        <v>6364982.3099999996</v>
      </c>
      <c r="E184" s="5">
        <f t="shared" si="18"/>
        <v>0</v>
      </c>
      <c r="F184" s="5">
        <f t="shared" si="21"/>
        <v>6364982.3099999996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25">
        <v>4</v>
      </c>
      <c r="N184" s="5">
        <v>6364982.3099999996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246" t="s">
        <v>49</v>
      </c>
      <c r="AI184" s="246">
        <v>2020</v>
      </c>
      <c r="AJ184" s="6" t="s">
        <v>49</v>
      </c>
      <c r="CB184" s="236"/>
      <c r="CF184" s="2" t="e">
        <f t="shared" si="22"/>
        <v>#N/A</v>
      </c>
      <c r="CG184" s="242" t="s">
        <v>1181</v>
      </c>
      <c r="CH184" s="242">
        <v>1229.9000000000001</v>
      </c>
    </row>
    <row r="185" spans="1:86" ht="61.5" x14ac:dyDescent="0.85">
      <c r="A185" s="2">
        <v>1</v>
      </c>
      <c r="B185" s="18">
        <f>SUBTOTAL(103,$A$22:A185)</f>
        <v>162</v>
      </c>
      <c r="C185" s="3" t="s">
        <v>1182</v>
      </c>
      <c r="D185" s="5">
        <v>2620013.62</v>
      </c>
      <c r="E185" s="5">
        <f t="shared" si="18"/>
        <v>266779.39000000013</v>
      </c>
      <c r="F185" s="5">
        <f t="shared" si="21"/>
        <v>2353234.23</v>
      </c>
      <c r="G185" s="5">
        <v>0</v>
      </c>
      <c r="H185" s="5">
        <v>0</v>
      </c>
      <c r="I185" s="7">
        <v>2318457.37</v>
      </c>
      <c r="J185" s="5">
        <v>0</v>
      </c>
      <c r="K185" s="5">
        <v>0</v>
      </c>
      <c r="L185" s="5">
        <v>0</v>
      </c>
      <c r="M185" s="241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f>ROUND((G185+H185+I185+J185+K185+L185)*1.5%,2)</f>
        <v>34776.86</v>
      </c>
      <c r="AF185" s="5">
        <v>0</v>
      </c>
      <c r="AG185" s="5">
        <v>0</v>
      </c>
      <c r="AH185" s="246" t="s">
        <v>49</v>
      </c>
      <c r="AI185" s="246">
        <v>2020</v>
      </c>
      <c r="AJ185" s="6">
        <v>2020</v>
      </c>
      <c r="CB185" s="236"/>
      <c r="CF185" s="2" t="e">
        <f t="shared" si="22"/>
        <v>#N/A</v>
      </c>
    </row>
    <row r="186" spans="1:86" ht="61.5" x14ac:dyDescent="0.85">
      <c r="A186" s="2">
        <v>1</v>
      </c>
      <c r="B186" s="18">
        <f>SUBTOTAL(103,$A$22:A186)</f>
        <v>163</v>
      </c>
      <c r="C186" s="3" t="s">
        <v>1183</v>
      </c>
      <c r="D186" s="5">
        <v>131828.92000000001</v>
      </c>
      <c r="E186" s="5">
        <f t="shared" si="18"/>
        <v>0</v>
      </c>
      <c r="F186" s="5">
        <f t="shared" si="21"/>
        <v>131828.92000000001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241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f>ROUND(T186*1.5%,2)</f>
        <v>0</v>
      </c>
      <c r="AF186" s="7">
        <v>131828.92000000001</v>
      </c>
      <c r="AG186" s="5">
        <v>0</v>
      </c>
      <c r="AH186" s="246">
        <v>2020</v>
      </c>
      <c r="AI186" s="246" t="s">
        <v>49</v>
      </c>
      <c r="AJ186" s="6" t="s">
        <v>49</v>
      </c>
      <c r="AK186" s="246">
        <v>2020</v>
      </c>
      <c r="AL186" s="246">
        <v>2020</v>
      </c>
      <c r="AM186" s="246">
        <v>2020</v>
      </c>
      <c r="AN186" s="246">
        <v>2020</v>
      </c>
      <c r="AO186" s="246">
        <v>2020</v>
      </c>
      <c r="AP186" s="246">
        <v>2020</v>
      </c>
      <c r="AQ186" s="246">
        <v>2020</v>
      </c>
      <c r="AR186" s="246">
        <v>2020</v>
      </c>
      <c r="AS186" s="246">
        <v>2020</v>
      </c>
      <c r="AT186" s="246">
        <v>2020</v>
      </c>
      <c r="AU186" s="246">
        <v>2020</v>
      </c>
      <c r="AV186" s="246">
        <v>2020</v>
      </c>
      <c r="AW186" s="246">
        <v>2020</v>
      </c>
      <c r="AX186" s="246">
        <v>2020</v>
      </c>
      <c r="AY186" s="246">
        <v>2020</v>
      </c>
      <c r="AZ186" s="246">
        <v>2020</v>
      </c>
      <c r="BA186" s="246">
        <v>2020</v>
      </c>
      <c r="BB186" s="246">
        <v>2020</v>
      </c>
      <c r="BC186" s="246">
        <v>2020</v>
      </c>
      <c r="BD186" s="246">
        <v>2020</v>
      </c>
      <c r="BE186" s="246">
        <v>2020</v>
      </c>
      <c r="BF186" s="246">
        <v>2020</v>
      </c>
      <c r="BG186" s="246">
        <v>2020</v>
      </c>
      <c r="BH186" s="246">
        <v>2020</v>
      </c>
      <c r="BI186" s="246">
        <v>2020</v>
      </c>
      <c r="BJ186" s="246">
        <v>2020</v>
      </c>
      <c r="BK186" s="246">
        <v>2020</v>
      </c>
      <c r="BL186" s="246">
        <v>2020</v>
      </c>
      <c r="BM186" s="246">
        <v>2020</v>
      </c>
      <c r="BN186" s="246">
        <v>2020</v>
      </c>
      <c r="BO186" s="246">
        <v>2020</v>
      </c>
      <c r="BP186" s="246">
        <v>2020</v>
      </c>
      <c r="BQ186" s="246">
        <v>2020</v>
      </c>
      <c r="BR186" s="246">
        <v>2020</v>
      </c>
      <c r="BS186" s="246">
        <v>2020</v>
      </c>
      <c r="BT186" s="246">
        <v>2020</v>
      </c>
      <c r="BU186" s="246">
        <v>2020</v>
      </c>
      <c r="BV186" s="246">
        <v>2020</v>
      </c>
      <c r="BW186" s="246">
        <v>2020</v>
      </c>
      <c r="BX186" s="246">
        <v>2020</v>
      </c>
      <c r="BY186" s="246">
        <v>2020</v>
      </c>
      <c r="CB186" s="236"/>
      <c r="CF186" s="2" t="e">
        <f t="shared" si="22"/>
        <v>#N/A</v>
      </c>
    </row>
    <row r="187" spans="1:86" ht="61.5" x14ac:dyDescent="0.85">
      <c r="A187" s="2">
        <v>1</v>
      </c>
      <c r="B187" s="18">
        <f>SUBTOTAL(103,$A$22:A187)</f>
        <v>164</v>
      </c>
      <c r="C187" s="3" t="s">
        <v>1184</v>
      </c>
      <c r="D187" s="5">
        <v>3218030.63</v>
      </c>
      <c r="E187" s="5">
        <f t="shared" si="18"/>
        <v>609000</v>
      </c>
      <c r="F187" s="5">
        <f t="shared" si="21"/>
        <v>2609030.63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241">
        <v>0</v>
      </c>
      <c r="N187" s="5">
        <v>0</v>
      </c>
      <c r="O187" s="5">
        <v>590</v>
      </c>
      <c r="P187" s="5">
        <v>2511330.0499999998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f t="shared" ref="AE187:AE193" si="23">ROUND(P187*1.5%,2)</f>
        <v>37669.949999999997</v>
      </c>
      <c r="AF187" s="7">
        <v>60030.63</v>
      </c>
      <c r="AG187" s="5">
        <v>0</v>
      </c>
      <c r="AH187" s="246">
        <v>2020</v>
      </c>
      <c r="AI187" s="246">
        <v>2020</v>
      </c>
      <c r="AJ187" s="6">
        <v>2020</v>
      </c>
      <c r="CB187" s="236"/>
      <c r="CF187" s="2" t="e">
        <f t="shared" si="22"/>
        <v>#N/A</v>
      </c>
    </row>
    <row r="188" spans="1:86" ht="61.5" x14ac:dyDescent="0.85">
      <c r="A188" s="2">
        <v>1</v>
      </c>
      <c r="B188" s="18">
        <f>SUBTOTAL(103,$A$22:A188)</f>
        <v>165</v>
      </c>
      <c r="C188" s="3" t="s">
        <v>1185</v>
      </c>
      <c r="D188" s="5">
        <v>3619449.67</v>
      </c>
      <c r="E188" s="5">
        <f t="shared" si="18"/>
        <v>0</v>
      </c>
      <c r="F188" s="5">
        <f t="shared" si="21"/>
        <v>3619449.67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241">
        <v>0</v>
      </c>
      <c r="N188" s="5">
        <v>0</v>
      </c>
      <c r="O188" s="5">
        <v>665</v>
      </c>
      <c r="P188" s="5">
        <v>3485221.67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f t="shared" si="23"/>
        <v>52278.33</v>
      </c>
      <c r="AF188" s="7">
        <v>81949.67</v>
      </c>
      <c r="AG188" s="5">
        <v>0</v>
      </c>
      <c r="AH188" s="246">
        <v>2020</v>
      </c>
      <c r="AI188" s="246">
        <v>2020</v>
      </c>
      <c r="AJ188" s="6">
        <v>2020</v>
      </c>
      <c r="CB188" s="236"/>
      <c r="CF188" s="2" t="e">
        <f t="shared" si="22"/>
        <v>#N/A</v>
      </c>
    </row>
    <row r="189" spans="1:86" ht="61.5" x14ac:dyDescent="0.85">
      <c r="A189" s="2">
        <v>1</v>
      </c>
      <c r="B189" s="18">
        <f>SUBTOTAL(103,$A$22:A189)</f>
        <v>166</v>
      </c>
      <c r="C189" s="3" t="s">
        <v>1186</v>
      </c>
      <c r="D189" s="5">
        <v>1298325.17</v>
      </c>
      <c r="E189" s="5">
        <f t="shared" si="18"/>
        <v>158506.1100000001</v>
      </c>
      <c r="F189" s="5">
        <f t="shared" si="21"/>
        <v>1139819.0599999998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241">
        <v>0</v>
      </c>
      <c r="N189" s="5">
        <v>0</v>
      </c>
      <c r="O189" s="7">
        <v>259.76</v>
      </c>
      <c r="P189" s="48">
        <v>1089346.73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48">
        <v>5147.16</v>
      </c>
      <c r="AF189" s="7">
        <v>45325.17</v>
      </c>
      <c r="AG189" s="5">
        <v>0</v>
      </c>
      <c r="AH189" s="246">
        <v>2020</v>
      </c>
      <c r="AI189" s="246">
        <v>2020</v>
      </c>
      <c r="AJ189" s="6">
        <v>2020</v>
      </c>
      <c r="CB189" s="236"/>
      <c r="CF189" s="2" t="e">
        <f t="shared" si="22"/>
        <v>#N/A</v>
      </c>
    </row>
    <row r="190" spans="1:86" ht="61.5" x14ac:dyDescent="0.85">
      <c r="A190" s="2">
        <v>1</v>
      </c>
      <c r="B190" s="18">
        <f>SUBTOTAL(103,$A$22:A190)</f>
        <v>167</v>
      </c>
      <c r="C190" s="3" t="s">
        <v>1187</v>
      </c>
      <c r="D190" s="5">
        <v>1338948.23</v>
      </c>
      <c r="E190" s="5">
        <f t="shared" si="18"/>
        <v>0</v>
      </c>
      <c r="F190" s="5">
        <f t="shared" si="21"/>
        <v>1338948.23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241">
        <v>0</v>
      </c>
      <c r="N190" s="5">
        <v>0</v>
      </c>
      <c r="O190" s="5">
        <v>253</v>
      </c>
      <c r="P190" s="5">
        <v>1272413.79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f t="shared" si="23"/>
        <v>19086.21</v>
      </c>
      <c r="AF190" s="7">
        <v>47448.23</v>
      </c>
      <c r="AG190" s="5">
        <v>0</v>
      </c>
      <c r="AH190" s="246">
        <v>2020</v>
      </c>
      <c r="AI190" s="246">
        <v>2020</v>
      </c>
      <c r="AJ190" s="6">
        <v>2020</v>
      </c>
      <c r="CB190" s="236"/>
      <c r="CF190" s="2" t="e">
        <f t="shared" si="22"/>
        <v>#N/A</v>
      </c>
    </row>
    <row r="191" spans="1:86" ht="61.5" x14ac:dyDescent="0.85">
      <c r="A191" s="2">
        <v>1</v>
      </c>
      <c r="B191" s="18">
        <f>SUBTOTAL(103,$A$22:A191)</f>
        <v>168</v>
      </c>
      <c r="C191" s="3" t="s">
        <v>1162</v>
      </c>
      <c r="D191" s="5">
        <v>2343822.52</v>
      </c>
      <c r="E191" s="5">
        <f t="shared" si="18"/>
        <v>0</v>
      </c>
      <c r="F191" s="5">
        <f t="shared" si="21"/>
        <v>2343822.52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241">
        <v>0</v>
      </c>
      <c r="N191" s="5">
        <v>0</v>
      </c>
      <c r="O191" s="5">
        <v>792</v>
      </c>
      <c r="P191" s="5">
        <v>2330886.1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7">
        <v>12936.42</v>
      </c>
      <c r="AF191" s="5">
        <v>0</v>
      </c>
      <c r="AG191" s="5">
        <v>0</v>
      </c>
      <c r="AH191" s="246" t="s">
        <v>49</v>
      </c>
      <c r="AI191" s="246">
        <v>2020</v>
      </c>
      <c r="AJ191" s="6">
        <v>2020</v>
      </c>
      <c r="CB191" s="236"/>
      <c r="CF191" s="2">
        <f t="shared" si="22"/>
        <v>792</v>
      </c>
    </row>
    <row r="192" spans="1:86" ht="61.5" x14ac:dyDescent="0.85">
      <c r="A192" s="2">
        <v>1</v>
      </c>
      <c r="B192" s="18">
        <f>SUBTOTAL(103,$A$22:A192)</f>
        <v>169</v>
      </c>
      <c r="C192" s="3" t="s">
        <v>1188</v>
      </c>
      <c r="D192" s="5">
        <v>2582227.59</v>
      </c>
      <c r="E192" s="5">
        <f t="shared" si="18"/>
        <v>-609000</v>
      </c>
      <c r="F192" s="5">
        <f t="shared" si="21"/>
        <v>3191227.59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241">
        <v>0</v>
      </c>
      <c r="N192" s="5">
        <v>0</v>
      </c>
      <c r="O192" s="5">
        <v>504</v>
      </c>
      <c r="P192" s="5">
        <v>3074667.19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f t="shared" si="23"/>
        <v>46120.01</v>
      </c>
      <c r="AF192" s="7">
        <v>70440.39</v>
      </c>
      <c r="AG192" s="5">
        <v>0</v>
      </c>
      <c r="AH192" s="246">
        <v>2020</v>
      </c>
      <c r="AI192" s="246">
        <v>2020</v>
      </c>
      <c r="AJ192" s="6">
        <v>2020</v>
      </c>
      <c r="CB192" s="236"/>
      <c r="CF192" s="2" t="e">
        <f t="shared" si="22"/>
        <v>#N/A</v>
      </c>
    </row>
    <row r="193" spans="1:262" ht="61.5" x14ac:dyDescent="0.85">
      <c r="A193" s="2">
        <v>1</v>
      </c>
      <c r="B193" s="18">
        <f>SUBTOTAL(103,$A$22:A193)</f>
        <v>170</v>
      </c>
      <c r="C193" s="3" t="s">
        <v>1189</v>
      </c>
      <c r="D193" s="5">
        <v>3239524.45</v>
      </c>
      <c r="E193" s="5">
        <f t="shared" si="18"/>
        <v>0</v>
      </c>
      <c r="F193" s="5">
        <f t="shared" si="21"/>
        <v>3239524.45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241">
        <v>0</v>
      </c>
      <c r="N193" s="5">
        <v>0</v>
      </c>
      <c r="O193" s="5">
        <v>630</v>
      </c>
      <c r="P193" s="5">
        <v>3114086.93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f t="shared" si="23"/>
        <v>46711.3</v>
      </c>
      <c r="AF193" s="7">
        <v>78726.22</v>
      </c>
      <c r="AG193" s="5">
        <v>0</v>
      </c>
      <c r="AH193" s="246">
        <v>2020</v>
      </c>
      <c r="AI193" s="246">
        <v>2020</v>
      </c>
      <c r="AJ193" s="6">
        <v>2020</v>
      </c>
      <c r="CB193" s="236"/>
      <c r="CF193" s="2" t="e">
        <f t="shared" si="22"/>
        <v>#N/A</v>
      </c>
    </row>
    <row r="194" spans="1:262" ht="61.5" x14ac:dyDescent="0.85">
      <c r="A194" s="2">
        <v>1</v>
      </c>
      <c r="B194" s="18">
        <f>SUBTOTAL(103,$A$22:A194)</f>
        <v>171</v>
      </c>
      <c r="C194" s="3" t="s">
        <v>1190</v>
      </c>
      <c r="D194" s="5">
        <v>2057420.58</v>
      </c>
      <c r="E194" s="5">
        <f t="shared" si="18"/>
        <v>18155.989999999991</v>
      </c>
      <c r="F194" s="5">
        <f t="shared" si="21"/>
        <v>2039264.59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241">
        <v>0</v>
      </c>
      <c r="N194" s="5">
        <v>0</v>
      </c>
      <c r="O194" s="5">
        <v>792.98</v>
      </c>
      <c r="P194" s="5">
        <v>1767006.67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7">
        <v>8349.11</v>
      </c>
      <c r="AF194" s="7">
        <v>263908.81</v>
      </c>
      <c r="AG194" s="5">
        <v>0</v>
      </c>
      <c r="AH194" s="246">
        <v>2020</v>
      </c>
      <c r="AI194" s="246">
        <v>2020</v>
      </c>
      <c r="AJ194" s="6">
        <v>2020</v>
      </c>
      <c r="CB194" s="236"/>
      <c r="CF194" s="2" t="e">
        <f t="shared" si="22"/>
        <v>#N/A</v>
      </c>
    </row>
    <row r="195" spans="1:262" ht="61.5" x14ac:dyDescent="0.85">
      <c r="A195" s="2">
        <v>1</v>
      </c>
      <c r="B195" s="18">
        <f>SUBTOTAL(103,$A$22:A195)</f>
        <v>172</v>
      </c>
      <c r="C195" s="3" t="s">
        <v>923</v>
      </c>
      <c r="D195" s="5">
        <v>2015374.2400000002</v>
      </c>
      <c r="E195" s="5">
        <f t="shared" si="18"/>
        <v>-266779.39000000013</v>
      </c>
      <c r="F195" s="5">
        <f>G195+H195+I195+J195+K195+L195+N195+P195+R195+T195+V195+W195+X195+Y195+Z195+AA195+AB195+AC195+AD195+AE195+AF195+AG195</f>
        <v>2282153.6300000004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241">
        <v>1</v>
      </c>
      <c r="N195" s="5">
        <f>2116554.68+27367.96-201180.44+266779.39</f>
        <v>2209521.5900000003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37">
        <v>72632.039999999994</v>
      </c>
      <c r="AG195" s="5">
        <v>0</v>
      </c>
      <c r="AH195" s="246">
        <v>2020</v>
      </c>
      <c r="AI195" s="246">
        <v>2020</v>
      </c>
      <c r="AJ195" s="6" t="s">
        <v>49</v>
      </c>
      <c r="AV195" s="2">
        <f>VLOOKUP(C195,AY:AZ,2,FALSE)</f>
        <v>1</v>
      </c>
      <c r="CB195" s="236"/>
      <c r="CF195" s="2" t="e">
        <f t="shared" si="22"/>
        <v>#N/A</v>
      </c>
    </row>
    <row r="196" spans="1:262" ht="61.5" x14ac:dyDescent="0.85">
      <c r="A196" s="2">
        <v>1</v>
      </c>
      <c r="B196" s="18">
        <f>SUBTOTAL(103,$A$22:A196)</f>
        <v>173</v>
      </c>
      <c r="C196" s="3" t="s">
        <v>1191</v>
      </c>
      <c r="D196" s="5">
        <v>120000</v>
      </c>
      <c r="E196" s="5">
        <f t="shared" si="18"/>
        <v>14364.61</v>
      </c>
      <c r="F196" s="5">
        <f>G196+H196+I196+J196+K196+L196+N196+P196+R196+T196+V196+W196+X196+Y196+Z196+AA196+AB196+AC196+AD196+AE196+AF196+AG196</f>
        <v>105635.39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241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f>ROUND(P196*1.5%,2)</f>
        <v>0</v>
      </c>
      <c r="AF196" s="5">
        <v>105635.39</v>
      </c>
      <c r="AG196" s="5">
        <v>0</v>
      </c>
      <c r="AH196" s="246">
        <v>2020</v>
      </c>
      <c r="AI196" s="6" t="s">
        <v>49</v>
      </c>
      <c r="AJ196" s="6" t="s">
        <v>49</v>
      </c>
      <c r="CB196" s="236"/>
      <c r="CF196" s="2" t="e">
        <f t="shared" si="22"/>
        <v>#N/A</v>
      </c>
    </row>
    <row r="197" spans="1:262" s="239" customFormat="1" ht="61.5" x14ac:dyDescent="0.85">
      <c r="A197" s="239">
        <v>1</v>
      </c>
      <c r="B197" s="18">
        <f>SUBTOTAL(103,$A$22:A197)</f>
        <v>174</v>
      </c>
      <c r="C197" s="3" t="s">
        <v>1192</v>
      </c>
      <c r="D197" s="5">
        <v>3553347.11</v>
      </c>
      <c r="E197" s="5">
        <f t="shared" si="18"/>
        <v>3460627.9299999997</v>
      </c>
      <c r="F197" s="5">
        <f t="shared" ref="F197:F202" si="24">G197+H197+I197+J197+K197+L197+N197+P197+R197+T197+V197+W197+X197+Y197+Z197+AA197+AB197+AC197+AD197+AE197+AF197+AG197</f>
        <v>92719.18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2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f t="shared" ref="AE197:AE202" si="25">ROUND(P197*1.5%,2)</f>
        <v>0</v>
      </c>
      <c r="AF197" s="5">
        <v>92719.18</v>
      </c>
      <c r="AG197" s="5">
        <v>0</v>
      </c>
      <c r="AH197" s="246">
        <v>2020</v>
      </c>
      <c r="AI197" s="6" t="s">
        <v>49</v>
      </c>
      <c r="AJ197" s="6" t="s">
        <v>49</v>
      </c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 t="e">
        <v>#N/A</v>
      </c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36"/>
      <c r="CC197" s="2"/>
      <c r="CD197" s="2"/>
      <c r="CE197" s="2"/>
      <c r="CF197" s="2" t="e">
        <v>#N/A</v>
      </c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</row>
    <row r="198" spans="1:262" s="239" customFormat="1" ht="61.5" x14ac:dyDescent="0.85">
      <c r="A198" s="239">
        <v>1</v>
      </c>
      <c r="B198" s="18">
        <f>SUBTOTAL(103,$A$22:A198)</f>
        <v>175</v>
      </c>
      <c r="C198" s="3" t="s">
        <v>1193</v>
      </c>
      <c r="D198" s="5">
        <v>2623352.2800000003</v>
      </c>
      <c r="E198" s="5">
        <f t="shared" si="18"/>
        <v>2549917.3000000003</v>
      </c>
      <c r="F198" s="5">
        <f t="shared" si="24"/>
        <v>73434.98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2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f t="shared" si="25"/>
        <v>0</v>
      </c>
      <c r="AF198" s="5">
        <v>73434.98</v>
      </c>
      <c r="AG198" s="5">
        <v>0</v>
      </c>
      <c r="AH198" s="246">
        <v>2020</v>
      </c>
      <c r="AI198" s="6" t="s">
        <v>49</v>
      </c>
      <c r="AJ198" s="6" t="s">
        <v>49</v>
      </c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 t="e">
        <v>#N/A</v>
      </c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36"/>
      <c r="CC198" s="2"/>
      <c r="CD198" s="2"/>
      <c r="CE198" s="2"/>
      <c r="CF198" s="2" t="e">
        <v>#N/A</v>
      </c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</row>
    <row r="199" spans="1:262" s="239" customFormat="1" ht="61.5" x14ac:dyDescent="0.85">
      <c r="A199" s="239">
        <v>1</v>
      </c>
      <c r="B199" s="18">
        <f>SUBTOTAL(103,$A$22:A199)</f>
        <v>176</v>
      </c>
      <c r="C199" s="3" t="s">
        <v>1194</v>
      </c>
      <c r="D199" s="5">
        <v>2633042.44</v>
      </c>
      <c r="E199" s="5">
        <f t="shared" si="18"/>
        <v>2559962.94</v>
      </c>
      <c r="F199" s="5">
        <f t="shared" si="24"/>
        <v>73079.5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2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f t="shared" si="25"/>
        <v>0</v>
      </c>
      <c r="AF199" s="5">
        <v>73079.5</v>
      </c>
      <c r="AG199" s="5">
        <v>0</v>
      </c>
      <c r="AH199" s="246">
        <v>2020</v>
      </c>
      <c r="AI199" s="6" t="s">
        <v>49</v>
      </c>
      <c r="AJ199" s="6" t="s">
        <v>49</v>
      </c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 t="e">
        <v>#N/A</v>
      </c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36"/>
      <c r="CC199" s="2"/>
      <c r="CD199" s="2"/>
      <c r="CE199" s="2"/>
      <c r="CF199" s="2" t="e">
        <v>#N/A</v>
      </c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</row>
    <row r="200" spans="1:262" s="239" customFormat="1" ht="61.5" x14ac:dyDescent="0.85">
      <c r="A200" s="239">
        <v>1</v>
      </c>
      <c r="B200" s="18">
        <f>SUBTOTAL(103,$A$22:A200)</f>
        <v>177</v>
      </c>
      <c r="C200" s="3" t="s">
        <v>1195</v>
      </c>
      <c r="D200" s="5">
        <v>3066649.62</v>
      </c>
      <c r="E200" s="5">
        <f t="shared" si="18"/>
        <v>2988437.47</v>
      </c>
      <c r="F200" s="5">
        <f t="shared" si="24"/>
        <v>78212.149999999994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2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f t="shared" si="25"/>
        <v>0</v>
      </c>
      <c r="AF200" s="5">
        <v>78212.149999999994</v>
      </c>
      <c r="AG200" s="5">
        <v>0</v>
      </c>
      <c r="AH200" s="246">
        <v>2020</v>
      </c>
      <c r="AI200" s="6" t="s">
        <v>49</v>
      </c>
      <c r="AJ200" s="6" t="s">
        <v>49</v>
      </c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 t="e">
        <v>#N/A</v>
      </c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36"/>
      <c r="CC200" s="2"/>
      <c r="CD200" s="2"/>
      <c r="CE200" s="2"/>
      <c r="CF200" s="2" t="e">
        <v>#N/A</v>
      </c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</row>
    <row r="201" spans="1:262" s="239" customFormat="1" ht="61.5" x14ac:dyDescent="0.85">
      <c r="A201" s="239">
        <v>1</v>
      </c>
      <c r="B201" s="18">
        <f>SUBTOTAL(103,$A$22:A201)</f>
        <v>178</v>
      </c>
      <c r="C201" s="3" t="s">
        <v>1196</v>
      </c>
      <c r="D201" s="5">
        <v>1488737.43</v>
      </c>
      <c r="E201" s="5">
        <f t="shared" si="18"/>
        <v>1433090.1199999999</v>
      </c>
      <c r="F201" s="5">
        <f t="shared" si="24"/>
        <v>55647.31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2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f t="shared" si="25"/>
        <v>0</v>
      </c>
      <c r="AF201" s="5">
        <v>55647.31</v>
      </c>
      <c r="AG201" s="5">
        <v>0</v>
      </c>
      <c r="AH201" s="246">
        <v>2020</v>
      </c>
      <c r="AI201" s="6" t="s">
        <v>49</v>
      </c>
      <c r="AJ201" s="6" t="s">
        <v>49</v>
      </c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 t="e">
        <v>#N/A</v>
      </c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36"/>
      <c r="CC201" s="2"/>
      <c r="CD201" s="2"/>
      <c r="CE201" s="2"/>
      <c r="CF201" s="2" t="e">
        <v>#N/A</v>
      </c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</row>
    <row r="202" spans="1:262" s="239" customFormat="1" ht="61.5" x14ac:dyDescent="0.85">
      <c r="A202" s="239">
        <v>1</v>
      </c>
      <c r="B202" s="18">
        <f>SUBTOTAL(103,$A$22:A202)</f>
        <v>179</v>
      </c>
      <c r="C202" s="3" t="s">
        <v>1197</v>
      </c>
      <c r="D202" s="5">
        <v>2699117.1599999997</v>
      </c>
      <c r="E202" s="5">
        <f t="shared" si="18"/>
        <v>2624171.2799999998</v>
      </c>
      <c r="F202" s="5">
        <f t="shared" si="24"/>
        <v>74945.88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2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f t="shared" si="25"/>
        <v>0</v>
      </c>
      <c r="AF202" s="5">
        <v>74945.88</v>
      </c>
      <c r="AG202" s="5">
        <v>0</v>
      </c>
      <c r="AH202" s="246">
        <v>2020</v>
      </c>
      <c r="AI202" s="6" t="s">
        <v>49</v>
      </c>
      <c r="AJ202" s="6" t="s">
        <v>49</v>
      </c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 t="e">
        <v>#N/A</v>
      </c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36"/>
      <c r="CC202" s="2"/>
      <c r="CD202" s="2"/>
      <c r="CE202" s="2"/>
      <c r="CF202" s="2" t="e">
        <v>#N/A</v>
      </c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</row>
    <row r="203" spans="1:262" ht="61.5" x14ac:dyDescent="0.85">
      <c r="B203" s="3" t="s">
        <v>91</v>
      </c>
      <c r="C203" s="442"/>
      <c r="D203" s="244">
        <v>177119433.23000002</v>
      </c>
      <c r="E203" s="233">
        <f t="shared" si="18"/>
        <v>39394201.540000021</v>
      </c>
      <c r="F203" s="244">
        <f t="shared" ref="F203:AG203" si="26">SUM(F204:F240)</f>
        <v>137725231.69</v>
      </c>
      <c r="G203" s="5">
        <f t="shared" si="26"/>
        <v>0</v>
      </c>
      <c r="H203" s="5">
        <f t="shared" si="26"/>
        <v>0</v>
      </c>
      <c r="I203" s="5">
        <f t="shared" si="26"/>
        <v>0</v>
      </c>
      <c r="J203" s="5">
        <f t="shared" si="26"/>
        <v>0</v>
      </c>
      <c r="K203" s="5">
        <f t="shared" si="26"/>
        <v>576161.37</v>
      </c>
      <c r="L203" s="5">
        <f t="shared" si="26"/>
        <v>0</v>
      </c>
      <c r="M203" s="241">
        <f t="shared" si="26"/>
        <v>66</v>
      </c>
      <c r="N203" s="5">
        <f t="shared" si="26"/>
        <v>114060333.36000003</v>
      </c>
      <c r="O203" s="5">
        <f t="shared" si="26"/>
        <v>3533.4900000000002</v>
      </c>
      <c r="P203" s="5">
        <f t="shared" si="26"/>
        <v>12975999.990000002</v>
      </c>
      <c r="Q203" s="5">
        <f t="shared" si="26"/>
        <v>0</v>
      </c>
      <c r="R203" s="5">
        <f t="shared" si="26"/>
        <v>0</v>
      </c>
      <c r="S203" s="5">
        <f t="shared" si="26"/>
        <v>2075.4399999999996</v>
      </c>
      <c r="T203" s="5">
        <f t="shared" si="26"/>
        <v>8026913.3000000007</v>
      </c>
      <c r="U203" s="5">
        <f t="shared" si="26"/>
        <v>0</v>
      </c>
      <c r="V203" s="5">
        <f t="shared" si="26"/>
        <v>0</v>
      </c>
      <c r="W203" s="5">
        <f t="shared" si="26"/>
        <v>0</v>
      </c>
      <c r="X203" s="5">
        <f t="shared" si="26"/>
        <v>0</v>
      </c>
      <c r="Y203" s="5">
        <f t="shared" si="26"/>
        <v>0</v>
      </c>
      <c r="Z203" s="5">
        <f t="shared" si="26"/>
        <v>0</v>
      </c>
      <c r="AA203" s="5">
        <f t="shared" si="26"/>
        <v>0</v>
      </c>
      <c r="AB203" s="5">
        <f t="shared" si="26"/>
        <v>0</v>
      </c>
      <c r="AC203" s="5">
        <f t="shared" si="26"/>
        <v>0</v>
      </c>
      <c r="AD203" s="5">
        <f t="shared" si="26"/>
        <v>0</v>
      </c>
      <c r="AE203" s="5">
        <f t="shared" si="26"/>
        <v>204759.88999999996</v>
      </c>
      <c r="AF203" s="5">
        <f t="shared" si="26"/>
        <v>1881063.78</v>
      </c>
      <c r="AG203" s="5">
        <f t="shared" si="26"/>
        <v>0</v>
      </c>
      <c r="AH203" s="23" t="s">
        <v>90</v>
      </c>
      <c r="AI203" s="23" t="s">
        <v>90</v>
      </c>
      <c r="AJ203" s="27" t="s">
        <v>90</v>
      </c>
      <c r="AV203" s="2" t="e">
        <f t="shared" ref="AV203:AV214" si="27">VLOOKUP(C203,AY:AZ,2,FALSE)</f>
        <v>#N/A</v>
      </c>
      <c r="CB203" s="236">
        <v>182923711.81999996</v>
      </c>
      <c r="CD203" s="236">
        <f>CB203-F203</f>
        <v>45198480.129999965</v>
      </c>
      <c r="CF203" s="2" t="e">
        <f t="shared" ref="CF203:CF266" si="28">VLOOKUP(C203,CG:CH,2,FALSE)</f>
        <v>#N/A</v>
      </c>
    </row>
    <row r="204" spans="1:262" ht="61.5" x14ac:dyDescent="0.85">
      <c r="A204" s="2">
        <v>1</v>
      </c>
      <c r="B204" s="18">
        <f>SUBTOTAL(103,$A$22:A204)</f>
        <v>180</v>
      </c>
      <c r="C204" s="3" t="s">
        <v>1198</v>
      </c>
      <c r="D204" s="5">
        <v>8096493.6899999995</v>
      </c>
      <c r="E204" s="5">
        <f t="shared" si="18"/>
        <v>7947350.3199999994</v>
      </c>
      <c r="F204" s="5">
        <f t="shared" ref="F204:F232" si="29">G204+H204+I204+J204+K204+L204+N204+P204+R204+T204+V204+W204+X204+Y204+Z204+AA204+AB204+AC204+AD204+AE204+AF204+AG204</f>
        <v>149143.37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241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f>ROUND(T204*1.5%,2)</f>
        <v>0</v>
      </c>
      <c r="AF204" s="7">
        <v>149143.37</v>
      </c>
      <c r="AG204" s="5">
        <v>0</v>
      </c>
      <c r="AH204" s="246">
        <v>2020</v>
      </c>
      <c r="AI204" s="6" t="s">
        <v>49</v>
      </c>
      <c r="AJ204" s="6" t="s">
        <v>49</v>
      </c>
      <c r="AV204" s="2" t="e">
        <f t="shared" si="27"/>
        <v>#N/A</v>
      </c>
      <c r="CB204" s="236"/>
      <c r="CF204" s="2" t="e">
        <f t="shared" si="28"/>
        <v>#N/A</v>
      </c>
    </row>
    <row r="205" spans="1:262" ht="61.5" x14ac:dyDescent="0.85">
      <c r="A205" s="2">
        <v>1</v>
      </c>
      <c r="B205" s="18">
        <f>SUBTOTAL(103,$A$22:A205)</f>
        <v>181</v>
      </c>
      <c r="C205" s="3" t="s">
        <v>1199</v>
      </c>
      <c r="D205" s="5">
        <v>2194413.6799999997</v>
      </c>
      <c r="E205" s="5">
        <f t="shared" si="18"/>
        <v>0</v>
      </c>
      <c r="F205" s="5">
        <f t="shared" si="29"/>
        <v>2194413.6799999997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241">
        <v>0</v>
      </c>
      <c r="N205" s="5">
        <v>0</v>
      </c>
      <c r="O205" s="7">
        <v>540.37</v>
      </c>
      <c r="P205" s="48">
        <v>2078453.13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7">
        <v>26812.05</v>
      </c>
      <c r="AF205" s="7">
        <v>89148.5</v>
      </c>
      <c r="AG205" s="5">
        <v>0</v>
      </c>
      <c r="AH205" s="246">
        <v>2020</v>
      </c>
      <c r="AI205" s="246">
        <v>2020</v>
      </c>
      <c r="AJ205" s="6">
        <v>2020</v>
      </c>
      <c r="AV205" s="2" t="e">
        <f t="shared" si="27"/>
        <v>#N/A</v>
      </c>
      <c r="CB205" s="236"/>
      <c r="CF205" s="2" t="e">
        <f t="shared" si="28"/>
        <v>#N/A</v>
      </c>
    </row>
    <row r="206" spans="1:262" ht="61.5" x14ac:dyDescent="0.85">
      <c r="A206" s="2">
        <v>1</v>
      </c>
      <c r="B206" s="18">
        <f>SUBTOTAL(103,$A$22:A206)</f>
        <v>182</v>
      </c>
      <c r="C206" s="3" t="s">
        <v>1200</v>
      </c>
      <c r="D206" s="5">
        <v>1220001.9200000002</v>
      </c>
      <c r="E206" s="5">
        <f t="shared" si="18"/>
        <v>1157978.8500000001</v>
      </c>
      <c r="F206" s="5">
        <f t="shared" si="29"/>
        <v>62023.07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241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f>ROUND(P206*1.5%,2)</f>
        <v>0</v>
      </c>
      <c r="AF206" s="48">
        <v>62023.07</v>
      </c>
      <c r="AG206" s="5">
        <v>0</v>
      </c>
      <c r="AH206" s="246">
        <v>2020</v>
      </c>
      <c r="AI206" s="6" t="s">
        <v>49</v>
      </c>
      <c r="AJ206" s="6" t="s">
        <v>49</v>
      </c>
      <c r="AV206" s="2" t="e">
        <f t="shared" si="27"/>
        <v>#N/A</v>
      </c>
      <c r="CB206" s="236"/>
      <c r="CF206" s="2" t="e">
        <f t="shared" si="28"/>
        <v>#N/A</v>
      </c>
    </row>
    <row r="207" spans="1:262" ht="61.5" x14ac:dyDescent="0.85">
      <c r="A207" s="2">
        <v>1</v>
      </c>
      <c r="B207" s="18">
        <f>SUBTOTAL(103,$A$22:A207)</f>
        <v>183</v>
      </c>
      <c r="C207" s="3" t="s">
        <v>1201</v>
      </c>
      <c r="D207" s="5">
        <v>4940032.6899999995</v>
      </c>
      <c r="E207" s="5">
        <f t="shared" si="18"/>
        <v>52.169999999925494</v>
      </c>
      <c r="F207" s="5">
        <f t="shared" si="29"/>
        <v>4939980.5199999996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440">
        <v>3</v>
      </c>
      <c r="N207" s="7">
        <f>1646660.18+1646660.17+1646660.17</f>
        <v>4939980.5199999996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246" t="s">
        <v>49</v>
      </c>
      <c r="AI207" s="246">
        <v>2020</v>
      </c>
      <c r="AJ207" s="6" t="s">
        <v>49</v>
      </c>
      <c r="AV207" s="2" t="e">
        <f t="shared" si="27"/>
        <v>#N/A</v>
      </c>
      <c r="CB207" s="236"/>
      <c r="CF207" s="2" t="e">
        <f t="shared" si="28"/>
        <v>#N/A</v>
      </c>
    </row>
    <row r="208" spans="1:262" ht="61.5" x14ac:dyDescent="0.85">
      <c r="A208" s="2">
        <v>1</v>
      </c>
      <c r="B208" s="18">
        <f>SUBTOTAL(103,$A$22:A208)</f>
        <v>184</v>
      </c>
      <c r="C208" s="3" t="s">
        <v>1202</v>
      </c>
      <c r="D208" s="5">
        <v>8305636.5700000003</v>
      </c>
      <c r="E208" s="5">
        <f t="shared" si="18"/>
        <v>1697613.3500000006</v>
      </c>
      <c r="F208" s="5">
        <f t="shared" si="29"/>
        <v>6608023.2199999997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440">
        <v>4</v>
      </c>
      <c r="N208" s="7">
        <v>6608023.2199999997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246" t="s">
        <v>49</v>
      </c>
      <c r="AI208" s="246">
        <v>2020</v>
      </c>
      <c r="AJ208" s="6" t="s">
        <v>49</v>
      </c>
      <c r="AV208" s="2" t="e">
        <f t="shared" si="27"/>
        <v>#N/A</v>
      </c>
      <c r="CB208" s="236"/>
      <c r="CF208" s="2" t="e">
        <f t="shared" si="28"/>
        <v>#N/A</v>
      </c>
    </row>
    <row r="209" spans="1:84" ht="61.5" x14ac:dyDescent="0.85">
      <c r="A209" s="2">
        <v>1</v>
      </c>
      <c r="B209" s="18">
        <f>SUBTOTAL(103,$A$22:A209)</f>
        <v>185</v>
      </c>
      <c r="C209" s="3" t="s">
        <v>1203</v>
      </c>
      <c r="D209" s="5">
        <v>10305814.43</v>
      </c>
      <c r="E209" s="5">
        <f t="shared" si="18"/>
        <v>2143718.2299999995</v>
      </c>
      <c r="F209" s="5">
        <f t="shared" si="29"/>
        <v>8162096.2000000002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440">
        <v>5</v>
      </c>
      <c r="N209" s="7">
        <f>1632419.24+1632419.24+1632419.24+1632419.24+1632419.24</f>
        <v>8162096.2000000002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246" t="s">
        <v>49</v>
      </c>
      <c r="AI209" s="246">
        <v>2020</v>
      </c>
      <c r="AJ209" s="6" t="s">
        <v>49</v>
      </c>
      <c r="AV209" s="2" t="e">
        <f t="shared" si="27"/>
        <v>#N/A</v>
      </c>
      <c r="CB209" s="236"/>
      <c r="CF209" s="2" t="e">
        <f t="shared" si="28"/>
        <v>#N/A</v>
      </c>
    </row>
    <row r="210" spans="1:84" ht="61.5" x14ac:dyDescent="0.85">
      <c r="A210" s="2">
        <v>1</v>
      </c>
      <c r="B210" s="18">
        <f>SUBTOTAL(103,$A$22:A210)</f>
        <v>186</v>
      </c>
      <c r="C210" s="3" t="s">
        <v>1204</v>
      </c>
      <c r="D210" s="5">
        <v>9954095.7100000009</v>
      </c>
      <c r="E210" s="5">
        <f t="shared" si="18"/>
        <v>2054833.1100000013</v>
      </c>
      <c r="F210" s="5">
        <f t="shared" si="29"/>
        <v>7899262.5999999996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440">
        <v>5</v>
      </c>
      <c r="N210" s="7">
        <f>1579852.52+1579852.52+1579852.52+1579852.52+1579852.52</f>
        <v>7899262.5999999996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246" t="s">
        <v>49</v>
      </c>
      <c r="AI210" s="246">
        <v>2020</v>
      </c>
      <c r="AJ210" s="6" t="s">
        <v>49</v>
      </c>
      <c r="AV210" s="2" t="e">
        <f t="shared" si="27"/>
        <v>#N/A</v>
      </c>
      <c r="CB210" s="236"/>
      <c r="CF210" s="2" t="e">
        <f t="shared" si="28"/>
        <v>#N/A</v>
      </c>
    </row>
    <row r="211" spans="1:84" ht="61.5" x14ac:dyDescent="0.85">
      <c r="A211" s="2">
        <v>1</v>
      </c>
      <c r="B211" s="18">
        <f>SUBTOTAL(103,$A$22:A211)</f>
        <v>187</v>
      </c>
      <c r="C211" s="3" t="s">
        <v>1205</v>
      </c>
      <c r="D211" s="5">
        <v>9310459.7000000011</v>
      </c>
      <c r="E211" s="5">
        <f t="shared" ref="E211:E274" si="30">D211-F211</f>
        <v>9061263.3400000017</v>
      </c>
      <c r="F211" s="5">
        <f t="shared" si="29"/>
        <v>249196.36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241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f>ROUND((G211+H211+I211+J211+K211+L211)*1.5%,2)</f>
        <v>0</v>
      </c>
      <c r="AF211" s="7">
        <v>249196.36</v>
      </c>
      <c r="AG211" s="5">
        <v>0</v>
      </c>
      <c r="AH211" s="246">
        <v>2020</v>
      </c>
      <c r="AI211" s="6" t="s">
        <v>49</v>
      </c>
      <c r="AJ211" s="6" t="s">
        <v>49</v>
      </c>
      <c r="AV211" s="2" t="e">
        <f t="shared" si="27"/>
        <v>#N/A</v>
      </c>
      <c r="CB211" s="236"/>
      <c r="CF211" s="2" t="e">
        <f t="shared" si="28"/>
        <v>#N/A</v>
      </c>
    </row>
    <row r="212" spans="1:84" ht="61.5" x14ac:dyDescent="0.85">
      <c r="A212" s="2">
        <v>1</v>
      </c>
      <c r="B212" s="18">
        <f>SUBTOTAL(103,$A$22:A212)</f>
        <v>188</v>
      </c>
      <c r="C212" s="3" t="s">
        <v>1206</v>
      </c>
      <c r="D212" s="5">
        <v>1703879.76</v>
      </c>
      <c r="E212" s="5">
        <f t="shared" si="30"/>
        <v>0</v>
      </c>
      <c r="F212" s="5">
        <f t="shared" si="29"/>
        <v>1703879.76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241">
        <v>0</v>
      </c>
      <c r="N212" s="5">
        <v>0</v>
      </c>
      <c r="O212" s="5">
        <v>675</v>
      </c>
      <c r="P212" s="7">
        <v>1622576.28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7">
        <v>81303.48</v>
      </c>
      <c r="AG212" s="5">
        <v>0</v>
      </c>
      <c r="AH212" s="246">
        <v>2020</v>
      </c>
      <c r="AI212" s="246">
        <v>2020</v>
      </c>
      <c r="AJ212" s="6" t="s">
        <v>49</v>
      </c>
      <c r="AV212" s="2" t="e">
        <f t="shared" si="27"/>
        <v>#N/A</v>
      </c>
      <c r="CB212" s="236"/>
      <c r="CF212" s="2" t="e">
        <f t="shared" si="28"/>
        <v>#N/A</v>
      </c>
    </row>
    <row r="213" spans="1:84" ht="61.5" x14ac:dyDescent="0.85">
      <c r="A213" s="2">
        <v>1</v>
      </c>
      <c r="B213" s="18">
        <f>SUBTOTAL(103,$A$22:A213)</f>
        <v>189</v>
      </c>
      <c r="C213" s="3" t="s">
        <v>944</v>
      </c>
      <c r="D213" s="5">
        <v>114842.89</v>
      </c>
      <c r="E213" s="5">
        <f t="shared" si="30"/>
        <v>0</v>
      </c>
      <c r="F213" s="5">
        <f t="shared" si="29"/>
        <v>114842.89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241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f>ROUND(P213*1.5%,2)</f>
        <v>0</v>
      </c>
      <c r="AF213" s="7">
        <v>114842.89</v>
      </c>
      <c r="AG213" s="5">
        <v>0</v>
      </c>
      <c r="AH213" s="246">
        <v>2020</v>
      </c>
      <c r="AI213" s="246" t="s">
        <v>49</v>
      </c>
      <c r="AJ213" s="246" t="s">
        <v>49</v>
      </c>
      <c r="AV213" s="2" t="e">
        <f t="shared" si="27"/>
        <v>#N/A</v>
      </c>
      <c r="CB213" s="236"/>
      <c r="CF213" s="2">
        <f t="shared" si="28"/>
        <v>1319.27</v>
      </c>
    </row>
    <row r="214" spans="1:84" ht="61.5" x14ac:dyDescent="0.85">
      <c r="A214" s="2">
        <v>1</v>
      </c>
      <c r="B214" s="18">
        <f>SUBTOTAL(103,$A$22:A214)</f>
        <v>190</v>
      </c>
      <c r="C214" s="3" t="s">
        <v>1207</v>
      </c>
      <c r="D214" s="5">
        <v>5123354.76</v>
      </c>
      <c r="E214" s="5">
        <f t="shared" si="30"/>
        <v>4986857.2</v>
      </c>
      <c r="F214" s="5">
        <f t="shared" si="29"/>
        <v>136497.56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241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f>ROUND(P214*1.5%,2)</f>
        <v>0</v>
      </c>
      <c r="AF214" s="7">
        <v>136497.56</v>
      </c>
      <c r="AG214" s="5">
        <v>0</v>
      </c>
      <c r="AH214" s="246">
        <v>2020</v>
      </c>
      <c r="AI214" s="246" t="s">
        <v>49</v>
      </c>
      <c r="AJ214" s="246" t="s">
        <v>49</v>
      </c>
      <c r="AV214" s="2" t="e">
        <f t="shared" si="27"/>
        <v>#N/A</v>
      </c>
      <c r="CB214" s="236"/>
      <c r="CF214" s="2" t="e">
        <f t="shared" si="28"/>
        <v>#N/A</v>
      </c>
    </row>
    <row r="215" spans="1:84" ht="61.5" x14ac:dyDescent="0.85">
      <c r="A215" s="2">
        <v>1</v>
      </c>
      <c r="B215" s="18">
        <f>SUBTOTAL(103,$A$22:A215)</f>
        <v>191</v>
      </c>
      <c r="C215" s="3" t="s">
        <v>1208</v>
      </c>
      <c r="D215" s="5">
        <v>3517276.18</v>
      </c>
      <c r="E215" s="5">
        <f t="shared" si="30"/>
        <v>0</v>
      </c>
      <c r="F215" s="5">
        <f t="shared" si="29"/>
        <v>3517276.18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241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441">
        <v>815.66</v>
      </c>
      <c r="T215" s="441">
        <v>3517276.18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246" t="s">
        <v>49</v>
      </c>
      <c r="AI215" s="246">
        <v>2020</v>
      </c>
      <c r="AJ215" s="6" t="s">
        <v>49</v>
      </c>
      <c r="CB215" s="236"/>
      <c r="CF215" s="2" t="e">
        <f t="shared" si="28"/>
        <v>#N/A</v>
      </c>
    </row>
    <row r="216" spans="1:84" ht="61.5" x14ac:dyDescent="0.85">
      <c r="A216" s="2">
        <v>1</v>
      </c>
      <c r="B216" s="18">
        <f>SUBTOTAL(103,$A$22:A216)</f>
        <v>192</v>
      </c>
      <c r="C216" s="3" t="s">
        <v>1209</v>
      </c>
      <c r="D216" s="5">
        <v>584803.79</v>
      </c>
      <c r="E216" s="5">
        <f t="shared" si="30"/>
        <v>2938.4200000000419</v>
      </c>
      <c r="F216" s="5">
        <f t="shared" si="29"/>
        <v>581865.37</v>
      </c>
      <c r="G216" s="5">
        <v>0</v>
      </c>
      <c r="H216" s="5">
        <v>0</v>
      </c>
      <c r="I216" s="5">
        <v>0</v>
      </c>
      <c r="J216" s="5">
        <v>0</v>
      </c>
      <c r="K216" s="48">
        <v>576161.37</v>
      </c>
      <c r="L216" s="5">
        <v>0</v>
      </c>
      <c r="M216" s="241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48">
        <v>5704</v>
      </c>
      <c r="AF216" s="5">
        <v>0</v>
      </c>
      <c r="AG216" s="5">
        <v>0</v>
      </c>
      <c r="AH216" s="246" t="s">
        <v>49</v>
      </c>
      <c r="AI216" s="246">
        <v>2020</v>
      </c>
      <c r="AJ216" s="6">
        <v>2020</v>
      </c>
      <c r="CB216" s="236"/>
      <c r="CF216" s="2" t="e">
        <f t="shared" si="28"/>
        <v>#N/A</v>
      </c>
    </row>
    <row r="217" spans="1:84" ht="61.5" x14ac:dyDescent="0.85">
      <c r="A217" s="2">
        <v>1</v>
      </c>
      <c r="B217" s="18">
        <f>SUBTOTAL(103,$A$22:A217)</f>
        <v>193</v>
      </c>
      <c r="C217" s="3" t="s">
        <v>999</v>
      </c>
      <c r="D217" s="5">
        <v>5597667.4300000006</v>
      </c>
      <c r="E217" s="5">
        <f t="shared" si="30"/>
        <v>0</v>
      </c>
      <c r="F217" s="5">
        <f t="shared" si="29"/>
        <v>5597667.4300000006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241">
        <v>0</v>
      </c>
      <c r="N217" s="5">
        <v>0</v>
      </c>
      <c r="O217" s="5">
        <v>1206.22</v>
      </c>
      <c r="P217" s="5">
        <v>5514943.2800000003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f>ROUND(P217*1.5%,2)</f>
        <v>82724.149999999994</v>
      </c>
      <c r="AF217" s="5">
        <v>0</v>
      </c>
      <c r="AG217" s="5">
        <v>0</v>
      </c>
      <c r="AH217" s="246" t="s">
        <v>49</v>
      </c>
      <c r="AI217" s="246">
        <v>2020</v>
      </c>
      <c r="AJ217" s="6">
        <v>2020</v>
      </c>
      <c r="CB217" s="236"/>
      <c r="CF217" s="2">
        <f t="shared" si="28"/>
        <v>1206.22</v>
      </c>
    </row>
    <row r="218" spans="1:84" ht="61.5" x14ac:dyDescent="0.85">
      <c r="A218" s="2">
        <v>1</v>
      </c>
      <c r="B218" s="18">
        <f>SUBTOTAL(103,$A$22:A218)</f>
        <v>194</v>
      </c>
      <c r="C218" s="3" t="s">
        <v>1000</v>
      </c>
      <c r="D218" s="5">
        <v>3942505.78</v>
      </c>
      <c r="E218" s="5">
        <f t="shared" si="30"/>
        <v>145254.20000000019</v>
      </c>
      <c r="F218" s="5">
        <f t="shared" si="29"/>
        <v>3797251.5799999996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241">
        <v>0</v>
      </c>
      <c r="N218" s="5">
        <v>0</v>
      </c>
      <c r="O218" s="7">
        <v>1111.9000000000001</v>
      </c>
      <c r="P218" s="7">
        <v>3760027.3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7">
        <v>37224.28</v>
      </c>
      <c r="AF218" s="5">
        <v>0</v>
      </c>
      <c r="AG218" s="5">
        <v>0</v>
      </c>
      <c r="AH218" s="246" t="s">
        <v>49</v>
      </c>
      <c r="AI218" s="246">
        <v>2020</v>
      </c>
      <c r="AJ218" s="6">
        <v>2020</v>
      </c>
      <c r="CB218" s="236"/>
      <c r="CF218" s="2">
        <f t="shared" si="28"/>
        <v>1137.3</v>
      </c>
    </row>
    <row r="219" spans="1:84" ht="61.5" x14ac:dyDescent="0.85">
      <c r="A219" s="2">
        <v>1</v>
      </c>
      <c r="B219" s="18">
        <f>SUBTOTAL(103,$A$22:A219)</f>
        <v>195</v>
      </c>
      <c r="C219" s="3" t="s">
        <v>1210</v>
      </c>
      <c r="D219" s="5">
        <v>1625426.78</v>
      </c>
      <c r="E219" s="5">
        <f t="shared" si="30"/>
        <v>286748.91000000015</v>
      </c>
      <c r="F219" s="5">
        <f t="shared" si="29"/>
        <v>1338677.8699999999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241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7">
        <v>379.48</v>
      </c>
      <c r="T219" s="7">
        <v>1325554.8799999999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7">
        <v>13122.99</v>
      </c>
      <c r="AF219" s="5">
        <v>0</v>
      </c>
      <c r="AG219" s="5">
        <v>0</v>
      </c>
      <c r="AH219" s="246" t="s">
        <v>49</v>
      </c>
      <c r="AI219" s="246">
        <v>2020</v>
      </c>
      <c r="AJ219" s="6">
        <v>2020</v>
      </c>
      <c r="CB219" s="236"/>
      <c r="CF219" s="2" t="e">
        <f t="shared" si="28"/>
        <v>#N/A</v>
      </c>
    </row>
    <row r="220" spans="1:84" ht="61.5" x14ac:dyDescent="0.85">
      <c r="A220" s="2">
        <v>1</v>
      </c>
      <c r="B220" s="18">
        <f>SUBTOTAL(103,$A$22:A220)</f>
        <v>196</v>
      </c>
      <c r="C220" s="3" t="s">
        <v>1211</v>
      </c>
      <c r="D220" s="5">
        <v>4355063.8499999996</v>
      </c>
      <c r="E220" s="5">
        <f t="shared" si="30"/>
        <v>0</v>
      </c>
      <c r="F220" s="5">
        <f t="shared" si="29"/>
        <v>4355063.8499999996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440">
        <v>3</v>
      </c>
      <c r="N220" s="7">
        <v>4355063.8499999996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246" t="s">
        <v>49</v>
      </c>
      <c r="AI220" s="246">
        <v>2020</v>
      </c>
      <c r="AJ220" s="6" t="s">
        <v>49</v>
      </c>
      <c r="CB220" s="236"/>
      <c r="CF220" s="2" t="e">
        <f t="shared" si="28"/>
        <v>#N/A</v>
      </c>
    </row>
    <row r="221" spans="1:84" ht="61.5" x14ac:dyDescent="0.85">
      <c r="A221" s="2">
        <v>1</v>
      </c>
      <c r="B221" s="18">
        <f>SUBTOTAL(103,$A$22:A221)</f>
        <v>197</v>
      </c>
      <c r="C221" s="3" t="s">
        <v>1212</v>
      </c>
      <c r="D221" s="5">
        <v>2299678.3200000003</v>
      </c>
      <c r="E221" s="5">
        <f t="shared" si="30"/>
        <v>598923.66000000038</v>
      </c>
      <c r="F221" s="5">
        <f t="shared" si="29"/>
        <v>1700754.66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241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7">
        <v>503.64</v>
      </c>
      <c r="T221" s="48">
        <v>1684082.24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48">
        <v>16672.419999999998</v>
      </c>
      <c r="AF221" s="5">
        <v>0</v>
      </c>
      <c r="AG221" s="5">
        <v>0</v>
      </c>
      <c r="AH221" s="246" t="s">
        <v>49</v>
      </c>
      <c r="AI221" s="246">
        <v>2020</v>
      </c>
      <c r="AJ221" s="6">
        <v>2020</v>
      </c>
      <c r="CB221" s="236"/>
      <c r="CF221" s="2" t="e">
        <f t="shared" si="28"/>
        <v>#N/A</v>
      </c>
    </row>
    <row r="222" spans="1:84" ht="61.5" x14ac:dyDescent="0.85">
      <c r="A222" s="2">
        <v>1</v>
      </c>
      <c r="B222" s="18">
        <f>SUBTOTAL(103,$A$22:A222)</f>
        <v>198</v>
      </c>
      <c r="C222" s="3" t="s">
        <v>1213</v>
      </c>
      <c r="D222" s="5">
        <v>2329359.0300000003</v>
      </c>
      <c r="E222" s="5">
        <f t="shared" si="30"/>
        <v>768306.99000000022</v>
      </c>
      <c r="F222" s="5">
        <f t="shared" si="29"/>
        <v>1561052.04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241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7">
        <v>376.66</v>
      </c>
      <c r="T222" s="5">
        <v>1500000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f>ROUND(T222*1.5%,2)</f>
        <v>22500</v>
      </c>
      <c r="AF222" s="7">
        <v>38552.04</v>
      </c>
      <c r="AG222" s="5">
        <v>0</v>
      </c>
      <c r="AH222" s="246">
        <v>2020</v>
      </c>
      <c r="AI222" s="246">
        <v>2020</v>
      </c>
      <c r="AJ222" s="6">
        <v>2020</v>
      </c>
      <c r="CB222" s="236"/>
      <c r="CF222" s="2" t="e">
        <f t="shared" si="28"/>
        <v>#N/A</v>
      </c>
    </row>
    <row r="223" spans="1:84" ht="61.5" x14ac:dyDescent="0.85">
      <c r="A223" s="2">
        <v>1</v>
      </c>
      <c r="B223" s="18">
        <f>SUBTOTAL(103,$A$22:A223)</f>
        <v>199</v>
      </c>
      <c r="C223" s="3" t="s">
        <v>1214</v>
      </c>
      <c r="D223" s="5">
        <v>6356844.0800000001</v>
      </c>
      <c r="E223" s="5">
        <f t="shared" si="30"/>
        <v>0</v>
      </c>
      <c r="F223" s="5">
        <f t="shared" si="29"/>
        <v>6356844.0800000001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440">
        <v>4</v>
      </c>
      <c r="N223" s="7">
        <v>6356844.0800000001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246" t="s">
        <v>49</v>
      </c>
      <c r="AI223" s="246">
        <v>2020</v>
      </c>
      <c r="AJ223" s="6" t="s">
        <v>49</v>
      </c>
      <c r="CB223" s="236"/>
      <c r="CF223" s="2" t="e">
        <f t="shared" si="28"/>
        <v>#N/A</v>
      </c>
    </row>
    <row r="224" spans="1:84" ht="61.5" x14ac:dyDescent="0.85">
      <c r="A224" s="2">
        <v>1</v>
      </c>
      <c r="B224" s="18">
        <f>SUBTOTAL(103,$A$22:A224)</f>
        <v>200</v>
      </c>
      <c r="C224" s="3" t="s">
        <v>1215</v>
      </c>
      <c r="D224" s="5">
        <v>6395339.7400000002</v>
      </c>
      <c r="E224" s="5">
        <f t="shared" si="30"/>
        <v>6222564.7000000002</v>
      </c>
      <c r="F224" s="5">
        <f t="shared" si="29"/>
        <v>172775.04000000001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241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f>ROUND(P224*1.5%,2)</f>
        <v>0</v>
      </c>
      <c r="AF224" s="48">
        <v>172775.04000000001</v>
      </c>
      <c r="AG224" s="5">
        <v>0</v>
      </c>
      <c r="AH224" s="246">
        <v>2020</v>
      </c>
      <c r="AI224" s="246" t="s">
        <v>49</v>
      </c>
      <c r="AJ224" s="246" t="s">
        <v>49</v>
      </c>
      <c r="CB224" s="236"/>
      <c r="CF224" s="2" t="e">
        <f t="shared" si="28"/>
        <v>#N/A</v>
      </c>
    </row>
    <row r="225" spans="1:262" ht="61.5" x14ac:dyDescent="0.85">
      <c r="A225" s="2">
        <v>1</v>
      </c>
      <c r="B225" s="18">
        <f>SUBTOTAL(103,$A$22:A225)</f>
        <v>201</v>
      </c>
      <c r="C225" s="3" t="s">
        <v>1216</v>
      </c>
      <c r="D225" s="5">
        <v>13083489.59</v>
      </c>
      <c r="E225" s="5">
        <f t="shared" si="30"/>
        <v>0</v>
      </c>
      <c r="F225" s="5">
        <f t="shared" si="29"/>
        <v>13083489.59</v>
      </c>
      <c r="G225" s="5">
        <v>0</v>
      </c>
      <c r="H225" s="5">
        <v>0</v>
      </c>
      <c r="I225" s="5">
        <v>0</v>
      </c>
      <c r="J225" s="5">
        <v>0</v>
      </c>
      <c r="K225" s="5">
        <v>0</v>
      </c>
      <c r="L225" s="5">
        <v>0</v>
      </c>
      <c r="M225" s="440">
        <v>9</v>
      </c>
      <c r="N225" s="7">
        <v>13083489.59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246" t="s">
        <v>49</v>
      </c>
      <c r="AI225" s="246">
        <v>2020</v>
      </c>
      <c r="AJ225" s="6" t="s">
        <v>49</v>
      </c>
      <c r="CB225" s="236"/>
      <c r="CF225" s="2" t="e">
        <f t="shared" si="28"/>
        <v>#N/A</v>
      </c>
    </row>
    <row r="226" spans="1:262" ht="61.5" x14ac:dyDescent="0.85">
      <c r="A226" s="2">
        <v>1</v>
      </c>
      <c r="B226" s="18">
        <f>SUBTOTAL(103,$A$22:A226)</f>
        <v>202</v>
      </c>
      <c r="C226" s="3" t="s">
        <v>1217</v>
      </c>
      <c r="D226" s="5">
        <v>5478127.7400000002</v>
      </c>
      <c r="E226" s="5">
        <f t="shared" si="30"/>
        <v>0</v>
      </c>
      <c r="F226" s="5">
        <f t="shared" si="29"/>
        <v>5478127.7400000002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440">
        <v>3</v>
      </c>
      <c r="N226" s="7">
        <v>5478127.7400000002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246" t="s">
        <v>49</v>
      </c>
      <c r="AI226" s="246">
        <v>2020</v>
      </c>
      <c r="AJ226" s="6" t="s">
        <v>49</v>
      </c>
      <c r="CB226" s="236"/>
      <c r="CF226" s="2" t="e">
        <f t="shared" si="28"/>
        <v>#N/A</v>
      </c>
    </row>
    <row r="227" spans="1:262" ht="61.5" x14ac:dyDescent="0.85">
      <c r="A227" s="2">
        <v>1</v>
      </c>
      <c r="B227" s="18">
        <f>SUBTOTAL(103,$A$22:A227)</f>
        <v>203</v>
      </c>
      <c r="C227" s="3" t="s">
        <v>1218</v>
      </c>
      <c r="D227" s="5">
        <v>7310851.2000000002</v>
      </c>
      <c r="E227" s="5">
        <f t="shared" si="30"/>
        <v>0</v>
      </c>
      <c r="F227" s="5">
        <f t="shared" si="29"/>
        <v>7310851.2000000002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440">
        <v>4</v>
      </c>
      <c r="N227" s="7">
        <v>7310851.2000000002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0</v>
      </c>
      <c r="AH227" s="246" t="s">
        <v>49</v>
      </c>
      <c r="AI227" s="246">
        <v>2020</v>
      </c>
      <c r="AJ227" s="6" t="s">
        <v>49</v>
      </c>
      <c r="CB227" s="236"/>
      <c r="CF227" s="2" t="e">
        <f t="shared" si="28"/>
        <v>#N/A</v>
      </c>
    </row>
    <row r="228" spans="1:262" ht="61.5" x14ac:dyDescent="0.85">
      <c r="A228" s="2">
        <v>1</v>
      </c>
      <c r="B228" s="18">
        <f>SUBTOTAL(103,$A$22:A228)</f>
        <v>204</v>
      </c>
      <c r="C228" s="3" t="s">
        <v>1219</v>
      </c>
      <c r="D228" s="5">
        <v>5327196</v>
      </c>
      <c r="E228" s="5">
        <f t="shared" si="30"/>
        <v>0</v>
      </c>
      <c r="F228" s="5">
        <f t="shared" si="29"/>
        <v>5327196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440">
        <v>3</v>
      </c>
      <c r="N228" s="7">
        <v>5327196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246" t="s">
        <v>49</v>
      </c>
      <c r="AI228" s="246">
        <v>2020</v>
      </c>
      <c r="AJ228" s="6" t="s">
        <v>49</v>
      </c>
      <c r="CB228" s="236"/>
      <c r="CF228" s="2" t="e">
        <f t="shared" si="28"/>
        <v>#N/A</v>
      </c>
    </row>
    <row r="229" spans="1:262" ht="61.5" x14ac:dyDescent="0.85">
      <c r="A229" s="2">
        <v>1</v>
      </c>
      <c r="B229" s="18">
        <f>SUBTOTAL(103,$A$22:A229)</f>
        <v>205</v>
      </c>
      <c r="C229" s="3" t="s">
        <v>1220</v>
      </c>
      <c r="D229" s="5">
        <v>7367915.9199999999</v>
      </c>
      <c r="E229" s="5">
        <f t="shared" si="30"/>
        <v>0</v>
      </c>
      <c r="F229" s="5">
        <f t="shared" si="29"/>
        <v>7367915.9199999999</v>
      </c>
      <c r="G229" s="5">
        <v>0</v>
      </c>
      <c r="H229" s="5">
        <v>0</v>
      </c>
      <c r="I229" s="5">
        <v>0</v>
      </c>
      <c r="J229" s="5">
        <v>0</v>
      </c>
      <c r="K229" s="5">
        <v>0</v>
      </c>
      <c r="L229" s="5">
        <v>0</v>
      </c>
      <c r="M229" s="440">
        <v>4</v>
      </c>
      <c r="N229" s="7">
        <v>7367915.9199999999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0</v>
      </c>
      <c r="AG229" s="5">
        <v>0</v>
      </c>
      <c r="AH229" s="246" t="s">
        <v>49</v>
      </c>
      <c r="AI229" s="246">
        <v>2020</v>
      </c>
      <c r="AJ229" s="6" t="s">
        <v>49</v>
      </c>
      <c r="CB229" s="236"/>
      <c r="CF229" s="2" t="e">
        <f t="shared" si="28"/>
        <v>#N/A</v>
      </c>
    </row>
    <row r="230" spans="1:262" ht="61.5" x14ac:dyDescent="0.85">
      <c r="A230" s="2">
        <v>1</v>
      </c>
      <c r="B230" s="18">
        <f>SUBTOTAL(103,$A$22:A230)</f>
        <v>206</v>
      </c>
      <c r="C230" s="3" t="s">
        <v>1221</v>
      </c>
      <c r="D230" s="5">
        <v>5462413.6200000001</v>
      </c>
      <c r="E230" s="5">
        <f t="shared" si="30"/>
        <v>0</v>
      </c>
      <c r="F230" s="5">
        <f t="shared" si="29"/>
        <v>5462413.6200000001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440">
        <v>3</v>
      </c>
      <c r="N230" s="7">
        <v>5462413.6200000001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246" t="s">
        <v>49</v>
      </c>
      <c r="AI230" s="246">
        <v>2020</v>
      </c>
      <c r="AJ230" s="6" t="s">
        <v>49</v>
      </c>
      <c r="CB230" s="236"/>
      <c r="CF230" s="2" t="e">
        <f t="shared" si="28"/>
        <v>#N/A</v>
      </c>
    </row>
    <row r="231" spans="1:262" ht="61.5" x14ac:dyDescent="0.85">
      <c r="A231" s="2">
        <v>1</v>
      </c>
      <c r="B231" s="18">
        <f>SUBTOTAL(103,$A$22:A231)</f>
        <v>207</v>
      </c>
      <c r="C231" s="3" t="s">
        <v>1222</v>
      </c>
      <c r="D231" s="5">
        <v>1452147.29</v>
      </c>
      <c r="E231" s="5">
        <f t="shared" si="30"/>
        <v>0</v>
      </c>
      <c r="F231" s="5">
        <f t="shared" si="29"/>
        <v>1452147.29</v>
      </c>
      <c r="G231" s="5">
        <v>0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440">
        <v>1</v>
      </c>
      <c r="N231" s="7">
        <v>1452147.29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246" t="s">
        <v>49</v>
      </c>
      <c r="AI231" s="246">
        <v>2020</v>
      </c>
      <c r="AJ231" s="6" t="s">
        <v>49</v>
      </c>
      <c r="CB231" s="236"/>
      <c r="CF231" s="2" t="e">
        <f t="shared" si="28"/>
        <v>#N/A</v>
      </c>
    </row>
    <row r="232" spans="1:262" ht="61.5" x14ac:dyDescent="0.85">
      <c r="A232" s="2">
        <v>1</v>
      </c>
      <c r="B232" s="18">
        <f>SUBTOTAL(103,$A$22:A232)</f>
        <v>208</v>
      </c>
      <c r="C232" s="3" t="s">
        <v>1223</v>
      </c>
      <c r="D232" s="5">
        <v>2915220.6</v>
      </c>
      <c r="E232" s="5">
        <f t="shared" si="30"/>
        <v>0</v>
      </c>
      <c r="F232" s="5">
        <f t="shared" si="29"/>
        <v>2915220.6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440">
        <v>2</v>
      </c>
      <c r="N232" s="7">
        <v>2915220.6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246" t="s">
        <v>49</v>
      </c>
      <c r="AI232" s="246">
        <v>2020</v>
      </c>
      <c r="AJ232" s="6" t="s">
        <v>49</v>
      </c>
      <c r="CB232" s="236"/>
      <c r="CF232" s="2" t="e">
        <f t="shared" si="28"/>
        <v>#N/A</v>
      </c>
    </row>
    <row r="233" spans="1:262" ht="61.5" x14ac:dyDescent="0.85">
      <c r="A233" s="2">
        <v>1</v>
      </c>
      <c r="B233" s="18">
        <f>SUBTOTAL(103,$A$22:A233)</f>
        <v>209</v>
      </c>
      <c r="C233" s="3" t="s">
        <v>1224</v>
      </c>
      <c r="D233" s="5">
        <v>4354761.09</v>
      </c>
      <c r="E233" s="5">
        <f t="shared" si="30"/>
        <v>0</v>
      </c>
      <c r="F233" s="5">
        <f>G233+H233+I233+J233+K233+L233+N233+P233+R233+T233+V233+W233+X233+Y233+Z233+AA233+AB233+AC233+AD233+AE233+AF233+AG233</f>
        <v>4354761.09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440">
        <v>3</v>
      </c>
      <c r="N233" s="7">
        <v>4354761.09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246" t="s">
        <v>49</v>
      </c>
      <c r="AI233" s="246">
        <v>2020</v>
      </c>
      <c r="AJ233" s="6" t="s">
        <v>49</v>
      </c>
      <c r="CB233" s="236"/>
      <c r="CF233" s="2" t="e">
        <f t="shared" si="28"/>
        <v>#N/A</v>
      </c>
    </row>
    <row r="234" spans="1:262" ht="61.5" x14ac:dyDescent="0.85">
      <c r="A234" s="2">
        <v>1</v>
      </c>
      <c r="B234" s="18">
        <f>SUBTOTAL(103,$A$22:A234)</f>
        <v>210</v>
      </c>
      <c r="C234" s="3" t="s">
        <v>1225</v>
      </c>
      <c r="D234" s="5">
        <v>6862081.1600000001</v>
      </c>
      <c r="E234" s="5">
        <f t="shared" si="30"/>
        <v>0</v>
      </c>
      <c r="F234" s="5">
        <f>G234+H234+I234+J234+K234+L234+N234+P234+R234+T234+V234+W234+X234+Y234+Z234+AA234+AB234+AC234+AD234+AE234+AF234+AG234</f>
        <v>6862081.1600000001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25">
        <v>3</v>
      </c>
      <c r="N234" s="5">
        <f>6508517.22+392684.9-122303.03</f>
        <v>6778899.0899999999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83182.070000000007</v>
      </c>
      <c r="AG234" s="5">
        <v>0</v>
      </c>
      <c r="AH234" s="246">
        <v>2020</v>
      </c>
      <c r="AI234" s="246">
        <v>2020</v>
      </c>
      <c r="AJ234" s="6" t="s">
        <v>49</v>
      </c>
      <c r="AV234" s="2" t="e">
        <f>VLOOKUP(C234,AY:AZ,2,FALSE)</f>
        <v>#N/A</v>
      </c>
      <c r="CB234" s="236"/>
      <c r="CF234" s="2" t="e">
        <f t="shared" si="28"/>
        <v>#N/A</v>
      </c>
    </row>
    <row r="235" spans="1:262" ht="61.5" x14ac:dyDescent="0.85">
      <c r="A235" s="2">
        <v>1</v>
      </c>
      <c r="B235" s="18">
        <f>SUBTOTAL(103,$A$22:A235)</f>
        <v>211</v>
      </c>
      <c r="C235" s="3" t="s">
        <v>1226</v>
      </c>
      <c r="D235" s="5">
        <v>4848740.71</v>
      </c>
      <c r="E235" s="5">
        <f t="shared" si="30"/>
        <v>0</v>
      </c>
      <c r="F235" s="5">
        <f>G235+H235+I235+J235+K235+L235+N235+P235+R235+T235+V235+W235+X235+Y235+Z235+AA235+AB235+AC235+AD235+AE235+AF235+AG235</f>
        <v>4848740.71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25">
        <v>2</v>
      </c>
      <c r="N235" s="5">
        <v>4772344.59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76396.12</v>
      </c>
      <c r="AG235" s="5">
        <v>0</v>
      </c>
      <c r="AH235" s="246">
        <v>2020</v>
      </c>
      <c r="AI235" s="246">
        <v>2020</v>
      </c>
      <c r="AJ235" s="6" t="s">
        <v>49</v>
      </c>
      <c r="AV235" s="2" t="e">
        <f>VLOOKUP(C235,AY:AZ,2,FALSE)</f>
        <v>#N/A</v>
      </c>
      <c r="CB235" s="236"/>
      <c r="CF235" s="2" t="e">
        <f t="shared" si="28"/>
        <v>#N/A</v>
      </c>
    </row>
    <row r="236" spans="1:262" ht="61.5" x14ac:dyDescent="0.85">
      <c r="A236" s="2">
        <v>1</v>
      </c>
      <c r="B236" s="18">
        <f>SUBTOTAL(103,$A$22:A236)</f>
        <v>212</v>
      </c>
      <c r="C236" s="3" t="s">
        <v>1227</v>
      </c>
      <c r="D236" s="5">
        <v>4848888.49</v>
      </c>
      <c r="E236" s="5">
        <f t="shared" si="30"/>
        <v>0</v>
      </c>
      <c r="F236" s="5">
        <f>G236+H236+I236+J236+K236+L236+N236+P236+R236+T236+V236+W236+X236+Y236+Z236+AA236+AB236+AC236+AD236+AE236+AF236+AG236</f>
        <v>4848888.49</v>
      </c>
      <c r="G236" s="5">
        <v>0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25">
        <v>2</v>
      </c>
      <c r="N236" s="5">
        <v>4772344.59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76543.899999999994</v>
      </c>
      <c r="AG236" s="5">
        <v>0</v>
      </c>
      <c r="AH236" s="246">
        <v>2020</v>
      </c>
      <c r="AI236" s="246">
        <v>2020</v>
      </c>
      <c r="AJ236" s="6" t="s">
        <v>49</v>
      </c>
      <c r="AV236" s="2" t="e">
        <f>VLOOKUP(C236,AY:AZ,2,FALSE)</f>
        <v>#N/A</v>
      </c>
      <c r="CB236" s="236"/>
      <c r="CF236" s="2" t="e">
        <f t="shared" si="28"/>
        <v>#N/A</v>
      </c>
    </row>
    <row r="237" spans="1:262" ht="61.5" x14ac:dyDescent="0.85">
      <c r="A237" s="2">
        <v>1</v>
      </c>
      <c r="B237" s="18">
        <f>SUBTOTAL(103,$A$22:A237)</f>
        <v>213</v>
      </c>
      <c r="C237" s="3" t="s">
        <v>1228</v>
      </c>
      <c r="D237" s="5">
        <v>123350.33</v>
      </c>
      <c r="E237" s="5">
        <f t="shared" si="30"/>
        <v>0</v>
      </c>
      <c r="F237" s="5">
        <f t="shared" ref="F237:F240" si="31">G237+H237+I237+J237+K237+L237+N237+P237+R237+T237+V237+W237+X237+Y237+Z237+AA237+AB237+AC237+AD237+AE237+AF237+AG237</f>
        <v>123350.33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241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123350.33</v>
      </c>
      <c r="AG237" s="5">
        <v>0</v>
      </c>
      <c r="AH237" s="246">
        <v>2020</v>
      </c>
      <c r="AI237" s="246" t="s">
        <v>49</v>
      </c>
      <c r="AJ237" s="6" t="s">
        <v>49</v>
      </c>
      <c r="AV237" s="2" t="e">
        <f>VLOOKUP(C237,AY:AZ,2,FALSE)</f>
        <v>#N/A</v>
      </c>
      <c r="CB237" s="236"/>
      <c r="CF237" s="2" t="e">
        <f t="shared" si="28"/>
        <v>#N/A</v>
      </c>
    </row>
    <row r="238" spans="1:262" s="239" customFormat="1" ht="61.5" x14ac:dyDescent="0.85">
      <c r="A238" s="239">
        <v>1</v>
      </c>
      <c r="B238" s="18">
        <f>SUBTOTAL(103,$A$22:A238)</f>
        <v>214</v>
      </c>
      <c r="C238" s="3" t="s">
        <v>1229</v>
      </c>
      <c r="D238" s="5">
        <v>2114616.9300000002</v>
      </c>
      <c r="E238" s="5">
        <f t="shared" si="30"/>
        <v>-111937.75</v>
      </c>
      <c r="F238" s="5">
        <f t="shared" si="31"/>
        <v>2226554.6800000002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25">
        <v>1</v>
      </c>
      <c r="N238" s="5">
        <f>2106554.68+8062.25</f>
        <v>2114616.9300000002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7">
        <v>111937.75</v>
      </c>
      <c r="AG238" s="5">
        <v>0</v>
      </c>
      <c r="AH238" s="246">
        <v>2020</v>
      </c>
      <c r="AI238" s="246">
        <v>2020</v>
      </c>
      <c r="AJ238" s="6" t="s">
        <v>49</v>
      </c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 t="e">
        <f>VLOOKUP(C238,AY:AZ,2,FALSE)</f>
        <v>#N/A</v>
      </c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36"/>
      <c r="CC238" s="2"/>
      <c r="CD238" s="2"/>
      <c r="CE238" s="2"/>
      <c r="CF238" s="2" t="e">
        <f t="shared" si="28"/>
        <v>#N/A</v>
      </c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</row>
    <row r="239" spans="1:262" s="239" customFormat="1" ht="61.5" x14ac:dyDescent="0.85">
      <c r="A239" s="239">
        <v>1</v>
      </c>
      <c r="B239" s="18">
        <f>SUBTOTAL(103,$A$22:A239)</f>
        <v>215</v>
      </c>
      <c r="C239" s="3" t="s">
        <v>1230</v>
      </c>
      <c r="D239" s="5">
        <v>4548734.6400000006</v>
      </c>
      <c r="E239" s="5">
        <f t="shared" si="30"/>
        <v>-106171.29999999981</v>
      </c>
      <c r="F239" s="5">
        <f>G239+H239+I239+J239+K239+L239+N239+P239+R239+T239+V239+W239+X239+Y239+Z239+AA239+AB239+AC239+AD239+AE239+AF239+AG239</f>
        <v>4654905.9400000004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25">
        <v>2</v>
      </c>
      <c r="N239" s="5">
        <f>4544905.94+3828.7</f>
        <v>4548734.6400000006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7">
        <v>106171.3</v>
      </c>
      <c r="AG239" s="5">
        <v>0</v>
      </c>
      <c r="AH239" s="246">
        <v>2020</v>
      </c>
      <c r="AI239" s="246">
        <v>2020</v>
      </c>
      <c r="AJ239" s="6" t="s">
        <v>49</v>
      </c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36"/>
      <c r="CC239" s="2"/>
      <c r="CD239" s="2"/>
      <c r="CE239" s="2"/>
      <c r="CF239" s="2" t="e">
        <f t="shared" si="28"/>
        <v>#N/A</v>
      </c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</row>
    <row r="240" spans="1:262" s="239" customFormat="1" ht="61.5" x14ac:dyDescent="0.85">
      <c r="A240" s="239">
        <v>1</v>
      </c>
      <c r="B240" s="18">
        <f>SUBTOTAL(103,$A$22:A240)</f>
        <v>216</v>
      </c>
      <c r="C240" s="3" t="s">
        <v>1231</v>
      </c>
      <c r="D240" s="5">
        <v>7503621.0100000007</v>
      </c>
      <c r="E240" s="5">
        <f t="shared" si="30"/>
        <v>7293621.0100000007</v>
      </c>
      <c r="F240" s="5">
        <f t="shared" si="31"/>
        <v>210000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2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f>ROUND(T240*1.5%,2)</f>
        <v>0</v>
      </c>
      <c r="AF240" s="5">
        <v>210000</v>
      </c>
      <c r="AG240" s="5">
        <v>0</v>
      </c>
      <c r="AH240" s="246">
        <v>2020</v>
      </c>
      <c r="AI240" s="246" t="s">
        <v>49</v>
      </c>
      <c r="AJ240" s="246" t="s">
        <v>49</v>
      </c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36"/>
      <c r="CC240" s="2"/>
      <c r="CD240" s="2"/>
      <c r="CE240" s="2"/>
      <c r="CF240" s="2" t="e">
        <f t="shared" si="28"/>
        <v>#N/A</v>
      </c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</row>
    <row r="241" spans="1:262" ht="61.5" x14ac:dyDescent="0.85">
      <c r="B241" s="3" t="s">
        <v>1232</v>
      </c>
      <c r="C241" s="442"/>
      <c r="D241" s="244">
        <v>26597638.940000001</v>
      </c>
      <c r="E241" s="233">
        <f t="shared" si="30"/>
        <v>15027269.150000002</v>
      </c>
      <c r="F241" s="244">
        <f t="shared" ref="F241:AG241" si="32">SUM(F242:F246)</f>
        <v>11570369.789999999</v>
      </c>
      <c r="G241" s="5">
        <f t="shared" si="32"/>
        <v>0</v>
      </c>
      <c r="H241" s="5">
        <f t="shared" si="32"/>
        <v>0</v>
      </c>
      <c r="I241" s="5">
        <f t="shared" si="32"/>
        <v>0</v>
      </c>
      <c r="J241" s="5">
        <f t="shared" si="32"/>
        <v>0</v>
      </c>
      <c r="K241" s="5">
        <f t="shared" si="32"/>
        <v>0</v>
      </c>
      <c r="L241" s="5">
        <f t="shared" si="32"/>
        <v>0</v>
      </c>
      <c r="M241" s="241">
        <f t="shared" si="32"/>
        <v>4</v>
      </c>
      <c r="N241" s="5">
        <f t="shared" si="32"/>
        <v>6300657.04</v>
      </c>
      <c r="O241" s="5">
        <f t="shared" si="32"/>
        <v>386.2</v>
      </c>
      <c r="P241" s="5">
        <f t="shared" si="32"/>
        <v>1209598.77</v>
      </c>
      <c r="Q241" s="5">
        <f t="shared" si="32"/>
        <v>0</v>
      </c>
      <c r="R241" s="5">
        <f t="shared" si="32"/>
        <v>0</v>
      </c>
      <c r="S241" s="5">
        <f t="shared" si="32"/>
        <v>2995.9</v>
      </c>
      <c r="T241" s="5">
        <f t="shared" si="32"/>
        <v>3560240.43</v>
      </c>
      <c r="U241" s="5">
        <f t="shared" si="32"/>
        <v>0</v>
      </c>
      <c r="V241" s="5">
        <f t="shared" si="32"/>
        <v>0</v>
      </c>
      <c r="W241" s="5">
        <f t="shared" si="32"/>
        <v>0</v>
      </c>
      <c r="X241" s="5">
        <f t="shared" si="32"/>
        <v>0</v>
      </c>
      <c r="Y241" s="5">
        <f t="shared" si="32"/>
        <v>0</v>
      </c>
      <c r="Z241" s="5">
        <f t="shared" si="32"/>
        <v>0</v>
      </c>
      <c r="AA241" s="5">
        <f t="shared" si="32"/>
        <v>0</v>
      </c>
      <c r="AB241" s="5">
        <f t="shared" si="32"/>
        <v>0</v>
      </c>
      <c r="AC241" s="5">
        <f t="shared" si="32"/>
        <v>0</v>
      </c>
      <c r="AD241" s="5">
        <f t="shared" si="32"/>
        <v>0</v>
      </c>
      <c r="AE241" s="5">
        <f t="shared" si="32"/>
        <v>30765.46</v>
      </c>
      <c r="AF241" s="5">
        <f t="shared" si="32"/>
        <v>469108.09</v>
      </c>
      <c r="AG241" s="5">
        <f t="shared" si="32"/>
        <v>0</v>
      </c>
      <c r="AH241" s="23" t="s">
        <v>90</v>
      </c>
      <c r="AI241" s="23" t="s">
        <v>90</v>
      </c>
      <c r="AJ241" s="27" t="s">
        <v>90</v>
      </c>
      <c r="AV241" s="2" t="e">
        <f>VLOOKUP(C241,AY:AZ,2,FALSE)</f>
        <v>#N/A</v>
      </c>
      <c r="CB241" s="236">
        <v>51784138.459999993</v>
      </c>
      <c r="CD241" s="236">
        <f>CB241-F241</f>
        <v>40213768.669999994</v>
      </c>
      <c r="CF241" s="2" t="e">
        <f t="shared" si="28"/>
        <v>#N/A</v>
      </c>
    </row>
    <row r="242" spans="1:262" ht="61.5" x14ac:dyDescent="0.85">
      <c r="A242" s="2">
        <v>1</v>
      </c>
      <c r="B242" s="18">
        <f>SUBTOTAL(103,$A$22:A242)</f>
        <v>217</v>
      </c>
      <c r="C242" s="3" t="s">
        <v>1001</v>
      </c>
      <c r="D242" s="5">
        <v>2106413.2999999998</v>
      </c>
      <c r="E242" s="5">
        <f t="shared" si="30"/>
        <v>889012.61999999988</v>
      </c>
      <c r="F242" s="5">
        <f t="shared" ref="F242:F245" si="33">G242+H242+I242+J242+K242+L242+N242+P242+R242+T242+V242+W242+X242+Y242+Z242+AA242+AB242+AC242+AD242+AE242+AF242+AG242</f>
        <v>1217400.68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241">
        <v>0</v>
      </c>
      <c r="N242" s="5">
        <v>0</v>
      </c>
      <c r="O242" s="7">
        <v>386.2</v>
      </c>
      <c r="P242" s="7">
        <v>1209598.77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7">
        <v>7801.91</v>
      </c>
      <c r="AF242" s="5">
        <v>0</v>
      </c>
      <c r="AG242" s="5">
        <v>0</v>
      </c>
      <c r="AH242" s="246" t="s">
        <v>49</v>
      </c>
      <c r="AI242" s="246">
        <v>2020</v>
      </c>
      <c r="AJ242" s="6">
        <v>2020</v>
      </c>
      <c r="AV242" s="2" t="e">
        <f>VLOOKUP(C242,AY:AZ,2,FALSE)</f>
        <v>#N/A</v>
      </c>
      <c r="CB242" s="236"/>
      <c r="CD242" s="236"/>
      <c r="CF242" s="2">
        <f t="shared" si="28"/>
        <v>386.2</v>
      </c>
    </row>
    <row r="243" spans="1:262" ht="61.5" x14ac:dyDescent="0.85">
      <c r="A243" s="2">
        <v>1</v>
      </c>
      <c r="B243" s="18">
        <f>SUBTOTAL(103,$A$22:A243)</f>
        <v>218</v>
      </c>
      <c r="C243" s="3" t="s">
        <v>1233</v>
      </c>
      <c r="D243" s="5">
        <v>7038670.4199999999</v>
      </c>
      <c r="E243" s="5">
        <f t="shared" si="30"/>
        <v>3281176.85</v>
      </c>
      <c r="F243" s="5">
        <f t="shared" si="33"/>
        <v>3757493.57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241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7">
        <v>2995.9</v>
      </c>
      <c r="T243" s="48">
        <v>3560240.43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48">
        <v>22963.55</v>
      </c>
      <c r="AF243" s="7">
        <v>174289.59</v>
      </c>
      <c r="AG243" s="5">
        <v>0</v>
      </c>
      <c r="AH243" s="246">
        <v>2020</v>
      </c>
      <c r="AI243" s="246">
        <v>2020</v>
      </c>
      <c r="AJ243" s="6">
        <v>2020</v>
      </c>
      <c r="AV243" s="2" t="e">
        <f>VLOOKUP(C243,AY:AZ,2,FALSE)</f>
        <v>#N/A</v>
      </c>
      <c r="CB243" s="236"/>
      <c r="CF243" s="2" t="e">
        <f t="shared" si="28"/>
        <v>#N/A</v>
      </c>
    </row>
    <row r="244" spans="1:262" ht="61.5" x14ac:dyDescent="0.85">
      <c r="A244" s="2">
        <v>1</v>
      </c>
      <c r="B244" s="18">
        <f>SUBTOTAL(103,$A$22:A244)</f>
        <v>219</v>
      </c>
      <c r="C244" s="3" t="s">
        <v>1234</v>
      </c>
      <c r="D244" s="5">
        <v>174120.8</v>
      </c>
      <c r="E244" s="5">
        <f t="shared" si="30"/>
        <v>0</v>
      </c>
      <c r="F244" s="5">
        <f t="shared" si="33"/>
        <v>174120.8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241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f>ROUND(T244*1.5%,2)</f>
        <v>0</v>
      </c>
      <c r="AF244" s="48">
        <v>174120.8</v>
      </c>
      <c r="AG244" s="5">
        <v>0</v>
      </c>
      <c r="AH244" s="246">
        <v>2020</v>
      </c>
      <c r="AI244" s="6" t="s">
        <v>49</v>
      </c>
      <c r="AJ244" s="6" t="s">
        <v>49</v>
      </c>
      <c r="AV244" s="2" t="e">
        <f>VLOOKUP(C244,AY:AZ,2,FALSE)</f>
        <v>#N/A</v>
      </c>
      <c r="CB244" s="236"/>
      <c r="CF244" s="2" t="e">
        <f t="shared" si="28"/>
        <v>#N/A</v>
      </c>
    </row>
    <row r="245" spans="1:262" ht="61.5" x14ac:dyDescent="0.85">
      <c r="A245" s="2">
        <v>1</v>
      </c>
      <c r="B245" s="18">
        <f>SUBTOTAL(103,$A$22:A245)</f>
        <v>220</v>
      </c>
      <c r="C245" s="3" t="s">
        <v>1235</v>
      </c>
      <c r="D245" s="5">
        <v>8133637.8399999999</v>
      </c>
      <c r="E245" s="5">
        <f t="shared" si="30"/>
        <v>1832980.7999999998</v>
      </c>
      <c r="F245" s="5">
        <f t="shared" si="33"/>
        <v>6300657.04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440">
        <v>4</v>
      </c>
      <c r="N245" s="7">
        <v>6300657.04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246" t="s">
        <v>49</v>
      </c>
      <c r="AI245" s="246">
        <v>2020</v>
      </c>
      <c r="AJ245" s="6" t="s">
        <v>49</v>
      </c>
      <c r="CB245" s="236"/>
      <c r="CF245" s="2" t="e">
        <f t="shared" si="28"/>
        <v>#N/A</v>
      </c>
    </row>
    <row r="246" spans="1:262" s="239" customFormat="1" ht="61.5" x14ac:dyDescent="0.85">
      <c r="A246" s="239">
        <v>1</v>
      </c>
      <c r="B246" s="18">
        <f>SUBTOTAL(103,$A$22:A246)</f>
        <v>221</v>
      </c>
      <c r="C246" s="3" t="s">
        <v>81</v>
      </c>
      <c r="D246" s="5">
        <v>8993212</v>
      </c>
      <c r="E246" s="5">
        <f t="shared" si="30"/>
        <v>8872514.3000000007</v>
      </c>
      <c r="F246" s="5">
        <f>G246+H246+I246+J246+K246+L246+N246+P246+R246+T246+V246+W246+X246+Y246+Z246+AA246+AB246+AC246+AD246+AE246+AF246+AG246</f>
        <v>120697.7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2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120697.7</v>
      </c>
      <c r="AG246" s="5">
        <v>0</v>
      </c>
      <c r="AH246" s="246">
        <v>2020</v>
      </c>
      <c r="AI246" s="6" t="s">
        <v>49</v>
      </c>
      <c r="AJ246" s="6" t="s">
        <v>49</v>
      </c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 t="e">
        <f t="shared" ref="AV246:AV257" si="34">VLOOKUP(C246,AY:AZ,2,FALSE)</f>
        <v>#N/A</v>
      </c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36"/>
      <c r="CC246" s="2"/>
      <c r="CD246" s="2"/>
      <c r="CE246" s="2"/>
      <c r="CF246" s="2" t="e">
        <f t="shared" si="28"/>
        <v>#N/A</v>
      </c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</row>
    <row r="247" spans="1:262" ht="61.5" x14ac:dyDescent="0.85">
      <c r="B247" s="3" t="s">
        <v>96</v>
      </c>
      <c r="C247" s="442"/>
      <c r="D247" s="244">
        <v>88215847.820000023</v>
      </c>
      <c r="E247" s="233">
        <f t="shared" si="30"/>
        <v>22213661.430000022</v>
      </c>
      <c r="F247" s="244">
        <f t="shared" ref="F247:AG247" si="35">SUM(F248:F273)</f>
        <v>66002186.390000001</v>
      </c>
      <c r="G247" s="5">
        <f t="shared" si="35"/>
        <v>682532.23</v>
      </c>
      <c r="H247" s="5">
        <f t="shared" si="35"/>
        <v>1291083.82</v>
      </c>
      <c r="I247" s="5">
        <f t="shared" si="35"/>
        <v>0</v>
      </c>
      <c r="J247" s="5">
        <f t="shared" si="35"/>
        <v>288852.59999999998</v>
      </c>
      <c r="K247" s="5">
        <f t="shared" si="35"/>
        <v>0</v>
      </c>
      <c r="L247" s="5">
        <f t="shared" si="35"/>
        <v>0</v>
      </c>
      <c r="M247" s="241">
        <f t="shared" si="35"/>
        <v>5</v>
      </c>
      <c r="N247" s="5">
        <f t="shared" si="35"/>
        <v>8620900.5199999996</v>
      </c>
      <c r="O247" s="5">
        <f t="shared" si="35"/>
        <v>14807.31</v>
      </c>
      <c r="P247" s="5">
        <f t="shared" si="35"/>
        <v>51801191.729999997</v>
      </c>
      <c r="Q247" s="5">
        <f t="shared" si="35"/>
        <v>0</v>
      </c>
      <c r="R247" s="5">
        <f t="shared" si="35"/>
        <v>0</v>
      </c>
      <c r="S247" s="5">
        <f t="shared" si="35"/>
        <v>639.89</v>
      </c>
      <c r="T247" s="5">
        <f t="shared" si="35"/>
        <v>1660924.18</v>
      </c>
      <c r="U247" s="5">
        <f t="shared" si="35"/>
        <v>0</v>
      </c>
      <c r="V247" s="5">
        <f t="shared" si="35"/>
        <v>0</v>
      </c>
      <c r="W247" s="5">
        <f t="shared" si="35"/>
        <v>0</v>
      </c>
      <c r="X247" s="5">
        <f t="shared" si="35"/>
        <v>0</v>
      </c>
      <c r="Y247" s="5">
        <f t="shared" si="35"/>
        <v>0</v>
      </c>
      <c r="Z247" s="5">
        <f t="shared" si="35"/>
        <v>0</v>
      </c>
      <c r="AA247" s="5">
        <f t="shared" si="35"/>
        <v>0</v>
      </c>
      <c r="AB247" s="5">
        <f t="shared" si="35"/>
        <v>0</v>
      </c>
      <c r="AC247" s="5">
        <f t="shared" si="35"/>
        <v>0</v>
      </c>
      <c r="AD247" s="5">
        <f t="shared" si="35"/>
        <v>0</v>
      </c>
      <c r="AE247" s="5">
        <f t="shared" si="35"/>
        <v>597646.50000000012</v>
      </c>
      <c r="AF247" s="5">
        <f t="shared" si="35"/>
        <v>1059054.8099999998</v>
      </c>
      <c r="AG247" s="5">
        <f t="shared" si="35"/>
        <v>0</v>
      </c>
      <c r="AH247" s="23" t="s">
        <v>90</v>
      </c>
      <c r="AI247" s="23" t="s">
        <v>90</v>
      </c>
      <c r="AJ247" s="27" t="s">
        <v>90</v>
      </c>
      <c r="AV247" s="2" t="e">
        <f t="shared" si="34"/>
        <v>#N/A</v>
      </c>
      <c r="CB247" s="5">
        <v>113740245.04000002</v>
      </c>
      <c r="CC247" s="5"/>
      <c r="CD247" s="5">
        <f>CB247-F247</f>
        <v>47738058.650000021</v>
      </c>
      <c r="CF247" s="2" t="e">
        <f t="shared" si="28"/>
        <v>#N/A</v>
      </c>
    </row>
    <row r="248" spans="1:262" ht="61.5" x14ac:dyDescent="0.85">
      <c r="A248" s="2">
        <v>1</v>
      </c>
      <c r="B248" s="18">
        <f>SUBTOTAL(103,$A$22:A248)</f>
        <v>222</v>
      </c>
      <c r="C248" s="3" t="s">
        <v>1236</v>
      </c>
      <c r="D248" s="5">
        <v>4514092.07</v>
      </c>
      <c r="E248" s="5">
        <f t="shared" si="30"/>
        <v>924353.3200000003</v>
      </c>
      <c r="F248" s="5">
        <f t="shared" ref="F248:F273" si="36">G248+H248+I248+J248+K248+L248+N248+P248+R248+T248+V248+W248+X248+Y248+Z248+AA248+AB248+AC248+AD248+AE248+AF248+AG248</f>
        <v>3589738.75</v>
      </c>
      <c r="G248" s="247">
        <v>0</v>
      </c>
      <c r="H248" s="247">
        <v>0</v>
      </c>
      <c r="I248" s="247">
        <v>0</v>
      </c>
      <c r="J248" s="247">
        <v>0</v>
      </c>
      <c r="K248" s="247">
        <v>0</v>
      </c>
      <c r="L248" s="247">
        <v>0</v>
      </c>
      <c r="M248" s="440">
        <v>2</v>
      </c>
      <c r="N248" s="7">
        <f>1884703.03+1705035.72</f>
        <v>3589738.75</v>
      </c>
      <c r="O248" s="5">
        <v>0</v>
      </c>
      <c r="P248" s="5">
        <v>0</v>
      </c>
      <c r="Q248" s="247">
        <v>0</v>
      </c>
      <c r="R248" s="247">
        <v>0</v>
      </c>
      <c r="S248" s="247">
        <v>0</v>
      </c>
      <c r="T248" s="247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246" t="s">
        <v>49</v>
      </c>
      <c r="AI248" s="246">
        <v>2020</v>
      </c>
      <c r="AJ248" s="6" t="s">
        <v>49</v>
      </c>
      <c r="AV248" s="2" t="e">
        <f t="shared" si="34"/>
        <v>#N/A</v>
      </c>
      <c r="CB248" s="236"/>
      <c r="CF248" s="2" t="e">
        <f t="shared" si="28"/>
        <v>#N/A</v>
      </c>
    </row>
    <row r="249" spans="1:262" ht="61.5" x14ac:dyDescent="0.85">
      <c r="A249" s="2">
        <v>1</v>
      </c>
      <c r="B249" s="18">
        <f>SUBTOTAL(103,$A$22:A249)</f>
        <v>223</v>
      </c>
      <c r="C249" s="3" t="s">
        <v>1237</v>
      </c>
      <c r="D249" s="5">
        <v>6392534.7800000003</v>
      </c>
      <c r="E249" s="5">
        <f t="shared" si="30"/>
        <v>6261598.71</v>
      </c>
      <c r="F249" s="5">
        <f t="shared" si="36"/>
        <v>130936.07</v>
      </c>
      <c r="G249" s="247">
        <v>0</v>
      </c>
      <c r="H249" s="247">
        <v>0</v>
      </c>
      <c r="I249" s="247">
        <v>0</v>
      </c>
      <c r="J249" s="247">
        <v>0</v>
      </c>
      <c r="K249" s="247">
        <v>0</v>
      </c>
      <c r="L249" s="247">
        <v>0</v>
      </c>
      <c r="M249" s="241">
        <v>0</v>
      </c>
      <c r="N249" s="5">
        <v>0</v>
      </c>
      <c r="O249" s="5">
        <v>0</v>
      </c>
      <c r="P249" s="5">
        <v>0</v>
      </c>
      <c r="Q249" s="247">
        <v>0</v>
      </c>
      <c r="R249" s="247">
        <v>0</v>
      </c>
      <c r="S249" s="247">
        <v>0</v>
      </c>
      <c r="T249" s="247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f>ROUND(W249*1.5%,2)</f>
        <v>0</v>
      </c>
      <c r="AF249" s="7">
        <v>130936.07</v>
      </c>
      <c r="AG249" s="5">
        <v>0</v>
      </c>
      <c r="AH249" s="246">
        <v>2020</v>
      </c>
      <c r="AI249" s="6" t="s">
        <v>49</v>
      </c>
      <c r="AJ249" s="6" t="s">
        <v>49</v>
      </c>
      <c r="AV249" s="2" t="e">
        <f t="shared" si="34"/>
        <v>#N/A</v>
      </c>
      <c r="CB249" s="236"/>
      <c r="CF249" s="2" t="e">
        <f t="shared" si="28"/>
        <v>#N/A</v>
      </c>
    </row>
    <row r="250" spans="1:262" ht="61.5" x14ac:dyDescent="0.85">
      <c r="A250" s="2">
        <v>1</v>
      </c>
      <c r="B250" s="18">
        <f>SUBTOTAL(103,$A$22:A250)</f>
        <v>224</v>
      </c>
      <c r="C250" s="3" t="s">
        <v>82</v>
      </c>
      <c r="D250" s="5">
        <v>372359.35</v>
      </c>
      <c r="E250" s="5">
        <f t="shared" si="30"/>
        <v>228726.55999999997</v>
      </c>
      <c r="F250" s="5">
        <f t="shared" si="36"/>
        <v>143632.79</v>
      </c>
      <c r="G250" s="247">
        <v>0</v>
      </c>
      <c r="H250" s="247">
        <v>0</v>
      </c>
      <c r="I250" s="247">
        <v>0</v>
      </c>
      <c r="J250" s="247">
        <v>0</v>
      </c>
      <c r="K250" s="247">
        <v>0</v>
      </c>
      <c r="L250" s="247">
        <v>0</v>
      </c>
      <c r="M250" s="241">
        <v>0</v>
      </c>
      <c r="N250" s="5">
        <v>0</v>
      </c>
      <c r="O250" s="5">
        <v>0</v>
      </c>
      <c r="P250" s="5">
        <v>0</v>
      </c>
      <c r="Q250" s="247">
        <v>0</v>
      </c>
      <c r="R250" s="247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f>ROUND((T250+V250)*1.5%,2)</f>
        <v>0</v>
      </c>
      <c r="AF250" s="48">
        <v>143632.79</v>
      </c>
      <c r="AG250" s="5">
        <v>0</v>
      </c>
      <c r="AH250" s="246">
        <v>2020</v>
      </c>
      <c r="AI250" s="6" t="s">
        <v>49</v>
      </c>
      <c r="AJ250" s="6" t="s">
        <v>49</v>
      </c>
      <c r="AV250" s="2" t="e">
        <f t="shared" si="34"/>
        <v>#N/A</v>
      </c>
      <c r="CB250" s="236"/>
      <c r="CF250" s="2" t="e">
        <f t="shared" si="28"/>
        <v>#N/A</v>
      </c>
    </row>
    <row r="251" spans="1:262" ht="61.5" x14ac:dyDescent="0.85">
      <c r="A251" s="2">
        <v>1</v>
      </c>
      <c r="B251" s="18">
        <f>SUBTOTAL(103,$A$22:A251)</f>
        <v>225</v>
      </c>
      <c r="C251" s="3" t="s">
        <v>920</v>
      </c>
      <c r="D251" s="5">
        <v>3407945.42</v>
      </c>
      <c r="E251" s="5">
        <f t="shared" si="30"/>
        <v>0</v>
      </c>
      <c r="F251" s="5">
        <f t="shared" si="36"/>
        <v>3407945.42</v>
      </c>
      <c r="G251" s="247">
        <v>0</v>
      </c>
      <c r="H251" s="247">
        <v>0</v>
      </c>
      <c r="I251" s="247">
        <v>0</v>
      </c>
      <c r="J251" s="247">
        <v>0</v>
      </c>
      <c r="K251" s="247">
        <v>0</v>
      </c>
      <c r="L251" s="247">
        <v>0</v>
      </c>
      <c r="M251" s="440">
        <v>2</v>
      </c>
      <c r="N251" s="7">
        <v>3407945.42</v>
      </c>
      <c r="O251" s="5">
        <v>0</v>
      </c>
      <c r="P251" s="5">
        <v>0</v>
      </c>
      <c r="Q251" s="247">
        <v>0</v>
      </c>
      <c r="R251" s="247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  <c r="AG251" s="5">
        <v>0</v>
      </c>
      <c r="AH251" s="246" t="s">
        <v>49</v>
      </c>
      <c r="AI251" s="246">
        <v>2020</v>
      </c>
      <c r="AJ251" s="6" t="s">
        <v>49</v>
      </c>
      <c r="AV251" s="2">
        <f t="shared" si="34"/>
        <v>1</v>
      </c>
      <c r="CB251" s="236"/>
      <c r="CF251" s="2" t="e">
        <f t="shared" si="28"/>
        <v>#N/A</v>
      </c>
    </row>
    <row r="252" spans="1:262" ht="61.5" x14ac:dyDescent="0.85">
      <c r="A252" s="2">
        <v>1</v>
      </c>
      <c r="B252" s="18">
        <f>SUBTOTAL(103,$A$22:A252)</f>
        <v>226</v>
      </c>
      <c r="C252" s="3" t="s">
        <v>1137</v>
      </c>
      <c r="D252" s="5">
        <v>2597044.75</v>
      </c>
      <c r="E252" s="5">
        <f t="shared" si="30"/>
        <v>736353.24</v>
      </c>
      <c r="F252" s="5">
        <f t="shared" si="36"/>
        <v>1860691.51</v>
      </c>
      <c r="G252" s="247">
        <v>0</v>
      </c>
      <c r="H252" s="247">
        <v>0</v>
      </c>
      <c r="I252" s="247">
        <v>0</v>
      </c>
      <c r="J252" s="247">
        <v>0</v>
      </c>
      <c r="K252" s="247">
        <v>0</v>
      </c>
      <c r="L252" s="247">
        <v>0</v>
      </c>
      <c r="M252" s="241">
        <v>0</v>
      </c>
      <c r="N252" s="5">
        <v>0</v>
      </c>
      <c r="O252" s="7">
        <v>500</v>
      </c>
      <c r="P252" s="7">
        <v>1799039.95</v>
      </c>
      <c r="Q252" s="247">
        <v>0</v>
      </c>
      <c r="R252" s="247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7">
        <v>10794.24</v>
      </c>
      <c r="AF252" s="7">
        <v>50857.32</v>
      </c>
      <c r="AG252" s="5">
        <v>0</v>
      </c>
      <c r="AH252" s="246">
        <v>2020</v>
      </c>
      <c r="AI252" s="246">
        <v>2020</v>
      </c>
      <c r="AJ252" s="6">
        <v>2020</v>
      </c>
      <c r="AV252" s="2" t="e">
        <f t="shared" si="34"/>
        <v>#N/A</v>
      </c>
      <c r="CB252" s="236"/>
      <c r="CF252" s="2">
        <f t="shared" si="28"/>
        <v>486.27</v>
      </c>
    </row>
    <row r="253" spans="1:262" ht="61.5" x14ac:dyDescent="0.85">
      <c r="A253" s="2">
        <v>1</v>
      </c>
      <c r="B253" s="18">
        <f>SUBTOTAL(103,$A$22:A253)</f>
        <v>227</v>
      </c>
      <c r="C253" s="3" t="s">
        <v>1129</v>
      </c>
      <c r="D253" s="5">
        <v>2424926.64</v>
      </c>
      <c r="E253" s="5">
        <f t="shared" si="30"/>
        <v>20548.160000000149</v>
      </c>
      <c r="F253" s="5">
        <f t="shared" si="36"/>
        <v>2404378.48</v>
      </c>
      <c r="G253" s="247">
        <v>0</v>
      </c>
      <c r="H253" s="247">
        <v>0</v>
      </c>
      <c r="I253" s="247">
        <v>0</v>
      </c>
      <c r="J253" s="247">
        <v>0</v>
      </c>
      <c r="K253" s="247">
        <v>0</v>
      </c>
      <c r="L253" s="247">
        <v>0</v>
      </c>
      <c r="M253" s="241">
        <v>0</v>
      </c>
      <c r="N253" s="5">
        <v>0</v>
      </c>
      <c r="O253" s="7">
        <v>541.6</v>
      </c>
      <c r="P253" s="7">
        <v>2283128.7999999998</v>
      </c>
      <c r="Q253" s="247">
        <v>0</v>
      </c>
      <c r="R253" s="247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48">
        <v>13698.77</v>
      </c>
      <c r="AF253" s="48">
        <v>107550.91</v>
      </c>
      <c r="AG253" s="5">
        <v>0</v>
      </c>
      <c r="AH253" s="246">
        <v>2020</v>
      </c>
      <c r="AI253" s="246">
        <v>2020</v>
      </c>
      <c r="AJ253" s="6">
        <v>2020</v>
      </c>
      <c r="AV253" s="2" t="e">
        <f t="shared" si="34"/>
        <v>#N/A</v>
      </c>
      <c r="CB253" s="236"/>
      <c r="CF253" s="2">
        <f t="shared" si="28"/>
        <v>586.70000000000005</v>
      </c>
    </row>
    <row r="254" spans="1:262" ht="61.5" x14ac:dyDescent="0.85">
      <c r="A254" s="2">
        <v>1</v>
      </c>
      <c r="B254" s="18">
        <f>SUBTOTAL(103,$A$22:A254)</f>
        <v>228</v>
      </c>
      <c r="C254" s="3" t="s">
        <v>1131</v>
      </c>
      <c r="D254" s="5">
        <v>1334609.25</v>
      </c>
      <c r="E254" s="5">
        <f t="shared" si="30"/>
        <v>11438.029999999795</v>
      </c>
      <c r="F254" s="5">
        <f t="shared" si="36"/>
        <v>1323171.2200000002</v>
      </c>
      <c r="G254" s="247">
        <v>0</v>
      </c>
      <c r="H254" s="247">
        <v>0</v>
      </c>
      <c r="I254" s="247">
        <v>0</v>
      </c>
      <c r="J254" s="247">
        <v>0</v>
      </c>
      <c r="K254" s="247">
        <v>0</v>
      </c>
      <c r="L254" s="247">
        <v>0</v>
      </c>
      <c r="M254" s="241">
        <v>0</v>
      </c>
      <c r="N254" s="5">
        <v>0</v>
      </c>
      <c r="O254" s="7">
        <v>391.2</v>
      </c>
      <c r="P254" s="7">
        <v>1270891.82</v>
      </c>
      <c r="Q254" s="247">
        <v>0</v>
      </c>
      <c r="R254" s="247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7">
        <v>7625.35</v>
      </c>
      <c r="AF254" s="7">
        <v>44654.05</v>
      </c>
      <c r="AG254" s="5">
        <v>0</v>
      </c>
      <c r="AH254" s="246">
        <v>2020</v>
      </c>
      <c r="AI254" s="246">
        <v>2020</v>
      </c>
      <c r="AJ254" s="6">
        <v>2020</v>
      </c>
      <c r="AV254" s="2" t="e">
        <f t="shared" si="34"/>
        <v>#N/A</v>
      </c>
      <c r="CB254" s="236"/>
      <c r="CF254" s="2">
        <f t="shared" si="28"/>
        <v>384.56</v>
      </c>
    </row>
    <row r="255" spans="1:262" ht="61.5" x14ac:dyDescent="0.85">
      <c r="A255" s="2">
        <v>1</v>
      </c>
      <c r="B255" s="18">
        <f>SUBTOTAL(103,$A$22:A255)</f>
        <v>229</v>
      </c>
      <c r="C255" s="3" t="s">
        <v>1238</v>
      </c>
      <c r="D255" s="5">
        <v>1623216.35</v>
      </c>
      <c r="E255" s="5">
        <f t="shared" si="30"/>
        <v>0</v>
      </c>
      <c r="F255" s="5">
        <f t="shared" si="36"/>
        <v>1623216.35</v>
      </c>
      <c r="G255" s="247">
        <v>0</v>
      </c>
      <c r="H255" s="247">
        <v>0</v>
      </c>
      <c r="I255" s="247">
        <v>0</v>
      </c>
      <c r="J255" s="247">
        <v>0</v>
      </c>
      <c r="K255" s="247">
        <v>0</v>
      </c>
      <c r="L255" s="247">
        <v>0</v>
      </c>
      <c r="M255" s="440">
        <v>1</v>
      </c>
      <c r="N255" s="7">
        <v>1623216.35</v>
      </c>
      <c r="O255" s="5">
        <v>0</v>
      </c>
      <c r="P255" s="5">
        <v>0</v>
      </c>
      <c r="Q255" s="247">
        <v>0</v>
      </c>
      <c r="R255" s="247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  <c r="AG255" s="5">
        <v>0</v>
      </c>
      <c r="AH255" s="246" t="s">
        <v>49</v>
      </c>
      <c r="AI255" s="246">
        <v>2020</v>
      </c>
      <c r="AJ255" s="6" t="s">
        <v>49</v>
      </c>
      <c r="AV255" s="2" t="e">
        <f t="shared" si="34"/>
        <v>#N/A</v>
      </c>
      <c r="CB255" s="236"/>
      <c r="CF255" s="2" t="e">
        <f t="shared" si="28"/>
        <v>#N/A</v>
      </c>
    </row>
    <row r="256" spans="1:262" ht="61.5" x14ac:dyDescent="0.85">
      <c r="A256" s="2">
        <v>1</v>
      </c>
      <c r="B256" s="18">
        <f>SUBTOTAL(103,$A$22:A256)</f>
        <v>230</v>
      </c>
      <c r="C256" s="3" t="s">
        <v>1239</v>
      </c>
      <c r="D256" s="5">
        <v>1208400.48</v>
      </c>
      <c r="E256" s="5">
        <f t="shared" si="30"/>
        <v>367575.03999999992</v>
      </c>
      <c r="F256" s="5">
        <f t="shared" si="36"/>
        <v>840825.44000000006</v>
      </c>
      <c r="G256" s="247">
        <v>0</v>
      </c>
      <c r="H256" s="247">
        <v>0</v>
      </c>
      <c r="I256" s="247">
        <v>0</v>
      </c>
      <c r="J256" s="247">
        <v>0</v>
      </c>
      <c r="K256" s="247">
        <v>0</v>
      </c>
      <c r="L256" s="247">
        <v>0</v>
      </c>
      <c r="M256" s="241">
        <v>0</v>
      </c>
      <c r="N256" s="5">
        <v>0</v>
      </c>
      <c r="O256" s="7">
        <v>215.9</v>
      </c>
      <c r="P256" s="7">
        <v>785551.29</v>
      </c>
      <c r="Q256" s="247">
        <v>0</v>
      </c>
      <c r="R256" s="247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f t="shared" ref="AE256:AE261" si="37">ROUND(P256*1.5%,2)</f>
        <v>11783.27</v>
      </c>
      <c r="AF256" s="48">
        <v>43490.879999999997</v>
      </c>
      <c r="AG256" s="5">
        <v>0</v>
      </c>
      <c r="AH256" s="246">
        <v>2020</v>
      </c>
      <c r="AI256" s="246">
        <v>2020</v>
      </c>
      <c r="AJ256" s="6">
        <v>2020</v>
      </c>
      <c r="AV256" s="2" t="e">
        <f t="shared" si="34"/>
        <v>#N/A</v>
      </c>
      <c r="CB256" s="236"/>
      <c r="CF256" s="2" t="e">
        <f t="shared" si="28"/>
        <v>#N/A</v>
      </c>
    </row>
    <row r="257" spans="1:262" ht="61.5" x14ac:dyDescent="0.85">
      <c r="A257" s="2">
        <v>1</v>
      </c>
      <c r="B257" s="18">
        <f>SUBTOTAL(103,$A$22:A257)</f>
        <v>231</v>
      </c>
      <c r="C257" s="3" t="s">
        <v>1240</v>
      </c>
      <c r="D257" s="5">
        <v>2151206.1800000002</v>
      </c>
      <c r="E257" s="5">
        <f t="shared" si="30"/>
        <v>650515.55000000028</v>
      </c>
      <c r="F257" s="5">
        <f t="shared" si="36"/>
        <v>1500690.63</v>
      </c>
      <c r="G257" s="247">
        <v>0</v>
      </c>
      <c r="H257" s="247">
        <v>0</v>
      </c>
      <c r="I257" s="247">
        <v>0</v>
      </c>
      <c r="J257" s="247">
        <v>0</v>
      </c>
      <c r="K257" s="247">
        <v>0</v>
      </c>
      <c r="L257" s="247">
        <v>0</v>
      </c>
      <c r="M257" s="241">
        <v>0</v>
      </c>
      <c r="N257" s="5">
        <v>0</v>
      </c>
      <c r="O257" s="7">
        <v>565</v>
      </c>
      <c r="P257" s="7">
        <v>1491740.19</v>
      </c>
      <c r="Q257" s="247">
        <v>0</v>
      </c>
      <c r="R257" s="247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7">
        <v>8950.44</v>
      </c>
      <c r="AF257" s="5">
        <v>0</v>
      </c>
      <c r="AG257" s="5">
        <v>0</v>
      </c>
      <c r="AH257" s="246" t="s">
        <v>49</v>
      </c>
      <c r="AI257" s="246">
        <v>2020</v>
      </c>
      <c r="AJ257" s="6">
        <v>2020</v>
      </c>
      <c r="AV257" s="2" t="e">
        <f t="shared" si="34"/>
        <v>#N/A</v>
      </c>
      <c r="CB257" s="236"/>
      <c r="CF257" s="2">
        <f t="shared" si="28"/>
        <v>563.1</v>
      </c>
    </row>
    <row r="258" spans="1:262" ht="61.5" x14ac:dyDescent="0.85">
      <c r="A258" s="2">
        <v>1</v>
      </c>
      <c r="B258" s="18">
        <f>SUBTOTAL(103,$A$22:A258)</f>
        <v>232</v>
      </c>
      <c r="C258" s="3" t="s">
        <v>1241</v>
      </c>
      <c r="D258" s="5">
        <v>6477322.9000000004</v>
      </c>
      <c r="E258" s="5">
        <f t="shared" si="30"/>
        <v>1558593.9200000009</v>
      </c>
      <c r="F258" s="5">
        <f t="shared" si="36"/>
        <v>4918728.9799999995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25">
        <v>0</v>
      </c>
      <c r="N258" s="5">
        <v>0</v>
      </c>
      <c r="O258" s="7">
        <v>1093</v>
      </c>
      <c r="P258" s="7">
        <v>4724224.93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f t="shared" si="37"/>
        <v>70863.37</v>
      </c>
      <c r="AF258" s="7">
        <v>123640.68</v>
      </c>
      <c r="AG258" s="5">
        <v>0</v>
      </c>
      <c r="AH258" s="246">
        <v>2020</v>
      </c>
      <c r="AI258" s="246">
        <v>2020</v>
      </c>
      <c r="AJ258" s="6">
        <v>2020</v>
      </c>
      <c r="CB258" s="236"/>
      <c r="CF258" s="2" t="e">
        <f t="shared" si="28"/>
        <v>#N/A</v>
      </c>
    </row>
    <row r="259" spans="1:262" ht="61.5" x14ac:dyDescent="0.85">
      <c r="A259" s="2">
        <v>1</v>
      </c>
      <c r="B259" s="18">
        <f>SUBTOTAL(103,$A$22:A259)</f>
        <v>233</v>
      </c>
      <c r="C259" s="3" t="s">
        <v>1003</v>
      </c>
      <c r="D259" s="5">
        <v>978774.53</v>
      </c>
      <c r="E259" s="5">
        <f t="shared" si="30"/>
        <v>72.330000000074506</v>
      </c>
      <c r="F259" s="5">
        <f t="shared" si="36"/>
        <v>978702.2</v>
      </c>
      <c r="G259" s="247">
        <v>0</v>
      </c>
      <c r="H259" s="247">
        <v>0</v>
      </c>
      <c r="I259" s="247">
        <v>0</v>
      </c>
      <c r="J259" s="247">
        <v>0</v>
      </c>
      <c r="K259" s="247">
        <v>0</v>
      </c>
      <c r="L259" s="247">
        <v>0</v>
      </c>
      <c r="M259" s="241">
        <v>0</v>
      </c>
      <c r="N259" s="5">
        <v>0</v>
      </c>
      <c r="O259" s="7">
        <v>540.5</v>
      </c>
      <c r="P259" s="7">
        <v>964309.88</v>
      </c>
      <c r="Q259" s="247">
        <v>0</v>
      </c>
      <c r="R259" s="247">
        <v>0</v>
      </c>
      <c r="S259" s="5">
        <v>0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7">
        <v>14392.32</v>
      </c>
      <c r="AF259" s="5">
        <v>0</v>
      </c>
      <c r="AG259" s="5">
        <v>0</v>
      </c>
      <c r="AH259" s="246" t="s">
        <v>49</v>
      </c>
      <c r="AI259" s="246">
        <v>2020</v>
      </c>
      <c r="AJ259" s="6">
        <v>2020</v>
      </c>
      <c r="CB259" s="236"/>
      <c r="CF259" s="2">
        <f t="shared" si="28"/>
        <v>540.5</v>
      </c>
    </row>
    <row r="260" spans="1:262" s="239" customFormat="1" ht="61.5" x14ac:dyDescent="0.85">
      <c r="A260" s="239">
        <v>1</v>
      </c>
      <c r="B260" s="18">
        <f>SUBTOTAL(103,$A$22:A260)</f>
        <v>234</v>
      </c>
      <c r="C260" s="3" t="s">
        <v>1005</v>
      </c>
      <c r="D260" s="5">
        <v>3629545.11</v>
      </c>
      <c r="E260" s="5">
        <f t="shared" si="30"/>
        <v>101500</v>
      </c>
      <c r="F260" s="5">
        <f t="shared" si="36"/>
        <v>3528045.11</v>
      </c>
      <c r="G260" s="247">
        <v>0</v>
      </c>
      <c r="H260" s="247">
        <v>0</v>
      </c>
      <c r="I260" s="247">
        <v>0</v>
      </c>
      <c r="J260" s="247">
        <v>0</v>
      </c>
      <c r="K260" s="247">
        <v>0</v>
      </c>
      <c r="L260" s="247">
        <v>0</v>
      </c>
      <c r="M260" s="25">
        <v>0</v>
      </c>
      <c r="N260" s="5">
        <v>0</v>
      </c>
      <c r="O260" s="5">
        <v>603.5</v>
      </c>
      <c r="P260" s="5">
        <f>3299185.88+100000</f>
        <v>3399185.88</v>
      </c>
      <c r="Q260" s="247">
        <v>0</v>
      </c>
      <c r="R260" s="247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f t="shared" si="37"/>
        <v>50987.79</v>
      </c>
      <c r="AF260" s="7">
        <v>77871.44</v>
      </c>
      <c r="AG260" s="5">
        <v>0</v>
      </c>
      <c r="AH260" s="246">
        <v>2020</v>
      </c>
      <c r="AI260" s="246">
        <v>2020</v>
      </c>
      <c r="AJ260" s="246">
        <v>2020</v>
      </c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36"/>
      <c r="CC260" s="2"/>
      <c r="CD260" s="2"/>
      <c r="CE260" s="2"/>
      <c r="CF260" s="2">
        <f t="shared" si="28"/>
        <v>603.5</v>
      </c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</row>
    <row r="261" spans="1:262" ht="61.5" x14ac:dyDescent="0.85">
      <c r="A261" s="2">
        <v>1</v>
      </c>
      <c r="B261" s="18">
        <f>SUBTOTAL(103,$A$22:A261)</f>
        <v>235</v>
      </c>
      <c r="C261" s="3" t="s">
        <v>1007</v>
      </c>
      <c r="D261" s="5">
        <v>9211816.4199999999</v>
      </c>
      <c r="E261" s="5">
        <f t="shared" si="30"/>
        <v>1210823.1999999993</v>
      </c>
      <c r="F261" s="5">
        <f t="shared" si="36"/>
        <v>8000993.2200000007</v>
      </c>
      <c r="G261" s="247">
        <v>0</v>
      </c>
      <c r="H261" s="247">
        <v>0</v>
      </c>
      <c r="I261" s="247">
        <v>0</v>
      </c>
      <c r="J261" s="247">
        <v>0</v>
      </c>
      <c r="K261" s="247">
        <v>0</v>
      </c>
      <c r="L261" s="247">
        <v>0</v>
      </c>
      <c r="M261" s="241">
        <v>0</v>
      </c>
      <c r="N261" s="5">
        <v>0</v>
      </c>
      <c r="O261" s="441">
        <v>1580.66</v>
      </c>
      <c r="P261" s="441">
        <v>7882751.9400000004</v>
      </c>
      <c r="Q261" s="247">
        <v>0</v>
      </c>
      <c r="R261" s="247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f t="shared" si="37"/>
        <v>118241.28</v>
      </c>
      <c r="AF261" s="5">
        <v>0</v>
      </c>
      <c r="AG261" s="5">
        <v>0</v>
      </c>
      <c r="AH261" s="246" t="s">
        <v>49</v>
      </c>
      <c r="AI261" s="246">
        <v>2020</v>
      </c>
      <c r="AJ261" s="6">
        <v>2020</v>
      </c>
      <c r="CB261" s="236"/>
      <c r="CF261" s="2">
        <f t="shared" si="28"/>
        <v>1650</v>
      </c>
    </row>
    <row r="262" spans="1:262" ht="61.5" x14ac:dyDescent="0.85">
      <c r="A262" s="2">
        <v>1</v>
      </c>
      <c r="B262" s="18">
        <f>SUBTOTAL(103,$A$22:A262)</f>
        <v>236</v>
      </c>
      <c r="C262" s="3" t="s">
        <v>1242</v>
      </c>
      <c r="D262" s="5">
        <v>1815587.49</v>
      </c>
      <c r="E262" s="5">
        <f t="shared" si="30"/>
        <v>129749.44999999995</v>
      </c>
      <c r="F262" s="5">
        <f t="shared" si="36"/>
        <v>1685838.04</v>
      </c>
      <c r="G262" s="247">
        <v>0</v>
      </c>
      <c r="H262" s="247">
        <v>0</v>
      </c>
      <c r="I262" s="247">
        <v>0</v>
      </c>
      <c r="J262" s="247">
        <v>0</v>
      </c>
      <c r="K262" s="247">
        <v>0</v>
      </c>
      <c r="L262" s="247">
        <v>0</v>
      </c>
      <c r="M262" s="241">
        <v>0</v>
      </c>
      <c r="N262" s="5">
        <v>0</v>
      </c>
      <c r="O262" s="5">
        <v>0</v>
      </c>
      <c r="P262" s="5">
        <v>0</v>
      </c>
      <c r="Q262" s="247">
        <v>0</v>
      </c>
      <c r="R262" s="247">
        <v>0</v>
      </c>
      <c r="S262" s="7">
        <v>639.89</v>
      </c>
      <c r="T262" s="7">
        <v>1660924.18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  <c r="AE262" s="5">
        <f>ROUND(T262*1.5%,2)</f>
        <v>24913.86</v>
      </c>
      <c r="AF262" s="5">
        <v>0</v>
      </c>
      <c r="AG262" s="5">
        <v>0</v>
      </c>
      <c r="AH262" s="246" t="s">
        <v>49</v>
      </c>
      <c r="AI262" s="246">
        <v>2020</v>
      </c>
      <c r="AJ262" s="6">
        <v>2020</v>
      </c>
      <c r="CB262" s="236"/>
      <c r="CF262" s="2" t="e">
        <f t="shared" si="28"/>
        <v>#N/A</v>
      </c>
    </row>
    <row r="263" spans="1:262" ht="61.5" x14ac:dyDescent="0.85">
      <c r="A263" s="2">
        <v>1</v>
      </c>
      <c r="B263" s="18">
        <f>SUBTOTAL(103,$A$22:A263)</f>
        <v>237</v>
      </c>
      <c r="C263" s="3" t="s">
        <v>1243</v>
      </c>
      <c r="D263" s="5">
        <v>3785513.5</v>
      </c>
      <c r="E263" s="5">
        <f t="shared" si="30"/>
        <v>279.71999999973923</v>
      </c>
      <c r="F263" s="5">
        <f t="shared" si="36"/>
        <v>3785233.7800000003</v>
      </c>
      <c r="G263" s="247">
        <v>0</v>
      </c>
      <c r="H263" s="247">
        <v>0</v>
      </c>
      <c r="I263" s="247">
        <v>0</v>
      </c>
      <c r="J263" s="247">
        <v>0</v>
      </c>
      <c r="K263" s="247">
        <v>0</v>
      </c>
      <c r="L263" s="247">
        <v>0</v>
      </c>
      <c r="M263" s="241">
        <v>0</v>
      </c>
      <c r="N263" s="5">
        <v>0</v>
      </c>
      <c r="O263" s="7">
        <v>1913</v>
      </c>
      <c r="P263" s="7">
        <v>3729569.95</v>
      </c>
      <c r="Q263" s="247">
        <v>0</v>
      </c>
      <c r="R263" s="247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7">
        <v>55663.83</v>
      </c>
      <c r="AF263" s="5">
        <v>0</v>
      </c>
      <c r="AG263" s="5">
        <v>0</v>
      </c>
      <c r="AH263" s="246" t="s">
        <v>49</v>
      </c>
      <c r="AI263" s="246">
        <v>2020</v>
      </c>
      <c r="AJ263" s="6">
        <v>2020</v>
      </c>
      <c r="CB263" s="236"/>
      <c r="CF263" s="2">
        <f t="shared" si="28"/>
        <v>1906.5</v>
      </c>
    </row>
    <row r="264" spans="1:262" ht="61.5" x14ac:dyDescent="0.85">
      <c r="A264" s="2">
        <v>1</v>
      </c>
      <c r="B264" s="18">
        <f>SUBTOTAL(103,$A$22:A264)</f>
        <v>238</v>
      </c>
      <c r="C264" s="3" t="s">
        <v>1244</v>
      </c>
      <c r="D264" s="5">
        <v>2296405.6799999997</v>
      </c>
      <c r="E264" s="5">
        <f t="shared" si="30"/>
        <v>23583.020000000019</v>
      </c>
      <c r="F264" s="5">
        <f t="shared" si="36"/>
        <v>2272822.6599999997</v>
      </c>
      <c r="G264" s="7">
        <v>682532.23</v>
      </c>
      <c r="H264" s="7">
        <v>1291083.82</v>
      </c>
      <c r="I264" s="247">
        <v>0</v>
      </c>
      <c r="J264" s="7">
        <v>288852.59999999998</v>
      </c>
      <c r="K264" s="247">
        <v>0</v>
      </c>
      <c r="L264" s="247">
        <v>0</v>
      </c>
      <c r="M264" s="241">
        <v>0</v>
      </c>
      <c r="N264" s="5">
        <v>0</v>
      </c>
      <c r="O264" s="5">
        <v>0</v>
      </c>
      <c r="P264" s="5">
        <v>0</v>
      </c>
      <c r="Q264" s="247">
        <v>0</v>
      </c>
      <c r="R264" s="247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7">
        <v>10354.01</v>
      </c>
      <c r="AF264" s="5">
        <v>0</v>
      </c>
      <c r="AG264" s="5">
        <v>0</v>
      </c>
      <c r="AH264" s="246" t="s">
        <v>49</v>
      </c>
      <c r="AI264" s="246">
        <v>2020</v>
      </c>
      <c r="AJ264" s="6">
        <v>2020</v>
      </c>
      <c r="CB264" s="236"/>
      <c r="CF264" s="2" t="e">
        <f t="shared" si="28"/>
        <v>#N/A</v>
      </c>
    </row>
    <row r="265" spans="1:262" ht="61.5" x14ac:dyDescent="0.85">
      <c r="A265" s="2">
        <v>1</v>
      </c>
      <c r="B265" s="18">
        <f>SUBTOTAL(103,$A$22:A265)</f>
        <v>239</v>
      </c>
      <c r="C265" s="3" t="s">
        <v>1008</v>
      </c>
      <c r="D265" s="5">
        <v>4766824.05</v>
      </c>
      <c r="E265" s="5">
        <f t="shared" si="30"/>
        <v>322027.43999999948</v>
      </c>
      <c r="F265" s="5">
        <f t="shared" si="36"/>
        <v>4444796.6100000003</v>
      </c>
      <c r="G265" s="247">
        <v>0</v>
      </c>
      <c r="H265" s="247">
        <v>0</v>
      </c>
      <c r="I265" s="247">
        <v>0</v>
      </c>
      <c r="J265" s="247">
        <v>0</v>
      </c>
      <c r="K265" s="247">
        <v>0</v>
      </c>
      <c r="L265" s="247">
        <v>0</v>
      </c>
      <c r="M265" s="241">
        <v>0</v>
      </c>
      <c r="N265" s="5">
        <v>0</v>
      </c>
      <c r="O265" s="7">
        <v>1284.6300000000001</v>
      </c>
      <c r="P265" s="7">
        <v>4419604.91</v>
      </c>
      <c r="Q265" s="247">
        <v>0</v>
      </c>
      <c r="R265" s="247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7">
        <v>25191.7</v>
      </c>
      <c r="AF265" s="5">
        <v>0</v>
      </c>
      <c r="AG265" s="5">
        <v>0</v>
      </c>
      <c r="AH265" s="246" t="s">
        <v>49</v>
      </c>
      <c r="AI265" s="246">
        <v>2020</v>
      </c>
      <c r="AJ265" s="6">
        <v>2020</v>
      </c>
      <c r="CB265" s="236"/>
      <c r="CF265" s="2">
        <f t="shared" si="28"/>
        <v>1264.96</v>
      </c>
    </row>
    <row r="266" spans="1:262" ht="61.5" x14ac:dyDescent="0.85">
      <c r="A266" s="2">
        <v>1</v>
      </c>
      <c r="B266" s="18">
        <f>SUBTOTAL(103,$A$22:A266)</f>
        <v>240</v>
      </c>
      <c r="C266" s="3" t="s">
        <v>1009</v>
      </c>
      <c r="D266" s="5">
        <v>3558655.89</v>
      </c>
      <c r="E266" s="5">
        <f t="shared" si="30"/>
        <v>32606.44000000041</v>
      </c>
      <c r="F266" s="5">
        <f t="shared" si="36"/>
        <v>3526049.4499999997</v>
      </c>
      <c r="G266" s="247">
        <v>0</v>
      </c>
      <c r="H266" s="247">
        <v>0</v>
      </c>
      <c r="I266" s="247">
        <v>0</v>
      </c>
      <c r="J266" s="247">
        <v>0</v>
      </c>
      <c r="K266" s="247">
        <v>0</v>
      </c>
      <c r="L266" s="247">
        <v>0</v>
      </c>
      <c r="M266" s="241">
        <v>0</v>
      </c>
      <c r="N266" s="5">
        <v>0</v>
      </c>
      <c r="O266" s="5">
        <v>838.77</v>
      </c>
      <c r="P266" s="245">
        <v>3506064.92</v>
      </c>
      <c r="Q266" s="247">
        <v>0</v>
      </c>
      <c r="R266" s="247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441">
        <v>19984.53</v>
      </c>
      <c r="AF266" s="5">
        <v>0</v>
      </c>
      <c r="AG266" s="5">
        <v>0</v>
      </c>
      <c r="AH266" s="246" t="s">
        <v>49</v>
      </c>
      <c r="AI266" s="246">
        <v>2020</v>
      </c>
      <c r="AJ266" s="6">
        <v>2020</v>
      </c>
      <c r="CB266" s="236"/>
      <c r="CF266" s="2">
        <f t="shared" si="28"/>
        <v>781</v>
      </c>
    </row>
    <row r="267" spans="1:262" ht="61.5" x14ac:dyDescent="0.85">
      <c r="A267" s="2">
        <v>1</v>
      </c>
      <c r="B267" s="18">
        <f>SUBTOTAL(103,$A$22:A267)</f>
        <v>241</v>
      </c>
      <c r="C267" s="3" t="s">
        <v>1245</v>
      </c>
      <c r="D267" s="5">
        <v>6209520.0999999996</v>
      </c>
      <c r="E267" s="5">
        <f t="shared" si="30"/>
        <v>668359.37999999896</v>
      </c>
      <c r="F267" s="5">
        <f t="shared" si="36"/>
        <v>5541160.7200000007</v>
      </c>
      <c r="G267" s="247">
        <v>0</v>
      </c>
      <c r="H267" s="247">
        <v>0</v>
      </c>
      <c r="I267" s="247">
        <v>0</v>
      </c>
      <c r="J267" s="247">
        <v>0</v>
      </c>
      <c r="K267" s="247">
        <v>0</v>
      </c>
      <c r="L267" s="247">
        <v>0</v>
      </c>
      <c r="M267" s="241">
        <v>0</v>
      </c>
      <c r="N267" s="5">
        <v>0</v>
      </c>
      <c r="O267" s="7">
        <v>2073.9</v>
      </c>
      <c r="P267" s="7">
        <v>5459271.6500000004</v>
      </c>
      <c r="Q267" s="247">
        <v>0</v>
      </c>
      <c r="R267" s="247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f>ROUND(P267*1.5%,2)</f>
        <v>81889.070000000007</v>
      </c>
      <c r="AF267" s="5">
        <v>0</v>
      </c>
      <c r="AG267" s="5">
        <v>0</v>
      </c>
      <c r="AH267" s="246" t="s">
        <v>49</v>
      </c>
      <c r="AI267" s="246">
        <v>2020</v>
      </c>
      <c r="AJ267" s="6">
        <v>2020</v>
      </c>
      <c r="CB267" s="236"/>
      <c r="CF267" s="2">
        <f t="shared" ref="CF267:CF330" si="38">VLOOKUP(C267,CG:CH,2,FALSE)</f>
        <v>2073.9</v>
      </c>
    </row>
    <row r="268" spans="1:262" ht="61.5" x14ac:dyDescent="0.85">
      <c r="A268" s="2">
        <v>1</v>
      </c>
      <c r="B268" s="18">
        <f>SUBTOTAL(103,$A$22:A268)</f>
        <v>242</v>
      </c>
      <c r="C268" s="3" t="s">
        <v>1011</v>
      </c>
      <c r="D268" s="5">
        <v>4782270.82</v>
      </c>
      <c r="E268" s="5">
        <f t="shared" si="30"/>
        <v>43817.900000000373</v>
      </c>
      <c r="F268" s="5">
        <f t="shared" si="36"/>
        <v>4738452.92</v>
      </c>
      <c r="G268" s="247">
        <v>0</v>
      </c>
      <c r="H268" s="247">
        <v>0</v>
      </c>
      <c r="I268" s="247">
        <v>0</v>
      </c>
      <c r="J268" s="247">
        <v>0</v>
      </c>
      <c r="K268" s="247">
        <v>0</v>
      </c>
      <c r="L268" s="247">
        <v>0</v>
      </c>
      <c r="M268" s="241">
        <v>0</v>
      </c>
      <c r="N268" s="5">
        <v>0</v>
      </c>
      <c r="O268" s="7">
        <v>1174.5999999999999</v>
      </c>
      <c r="P268" s="441">
        <v>4711596.87</v>
      </c>
      <c r="Q268" s="247">
        <v>0</v>
      </c>
      <c r="R268" s="247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  <c r="AE268" s="441">
        <v>26856.05</v>
      </c>
      <c r="AF268" s="5">
        <v>0</v>
      </c>
      <c r="AG268" s="5">
        <v>0</v>
      </c>
      <c r="AH268" s="246" t="s">
        <v>49</v>
      </c>
      <c r="AI268" s="246">
        <v>2020</v>
      </c>
      <c r="AJ268" s="6">
        <v>2020</v>
      </c>
      <c r="CB268" s="236"/>
      <c r="CF268" s="2">
        <f t="shared" si="38"/>
        <v>1174.18</v>
      </c>
    </row>
    <row r="269" spans="1:262" ht="61.5" x14ac:dyDescent="0.85">
      <c r="A269" s="2">
        <v>1</v>
      </c>
      <c r="B269" s="18">
        <f>SUBTOTAL(103,$A$22:A269)</f>
        <v>243</v>
      </c>
      <c r="C269" s="3" t="s">
        <v>1013</v>
      </c>
      <c r="D269" s="5">
        <v>2202931.48</v>
      </c>
      <c r="E269" s="5">
        <f t="shared" si="30"/>
        <v>20184.520000000019</v>
      </c>
      <c r="F269" s="5">
        <f t="shared" si="36"/>
        <v>2182746.96</v>
      </c>
      <c r="G269" s="247">
        <v>0</v>
      </c>
      <c r="H269" s="247">
        <v>0</v>
      </c>
      <c r="I269" s="247">
        <v>0</v>
      </c>
      <c r="J269" s="247">
        <v>0</v>
      </c>
      <c r="K269" s="247">
        <v>0</v>
      </c>
      <c r="L269" s="247">
        <v>0</v>
      </c>
      <c r="M269" s="241">
        <v>0</v>
      </c>
      <c r="N269" s="5">
        <v>0</v>
      </c>
      <c r="O269" s="7">
        <v>484.14</v>
      </c>
      <c r="P269" s="441">
        <v>2170375.84</v>
      </c>
      <c r="Q269" s="247">
        <v>0</v>
      </c>
      <c r="R269" s="247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441">
        <v>12371.12</v>
      </c>
      <c r="AF269" s="5">
        <v>0</v>
      </c>
      <c r="AG269" s="5">
        <v>0</v>
      </c>
      <c r="AH269" s="246" t="s">
        <v>49</v>
      </c>
      <c r="AI269" s="246">
        <v>2020</v>
      </c>
      <c r="AJ269" s="6">
        <v>2020</v>
      </c>
      <c r="CB269" s="236"/>
      <c r="CF269" s="2">
        <f t="shared" si="38"/>
        <v>484</v>
      </c>
    </row>
    <row r="270" spans="1:262" ht="61.5" x14ac:dyDescent="0.85">
      <c r="A270" s="2">
        <v>1</v>
      </c>
      <c r="B270" s="18">
        <f>SUBTOTAL(103,$A$22:A270)</f>
        <v>244</v>
      </c>
      <c r="C270" s="3" t="s">
        <v>1246</v>
      </c>
      <c r="D270" s="5">
        <v>2896567.84</v>
      </c>
      <c r="E270" s="5">
        <f t="shared" si="30"/>
        <v>1171964.8599999999</v>
      </c>
      <c r="F270" s="5">
        <f t="shared" si="36"/>
        <v>1724602.98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241">
        <v>0</v>
      </c>
      <c r="N270" s="5">
        <v>0</v>
      </c>
      <c r="O270" s="7">
        <v>527.41999999999996</v>
      </c>
      <c r="P270" s="441">
        <v>1663637.88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441">
        <v>9981.82</v>
      </c>
      <c r="AF270" s="7">
        <v>50983.28</v>
      </c>
      <c r="AG270" s="5">
        <v>0</v>
      </c>
      <c r="AH270" s="246">
        <v>2020</v>
      </c>
      <c r="AI270" s="246">
        <v>2020</v>
      </c>
      <c r="AJ270" s="6">
        <v>2020</v>
      </c>
      <c r="CB270" s="236"/>
      <c r="CF270" s="2" t="e">
        <f t="shared" si="38"/>
        <v>#N/A</v>
      </c>
    </row>
    <row r="271" spans="1:262" ht="61.5" x14ac:dyDescent="0.85">
      <c r="A271" s="2">
        <v>1</v>
      </c>
      <c r="B271" s="18">
        <f>SUBTOTAL(103,$A$22:A271)</f>
        <v>245</v>
      </c>
      <c r="C271" s="3" t="s">
        <v>1247</v>
      </c>
      <c r="D271" s="5">
        <v>2467054.4</v>
      </c>
      <c r="E271" s="5">
        <f t="shared" si="30"/>
        <v>855114.19</v>
      </c>
      <c r="F271" s="5">
        <f t="shared" si="36"/>
        <v>1611940.21</v>
      </c>
      <c r="G271" s="5">
        <v>0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241">
        <v>0</v>
      </c>
      <c r="N271" s="5">
        <v>0</v>
      </c>
      <c r="O271" s="7">
        <v>479.49</v>
      </c>
      <c r="P271" s="441">
        <v>1540245.03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f>ROUND(P271*1.5%,2)</f>
        <v>23103.68</v>
      </c>
      <c r="AF271" s="7">
        <v>48591.5</v>
      </c>
      <c r="AG271" s="5">
        <v>0</v>
      </c>
      <c r="AH271" s="246">
        <v>2020</v>
      </c>
      <c r="AI271" s="246">
        <v>2020</v>
      </c>
      <c r="AJ271" s="6">
        <v>2020</v>
      </c>
      <c r="CB271" s="236"/>
      <c r="CF271" s="2" t="e">
        <f t="shared" si="38"/>
        <v>#N/A</v>
      </c>
    </row>
    <row r="272" spans="1:262" ht="61.5" x14ac:dyDescent="0.85">
      <c r="A272" s="2">
        <v>1</v>
      </c>
      <c r="B272" s="18">
        <f>SUBTOTAL(103,$A$22:A272)</f>
        <v>246</v>
      </c>
      <c r="C272" s="3" t="s">
        <v>1248</v>
      </c>
      <c r="D272" s="5">
        <v>6277200.2999999998</v>
      </c>
      <c r="E272" s="5">
        <f t="shared" si="30"/>
        <v>6146239.9500000002</v>
      </c>
      <c r="F272" s="5">
        <f t="shared" si="36"/>
        <v>130960.35</v>
      </c>
      <c r="G272" s="5">
        <v>0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241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f>ROUND(P272*1.5%,2)</f>
        <v>0</v>
      </c>
      <c r="AF272" s="48">
        <v>130960.35</v>
      </c>
      <c r="AG272" s="5">
        <v>0</v>
      </c>
      <c r="AH272" s="246">
        <v>2020</v>
      </c>
      <c r="AI272" s="246" t="s">
        <v>49</v>
      </c>
      <c r="AJ272" s="246" t="s">
        <v>49</v>
      </c>
      <c r="CB272" s="236"/>
      <c r="CF272" s="2" t="e">
        <f t="shared" si="38"/>
        <v>#N/A</v>
      </c>
    </row>
    <row r="273" spans="1:262" s="239" customFormat="1" ht="61.5" x14ac:dyDescent="0.85">
      <c r="A273" s="239">
        <v>1</v>
      </c>
      <c r="B273" s="18">
        <f>SUBTOTAL(103,$A$22:A273)</f>
        <v>247</v>
      </c>
      <c r="C273" s="3" t="s">
        <v>1249</v>
      </c>
      <c r="D273" s="5">
        <v>2248303</v>
      </c>
      <c r="E273" s="5">
        <f t="shared" si="30"/>
        <v>2142417.46</v>
      </c>
      <c r="F273" s="5">
        <f t="shared" si="36"/>
        <v>105885.54</v>
      </c>
      <c r="G273" s="247">
        <v>0</v>
      </c>
      <c r="H273" s="247">
        <v>0</v>
      </c>
      <c r="I273" s="247">
        <v>0</v>
      </c>
      <c r="J273" s="247">
        <v>0</v>
      </c>
      <c r="K273" s="247">
        <v>0</v>
      </c>
      <c r="L273" s="247">
        <v>0</v>
      </c>
      <c r="M273" s="2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  <c r="AE273" s="5">
        <v>0</v>
      </c>
      <c r="AF273" s="5">
        <v>105885.54</v>
      </c>
      <c r="AG273" s="5">
        <v>0</v>
      </c>
      <c r="AH273" s="246">
        <v>2020</v>
      </c>
      <c r="AI273" s="246" t="s">
        <v>49</v>
      </c>
      <c r="AJ273" s="246" t="s">
        <v>49</v>
      </c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 t="e">
        <f>VLOOKUP(C273,AY:AZ,2,FALSE)</f>
        <v>#N/A</v>
      </c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36"/>
      <c r="CC273" s="2"/>
      <c r="CD273" s="2"/>
      <c r="CE273" s="2"/>
      <c r="CF273" s="2" t="e">
        <f t="shared" si="38"/>
        <v>#N/A</v>
      </c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</row>
    <row r="274" spans="1:262" ht="61.5" x14ac:dyDescent="0.85">
      <c r="B274" s="3" t="s">
        <v>97</v>
      </c>
      <c r="C274" s="3"/>
      <c r="D274" s="244">
        <v>26089685.730000004</v>
      </c>
      <c r="E274" s="233">
        <f t="shared" si="30"/>
        <v>11974816.800000004</v>
      </c>
      <c r="F274" s="244">
        <f t="shared" ref="F274:AG274" si="39">SUM(F275:F279)</f>
        <v>14114868.93</v>
      </c>
      <c r="G274" s="5">
        <f t="shared" si="39"/>
        <v>0</v>
      </c>
      <c r="H274" s="5">
        <f t="shared" si="39"/>
        <v>0</v>
      </c>
      <c r="I274" s="5">
        <f t="shared" si="39"/>
        <v>0</v>
      </c>
      <c r="J274" s="5">
        <f t="shared" si="39"/>
        <v>0</v>
      </c>
      <c r="K274" s="5">
        <f t="shared" si="39"/>
        <v>0</v>
      </c>
      <c r="L274" s="5">
        <f t="shared" si="39"/>
        <v>0</v>
      </c>
      <c r="M274" s="241">
        <f t="shared" si="39"/>
        <v>0</v>
      </c>
      <c r="N274" s="5">
        <f t="shared" si="39"/>
        <v>0</v>
      </c>
      <c r="O274" s="5">
        <f t="shared" si="39"/>
        <v>4487.16</v>
      </c>
      <c r="P274" s="5">
        <f t="shared" si="39"/>
        <v>13726303.279999999</v>
      </c>
      <c r="Q274" s="5">
        <f t="shared" si="39"/>
        <v>0</v>
      </c>
      <c r="R274" s="5">
        <f t="shared" si="39"/>
        <v>0</v>
      </c>
      <c r="S274" s="5">
        <f t="shared" si="39"/>
        <v>0</v>
      </c>
      <c r="T274" s="5">
        <f t="shared" si="39"/>
        <v>0</v>
      </c>
      <c r="U274" s="5">
        <f t="shared" si="39"/>
        <v>0</v>
      </c>
      <c r="V274" s="5">
        <f t="shared" si="39"/>
        <v>0</v>
      </c>
      <c r="W274" s="5">
        <f t="shared" si="39"/>
        <v>0</v>
      </c>
      <c r="X274" s="5">
        <f t="shared" si="39"/>
        <v>0</v>
      </c>
      <c r="Y274" s="5">
        <f t="shared" si="39"/>
        <v>0</v>
      </c>
      <c r="Z274" s="5">
        <f t="shared" si="39"/>
        <v>0</v>
      </c>
      <c r="AA274" s="5">
        <f t="shared" si="39"/>
        <v>0</v>
      </c>
      <c r="AB274" s="5">
        <f t="shared" si="39"/>
        <v>0</v>
      </c>
      <c r="AC274" s="5">
        <f t="shared" si="39"/>
        <v>0</v>
      </c>
      <c r="AD274" s="5">
        <f t="shared" si="39"/>
        <v>0</v>
      </c>
      <c r="AE274" s="5">
        <f t="shared" si="39"/>
        <v>80305.45</v>
      </c>
      <c r="AF274" s="5">
        <f t="shared" si="39"/>
        <v>308260.2</v>
      </c>
      <c r="AG274" s="5">
        <f t="shared" si="39"/>
        <v>0</v>
      </c>
      <c r="AH274" s="23" t="s">
        <v>90</v>
      </c>
      <c r="AI274" s="23" t="s">
        <v>90</v>
      </c>
      <c r="AJ274" s="27" t="s">
        <v>90</v>
      </c>
      <c r="AV274" s="2" t="e">
        <f>VLOOKUP(C274,AY:AZ,2,FALSE)</f>
        <v>#N/A</v>
      </c>
      <c r="CB274" s="236">
        <v>31393292.599999998</v>
      </c>
      <c r="CF274" s="2" t="e">
        <f t="shared" si="38"/>
        <v>#N/A</v>
      </c>
    </row>
    <row r="275" spans="1:262" ht="61.5" x14ac:dyDescent="0.85">
      <c r="A275" s="2">
        <v>1</v>
      </c>
      <c r="B275" s="18">
        <f>SUBTOTAL(103,$A$22:A275)</f>
        <v>248</v>
      </c>
      <c r="C275" s="3" t="s">
        <v>1250</v>
      </c>
      <c r="D275" s="5">
        <v>7828988.2599999998</v>
      </c>
      <c r="E275" s="5">
        <f t="shared" ref="E275:E338" si="40">D275-F275</f>
        <v>3901440.29</v>
      </c>
      <c r="F275" s="5">
        <f t="shared" ref="F275:F279" si="41">G275+H275+I275+J275+K275+L275+N275+P275+R275+T275+V275+W275+X275+Y275+Z275+AA275+AB275+AC275+AD275+AE275+AF275+AG275</f>
        <v>3927547.9699999997</v>
      </c>
      <c r="G275" s="247">
        <v>0</v>
      </c>
      <c r="H275" s="247">
        <v>0</v>
      </c>
      <c r="I275" s="247">
        <v>0</v>
      </c>
      <c r="J275" s="247">
        <v>0</v>
      </c>
      <c r="K275" s="247">
        <v>0</v>
      </c>
      <c r="L275" s="247">
        <v>0</v>
      </c>
      <c r="M275" s="241">
        <v>0</v>
      </c>
      <c r="N275" s="5">
        <v>0</v>
      </c>
      <c r="O275" s="7">
        <v>1278.5</v>
      </c>
      <c r="P275" s="7">
        <v>3747445.51</v>
      </c>
      <c r="Q275" s="247">
        <v>0</v>
      </c>
      <c r="R275" s="247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7">
        <v>22484.67</v>
      </c>
      <c r="AF275" s="7">
        <v>157617.79</v>
      </c>
      <c r="AG275" s="5">
        <v>0</v>
      </c>
      <c r="AH275" s="246">
        <v>2020</v>
      </c>
      <c r="AI275" s="246">
        <v>2020</v>
      </c>
      <c r="AJ275" s="6">
        <v>2020</v>
      </c>
      <c r="AV275" s="2" t="e">
        <f>VLOOKUP(C275,AY:AZ,2,FALSE)</f>
        <v>#N/A</v>
      </c>
      <c r="CB275" s="236"/>
      <c r="CF275" s="2" t="e">
        <f t="shared" si="38"/>
        <v>#N/A</v>
      </c>
    </row>
    <row r="276" spans="1:262" ht="61.5" x14ac:dyDescent="0.85">
      <c r="A276" s="2">
        <v>1</v>
      </c>
      <c r="B276" s="18">
        <f>SUBTOTAL(103,$A$22:A276)</f>
        <v>249</v>
      </c>
      <c r="C276" s="3" t="s">
        <v>1251</v>
      </c>
      <c r="D276" s="5">
        <v>6313946.0599999996</v>
      </c>
      <c r="E276" s="5">
        <f t="shared" si="40"/>
        <v>3006561.2799999993</v>
      </c>
      <c r="F276" s="5">
        <f t="shared" si="41"/>
        <v>3307384.7800000003</v>
      </c>
      <c r="G276" s="247">
        <v>0</v>
      </c>
      <c r="H276" s="247">
        <v>0</v>
      </c>
      <c r="I276" s="247">
        <v>0</v>
      </c>
      <c r="J276" s="247">
        <v>0</v>
      </c>
      <c r="K276" s="247">
        <v>0</v>
      </c>
      <c r="L276" s="247">
        <v>0</v>
      </c>
      <c r="M276" s="241">
        <v>0</v>
      </c>
      <c r="N276" s="5">
        <v>0</v>
      </c>
      <c r="O276" s="7">
        <v>1021.96</v>
      </c>
      <c r="P276" s="7">
        <v>3137914.89</v>
      </c>
      <c r="Q276" s="247">
        <v>0</v>
      </c>
      <c r="R276" s="247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7">
        <v>18827.48</v>
      </c>
      <c r="AF276" s="7">
        <v>150642.41</v>
      </c>
      <c r="AG276" s="5">
        <v>0</v>
      </c>
      <c r="AH276" s="246">
        <v>2020</v>
      </c>
      <c r="AI276" s="246">
        <v>2020</v>
      </c>
      <c r="AJ276" s="6">
        <v>2020</v>
      </c>
      <c r="AV276" s="2" t="e">
        <f>VLOOKUP(C276,AY:AZ,2,FALSE)</f>
        <v>#N/A</v>
      </c>
      <c r="CB276" s="236"/>
      <c r="CF276" s="2" t="e">
        <f t="shared" si="38"/>
        <v>#N/A</v>
      </c>
    </row>
    <row r="277" spans="1:262" ht="61.5" x14ac:dyDescent="0.85">
      <c r="A277" s="2">
        <v>1</v>
      </c>
      <c r="B277" s="18">
        <f>SUBTOTAL(103,$A$22:A277)</f>
        <v>250</v>
      </c>
      <c r="C277" s="3" t="s">
        <v>1015</v>
      </c>
      <c r="D277" s="5">
        <v>1459441.5</v>
      </c>
      <c r="E277" s="5">
        <f t="shared" si="40"/>
        <v>13372.239999999991</v>
      </c>
      <c r="F277" s="5">
        <f t="shared" si="41"/>
        <v>1446069.26</v>
      </c>
      <c r="G277" s="247">
        <v>0</v>
      </c>
      <c r="H277" s="247">
        <v>0</v>
      </c>
      <c r="I277" s="247">
        <v>0</v>
      </c>
      <c r="J277" s="247">
        <v>0</v>
      </c>
      <c r="K277" s="247">
        <v>0</v>
      </c>
      <c r="L277" s="247">
        <v>0</v>
      </c>
      <c r="M277" s="241">
        <v>0</v>
      </c>
      <c r="N277" s="5">
        <v>0</v>
      </c>
      <c r="O277" s="7">
        <v>438.9</v>
      </c>
      <c r="P277" s="7">
        <v>1437873.4</v>
      </c>
      <c r="Q277" s="247">
        <v>0</v>
      </c>
      <c r="R277" s="247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48">
        <v>8195.86</v>
      </c>
      <c r="AF277" s="5">
        <v>0</v>
      </c>
      <c r="AG277" s="5">
        <v>0</v>
      </c>
      <c r="AH277" s="246" t="s">
        <v>49</v>
      </c>
      <c r="AI277" s="246">
        <v>2020</v>
      </c>
      <c r="AJ277" s="6">
        <v>2020</v>
      </c>
      <c r="CB277" s="236"/>
      <c r="CF277" s="2">
        <f t="shared" si="38"/>
        <v>452.1</v>
      </c>
    </row>
    <row r="278" spans="1:262" ht="61.5" x14ac:dyDescent="0.85">
      <c r="A278" s="2">
        <v>1</v>
      </c>
      <c r="B278" s="18">
        <f>SUBTOTAL(103,$A$22:A278)</f>
        <v>251</v>
      </c>
      <c r="C278" s="3" t="s">
        <v>1017</v>
      </c>
      <c r="D278" s="5">
        <v>3024753.67</v>
      </c>
      <c r="E278" s="5">
        <f t="shared" si="40"/>
        <v>27714.520000000019</v>
      </c>
      <c r="F278" s="5">
        <f t="shared" si="41"/>
        <v>2997039.15</v>
      </c>
      <c r="G278" s="247">
        <v>0</v>
      </c>
      <c r="H278" s="247">
        <v>0</v>
      </c>
      <c r="I278" s="247">
        <v>0</v>
      </c>
      <c r="J278" s="247">
        <v>0</v>
      </c>
      <c r="K278" s="247">
        <v>0</v>
      </c>
      <c r="L278" s="247">
        <v>0</v>
      </c>
      <c r="M278" s="241">
        <v>0</v>
      </c>
      <c r="N278" s="5">
        <v>0</v>
      </c>
      <c r="O278" s="7">
        <v>970</v>
      </c>
      <c r="P278" s="7">
        <v>2980052.88</v>
      </c>
      <c r="Q278" s="247">
        <v>0</v>
      </c>
      <c r="R278" s="247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7">
        <v>16986.27</v>
      </c>
      <c r="AF278" s="5">
        <v>0</v>
      </c>
      <c r="AG278" s="5">
        <v>0</v>
      </c>
      <c r="AH278" s="246" t="s">
        <v>49</v>
      </c>
      <c r="AI278" s="246">
        <v>2020</v>
      </c>
      <c r="AJ278" s="6">
        <v>2020</v>
      </c>
      <c r="CB278" s="236"/>
      <c r="CF278" s="2">
        <f t="shared" si="38"/>
        <v>992</v>
      </c>
    </row>
    <row r="279" spans="1:262" ht="61.5" x14ac:dyDescent="0.85">
      <c r="A279" s="2">
        <v>1</v>
      </c>
      <c r="B279" s="18">
        <f>SUBTOTAL(103,$A$22:A279)</f>
        <v>252</v>
      </c>
      <c r="C279" s="3" t="s">
        <v>1018</v>
      </c>
      <c r="D279" s="5">
        <v>2459361.85</v>
      </c>
      <c r="E279" s="5">
        <f t="shared" si="40"/>
        <v>22534.080000000075</v>
      </c>
      <c r="F279" s="5">
        <f t="shared" si="41"/>
        <v>2436827.77</v>
      </c>
      <c r="G279" s="247">
        <v>0</v>
      </c>
      <c r="H279" s="247">
        <v>0</v>
      </c>
      <c r="I279" s="247">
        <v>0</v>
      </c>
      <c r="J279" s="247">
        <v>0</v>
      </c>
      <c r="K279" s="247">
        <v>0</v>
      </c>
      <c r="L279" s="247">
        <v>0</v>
      </c>
      <c r="M279" s="241">
        <v>0</v>
      </c>
      <c r="N279" s="5">
        <v>0</v>
      </c>
      <c r="O279" s="7">
        <v>777.8</v>
      </c>
      <c r="P279" s="7">
        <v>2423016.6</v>
      </c>
      <c r="Q279" s="247">
        <v>0</v>
      </c>
      <c r="R279" s="247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7">
        <v>13811.17</v>
      </c>
      <c r="AF279" s="5">
        <v>0</v>
      </c>
      <c r="AG279" s="5">
        <v>0</v>
      </c>
      <c r="AH279" s="246" t="s">
        <v>49</v>
      </c>
      <c r="AI279" s="246">
        <v>2020</v>
      </c>
      <c r="AJ279" s="6">
        <v>2020</v>
      </c>
      <c r="CB279" s="236"/>
      <c r="CF279" s="2">
        <f t="shared" si="38"/>
        <v>796.1</v>
      </c>
    </row>
    <row r="280" spans="1:262" ht="61.5" x14ac:dyDescent="0.85">
      <c r="B280" s="3" t="s">
        <v>1252</v>
      </c>
      <c r="C280" s="3"/>
      <c r="D280" s="244">
        <v>35599350.519999996</v>
      </c>
      <c r="E280" s="233">
        <f t="shared" si="40"/>
        <v>4607994.7800000012</v>
      </c>
      <c r="F280" s="244">
        <f>SUM(F281:F286)</f>
        <v>30991355.739999995</v>
      </c>
      <c r="G280" s="5">
        <f t="shared" ref="G280:AG280" si="42">SUM(G281:G286)</f>
        <v>0</v>
      </c>
      <c r="H280" s="5">
        <f t="shared" si="42"/>
        <v>0</v>
      </c>
      <c r="I280" s="5">
        <f t="shared" si="42"/>
        <v>0</v>
      </c>
      <c r="J280" s="5">
        <f t="shared" si="42"/>
        <v>0</v>
      </c>
      <c r="K280" s="5">
        <f t="shared" si="42"/>
        <v>0</v>
      </c>
      <c r="L280" s="5">
        <f t="shared" si="42"/>
        <v>0</v>
      </c>
      <c r="M280" s="241">
        <f t="shared" si="42"/>
        <v>0</v>
      </c>
      <c r="N280" s="5">
        <f t="shared" si="42"/>
        <v>0</v>
      </c>
      <c r="O280" s="5">
        <f t="shared" si="42"/>
        <v>4638.45</v>
      </c>
      <c r="P280" s="5">
        <f t="shared" si="42"/>
        <v>22101832.469999999</v>
      </c>
      <c r="Q280" s="5">
        <f t="shared" si="42"/>
        <v>0</v>
      </c>
      <c r="R280" s="5">
        <f t="shared" si="42"/>
        <v>0</v>
      </c>
      <c r="S280" s="5">
        <f t="shared" si="42"/>
        <v>2556.4</v>
      </c>
      <c r="T280" s="5">
        <f t="shared" si="42"/>
        <v>8126707.1399999997</v>
      </c>
      <c r="U280" s="5">
        <f t="shared" si="42"/>
        <v>0</v>
      </c>
      <c r="V280" s="5">
        <f t="shared" si="42"/>
        <v>0</v>
      </c>
      <c r="W280" s="5">
        <f t="shared" si="42"/>
        <v>0</v>
      </c>
      <c r="X280" s="5">
        <f t="shared" si="42"/>
        <v>0</v>
      </c>
      <c r="Y280" s="5">
        <f t="shared" si="42"/>
        <v>0</v>
      </c>
      <c r="Z280" s="5">
        <f t="shared" si="42"/>
        <v>0</v>
      </c>
      <c r="AA280" s="5">
        <f t="shared" si="42"/>
        <v>0</v>
      </c>
      <c r="AB280" s="5">
        <f t="shared" si="42"/>
        <v>0</v>
      </c>
      <c r="AC280" s="5">
        <f t="shared" si="42"/>
        <v>0</v>
      </c>
      <c r="AD280" s="5">
        <f t="shared" si="42"/>
        <v>0</v>
      </c>
      <c r="AE280" s="5">
        <f t="shared" si="42"/>
        <v>294934.2</v>
      </c>
      <c r="AF280" s="5">
        <f t="shared" si="42"/>
        <v>467881.93</v>
      </c>
      <c r="AG280" s="5">
        <f t="shared" si="42"/>
        <v>0</v>
      </c>
      <c r="AH280" s="23" t="s">
        <v>90</v>
      </c>
      <c r="AI280" s="23" t="s">
        <v>90</v>
      </c>
      <c r="AJ280" s="27" t="s">
        <v>90</v>
      </c>
      <c r="AV280" s="2" t="e">
        <f>VLOOKUP(C280,AY:AZ,2,FALSE)</f>
        <v>#N/A</v>
      </c>
      <c r="CB280" s="236">
        <v>35599350.520000003</v>
      </c>
      <c r="CF280" s="2" t="e">
        <f t="shared" si="38"/>
        <v>#N/A</v>
      </c>
    </row>
    <row r="281" spans="1:262" ht="61.5" x14ac:dyDescent="0.85">
      <c r="A281" s="2">
        <v>1</v>
      </c>
      <c r="B281" s="18">
        <f>SUBTOTAL(103,$A$22:A281)</f>
        <v>253</v>
      </c>
      <c r="C281" s="3" t="s">
        <v>1253</v>
      </c>
      <c r="D281" s="5">
        <v>4673799.5900000008</v>
      </c>
      <c r="E281" s="5">
        <f t="shared" si="40"/>
        <v>1545095.2300000009</v>
      </c>
      <c r="F281" s="5">
        <f t="shared" ref="F281:F286" si="43">G281+H281+I281+J281+K281+L281+N281+P281+R281+T281+V281+W281+X281+Y281+Z281+AA281+AB281+AC281+AD281+AE281+AF281+AG281</f>
        <v>3128704.36</v>
      </c>
      <c r="G281" s="247">
        <v>0</v>
      </c>
      <c r="H281" s="247">
        <v>0</v>
      </c>
      <c r="I281" s="247">
        <v>0</v>
      </c>
      <c r="J281" s="247">
        <v>0</v>
      </c>
      <c r="K281" s="247">
        <v>0</v>
      </c>
      <c r="L281" s="247">
        <v>0</v>
      </c>
      <c r="M281" s="241">
        <v>0</v>
      </c>
      <c r="N281" s="5">
        <v>0</v>
      </c>
      <c r="O281" s="7">
        <v>318.42</v>
      </c>
      <c r="P281" s="7">
        <v>1354124</v>
      </c>
      <c r="Q281" s="248">
        <v>0</v>
      </c>
      <c r="R281" s="248">
        <v>0</v>
      </c>
      <c r="S281" s="7">
        <v>617</v>
      </c>
      <c r="T281" s="7">
        <v>1623290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f>ROUND((P281+T281)*1.5%,2)</f>
        <v>44661.21</v>
      </c>
      <c r="AF281" s="7">
        <v>106629.15</v>
      </c>
      <c r="AG281" s="5">
        <v>0</v>
      </c>
      <c r="AH281" s="246">
        <v>2020</v>
      </c>
      <c r="AI281" s="246">
        <v>2020</v>
      </c>
      <c r="AJ281" s="6">
        <v>2020</v>
      </c>
      <c r="AV281" s="2" t="e">
        <f>VLOOKUP(C281,AY:AZ,2,FALSE)</f>
        <v>#N/A</v>
      </c>
      <c r="CB281" s="236"/>
      <c r="CF281" s="2" t="e">
        <f t="shared" si="38"/>
        <v>#N/A</v>
      </c>
    </row>
    <row r="282" spans="1:262" ht="61.5" x14ac:dyDescent="0.85">
      <c r="A282" s="2">
        <v>1</v>
      </c>
      <c r="B282" s="18">
        <f>SUBTOTAL(103,$A$22:A282)</f>
        <v>254</v>
      </c>
      <c r="C282" s="3" t="s">
        <v>1254</v>
      </c>
      <c r="D282" s="5">
        <v>3178425.75</v>
      </c>
      <c r="E282" s="5">
        <f t="shared" si="40"/>
        <v>27118.439999999944</v>
      </c>
      <c r="F282" s="5">
        <f t="shared" si="43"/>
        <v>3151307.31</v>
      </c>
      <c r="G282" s="247">
        <v>0</v>
      </c>
      <c r="H282" s="247">
        <v>0</v>
      </c>
      <c r="I282" s="247">
        <v>0</v>
      </c>
      <c r="J282" s="247">
        <v>0</v>
      </c>
      <c r="K282" s="247">
        <v>0</v>
      </c>
      <c r="L282" s="247">
        <v>0</v>
      </c>
      <c r="M282" s="241">
        <v>0</v>
      </c>
      <c r="N282" s="5">
        <v>0</v>
      </c>
      <c r="O282" s="7">
        <v>623</v>
      </c>
      <c r="P282" s="7">
        <v>3013159.02</v>
      </c>
      <c r="Q282" s="247">
        <v>0</v>
      </c>
      <c r="R282" s="247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7">
        <v>18078.95</v>
      </c>
      <c r="AF282" s="7">
        <v>120069.34</v>
      </c>
      <c r="AG282" s="5">
        <v>0</v>
      </c>
      <c r="AH282" s="246">
        <v>2020</v>
      </c>
      <c r="AI282" s="246">
        <v>2020</v>
      </c>
      <c r="AJ282" s="6">
        <v>2020</v>
      </c>
      <c r="AV282" s="2" t="e">
        <f>VLOOKUP(C282,AY:AZ,2,FALSE)</f>
        <v>#N/A</v>
      </c>
      <c r="CB282" s="236"/>
      <c r="CF282" s="2" t="e">
        <f t="shared" si="38"/>
        <v>#N/A</v>
      </c>
    </row>
    <row r="283" spans="1:262" ht="61.5" x14ac:dyDescent="0.85">
      <c r="A283" s="2">
        <v>1</v>
      </c>
      <c r="B283" s="18">
        <f>SUBTOTAL(103,$A$22:A283)</f>
        <v>255</v>
      </c>
      <c r="C283" s="3" t="s">
        <v>1255</v>
      </c>
      <c r="D283" s="5">
        <v>4909138.9399999995</v>
      </c>
      <c r="E283" s="5">
        <f t="shared" si="40"/>
        <v>42402.259999999776</v>
      </c>
      <c r="F283" s="5">
        <f t="shared" si="43"/>
        <v>4866736.68</v>
      </c>
      <c r="G283" s="247">
        <v>0</v>
      </c>
      <c r="H283" s="247">
        <v>0</v>
      </c>
      <c r="I283" s="247">
        <v>0</v>
      </c>
      <c r="J283" s="247">
        <v>0</v>
      </c>
      <c r="K283" s="247">
        <v>0</v>
      </c>
      <c r="L283" s="247">
        <v>0</v>
      </c>
      <c r="M283" s="241">
        <v>0</v>
      </c>
      <c r="N283" s="5">
        <v>0</v>
      </c>
      <c r="O283" s="7">
        <v>1038.72</v>
      </c>
      <c r="P283" s="48">
        <v>4711362.12</v>
      </c>
      <c r="Q283" s="247">
        <v>0</v>
      </c>
      <c r="R283" s="247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48">
        <v>28268.17</v>
      </c>
      <c r="AF283" s="7">
        <v>127106.39</v>
      </c>
      <c r="AG283" s="5">
        <v>0</v>
      </c>
      <c r="AH283" s="246">
        <v>2020</v>
      </c>
      <c r="AI283" s="246">
        <v>2020</v>
      </c>
      <c r="AJ283" s="6">
        <v>2020</v>
      </c>
      <c r="AV283" s="2" t="e">
        <f>VLOOKUP(C283,AY:AZ,2,FALSE)</f>
        <v>#N/A</v>
      </c>
      <c r="CB283" s="236"/>
      <c r="CF283" s="2" t="e">
        <f t="shared" si="38"/>
        <v>#N/A</v>
      </c>
    </row>
    <row r="284" spans="1:262" ht="61.5" x14ac:dyDescent="0.85">
      <c r="A284" s="2">
        <v>1</v>
      </c>
      <c r="B284" s="18">
        <f>SUBTOTAL(103,$A$22:A284)</f>
        <v>256</v>
      </c>
      <c r="C284" s="3" t="s">
        <v>1256</v>
      </c>
      <c r="D284" s="5">
        <v>6600968.3999999994</v>
      </c>
      <c r="E284" s="5">
        <f t="shared" si="40"/>
        <v>60481.849999999627</v>
      </c>
      <c r="F284" s="5">
        <f t="shared" si="43"/>
        <v>6540486.5499999998</v>
      </c>
      <c r="G284" s="247">
        <v>0</v>
      </c>
      <c r="H284" s="247">
        <v>0</v>
      </c>
      <c r="I284" s="247">
        <v>0</v>
      </c>
      <c r="J284" s="247">
        <v>0</v>
      </c>
      <c r="K284" s="247">
        <v>0</v>
      </c>
      <c r="L284" s="247">
        <v>0</v>
      </c>
      <c r="M284" s="241">
        <v>0</v>
      </c>
      <c r="N284" s="5">
        <v>0</v>
      </c>
      <c r="O284" s="5">
        <v>0</v>
      </c>
      <c r="P284" s="5">
        <v>0</v>
      </c>
      <c r="Q284" s="247">
        <v>0</v>
      </c>
      <c r="R284" s="247">
        <v>0</v>
      </c>
      <c r="S284" s="7">
        <v>1939.4</v>
      </c>
      <c r="T284" s="7">
        <v>6503417.1399999997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7">
        <v>37069.410000000003</v>
      </c>
      <c r="AF284" s="5">
        <v>0</v>
      </c>
      <c r="AG284" s="5">
        <v>0</v>
      </c>
      <c r="AH284" s="246" t="s">
        <v>49</v>
      </c>
      <c r="AI284" s="246">
        <v>2020</v>
      </c>
      <c r="AJ284" s="6">
        <v>2020</v>
      </c>
      <c r="CB284" s="236"/>
      <c r="CF284" s="2" t="e">
        <f t="shared" si="38"/>
        <v>#N/A</v>
      </c>
    </row>
    <row r="285" spans="1:262" ht="61.5" x14ac:dyDescent="0.85">
      <c r="A285" s="2">
        <v>1</v>
      </c>
      <c r="B285" s="18">
        <f>SUBTOTAL(103,$A$22:A285)</f>
        <v>257</v>
      </c>
      <c r="C285" s="3" t="s">
        <v>1020</v>
      </c>
      <c r="D285" s="5">
        <v>11998023.609999999</v>
      </c>
      <c r="E285" s="5">
        <f t="shared" si="40"/>
        <v>1909346.0299999993</v>
      </c>
      <c r="F285" s="5">
        <f t="shared" si="43"/>
        <v>10088677.58</v>
      </c>
      <c r="G285" s="247">
        <v>0</v>
      </c>
      <c r="H285" s="247">
        <v>0</v>
      </c>
      <c r="I285" s="247">
        <v>0</v>
      </c>
      <c r="J285" s="247">
        <v>0</v>
      </c>
      <c r="K285" s="247">
        <v>0</v>
      </c>
      <c r="L285" s="247">
        <v>0</v>
      </c>
      <c r="M285" s="241">
        <v>0</v>
      </c>
      <c r="N285" s="5">
        <v>0</v>
      </c>
      <c r="O285" s="441">
        <v>1878.14</v>
      </c>
      <c r="P285" s="441">
        <v>9940318.3300000001</v>
      </c>
      <c r="Q285" s="247">
        <v>0</v>
      </c>
      <c r="R285" s="247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48">
        <v>148359.25</v>
      </c>
      <c r="AF285" s="5">
        <v>0</v>
      </c>
      <c r="AG285" s="5">
        <v>0</v>
      </c>
      <c r="AH285" s="246" t="s">
        <v>49</v>
      </c>
      <c r="AI285" s="246">
        <v>2020</v>
      </c>
      <c r="AJ285" s="6">
        <v>2020</v>
      </c>
      <c r="CB285" s="236"/>
      <c r="CF285" s="2">
        <f t="shared" si="38"/>
        <v>1995.2</v>
      </c>
    </row>
    <row r="286" spans="1:262" ht="61.5" x14ac:dyDescent="0.85">
      <c r="A286" s="2">
        <v>1</v>
      </c>
      <c r="B286" s="18">
        <f>SUBTOTAL(103,$A$22:A286)</f>
        <v>258</v>
      </c>
      <c r="C286" s="3" t="s">
        <v>1257</v>
      </c>
      <c r="D286" s="5">
        <v>4238994.2300000004</v>
      </c>
      <c r="E286" s="5">
        <f t="shared" si="40"/>
        <v>1023550.9700000007</v>
      </c>
      <c r="F286" s="5">
        <f t="shared" si="43"/>
        <v>3215443.26</v>
      </c>
      <c r="G286" s="247">
        <v>0</v>
      </c>
      <c r="H286" s="247">
        <v>0</v>
      </c>
      <c r="I286" s="247">
        <v>0</v>
      </c>
      <c r="J286" s="247">
        <v>0</v>
      </c>
      <c r="K286" s="247">
        <v>0</v>
      </c>
      <c r="L286" s="247">
        <v>0</v>
      </c>
      <c r="M286" s="241">
        <v>0</v>
      </c>
      <c r="N286" s="5">
        <v>0</v>
      </c>
      <c r="O286" s="441">
        <v>780.17</v>
      </c>
      <c r="P286" s="441">
        <v>3082869</v>
      </c>
      <c r="Q286" s="247">
        <v>0</v>
      </c>
      <c r="R286" s="247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441">
        <v>18497.21</v>
      </c>
      <c r="AF286" s="7">
        <v>114077.05</v>
      </c>
      <c r="AG286" s="5">
        <v>0</v>
      </c>
      <c r="AH286" s="246">
        <v>2020</v>
      </c>
      <c r="AI286" s="246">
        <v>2020</v>
      </c>
      <c r="AJ286" s="6">
        <v>2020</v>
      </c>
      <c r="CB286" s="236"/>
      <c r="CF286" s="2" t="e">
        <f t="shared" si="38"/>
        <v>#N/A</v>
      </c>
    </row>
    <row r="287" spans="1:262" ht="61.5" x14ac:dyDescent="0.85">
      <c r="B287" s="3" t="s">
        <v>1258</v>
      </c>
      <c r="C287" s="3"/>
      <c r="D287" s="244">
        <v>13590086.029999999</v>
      </c>
      <c r="E287" s="233">
        <f t="shared" si="40"/>
        <v>1147643.5999999978</v>
      </c>
      <c r="F287" s="244">
        <f>SUM(F288:F291)</f>
        <v>12442442.430000002</v>
      </c>
      <c r="G287" s="5">
        <f t="shared" ref="G287:AG287" si="44">SUM(G288:G291)</f>
        <v>0</v>
      </c>
      <c r="H287" s="5">
        <f t="shared" si="44"/>
        <v>83564.44</v>
      </c>
      <c r="I287" s="5">
        <f t="shared" si="44"/>
        <v>895725.75</v>
      </c>
      <c r="J287" s="5">
        <f t="shared" si="44"/>
        <v>61962.38</v>
      </c>
      <c r="K287" s="5">
        <f t="shared" si="44"/>
        <v>0</v>
      </c>
      <c r="L287" s="5">
        <f t="shared" si="44"/>
        <v>0</v>
      </c>
      <c r="M287" s="241">
        <f t="shared" si="44"/>
        <v>0</v>
      </c>
      <c r="N287" s="5">
        <f t="shared" si="44"/>
        <v>0</v>
      </c>
      <c r="O287" s="5">
        <f t="shared" si="44"/>
        <v>2985.79</v>
      </c>
      <c r="P287" s="5">
        <f t="shared" si="44"/>
        <v>11043668.1</v>
      </c>
      <c r="Q287" s="5">
        <f t="shared" si="44"/>
        <v>0</v>
      </c>
      <c r="R287" s="5">
        <f t="shared" si="44"/>
        <v>0</v>
      </c>
      <c r="S287" s="5">
        <f t="shared" si="44"/>
        <v>0</v>
      </c>
      <c r="T287" s="5">
        <f t="shared" si="44"/>
        <v>0</v>
      </c>
      <c r="U287" s="5">
        <f t="shared" si="44"/>
        <v>0</v>
      </c>
      <c r="V287" s="5">
        <f t="shared" si="44"/>
        <v>0</v>
      </c>
      <c r="W287" s="5">
        <f t="shared" si="44"/>
        <v>0</v>
      </c>
      <c r="X287" s="5">
        <f t="shared" si="44"/>
        <v>0</v>
      </c>
      <c r="Y287" s="5">
        <f t="shared" si="44"/>
        <v>0</v>
      </c>
      <c r="Z287" s="5">
        <f t="shared" si="44"/>
        <v>0</v>
      </c>
      <c r="AA287" s="5">
        <f t="shared" si="44"/>
        <v>0</v>
      </c>
      <c r="AB287" s="5">
        <f t="shared" si="44"/>
        <v>0</v>
      </c>
      <c r="AC287" s="5">
        <f t="shared" si="44"/>
        <v>0</v>
      </c>
      <c r="AD287" s="5">
        <f t="shared" si="44"/>
        <v>0</v>
      </c>
      <c r="AE287" s="5">
        <f t="shared" si="44"/>
        <v>99418.28</v>
      </c>
      <c r="AF287" s="5">
        <f t="shared" si="44"/>
        <v>258103.47999999998</v>
      </c>
      <c r="AG287" s="5">
        <f t="shared" si="44"/>
        <v>0</v>
      </c>
      <c r="AH287" s="23" t="s">
        <v>90</v>
      </c>
      <c r="AI287" s="23" t="s">
        <v>90</v>
      </c>
      <c r="AJ287" s="27" t="s">
        <v>90</v>
      </c>
      <c r="AV287" s="2" t="e">
        <f>VLOOKUP(C287,AY:AZ,2,FALSE)</f>
        <v>#N/A</v>
      </c>
      <c r="CB287" s="236">
        <v>17002898.350000001</v>
      </c>
      <c r="CF287" s="2" t="e">
        <f t="shared" si="38"/>
        <v>#N/A</v>
      </c>
    </row>
    <row r="288" spans="1:262" ht="61.5" x14ac:dyDescent="0.85">
      <c r="A288" s="2">
        <v>1</v>
      </c>
      <c r="B288" s="18">
        <f>SUBTOTAL(103,$A$22:A288)</f>
        <v>259</v>
      </c>
      <c r="C288" s="3" t="s">
        <v>1259</v>
      </c>
      <c r="D288" s="5">
        <v>6165819.2800000003</v>
      </c>
      <c r="E288" s="5">
        <f t="shared" si="40"/>
        <v>1109739.6399999997</v>
      </c>
      <c r="F288" s="5">
        <f>G288+H288+I288+J288+K288+L288+N288+P288+R288+T288+V288+W288+X288+Y288+Z288+AA288+AB288+AC288+AD288+AE288+AF288+AG288</f>
        <v>5056079.6400000006</v>
      </c>
      <c r="G288" s="247">
        <v>0</v>
      </c>
      <c r="H288" s="247">
        <v>0</v>
      </c>
      <c r="I288" s="247">
        <v>0</v>
      </c>
      <c r="J288" s="247">
        <v>0</v>
      </c>
      <c r="K288" s="247">
        <v>0</v>
      </c>
      <c r="L288" s="247">
        <v>0</v>
      </c>
      <c r="M288" s="241">
        <v>0</v>
      </c>
      <c r="N288" s="5">
        <v>0</v>
      </c>
      <c r="O288" s="7">
        <v>1078.7</v>
      </c>
      <c r="P288" s="48">
        <v>4883507.32</v>
      </c>
      <c r="Q288" s="247">
        <v>0</v>
      </c>
      <c r="R288" s="247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48">
        <v>29301.040000000001</v>
      </c>
      <c r="AF288" s="7">
        <v>143271.28</v>
      </c>
      <c r="AG288" s="5">
        <v>0</v>
      </c>
      <c r="AH288" s="246">
        <v>2020</v>
      </c>
      <c r="AI288" s="246">
        <v>2020</v>
      </c>
      <c r="AJ288" s="6">
        <v>2020</v>
      </c>
      <c r="AV288" s="2" t="e">
        <f>VLOOKUP(C288,AY:AZ,2,FALSE)</f>
        <v>#N/A</v>
      </c>
      <c r="CB288" s="236"/>
      <c r="CF288" s="2" t="e">
        <f t="shared" si="38"/>
        <v>#N/A</v>
      </c>
    </row>
    <row r="289" spans="1:262" ht="61.5" x14ac:dyDescent="0.85">
      <c r="A289" s="2">
        <v>1</v>
      </c>
      <c r="B289" s="18">
        <f>SUBTOTAL(103,$A$22:A289)</f>
        <v>260</v>
      </c>
      <c r="C289" s="3" t="s">
        <v>1260</v>
      </c>
      <c r="D289" s="5">
        <v>1171703.5599999998</v>
      </c>
      <c r="E289" s="5">
        <f t="shared" si="40"/>
        <v>9371.2899999998044</v>
      </c>
      <c r="F289" s="5">
        <f>G289+H289+I289+J289+K289+L289+N289+P289+R289+T289+V289+W289+X289+Y289+Z289+AA289+AB289+AC289+AD289+AE289+AF289+AG289</f>
        <v>1162332.27</v>
      </c>
      <c r="G289" s="249">
        <v>0</v>
      </c>
      <c r="H289" s="445">
        <v>83564.44</v>
      </c>
      <c r="I289" s="7">
        <v>895725.75</v>
      </c>
      <c r="J289" s="445">
        <v>61962.38</v>
      </c>
      <c r="K289" s="249">
        <v>0</v>
      </c>
      <c r="L289" s="249">
        <v>0</v>
      </c>
      <c r="M289" s="241">
        <v>0</v>
      </c>
      <c r="N289" s="5">
        <v>0</v>
      </c>
      <c r="O289" s="5">
        <v>0</v>
      </c>
      <c r="P289" s="5">
        <v>0</v>
      </c>
      <c r="Q289" s="249">
        <v>0</v>
      </c>
      <c r="R289" s="249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7">
        <v>6247.5</v>
      </c>
      <c r="AF289" s="7">
        <v>114832.2</v>
      </c>
      <c r="AG289" s="5">
        <v>0</v>
      </c>
      <c r="AH289" s="246">
        <v>2020</v>
      </c>
      <c r="AI289" s="246">
        <v>2020</v>
      </c>
      <c r="AJ289" s="6">
        <v>2020</v>
      </c>
      <c r="AV289" s="2" t="e">
        <f>VLOOKUP(C289,AY:AZ,2,FALSE)</f>
        <v>#N/A</v>
      </c>
      <c r="CB289" s="236"/>
      <c r="CF289" s="2" t="e">
        <f t="shared" si="38"/>
        <v>#N/A</v>
      </c>
    </row>
    <row r="290" spans="1:262" ht="61.5" x14ac:dyDescent="0.85">
      <c r="A290" s="2">
        <v>1</v>
      </c>
      <c r="B290" s="18">
        <f>SUBTOTAL(103,$A$22:A290)</f>
        <v>261</v>
      </c>
      <c r="C290" s="3" t="s">
        <v>1021</v>
      </c>
      <c r="D290" s="5">
        <v>3192348.5</v>
      </c>
      <c r="E290" s="5">
        <f t="shared" si="40"/>
        <v>28306.540000000037</v>
      </c>
      <c r="F290" s="5">
        <f>G290+H290+I290+J290+K290+L290+N290+P290+R290+T290+V290+W290+X290+Y290+Z290+AA290+AB290+AC290+AD290+AE290+AF290+AG290</f>
        <v>3164041.96</v>
      </c>
      <c r="G290" s="247">
        <v>0</v>
      </c>
      <c r="H290" s="247">
        <v>0</v>
      </c>
      <c r="I290" s="247">
        <v>0</v>
      </c>
      <c r="J290" s="247">
        <v>0</v>
      </c>
      <c r="K290" s="247">
        <v>0</v>
      </c>
      <c r="L290" s="247">
        <v>0</v>
      </c>
      <c r="M290" s="241">
        <v>0</v>
      </c>
      <c r="N290" s="5">
        <v>0</v>
      </c>
      <c r="O290" s="7">
        <v>789.35</v>
      </c>
      <c r="P290" s="7">
        <v>3145170.94</v>
      </c>
      <c r="Q290" s="247">
        <v>0</v>
      </c>
      <c r="R290" s="247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7">
        <v>18871.02</v>
      </c>
      <c r="AF290" s="5">
        <v>0</v>
      </c>
      <c r="AG290" s="5">
        <v>0</v>
      </c>
      <c r="AH290" s="246" t="s">
        <v>49</v>
      </c>
      <c r="AI290" s="246">
        <v>2020</v>
      </c>
      <c r="AJ290" s="6">
        <v>2020</v>
      </c>
      <c r="CB290" s="236"/>
      <c r="CF290" s="2">
        <f t="shared" si="38"/>
        <v>855</v>
      </c>
    </row>
    <row r="291" spans="1:262" ht="61.5" x14ac:dyDescent="0.85">
      <c r="A291" s="2">
        <v>1</v>
      </c>
      <c r="B291" s="18">
        <f>SUBTOTAL(103,$A$22:A291)</f>
        <v>262</v>
      </c>
      <c r="C291" s="3" t="s">
        <v>1023</v>
      </c>
      <c r="D291" s="5">
        <v>3060214.69</v>
      </c>
      <c r="E291" s="5">
        <f t="shared" si="40"/>
        <v>226.12999999988824</v>
      </c>
      <c r="F291" s="5">
        <f>G291+H291+I291+J291+K291+L291+N291+P291+R291+T291+V291+W291+X291+Y291+Z291+AA291+AB291+AC291+AD291+AE291+AF291+AG291</f>
        <v>3059988.56</v>
      </c>
      <c r="G291" s="247">
        <v>0</v>
      </c>
      <c r="H291" s="247">
        <v>0</v>
      </c>
      <c r="I291" s="247">
        <v>0</v>
      </c>
      <c r="J291" s="247">
        <v>0</v>
      </c>
      <c r="K291" s="247">
        <v>0</v>
      </c>
      <c r="L291" s="247">
        <v>0</v>
      </c>
      <c r="M291" s="241">
        <v>0</v>
      </c>
      <c r="N291" s="5">
        <v>0</v>
      </c>
      <c r="O291" s="7">
        <v>1117.74</v>
      </c>
      <c r="P291" s="48">
        <v>3014989.84</v>
      </c>
      <c r="Q291" s="247">
        <v>0</v>
      </c>
      <c r="R291" s="247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48">
        <v>44998.720000000001</v>
      </c>
      <c r="AF291" s="5">
        <v>0</v>
      </c>
      <c r="AG291" s="5">
        <v>0</v>
      </c>
      <c r="AH291" s="246" t="s">
        <v>49</v>
      </c>
      <c r="AI291" s="246">
        <v>2020</v>
      </c>
      <c r="AJ291" s="6">
        <v>2020</v>
      </c>
      <c r="CB291" s="236"/>
      <c r="CF291" s="2">
        <f t="shared" si="38"/>
        <v>1155.9000000000001</v>
      </c>
    </row>
    <row r="292" spans="1:262" ht="61.5" x14ac:dyDescent="0.85">
      <c r="B292" s="3" t="s">
        <v>1261</v>
      </c>
      <c r="C292" s="3"/>
      <c r="D292" s="244">
        <v>345301.56</v>
      </c>
      <c r="E292" s="233">
        <f t="shared" si="40"/>
        <v>25.519999999960419</v>
      </c>
      <c r="F292" s="244">
        <f>F293</f>
        <v>345276.04000000004</v>
      </c>
      <c r="G292" s="5">
        <f t="shared" ref="G292:AG292" si="45">G293</f>
        <v>0</v>
      </c>
      <c r="H292" s="5">
        <f t="shared" si="45"/>
        <v>0</v>
      </c>
      <c r="I292" s="5">
        <f t="shared" si="45"/>
        <v>0</v>
      </c>
      <c r="J292" s="5">
        <f t="shared" si="45"/>
        <v>0</v>
      </c>
      <c r="K292" s="5">
        <f t="shared" si="45"/>
        <v>0</v>
      </c>
      <c r="L292" s="5">
        <f t="shared" si="45"/>
        <v>0</v>
      </c>
      <c r="M292" s="241">
        <f t="shared" si="45"/>
        <v>0</v>
      </c>
      <c r="N292" s="5">
        <f t="shared" si="45"/>
        <v>0</v>
      </c>
      <c r="O292" s="5">
        <f t="shared" si="45"/>
        <v>0</v>
      </c>
      <c r="P292" s="5">
        <f t="shared" si="45"/>
        <v>0</v>
      </c>
      <c r="Q292" s="5">
        <f t="shared" si="45"/>
        <v>0</v>
      </c>
      <c r="R292" s="5">
        <f t="shared" si="45"/>
        <v>0</v>
      </c>
      <c r="S292" s="5">
        <f t="shared" si="45"/>
        <v>0</v>
      </c>
      <c r="T292" s="5">
        <f t="shared" si="45"/>
        <v>0</v>
      </c>
      <c r="U292" s="5">
        <f t="shared" si="45"/>
        <v>0</v>
      </c>
      <c r="V292" s="5">
        <f t="shared" si="45"/>
        <v>0</v>
      </c>
      <c r="W292" s="5">
        <f t="shared" si="45"/>
        <v>0</v>
      </c>
      <c r="X292" s="5">
        <f t="shared" si="45"/>
        <v>340198.58</v>
      </c>
      <c r="Y292" s="5">
        <f t="shared" si="45"/>
        <v>0</v>
      </c>
      <c r="Z292" s="5">
        <f t="shared" si="45"/>
        <v>0</v>
      </c>
      <c r="AA292" s="5">
        <f t="shared" si="45"/>
        <v>0</v>
      </c>
      <c r="AB292" s="5">
        <f t="shared" si="45"/>
        <v>0</v>
      </c>
      <c r="AC292" s="5">
        <f t="shared" si="45"/>
        <v>0</v>
      </c>
      <c r="AD292" s="5">
        <f t="shared" si="45"/>
        <v>0</v>
      </c>
      <c r="AE292" s="5">
        <f t="shared" si="45"/>
        <v>5077.46</v>
      </c>
      <c r="AF292" s="5">
        <f t="shared" si="45"/>
        <v>0</v>
      </c>
      <c r="AG292" s="5">
        <f t="shared" si="45"/>
        <v>0</v>
      </c>
      <c r="AH292" s="23" t="s">
        <v>90</v>
      </c>
      <c r="AI292" s="23" t="s">
        <v>90</v>
      </c>
      <c r="AJ292" s="27" t="s">
        <v>90</v>
      </c>
      <c r="CB292" s="236">
        <v>509455.14</v>
      </c>
      <c r="CF292" s="2" t="e">
        <f t="shared" si="38"/>
        <v>#N/A</v>
      </c>
    </row>
    <row r="293" spans="1:262" ht="61.5" x14ac:dyDescent="0.85">
      <c r="A293" s="2">
        <v>1</v>
      </c>
      <c r="B293" s="18">
        <f>SUBTOTAL(103,$A$22:A293)</f>
        <v>263</v>
      </c>
      <c r="C293" s="3" t="s">
        <v>1262</v>
      </c>
      <c r="D293" s="5">
        <v>345301.56</v>
      </c>
      <c r="E293" s="5">
        <f t="shared" si="40"/>
        <v>25.519999999960419</v>
      </c>
      <c r="F293" s="5">
        <f>G293+H293+I293+J293+K293+L293+N293+P293+R293+T293+V293+W293+X293+Y293+Z293+AA293+AB293+AC293+AD293+AE293+AF293+AG293</f>
        <v>345276.04000000004</v>
      </c>
      <c r="G293" s="247">
        <v>0</v>
      </c>
      <c r="H293" s="247">
        <v>0</v>
      </c>
      <c r="I293" s="247">
        <v>0</v>
      </c>
      <c r="J293" s="247">
        <v>0</v>
      </c>
      <c r="K293" s="247">
        <v>0</v>
      </c>
      <c r="L293" s="247">
        <v>0</v>
      </c>
      <c r="M293" s="241">
        <v>0</v>
      </c>
      <c r="N293" s="5">
        <v>0</v>
      </c>
      <c r="O293" s="5">
        <v>0</v>
      </c>
      <c r="P293" s="5">
        <v>0</v>
      </c>
      <c r="Q293" s="247">
        <v>0</v>
      </c>
      <c r="R293" s="247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48">
        <v>340198.58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f>ROUND(X293*1.4925%,2)</f>
        <v>5077.46</v>
      </c>
      <c r="AF293" s="5">
        <v>0</v>
      </c>
      <c r="AG293" s="5">
        <v>0</v>
      </c>
      <c r="AH293" s="246" t="s">
        <v>49</v>
      </c>
      <c r="AI293" s="246">
        <v>2020</v>
      </c>
      <c r="AJ293" s="6">
        <v>2020</v>
      </c>
      <c r="CB293" s="236"/>
      <c r="CF293" s="2" t="e">
        <f t="shared" si="38"/>
        <v>#N/A</v>
      </c>
    </row>
    <row r="294" spans="1:262" ht="61.5" x14ac:dyDescent="0.85">
      <c r="B294" s="3" t="s">
        <v>98</v>
      </c>
      <c r="C294" s="442"/>
      <c r="D294" s="244">
        <v>6197385.3000000007</v>
      </c>
      <c r="E294" s="233">
        <f t="shared" si="40"/>
        <v>-664910.18999999948</v>
      </c>
      <c r="F294" s="244">
        <f t="shared" ref="F294:AG294" si="46">SUM(F295:F296)</f>
        <v>6862295.4900000002</v>
      </c>
      <c r="G294" s="5">
        <f t="shared" si="46"/>
        <v>0</v>
      </c>
      <c r="H294" s="5">
        <f t="shared" si="46"/>
        <v>0</v>
      </c>
      <c r="I294" s="5">
        <f t="shared" si="46"/>
        <v>0</v>
      </c>
      <c r="J294" s="5">
        <f t="shared" si="46"/>
        <v>0</v>
      </c>
      <c r="K294" s="5">
        <f t="shared" si="46"/>
        <v>0</v>
      </c>
      <c r="L294" s="5">
        <f t="shared" si="46"/>
        <v>0</v>
      </c>
      <c r="M294" s="241">
        <f t="shared" si="46"/>
        <v>0</v>
      </c>
      <c r="N294" s="5">
        <f t="shared" si="46"/>
        <v>0</v>
      </c>
      <c r="O294" s="5">
        <f t="shared" si="46"/>
        <v>1265.96</v>
      </c>
      <c r="P294" s="5">
        <f t="shared" si="46"/>
        <v>6671932.8199999994</v>
      </c>
      <c r="Q294" s="5">
        <f t="shared" si="46"/>
        <v>0</v>
      </c>
      <c r="R294" s="5">
        <f t="shared" si="46"/>
        <v>0</v>
      </c>
      <c r="S294" s="5">
        <f t="shared" si="46"/>
        <v>0</v>
      </c>
      <c r="T294" s="5">
        <f t="shared" si="46"/>
        <v>0</v>
      </c>
      <c r="U294" s="5">
        <f t="shared" si="46"/>
        <v>0</v>
      </c>
      <c r="V294" s="5">
        <f t="shared" si="46"/>
        <v>0</v>
      </c>
      <c r="W294" s="5">
        <f t="shared" si="46"/>
        <v>0</v>
      </c>
      <c r="X294" s="5">
        <f t="shared" si="46"/>
        <v>0</v>
      </c>
      <c r="Y294" s="5">
        <f t="shared" si="46"/>
        <v>0</v>
      </c>
      <c r="Z294" s="5">
        <f t="shared" si="46"/>
        <v>0</v>
      </c>
      <c r="AA294" s="5">
        <f t="shared" si="46"/>
        <v>0</v>
      </c>
      <c r="AB294" s="5">
        <f t="shared" si="46"/>
        <v>0</v>
      </c>
      <c r="AC294" s="5">
        <f t="shared" si="46"/>
        <v>0</v>
      </c>
      <c r="AD294" s="5">
        <f t="shared" si="46"/>
        <v>0</v>
      </c>
      <c r="AE294" s="5">
        <f t="shared" si="46"/>
        <v>67553.320000000007</v>
      </c>
      <c r="AF294" s="5">
        <f t="shared" si="46"/>
        <v>122809.35</v>
      </c>
      <c r="AG294" s="5">
        <f t="shared" si="46"/>
        <v>0</v>
      </c>
      <c r="AH294" s="23" t="s">
        <v>90</v>
      </c>
      <c r="AI294" s="23" t="s">
        <v>90</v>
      </c>
      <c r="AJ294" s="27" t="s">
        <v>90</v>
      </c>
      <c r="AV294" s="2" t="e">
        <f>VLOOKUP(C294,AY:AZ,2,FALSE)</f>
        <v>#N/A</v>
      </c>
      <c r="CB294" s="236">
        <v>6114371.4100000001</v>
      </c>
      <c r="CD294" s="236">
        <f>CB294-F294</f>
        <v>-747924.08000000007</v>
      </c>
      <c r="CF294" s="2" t="e">
        <f t="shared" si="38"/>
        <v>#N/A</v>
      </c>
    </row>
    <row r="295" spans="1:262" ht="61.5" x14ac:dyDescent="0.85">
      <c r="A295" s="2">
        <v>1</v>
      </c>
      <c r="B295" s="18">
        <f>SUBTOTAL(103,$A$22:A295)</f>
        <v>264</v>
      </c>
      <c r="C295" s="3" t="s">
        <v>1025</v>
      </c>
      <c r="D295" s="5">
        <v>5013881.0500000007</v>
      </c>
      <c r="E295" s="5">
        <f t="shared" si="40"/>
        <v>-659910.18999999948</v>
      </c>
      <c r="F295" s="5">
        <f>G295+H295+I295+J295+K295+L295+N295+P295+R295+T295+V295+W295+X295+Y295+Z295+AA295+AB295+AC295+AD295+AE295+AF295+AG295</f>
        <v>5673791.2400000002</v>
      </c>
      <c r="G295" s="249">
        <v>0</v>
      </c>
      <c r="H295" s="249">
        <v>0</v>
      </c>
      <c r="I295" s="5">
        <v>0</v>
      </c>
      <c r="J295" s="249">
        <v>0</v>
      </c>
      <c r="K295" s="249">
        <v>0</v>
      </c>
      <c r="L295" s="249">
        <v>0</v>
      </c>
      <c r="M295" s="241">
        <v>0</v>
      </c>
      <c r="N295" s="5">
        <v>0</v>
      </c>
      <c r="O295" s="7">
        <v>1022</v>
      </c>
      <c r="P295" s="7">
        <v>5527472.1399999997</v>
      </c>
      <c r="Q295" s="249">
        <v>0</v>
      </c>
      <c r="R295" s="249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f>ROUND(P295*1.0125%,2)</f>
        <v>55965.66</v>
      </c>
      <c r="AF295" s="7">
        <v>90353.44</v>
      </c>
      <c r="AG295" s="5">
        <v>0</v>
      </c>
      <c r="AH295" s="246">
        <v>2020</v>
      </c>
      <c r="AI295" s="246">
        <v>2020</v>
      </c>
      <c r="AJ295" s="6">
        <v>2020</v>
      </c>
      <c r="AV295" s="2" t="e">
        <f>VLOOKUP(C295,AY:AZ,2,FALSE)</f>
        <v>#N/A</v>
      </c>
      <c r="CB295" s="236"/>
      <c r="CF295" s="2">
        <f t="shared" si="38"/>
        <v>1022</v>
      </c>
    </row>
    <row r="296" spans="1:262" s="239" customFormat="1" ht="61.5" x14ac:dyDescent="0.85">
      <c r="A296" s="239">
        <v>1</v>
      </c>
      <c r="B296" s="18">
        <f>SUBTOTAL(103,$A$22:A296)</f>
        <v>265</v>
      </c>
      <c r="C296" s="3" t="s">
        <v>1263</v>
      </c>
      <c r="D296" s="5">
        <v>1183504.2499999998</v>
      </c>
      <c r="E296" s="5">
        <f t="shared" si="40"/>
        <v>-5000</v>
      </c>
      <c r="F296" s="5">
        <f>G296+H296+I296+J296+K296+L296+N296+P296+R296+T296+V296+W296+X296+Y296+Z296+AA296+AB296+AC296+AD296+AE296+AF296+AG296</f>
        <v>1188504.2499999998</v>
      </c>
      <c r="G296" s="249">
        <v>0</v>
      </c>
      <c r="H296" s="249">
        <v>0</v>
      </c>
      <c r="I296" s="5">
        <v>0</v>
      </c>
      <c r="J296" s="249">
        <v>0</v>
      </c>
      <c r="K296" s="249">
        <v>0</v>
      </c>
      <c r="L296" s="249">
        <v>0</v>
      </c>
      <c r="M296" s="25">
        <v>0</v>
      </c>
      <c r="N296" s="5">
        <v>0</v>
      </c>
      <c r="O296" s="5">
        <v>243.96</v>
      </c>
      <c r="P296" s="5">
        <v>1144460.68</v>
      </c>
      <c r="Q296" s="249">
        <v>0</v>
      </c>
      <c r="R296" s="249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f>ROUND(P296*1.0125%,2)</f>
        <v>11587.66</v>
      </c>
      <c r="AF296" s="7">
        <v>32455.91</v>
      </c>
      <c r="AG296" s="5">
        <v>0</v>
      </c>
      <c r="AH296" s="246">
        <v>2020</v>
      </c>
      <c r="AI296" s="246">
        <v>2020</v>
      </c>
      <c r="AJ296" s="246">
        <v>2020</v>
      </c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 t="e">
        <f>VLOOKUP(C296,AY:AZ,2,FALSE)</f>
        <v>#N/A</v>
      </c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36"/>
      <c r="CC296" s="2"/>
      <c r="CD296" s="2"/>
      <c r="CE296" s="2"/>
      <c r="CF296" s="2">
        <f t="shared" si="38"/>
        <v>243.96</v>
      </c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</row>
    <row r="297" spans="1:262" ht="61.5" x14ac:dyDescent="0.85">
      <c r="B297" s="3" t="s">
        <v>1264</v>
      </c>
      <c r="C297" s="3"/>
      <c r="D297" s="244">
        <v>12655548.699999999</v>
      </c>
      <c r="E297" s="233">
        <f t="shared" si="40"/>
        <v>24361.89999999851</v>
      </c>
      <c r="F297" s="244">
        <f>SUM(F298:F302)</f>
        <v>12631186.800000001</v>
      </c>
      <c r="G297" s="5">
        <f t="shared" ref="G297:AG297" si="47">SUM(G298:G302)</f>
        <v>254554.67</v>
      </c>
      <c r="H297" s="5">
        <f t="shared" si="47"/>
        <v>0</v>
      </c>
      <c r="I297" s="5">
        <f t="shared" si="47"/>
        <v>766330.31</v>
      </c>
      <c r="J297" s="5">
        <f t="shared" si="47"/>
        <v>350573.85</v>
      </c>
      <c r="K297" s="5">
        <f t="shared" si="47"/>
        <v>0</v>
      </c>
      <c r="L297" s="5">
        <f t="shared" si="47"/>
        <v>0</v>
      </c>
      <c r="M297" s="241">
        <f t="shared" si="47"/>
        <v>0</v>
      </c>
      <c r="N297" s="5">
        <f t="shared" si="47"/>
        <v>0</v>
      </c>
      <c r="O297" s="5">
        <f t="shared" si="47"/>
        <v>0</v>
      </c>
      <c r="P297" s="5">
        <f t="shared" si="47"/>
        <v>0</v>
      </c>
      <c r="Q297" s="5">
        <f t="shared" si="47"/>
        <v>339.3</v>
      </c>
      <c r="R297" s="5">
        <f t="shared" si="47"/>
        <v>2618206.87</v>
      </c>
      <c r="S297" s="5">
        <f t="shared" si="47"/>
        <v>1907.2</v>
      </c>
      <c r="T297" s="5">
        <f t="shared" si="47"/>
        <v>8385952.9000000004</v>
      </c>
      <c r="U297" s="5">
        <f t="shared" si="47"/>
        <v>0</v>
      </c>
      <c r="V297" s="5">
        <f t="shared" si="47"/>
        <v>0</v>
      </c>
      <c r="W297" s="5">
        <f t="shared" si="47"/>
        <v>0</v>
      </c>
      <c r="X297" s="5">
        <f t="shared" si="47"/>
        <v>0</v>
      </c>
      <c r="Y297" s="5">
        <f t="shared" si="47"/>
        <v>0</v>
      </c>
      <c r="Z297" s="5">
        <f t="shared" si="47"/>
        <v>0</v>
      </c>
      <c r="AA297" s="5">
        <f t="shared" si="47"/>
        <v>0</v>
      </c>
      <c r="AB297" s="5">
        <f t="shared" si="47"/>
        <v>0</v>
      </c>
      <c r="AC297" s="5">
        <f t="shared" si="47"/>
        <v>0</v>
      </c>
      <c r="AD297" s="5">
        <f t="shared" si="47"/>
        <v>0</v>
      </c>
      <c r="AE297" s="5">
        <f t="shared" si="47"/>
        <v>160598.35999999999</v>
      </c>
      <c r="AF297" s="5">
        <f t="shared" si="47"/>
        <v>94969.84</v>
      </c>
      <c r="AG297" s="5">
        <f t="shared" si="47"/>
        <v>0</v>
      </c>
      <c r="AH297" s="23" t="s">
        <v>90</v>
      </c>
      <c r="AI297" s="23" t="s">
        <v>90</v>
      </c>
      <c r="AJ297" s="27" t="s">
        <v>90</v>
      </c>
      <c r="AV297" s="2" t="e">
        <f>VLOOKUP(C297,AY:AZ,2,FALSE)</f>
        <v>#N/A</v>
      </c>
      <c r="CB297" s="236">
        <v>13474518.75</v>
      </c>
      <c r="CF297" s="2" t="e">
        <f t="shared" si="38"/>
        <v>#N/A</v>
      </c>
    </row>
    <row r="298" spans="1:262" ht="61.5" x14ac:dyDescent="0.85">
      <c r="A298" s="2">
        <v>1</v>
      </c>
      <c r="B298" s="18">
        <f>SUBTOTAL(103,$A$22:A298)</f>
        <v>266</v>
      </c>
      <c r="C298" s="3" t="s">
        <v>1265</v>
      </c>
      <c r="D298" s="5">
        <v>3534439.81</v>
      </c>
      <c r="E298" s="5">
        <f t="shared" si="40"/>
        <v>0</v>
      </c>
      <c r="F298" s="5">
        <f>G298+H298+I298+J298+K298+L298+N298+P298+R298+T298+V298+W298+X298+Y298+Z298+AA298+AB298+AC298+AD298+AE298+AF298+AG298</f>
        <v>3534439.81</v>
      </c>
      <c r="G298" s="249">
        <v>0</v>
      </c>
      <c r="H298" s="249">
        <v>0</v>
      </c>
      <c r="I298" s="5">
        <v>0</v>
      </c>
      <c r="J298" s="249">
        <v>0</v>
      </c>
      <c r="K298" s="249">
        <v>0</v>
      </c>
      <c r="L298" s="249">
        <v>0</v>
      </c>
      <c r="M298" s="241">
        <v>0</v>
      </c>
      <c r="N298" s="5">
        <v>0</v>
      </c>
      <c r="O298" s="5">
        <v>0</v>
      </c>
      <c r="P298" s="5">
        <v>0</v>
      </c>
      <c r="Q298" s="249">
        <v>0</v>
      </c>
      <c r="R298" s="249">
        <v>0</v>
      </c>
      <c r="S298" s="5">
        <v>607.29999999999995</v>
      </c>
      <c r="T298" s="5">
        <f>2104768.83+1283871.53</f>
        <v>3388640.3600000003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f>ROUND(T298*1.5%,2)</f>
        <v>50829.61</v>
      </c>
      <c r="AF298" s="7">
        <v>94969.84</v>
      </c>
      <c r="AG298" s="5">
        <v>0</v>
      </c>
      <c r="AH298" s="246">
        <v>2020</v>
      </c>
      <c r="AI298" s="246">
        <v>2020</v>
      </c>
      <c r="AJ298" s="6">
        <v>2020</v>
      </c>
      <c r="AV298" s="2" t="e">
        <f>VLOOKUP(C298,AY:AZ,2,FALSE)</f>
        <v>#N/A</v>
      </c>
      <c r="CB298" s="236"/>
      <c r="CF298" s="2" t="e">
        <f t="shared" si="38"/>
        <v>#N/A</v>
      </c>
    </row>
    <row r="299" spans="1:262" ht="61.5" x14ac:dyDescent="0.85">
      <c r="A299" s="2">
        <v>1</v>
      </c>
      <c r="B299" s="18">
        <f>SUBTOTAL(103,$A$22:A299)</f>
        <v>267</v>
      </c>
      <c r="C299" s="3" t="s">
        <v>1266</v>
      </c>
      <c r="D299" s="5">
        <v>2525425.0499999998</v>
      </c>
      <c r="E299" s="5">
        <f t="shared" si="40"/>
        <v>12130.399999999907</v>
      </c>
      <c r="F299" s="5">
        <f>G299+H299+I299+J299+K299+L299+N299+P299+R299+T299+V299+W299+X299+Y299+Z299+AA299+AB299+AC299+AD299+AE299+AF299+AG299</f>
        <v>2513294.65</v>
      </c>
      <c r="G299" s="249">
        <v>0</v>
      </c>
      <c r="H299" s="249">
        <v>0</v>
      </c>
      <c r="I299" s="5">
        <v>0</v>
      </c>
      <c r="J299" s="249">
        <v>0</v>
      </c>
      <c r="K299" s="249">
        <v>0</v>
      </c>
      <c r="L299" s="249">
        <v>0</v>
      </c>
      <c r="M299" s="241">
        <v>0</v>
      </c>
      <c r="N299" s="5">
        <v>0</v>
      </c>
      <c r="O299" s="5">
        <v>0</v>
      </c>
      <c r="P299" s="5">
        <v>0</v>
      </c>
      <c r="Q299" s="249">
        <v>0</v>
      </c>
      <c r="R299" s="249">
        <v>0</v>
      </c>
      <c r="S299" s="7">
        <v>647.20000000000005</v>
      </c>
      <c r="T299" s="7">
        <v>2488287.36</v>
      </c>
      <c r="U299" s="5">
        <v>0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7">
        <v>25007.29</v>
      </c>
      <c r="AF299" s="5">
        <v>0</v>
      </c>
      <c r="AG299" s="5">
        <v>0</v>
      </c>
      <c r="AH299" s="246" t="s">
        <v>49</v>
      </c>
      <c r="AI299" s="246">
        <v>2020</v>
      </c>
      <c r="AJ299" s="6">
        <v>2020</v>
      </c>
      <c r="CB299" s="236"/>
      <c r="CF299" s="2" t="e">
        <f t="shared" si="38"/>
        <v>#N/A</v>
      </c>
    </row>
    <row r="300" spans="1:262" ht="61.5" x14ac:dyDescent="0.85">
      <c r="A300" s="2">
        <v>1</v>
      </c>
      <c r="B300" s="18">
        <f>SUBTOTAL(103,$A$22:A300)</f>
        <v>268</v>
      </c>
      <c r="C300" s="3" t="s">
        <v>1267</v>
      </c>
      <c r="D300" s="5">
        <v>2546472.3800000004</v>
      </c>
      <c r="E300" s="5">
        <f t="shared" si="40"/>
        <v>12231.5</v>
      </c>
      <c r="F300" s="5">
        <f>G300+H300+I300+J300+K300+L300+N300+P300+R300+T300+V300+W300+X300+Y300+Z300+AA300+AB300+AC300+AD300+AE300+AF300+AG300</f>
        <v>2534240.8800000004</v>
      </c>
      <c r="G300" s="249">
        <v>0</v>
      </c>
      <c r="H300" s="249">
        <v>0</v>
      </c>
      <c r="I300" s="5">
        <v>0</v>
      </c>
      <c r="J300" s="249">
        <v>0</v>
      </c>
      <c r="K300" s="249">
        <v>0</v>
      </c>
      <c r="L300" s="249">
        <v>0</v>
      </c>
      <c r="M300" s="241">
        <v>0</v>
      </c>
      <c r="N300" s="5">
        <v>0</v>
      </c>
      <c r="O300" s="5">
        <v>0</v>
      </c>
      <c r="P300" s="5">
        <v>0</v>
      </c>
      <c r="Q300" s="249">
        <v>0</v>
      </c>
      <c r="R300" s="249">
        <v>0</v>
      </c>
      <c r="S300" s="7">
        <v>652.70000000000005</v>
      </c>
      <c r="T300" s="7">
        <v>2509025.1800000002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7">
        <v>25215.7</v>
      </c>
      <c r="AF300" s="5">
        <v>0</v>
      </c>
      <c r="AG300" s="5">
        <v>0</v>
      </c>
      <c r="AH300" s="246" t="s">
        <v>49</v>
      </c>
      <c r="AI300" s="246">
        <v>2020</v>
      </c>
      <c r="AJ300" s="6">
        <v>2020</v>
      </c>
      <c r="CB300" s="236"/>
      <c r="CF300" s="2" t="e">
        <f t="shared" si="38"/>
        <v>#N/A</v>
      </c>
    </row>
    <row r="301" spans="1:262" ht="61.5" x14ac:dyDescent="0.85">
      <c r="A301" s="2">
        <v>1</v>
      </c>
      <c r="B301" s="18">
        <f>SUBTOTAL(103,$A$22:A301)</f>
        <v>269</v>
      </c>
      <c r="C301" s="3" t="s">
        <v>1268</v>
      </c>
      <c r="D301" s="5">
        <v>1391927.85</v>
      </c>
      <c r="E301" s="5">
        <f t="shared" si="40"/>
        <v>0</v>
      </c>
      <c r="F301" s="5">
        <f>G301+H301+I301+J301+K301+L301+N301+P301+R301+T301+V301+W301+X301+Y301+Z301+AA301+AB301+AC301+AD301+AE301+AF301+AG301</f>
        <v>1391927.85</v>
      </c>
      <c r="G301" s="249">
        <v>254554.67</v>
      </c>
      <c r="H301" s="249">
        <v>0</v>
      </c>
      <c r="I301" s="5">
        <v>766330.31</v>
      </c>
      <c r="J301" s="249">
        <v>350573.85</v>
      </c>
      <c r="K301" s="249">
        <v>0</v>
      </c>
      <c r="L301" s="249">
        <v>0</v>
      </c>
      <c r="M301" s="241">
        <v>0</v>
      </c>
      <c r="N301" s="5">
        <v>0</v>
      </c>
      <c r="O301" s="5">
        <v>0</v>
      </c>
      <c r="P301" s="5">
        <v>0</v>
      </c>
      <c r="Q301" s="249">
        <v>0</v>
      </c>
      <c r="R301" s="249">
        <v>0</v>
      </c>
      <c r="S301" s="5">
        <v>0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f>ROUND((G301+H301+I301+J301+K301+L301)*1.4925%,2)</f>
        <v>20469.02</v>
      </c>
      <c r="AF301" s="5">
        <v>0</v>
      </c>
      <c r="AG301" s="5">
        <v>0</v>
      </c>
      <c r="AH301" s="246" t="s">
        <v>49</v>
      </c>
      <c r="AI301" s="246">
        <v>2020</v>
      </c>
      <c r="AJ301" s="6">
        <v>2020</v>
      </c>
      <c r="CB301" s="236"/>
      <c r="CF301" s="2" t="e">
        <f t="shared" si="38"/>
        <v>#N/A</v>
      </c>
    </row>
    <row r="302" spans="1:262" ht="61.5" x14ac:dyDescent="0.85">
      <c r="A302" s="2">
        <v>1</v>
      </c>
      <c r="B302" s="18">
        <f>SUBTOTAL(103,$A$22:A302)</f>
        <v>270</v>
      </c>
      <c r="C302" s="3" t="s">
        <v>1269</v>
      </c>
      <c r="D302" s="5">
        <v>2657283.6100000003</v>
      </c>
      <c r="E302" s="5">
        <f t="shared" si="40"/>
        <v>0</v>
      </c>
      <c r="F302" s="5">
        <f>G302+H302+I302+J302+K302+L302+N302+P302+R302+T302+V302+W302+X302+Y302+Z302+AA302+AB302+AC302+AD302+AE302+AF302+AG302</f>
        <v>2657283.6100000003</v>
      </c>
      <c r="G302" s="249">
        <v>0</v>
      </c>
      <c r="H302" s="249">
        <v>0</v>
      </c>
      <c r="I302" s="5">
        <v>0</v>
      </c>
      <c r="J302" s="249">
        <v>0</v>
      </c>
      <c r="K302" s="249">
        <v>0</v>
      </c>
      <c r="L302" s="249">
        <v>0</v>
      </c>
      <c r="M302" s="241">
        <v>0</v>
      </c>
      <c r="N302" s="5">
        <v>0</v>
      </c>
      <c r="O302" s="5">
        <v>0</v>
      </c>
      <c r="P302" s="5">
        <v>0</v>
      </c>
      <c r="Q302" s="7">
        <v>339.3</v>
      </c>
      <c r="R302" s="7">
        <v>2618206.87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f>ROUND(R302*1.4925%,2)</f>
        <v>39076.74</v>
      </c>
      <c r="AF302" s="5">
        <v>0</v>
      </c>
      <c r="AG302" s="5">
        <v>0</v>
      </c>
      <c r="AH302" s="246" t="s">
        <v>49</v>
      </c>
      <c r="AI302" s="246">
        <v>2020</v>
      </c>
      <c r="AJ302" s="6">
        <v>2020</v>
      </c>
      <c r="CB302" s="236"/>
      <c r="CF302" s="2" t="e">
        <f t="shared" si="38"/>
        <v>#N/A</v>
      </c>
    </row>
    <row r="303" spans="1:262" ht="61.5" x14ac:dyDescent="0.85">
      <c r="B303" s="3" t="s">
        <v>1270</v>
      </c>
      <c r="C303" s="3"/>
      <c r="D303" s="244">
        <v>4997517.37</v>
      </c>
      <c r="E303" s="233">
        <f t="shared" si="40"/>
        <v>126916.91999999993</v>
      </c>
      <c r="F303" s="244">
        <f>SUM(F304:F308)</f>
        <v>4870600.45</v>
      </c>
      <c r="G303" s="5">
        <f t="shared" ref="G303:AG303" si="48">SUM(G304:G308)</f>
        <v>132703.69</v>
      </c>
      <c r="H303" s="5">
        <f t="shared" si="48"/>
        <v>0</v>
      </c>
      <c r="I303" s="5">
        <f t="shared" si="48"/>
        <v>0</v>
      </c>
      <c r="J303" s="5">
        <f t="shared" si="48"/>
        <v>396684.17000000004</v>
      </c>
      <c r="K303" s="5">
        <f t="shared" si="48"/>
        <v>757950.07</v>
      </c>
      <c r="L303" s="5">
        <f t="shared" si="48"/>
        <v>0</v>
      </c>
      <c r="M303" s="241">
        <f t="shared" si="48"/>
        <v>0</v>
      </c>
      <c r="N303" s="5">
        <f t="shared" si="48"/>
        <v>0</v>
      </c>
      <c r="O303" s="5">
        <f t="shared" si="48"/>
        <v>647</v>
      </c>
      <c r="P303" s="5">
        <f t="shared" si="48"/>
        <v>3348175.42</v>
      </c>
      <c r="Q303" s="5">
        <f t="shared" si="48"/>
        <v>0</v>
      </c>
      <c r="R303" s="5">
        <f t="shared" si="48"/>
        <v>0</v>
      </c>
      <c r="S303" s="5">
        <f t="shared" si="48"/>
        <v>0</v>
      </c>
      <c r="T303" s="5">
        <f t="shared" si="48"/>
        <v>0</v>
      </c>
      <c r="U303" s="5">
        <f t="shared" si="48"/>
        <v>0</v>
      </c>
      <c r="V303" s="5">
        <f t="shared" si="48"/>
        <v>0</v>
      </c>
      <c r="W303" s="5">
        <f t="shared" si="48"/>
        <v>0</v>
      </c>
      <c r="X303" s="5">
        <f t="shared" si="48"/>
        <v>0</v>
      </c>
      <c r="Y303" s="5">
        <f t="shared" si="48"/>
        <v>0</v>
      </c>
      <c r="Z303" s="5">
        <f t="shared" si="48"/>
        <v>0</v>
      </c>
      <c r="AA303" s="5">
        <f t="shared" si="48"/>
        <v>0</v>
      </c>
      <c r="AB303" s="5">
        <f t="shared" si="48"/>
        <v>0</v>
      </c>
      <c r="AC303" s="5">
        <f t="shared" si="48"/>
        <v>0</v>
      </c>
      <c r="AD303" s="5">
        <f t="shared" si="48"/>
        <v>0</v>
      </c>
      <c r="AE303" s="5">
        <f t="shared" si="48"/>
        <v>53210.35</v>
      </c>
      <c r="AF303" s="5">
        <f t="shared" si="48"/>
        <v>181876.75</v>
      </c>
      <c r="AG303" s="5">
        <f t="shared" si="48"/>
        <v>0</v>
      </c>
      <c r="AH303" s="23" t="s">
        <v>90</v>
      </c>
      <c r="AI303" s="23" t="s">
        <v>90</v>
      </c>
      <c r="AJ303" s="27" t="s">
        <v>90</v>
      </c>
      <c r="AV303" s="2" t="e">
        <f>VLOOKUP(C303,AY:AZ,2,FALSE)</f>
        <v>#N/A</v>
      </c>
      <c r="CB303" s="236">
        <v>4109300.7899999996</v>
      </c>
      <c r="CF303" s="2" t="e">
        <f t="shared" si="38"/>
        <v>#N/A</v>
      </c>
    </row>
    <row r="304" spans="1:262" ht="61.5" x14ac:dyDescent="0.85">
      <c r="A304" s="2">
        <v>1</v>
      </c>
      <c r="B304" s="18">
        <f>SUBTOTAL(103,$A$22:A304)</f>
        <v>271</v>
      </c>
      <c r="C304" s="3" t="s">
        <v>1271</v>
      </c>
      <c r="D304" s="5">
        <v>3482931.04</v>
      </c>
      <c r="E304" s="5">
        <f t="shared" si="40"/>
        <v>16322.350000000093</v>
      </c>
      <c r="F304" s="5">
        <f>G304+H304+I304+J304+K304+L304+N304+P304+R304+T304+V304+W304+X304+Y304+Z304+AA304+AB304+AC304+AD304+AE304+AF304+AG304</f>
        <v>3466608.69</v>
      </c>
      <c r="G304" s="249">
        <v>0</v>
      </c>
      <c r="H304" s="249">
        <v>0</v>
      </c>
      <c r="I304" s="5">
        <v>0</v>
      </c>
      <c r="J304" s="249">
        <v>0</v>
      </c>
      <c r="K304" s="249">
        <v>0</v>
      </c>
      <c r="L304" s="249">
        <v>0</v>
      </c>
      <c r="M304" s="241">
        <v>0</v>
      </c>
      <c r="N304" s="5">
        <v>0</v>
      </c>
      <c r="O304" s="7">
        <v>647</v>
      </c>
      <c r="P304" s="7">
        <v>3348175.42</v>
      </c>
      <c r="Q304" s="249">
        <v>0</v>
      </c>
      <c r="R304" s="249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7">
        <v>33900.28</v>
      </c>
      <c r="AF304" s="7">
        <v>84532.99</v>
      </c>
      <c r="AG304" s="5">
        <v>0</v>
      </c>
      <c r="AH304" s="246">
        <v>2020</v>
      </c>
      <c r="AI304" s="246">
        <v>2020</v>
      </c>
      <c r="AJ304" s="6">
        <v>2020</v>
      </c>
      <c r="AV304" s="2" t="e">
        <f>VLOOKUP(C304,AY:AZ,2,FALSE)</f>
        <v>#N/A</v>
      </c>
      <c r="CB304" s="236"/>
      <c r="CF304" s="2" t="e">
        <f t="shared" si="38"/>
        <v>#N/A</v>
      </c>
    </row>
    <row r="305" spans="1:84" ht="61.5" x14ac:dyDescent="0.85">
      <c r="A305" s="2">
        <v>1</v>
      </c>
      <c r="B305" s="18">
        <f>SUBTOTAL(103,$A$22:A305)</f>
        <v>272</v>
      </c>
      <c r="C305" s="3" t="s">
        <v>1272</v>
      </c>
      <c r="D305" s="5">
        <v>144953.01</v>
      </c>
      <c r="E305" s="5">
        <f t="shared" si="40"/>
        <v>110594.57</v>
      </c>
      <c r="F305" s="5">
        <f>G305+H305+I305+J305+K305+L305+N305+P305+R305+T305+V305+W305+X305+Y305+Z305+AA305+AB305+AC305+AD305+AE305+AF305+AG305</f>
        <v>34358.44</v>
      </c>
      <c r="G305" s="249">
        <v>0</v>
      </c>
      <c r="H305" s="249">
        <v>0</v>
      </c>
      <c r="I305" s="5">
        <v>0</v>
      </c>
      <c r="J305" s="249">
        <v>0</v>
      </c>
      <c r="K305" s="5">
        <v>0</v>
      </c>
      <c r="L305" s="249">
        <v>0</v>
      </c>
      <c r="M305" s="241">
        <v>0</v>
      </c>
      <c r="N305" s="5">
        <v>0</v>
      </c>
      <c r="O305" s="5">
        <v>0</v>
      </c>
      <c r="P305" s="5">
        <v>0</v>
      </c>
      <c r="Q305" s="249">
        <v>0</v>
      </c>
      <c r="R305" s="249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f>ROUND((G305+H305+I305+J305+K305+L305)*1.5%,2)</f>
        <v>0</v>
      </c>
      <c r="AF305" s="7">
        <v>34358.44</v>
      </c>
      <c r="AG305" s="5">
        <v>0</v>
      </c>
      <c r="AH305" s="246">
        <v>2020</v>
      </c>
      <c r="AI305" s="246" t="s">
        <v>49</v>
      </c>
      <c r="AJ305" s="246" t="s">
        <v>49</v>
      </c>
      <c r="AV305" s="2" t="e">
        <f>VLOOKUP(C305,AY:AZ,2,FALSE)</f>
        <v>#N/A</v>
      </c>
      <c r="CB305" s="236"/>
      <c r="CF305" s="2" t="e">
        <f t="shared" si="38"/>
        <v>#N/A</v>
      </c>
    </row>
    <row r="306" spans="1:84" ht="61.5" x14ac:dyDescent="0.85">
      <c r="A306" s="2">
        <v>1</v>
      </c>
      <c r="B306" s="18">
        <f>SUBTOTAL(103,$A$22:A306)</f>
        <v>273</v>
      </c>
      <c r="C306" s="3" t="s">
        <v>1273</v>
      </c>
      <c r="D306" s="5">
        <v>700445.75999999989</v>
      </c>
      <c r="E306" s="5">
        <f t="shared" si="40"/>
        <v>0</v>
      </c>
      <c r="F306" s="5">
        <f>G306+H306+I306+J306+K306+L306+N306+P306+R306+T306+V306+W306+X306+Y306+Z306+AA306+AB306+AC306+AD306+AE306+AF306+AG306</f>
        <v>700445.75999999989</v>
      </c>
      <c r="G306" s="249">
        <v>0</v>
      </c>
      <c r="H306" s="249">
        <v>0</v>
      </c>
      <c r="I306" s="5">
        <v>0</v>
      </c>
      <c r="J306" s="249">
        <v>0</v>
      </c>
      <c r="K306" s="5">
        <f>539641.82+88398.02</f>
        <v>628039.84</v>
      </c>
      <c r="L306" s="249">
        <v>0</v>
      </c>
      <c r="M306" s="241">
        <v>0</v>
      </c>
      <c r="N306" s="5">
        <v>0</v>
      </c>
      <c r="O306" s="5">
        <v>0</v>
      </c>
      <c r="P306" s="5">
        <v>0</v>
      </c>
      <c r="Q306" s="249">
        <v>0</v>
      </c>
      <c r="R306" s="249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f>ROUND((G306+H306+I306+J306+K306+L306)*1.5%,2)</f>
        <v>9420.6</v>
      </c>
      <c r="AF306" s="7">
        <v>62985.32</v>
      </c>
      <c r="AG306" s="5">
        <v>0</v>
      </c>
      <c r="AH306" s="246">
        <v>2020</v>
      </c>
      <c r="AI306" s="246">
        <v>2020</v>
      </c>
      <c r="AJ306" s="6">
        <v>2020</v>
      </c>
      <c r="AV306" s="2" t="e">
        <f>VLOOKUP(C306,AY:AZ,2,FALSE)</f>
        <v>#N/A</v>
      </c>
      <c r="CB306" s="236"/>
      <c r="CF306" s="2" t="e">
        <f t="shared" si="38"/>
        <v>#N/A</v>
      </c>
    </row>
    <row r="307" spans="1:84" ht="61.5" x14ac:dyDescent="0.85">
      <c r="A307" s="2">
        <v>1</v>
      </c>
      <c r="B307" s="18">
        <f>SUBTOTAL(103,$A$22:A307)</f>
        <v>274</v>
      </c>
      <c r="C307" s="3" t="s">
        <v>1274</v>
      </c>
      <c r="D307" s="5">
        <v>457734.2</v>
      </c>
      <c r="E307" s="5">
        <f t="shared" si="40"/>
        <v>0</v>
      </c>
      <c r="F307" s="5">
        <f>G307+H307+I307+J307+K307+L307+N307+P307+R307+T307+V307+W307+X307+Y307+Z307+AA307+AB307+AC307+AD307+AE307+AF307+AG307</f>
        <v>457734.2</v>
      </c>
      <c r="G307" s="5">
        <f>131573.94+1129.75</f>
        <v>132703.69</v>
      </c>
      <c r="H307" s="249">
        <v>0</v>
      </c>
      <c r="I307" s="5">
        <v>0</v>
      </c>
      <c r="J307" s="249">
        <v>318265.97000000003</v>
      </c>
      <c r="K307" s="249">
        <v>0</v>
      </c>
      <c r="L307" s="249">
        <v>0</v>
      </c>
      <c r="M307" s="241">
        <v>0</v>
      </c>
      <c r="N307" s="5">
        <v>0</v>
      </c>
      <c r="O307" s="5">
        <v>0</v>
      </c>
      <c r="P307" s="5">
        <v>0</v>
      </c>
      <c r="Q307" s="249">
        <v>0</v>
      </c>
      <c r="R307" s="249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f>ROUND((G307+H307+I307+J307+K307+L307)*1.5%,2)</f>
        <v>6764.54</v>
      </c>
      <c r="AF307" s="5">
        <v>0</v>
      </c>
      <c r="AG307" s="5">
        <v>0</v>
      </c>
      <c r="AH307" s="246" t="s">
        <v>49</v>
      </c>
      <c r="AI307" s="246">
        <v>2020</v>
      </c>
      <c r="AJ307" s="6">
        <v>2020</v>
      </c>
      <c r="CB307" s="236"/>
      <c r="CF307" s="2" t="e">
        <f t="shared" si="38"/>
        <v>#N/A</v>
      </c>
    </row>
    <row r="308" spans="1:84" ht="61.5" x14ac:dyDescent="0.85">
      <c r="A308" s="2">
        <v>1</v>
      </c>
      <c r="B308" s="18">
        <f>SUBTOTAL(103,$A$22:A308)</f>
        <v>275</v>
      </c>
      <c r="C308" s="3" t="s">
        <v>1275</v>
      </c>
      <c r="D308" s="5">
        <v>211453.36</v>
      </c>
      <c r="E308" s="5">
        <f t="shared" si="40"/>
        <v>0</v>
      </c>
      <c r="F308" s="5">
        <f>G308+H308+I308+J308+K308+L308+N308+P308+R308+T308+V308+W308+X308+Y308+Z308+AA308+AB308+AC308+AD308+AE308+AF308+AG308</f>
        <v>211453.36</v>
      </c>
      <c r="G308" s="249">
        <v>0</v>
      </c>
      <c r="H308" s="249">
        <v>0</v>
      </c>
      <c r="I308" s="5">
        <v>0</v>
      </c>
      <c r="J308" s="249">
        <v>78418.2</v>
      </c>
      <c r="K308" s="249">
        <v>129910.23</v>
      </c>
      <c r="L308" s="249">
        <v>0</v>
      </c>
      <c r="M308" s="241">
        <v>0</v>
      </c>
      <c r="N308" s="5">
        <v>0</v>
      </c>
      <c r="O308" s="5">
        <v>0</v>
      </c>
      <c r="P308" s="5">
        <v>0</v>
      </c>
      <c r="Q308" s="249">
        <v>0</v>
      </c>
      <c r="R308" s="249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f>ROUND((G308+H308+I308+J308+K308+L308)*1.5%,2)</f>
        <v>3124.93</v>
      </c>
      <c r="AF308" s="5">
        <v>0</v>
      </c>
      <c r="AG308" s="5">
        <v>0</v>
      </c>
      <c r="AH308" s="246" t="s">
        <v>49</v>
      </c>
      <c r="AI308" s="246">
        <v>2020</v>
      </c>
      <c r="AJ308" s="6">
        <v>2020</v>
      </c>
      <c r="CB308" s="236"/>
      <c r="CF308" s="2" t="e">
        <f t="shared" si="38"/>
        <v>#N/A</v>
      </c>
    </row>
    <row r="309" spans="1:84" ht="61.5" x14ac:dyDescent="0.85">
      <c r="B309" s="3" t="s">
        <v>99</v>
      </c>
      <c r="C309" s="3"/>
      <c r="D309" s="244">
        <v>1997229.1400000001</v>
      </c>
      <c r="E309" s="233">
        <f t="shared" si="40"/>
        <v>0</v>
      </c>
      <c r="F309" s="244">
        <f>F310</f>
        <v>1997229.1400000001</v>
      </c>
      <c r="G309" s="5">
        <f t="shared" ref="G309:AG309" si="49">G310</f>
        <v>0</v>
      </c>
      <c r="H309" s="5">
        <f t="shared" si="49"/>
        <v>0</v>
      </c>
      <c r="I309" s="5">
        <f t="shared" si="49"/>
        <v>0</v>
      </c>
      <c r="J309" s="5">
        <f t="shared" si="49"/>
        <v>0</v>
      </c>
      <c r="K309" s="5">
        <f t="shared" si="49"/>
        <v>0</v>
      </c>
      <c r="L309" s="5">
        <f t="shared" si="49"/>
        <v>0</v>
      </c>
      <c r="M309" s="241">
        <f t="shared" si="49"/>
        <v>0</v>
      </c>
      <c r="N309" s="5">
        <f t="shared" si="49"/>
        <v>0</v>
      </c>
      <c r="O309" s="5">
        <f t="shared" si="49"/>
        <v>775.93</v>
      </c>
      <c r="P309" s="5">
        <f t="shared" si="49"/>
        <v>1845774.1</v>
      </c>
      <c r="Q309" s="5">
        <f t="shared" si="49"/>
        <v>0</v>
      </c>
      <c r="R309" s="5">
        <f t="shared" si="49"/>
        <v>0</v>
      </c>
      <c r="S309" s="5">
        <f t="shared" si="49"/>
        <v>0</v>
      </c>
      <c r="T309" s="5">
        <f t="shared" si="49"/>
        <v>0</v>
      </c>
      <c r="U309" s="5">
        <f t="shared" si="49"/>
        <v>0</v>
      </c>
      <c r="V309" s="5">
        <f t="shared" si="49"/>
        <v>0</v>
      </c>
      <c r="W309" s="5">
        <f t="shared" si="49"/>
        <v>0</v>
      </c>
      <c r="X309" s="5">
        <f t="shared" si="49"/>
        <v>0</v>
      </c>
      <c r="Y309" s="5">
        <f t="shared" si="49"/>
        <v>0</v>
      </c>
      <c r="Z309" s="5">
        <f t="shared" si="49"/>
        <v>0</v>
      </c>
      <c r="AA309" s="5">
        <f t="shared" si="49"/>
        <v>0</v>
      </c>
      <c r="AB309" s="5">
        <f t="shared" si="49"/>
        <v>0</v>
      </c>
      <c r="AC309" s="5">
        <f t="shared" si="49"/>
        <v>0</v>
      </c>
      <c r="AD309" s="5">
        <f t="shared" si="49"/>
        <v>0</v>
      </c>
      <c r="AE309" s="5">
        <f t="shared" si="49"/>
        <v>18688.46</v>
      </c>
      <c r="AF309" s="5">
        <f t="shared" si="49"/>
        <v>132766.57999999999</v>
      </c>
      <c r="AG309" s="5">
        <f t="shared" si="49"/>
        <v>0</v>
      </c>
      <c r="AH309" s="23" t="s">
        <v>90</v>
      </c>
      <c r="AI309" s="23" t="s">
        <v>90</v>
      </c>
      <c r="AJ309" s="27" t="s">
        <v>90</v>
      </c>
      <c r="AV309" s="2" t="e">
        <f t="shared" ref="AV309:AV319" si="50">VLOOKUP(C309,AY:AZ,2,FALSE)</f>
        <v>#N/A</v>
      </c>
      <c r="CB309" s="236">
        <v>3674943.51</v>
      </c>
      <c r="CF309" s="2" t="e">
        <f t="shared" si="38"/>
        <v>#N/A</v>
      </c>
    </row>
    <row r="310" spans="1:84" ht="61.5" x14ac:dyDescent="0.85">
      <c r="A310" s="2">
        <v>1</v>
      </c>
      <c r="B310" s="18">
        <f>SUBTOTAL(103,$A$22:A310)</f>
        <v>276</v>
      </c>
      <c r="C310" s="3" t="s">
        <v>1276</v>
      </c>
      <c r="D310" s="5">
        <v>1997229.1400000001</v>
      </c>
      <c r="E310" s="5">
        <f t="shared" si="40"/>
        <v>0</v>
      </c>
      <c r="F310" s="5">
        <f>G310+H310+I310+J310+K310+L310+N310+P310+R310+T310+V310+W310+X310+Y310+Z310+AA310+AB310+AC310+AD310+AE310+AF310+AG310</f>
        <v>1997229.1400000001</v>
      </c>
      <c r="G310" s="249">
        <v>0</v>
      </c>
      <c r="H310" s="249">
        <v>0</v>
      </c>
      <c r="I310" s="5">
        <v>0</v>
      </c>
      <c r="J310" s="249">
        <v>0</v>
      </c>
      <c r="K310" s="249">
        <v>0</v>
      </c>
      <c r="L310" s="249">
        <v>0</v>
      </c>
      <c r="M310" s="241">
        <v>0</v>
      </c>
      <c r="N310" s="5">
        <v>0</v>
      </c>
      <c r="O310" s="7">
        <v>775.93</v>
      </c>
      <c r="P310" s="7">
        <v>1845774.1</v>
      </c>
      <c r="Q310" s="249">
        <v>0</v>
      </c>
      <c r="R310" s="249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7">
        <v>18688.46</v>
      </c>
      <c r="AF310" s="7">
        <v>132766.57999999999</v>
      </c>
      <c r="AG310" s="5">
        <v>0</v>
      </c>
      <c r="AH310" s="246">
        <v>2020</v>
      </c>
      <c r="AI310" s="246">
        <v>2020</v>
      </c>
      <c r="AJ310" s="6">
        <v>2020</v>
      </c>
      <c r="AV310" s="2" t="e">
        <f t="shared" si="50"/>
        <v>#N/A</v>
      </c>
      <c r="CB310" s="236"/>
      <c r="CF310" s="2" t="e">
        <f t="shared" si="38"/>
        <v>#N/A</v>
      </c>
    </row>
    <row r="311" spans="1:84" ht="61.5" x14ac:dyDescent="0.85">
      <c r="B311" s="3" t="s">
        <v>100</v>
      </c>
      <c r="C311" s="3"/>
      <c r="D311" s="244">
        <v>45687622.32</v>
      </c>
      <c r="E311" s="233">
        <f t="shared" si="40"/>
        <v>15073975.110000003</v>
      </c>
      <c r="F311" s="244">
        <f t="shared" ref="F311:AG311" si="51">SUM(F312:F326)</f>
        <v>30613647.209999997</v>
      </c>
      <c r="G311" s="5">
        <f t="shared" si="51"/>
        <v>0</v>
      </c>
      <c r="H311" s="5">
        <f t="shared" si="51"/>
        <v>0</v>
      </c>
      <c r="I311" s="5">
        <f t="shared" si="51"/>
        <v>0</v>
      </c>
      <c r="J311" s="5">
        <f t="shared" si="51"/>
        <v>0</v>
      </c>
      <c r="K311" s="5">
        <f t="shared" si="51"/>
        <v>0</v>
      </c>
      <c r="L311" s="5">
        <f t="shared" si="51"/>
        <v>0</v>
      </c>
      <c r="M311" s="241">
        <f t="shared" si="51"/>
        <v>6</v>
      </c>
      <c r="N311" s="5">
        <f t="shared" si="51"/>
        <v>8696097.8399999999</v>
      </c>
      <c r="O311" s="5">
        <f t="shared" si="51"/>
        <v>5420.5</v>
      </c>
      <c r="P311" s="5">
        <f t="shared" si="51"/>
        <v>18368754.110000003</v>
      </c>
      <c r="Q311" s="5">
        <f t="shared" si="51"/>
        <v>0</v>
      </c>
      <c r="R311" s="5">
        <f t="shared" si="51"/>
        <v>0</v>
      </c>
      <c r="S311" s="5">
        <f t="shared" si="51"/>
        <v>664.65200000000004</v>
      </c>
      <c r="T311" s="5">
        <f t="shared" si="51"/>
        <v>2073147.13</v>
      </c>
      <c r="U311" s="5">
        <f t="shared" si="51"/>
        <v>0</v>
      </c>
      <c r="V311" s="5">
        <f t="shared" si="51"/>
        <v>0</v>
      </c>
      <c r="W311" s="5">
        <f t="shared" si="51"/>
        <v>0</v>
      </c>
      <c r="X311" s="5">
        <f t="shared" si="51"/>
        <v>0</v>
      </c>
      <c r="Y311" s="5">
        <f t="shared" si="51"/>
        <v>0</v>
      </c>
      <c r="Z311" s="5">
        <f t="shared" si="51"/>
        <v>0</v>
      </c>
      <c r="AA311" s="5">
        <f t="shared" si="51"/>
        <v>0</v>
      </c>
      <c r="AB311" s="5">
        <f t="shared" si="51"/>
        <v>0</v>
      </c>
      <c r="AC311" s="5">
        <f t="shared" si="51"/>
        <v>0</v>
      </c>
      <c r="AD311" s="5">
        <f t="shared" si="51"/>
        <v>0</v>
      </c>
      <c r="AE311" s="5">
        <f t="shared" si="51"/>
        <v>268045.87</v>
      </c>
      <c r="AF311" s="5">
        <f t="shared" si="51"/>
        <v>847602.26</v>
      </c>
      <c r="AG311" s="5">
        <f t="shared" si="51"/>
        <v>360000</v>
      </c>
      <c r="AH311" s="23" t="s">
        <v>90</v>
      </c>
      <c r="AI311" s="23" t="s">
        <v>90</v>
      </c>
      <c r="AJ311" s="27" t="s">
        <v>90</v>
      </c>
      <c r="AV311" s="2" t="e">
        <f t="shared" si="50"/>
        <v>#N/A</v>
      </c>
      <c r="CB311" s="236">
        <v>50473058.759999998</v>
      </c>
      <c r="CD311" s="236">
        <f>CB311-F311</f>
        <v>19859411.550000001</v>
      </c>
      <c r="CF311" s="2" t="e">
        <f t="shared" si="38"/>
        <v>#N/A</v>
      </c>
    </row>
    <row r="312" spans="1:84" ht="61.5" x14ac:dyDescent="0.85">
      <c r="A312" s="2">
        <v>1</v>
      </c>
      <c r="B312" s="18">
        <f>SUBTOTAL(103,$A$22:A312)</f>
        <v>277</v>
      </c>
      <c r="C312" s="3" t="s">
        <v>1277</v>
      </c>
      <c r="D312" s="5">
        <v>4654757.55</v>
      </c>
      <c r="E312" s="5">
        <f t="shared" si="40"/>
        <v>4559283.37</v>
      </c>
      <c r="F312" s="5">
        <f t="shared" ref="F312:F326" si="52">G312+H312+I312+J312+K312+L312+N312+P312+R312+T312+V312+W312+X312+Y312+Z312+AA312+AB312+AC312+AD312+AE312+AF312+AG312</f>
        <v>95474.18</v>
      </c>
      <c r="G312" s="249">
        <v>0</v>
      </c>
      <c r="H312" s="249">
        <v>0</v>
      </c>
      <c r="I312" s="5">
        <v>0</v>
      </c>
      <c r="J312" s="249">
        <v>0</v>
      </c>
      <c r="K312" s="249">
        <v>0</v>
      </c>
      <c r="L312" s="249">
        <v>0</v>
      </c>
      <c r="M312" s="241">
        <v>0</v>
      </c>
      <c r="N312" s="5">
        <v>0</v>
      </c>
      <c r="O312" s="5">
        <v>0</v>
      </c>
      <c r="P312" s="5">
        <v>0</v>
      </c>
      <c r="Q312" s="249">
        <v>0</v>
      </c>
      <c r="R312" s="249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f>ROUND(P312*1.5%,2)</f>
        <v>0</v>
      </c>
      <c r="AF312" s="7">
        <v>95474.18</v>
      </c>
      <c r="AG312" s="5">
        <v>0</v>
      </c>
      <c r="AH312" s="246">
        <v>2020</v>
      </c>
      <c r="AI312" s="246" t="s">
        <v>49</v>
      </c>
      <c r="AJ312" s="246" t="s">
        <v>49</v>
      </c>
      <c r="AV312" s="2" t="e">
        <f t="shared" si="50"/>
        <v>#N/A</v>
      </c>
      <c r="CB312" s="236"/>
      <c r="CF312" s="2" t="e">
        <f t="shared" si="38"/>
        <v>#N/A</v>
      </c>
    </row>
    <row r="313" spans="1:84" ht="61.5" x14ac:dyDescent="0.85">
      <c r="A313" s="2">
        <v>1</v>
      </c>
      <c r="B313" s="18">
        <f>SUBTOTAL(103,$A$22:A313)</f>
        <v>278</v>
      </c>
      <c r="C313" s="3" t="s">
        <v>1278</v>
      </c>
      <c r="D313" s="5">
        <v>7001028.8100000005</v>
      </c>
      <c r="E313" s="5">
        <f t="shared" si="40"/>
        <v>94324.160000000149</v>
      </c>
      <c r="F313" s="5">
        <f t="shared" si="52"/>
        <v>6906704.6500000004</v>
      </c>
      <c r="G313" s="249">
        <v>0</v>
      </c>
      <c r="H313" s="249">
        <v>0</v>
      </c>
      <c r="I313" s="5">
        <v>0</v>
      </c>
      <c r="J313" s="249">
        <v>0</v>
      </c>
      <c r="K313" s="249">
        <v>0</v>
      </c>
      <c r="L313" s="249">
        <v>0</v>
      </c>
      <c r="M313" s="241">
        <v>0</v>
      </c>
      <c r="N313" s="5">
        <v>0</v>
      </c>
      <c r="O313" s="7">
        <v>1260</v>
      </c>
      <c r="P313" s="7">
        <v>6705665.3499999996</v>
      </c>
      <c r="Q313" s="249">
        <v>0</v>
      </c>
      <c r="R313" s="249">
        <v>0</v>
      </c>
      <c r="S313" s="5">
        <v>0</v>
      </c>
      <c r="T313" s="5">
        <v>0</v>
      </c>
      <c r="U313" s="5">
        <v>0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7">
        <v>67894.86</v>
      </c>
      <c r="AF313" s="7">
        <v>133144.44</v>
      </c>
      <c r="AG313" s="5">
        <v>0</v>
      </c>
      <c r="AH313" s="246">
        <v>2020</v>
      </c>
      <c r="AI313" s="246">
        <v>2020</v>
      </c>
      <c r="AJ313" s="6">
        <v>2020</v>
      </c>
      <c r="AV313" s="2" t="e">
        <f t="shared" si="50"/>
        <v>#N/A</v>
      </c>
      <c r="CB313" s="236"/>
      <c r="CF313" s="2" t="e">
        <f t="shared" si="38"/>
        <v>#N/A</v>
      </c>
    </row>
    <row r="314" spans="1:84" ht="61.5" x14ac:dyDescent="0.85">
      <c r="A314" s="2">
        <v>1</v>
      </c>
      <c r="B314" s="18">
        <f>SUBTOTAL(103,$A$22:A314)</f>
        <v>279</v>
      </c>
      <c r="C314" s="3" t="s">
        <v>1279</v>
      </c>
      <c r="D314" s="5">
        <v>1863696.8900000001</v>
      </c>
      <c r="E314" s="5">
        <f t="shared" si="40"/>
        <v>0</v>
      </c>
      <c r="F314" s="5">
        <f t="shared" si="52"/>
        <v>1863696.8900000001</v>
      </c>
      <c r="G314" s="249">
        <v>0</v>
      </c>
      <c r="H314" s="249">
        <v>0</v>
      </c>
      <c r="I314" s="5">
        <v>0</v>
      </c>
      <c r="J314" s="249">
        <v>0</v>
      </c>
      <c r="K314" s="249">
        <v>0</v>
      </c>
      <c r="L314" s="249">
        <v>0</v>
      </c>
      <c r="M314" s="241">
        <v>0</v>
      </c>
      <c r="N314" s="5">
        <v>0</v>
      </c>
      <c r="O314" s="5">
        <v>900</v>
      </c>
      <c r="P314" s="5">
        <f>1737919.55+11552.34</f>
        <v>1749471.8900000001</v>
      </c>
      <c r="Q314" s="249">
        <v>0</v>
      </c>
      <c r="R314" s="249">
        <v>0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f>ROUND(P314*1.5%,2)</f>
        <v>26242.080000000002</v>
      </c>
      <c r="AF314" s="7">
        <v>87982.92</v>
      </c>
      <c r="AG314" s="5">
        <v>0</v>
      </c>
      <c r="AH314" s="246">
        <v>2020</v>
      </c>
      <c r="AI314" s="246">
        <v>2020</v>
      </c>
      <c r="AJ314" s="6">
        <v>2020</v>
      </c>
      <c r="AV314" s="2" t="e">
        <f t="shared" si="50"/>
        <v>#N/A</v>
      </c>
      <c r="CB314" s="236"/>
      <c r="CF314" s="2">
        <f t="shared" si="38"/>
        <v>900</v>
      </c>
    </row>
    <row r="315" spans="1:84" ht="61.5" x14ac:dyDescent="0.85">
      <c r="A315" s="2">
        <v>1</v>
      </c>
      <c r="B315" s="18">
        <f>SUBTOTAL(103,$A$22:A315)</f>
        <v>280</v>
      </c>
      <c r="C315" s="3" t="s">
        <v>946</v>
      </c>
      <c r="D315" s="5">
        <v>1863696.8900000001</v>
      </c>
      <c r="E315" s="5">
        <f t="shared" si="40"/>
        <v>362187.62000000011</v>
      </c>
      <c r="F315" s="5">
        <f t="shared" si="52"/>
        <v>1501509.27</v>
      </c>
      <c r="G315" s="249">
        <v>0</v>
      </c>
      <c r="H315" s="249">
        <v>0</v>
      </c>
      <c r="I315" s="5">
        <v>0</v>
      </c>
      <c r="J315" s="249">
        <v>0</v>
      </c>
      <c r="K315" s="249">
        <v>0</v>
      </c>
      <c r="L315" s="249">
        <v>0</v>
      </c>
      <c r="M315" s="241">
        <v>0</v>
      </c>
      <c r="N315" s="5">
        <v>0</v>
      </c>
      <c r="O315" s="7">
        <v>787.1</v>
      </c>
      <c r="P315" s="7">
        <v>1392636.8</v>
      </c>
      <c r="Q315" s="249">
        <v>0</v>
      </c>
      <c r="R315" s="249">
        <v>0</v>
      </c>
      <c r="S315" s="5">
        <v>0</v>
      </c>
      <c r="T315" s="5">
        <v>0</v>
      </c>
      <c r="U315" s="5">
        <v>0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f>ROUND(P315*1.5%,2)</f>
        <v>20889.55</v>
      </c>
      <c r="AF315" s="7">
        <v>87982.92</v>
      </c>
      <c r="AG315" s="5">
        <v>0</v>
      </c>
      <c r="AH315" s="246">
        <v>2020</v>
      </c>
      <c r="AI315" s="246">
        <v>2020</v>
      </c>
      <c r="AJ315" s="6">
        <v>2020</v>
      </c>
      <c r="AV315" s="2" t="e">
        <f t="shared" si="50"/>
        <v>#N/A</v>
      </c>
      <c r="CB315" s="236"/>
      <c r="CF315" s="2">
        <f t="shared" si="38"/>
        <v>900</v>
      </c>
    </row>
    <row r="316" spans="1:84" ht="61.5" x14ac:dyDescent="0.85">
      <c r="A316" s="2">
        <v>1</v>
      </c>
      <c r="B316" s="18">
        <f>SUBTOTAL(103,$A$22:A316)</f>
        <v>281</v>
      </c>
      <c r="C316" s="3" t="s">
        <v>949</v>
      </c>
      <c r="D316" s="5">
        <v>1863696.87</v>
      </c>
      <c r="E316" s="5">
        <f t="shared" si="40"/>
        <v>0</v>
      </c>
      <c r="F316" s="5">
        <f t="shared" si="52"/>
        <v>1863696.87</v>
      </c>
      <c r="G316" s="249">
        <v>0</v>
      </c>
      <c r="H316" s="249">
        <v>0</v>
      </c>
      <c r="I316" s="5">
        <v>0</v>
      </c>
      <c r="J316" s="249">
        <v>0</v>
      </c>
      <c r="K316" s="249">
        <v>0</v>
      </c>
      <c r="L316" s="249">
        <v>0</v>
      </c>
      <c r="M316" s="241">
        <v>0</v>
      </c>
      <c r="N316" s="5">
        <v>0</v>
      </c>
      <c r="O316" s="5">
        <v>900</v>
      </c>
      <c r="P316" s="5">
        <f>1737919.55+11552.32</f>
        <v>1749471.87</v>
      </c>
      <c r="Q316" s="249">
        <v>0</v>
      </c>
      <c r="R316" s="249">
        <v>0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f>ROUND(P316*1.5%,2)</f>
        <v>26242.080000000002</v>
      </c>
      <c r="AF316" s="7">
        <v>87982.92</v>
      </c>
      <c r="AG316" s="5">
        <v>0</v>
      </c>
      <c r="AH316" s="246">
        <v>2020</v>
      </c>
      <c r="AI316" s="246">
        <v>2020</v>
      </c>
      <c r="AJ316" s="6">
        <v>2020</v>
      </c>
      <c r="AV316" s="2" t="e">
        <f t="shared" si="50"/>
        <v>#N/A</v>
      </c>
      <c r="CB316" s="236"/>
      <c r="CF316" s="2">
        <f t="shared" si="38"/>
        <v>900</v>
      </c>
    </row>
    <row r="317" spans="1:84" ht="61.5" x14ac:dyDescent="0.85">
      <c r="A317" s="2">
        <v>1</v>
      </c>
      <c r="B317" s="18">
        <f>SUBTOTAL(103,$A$22:A317)</f>
        <v>282</v>
      </c>
      <c r="C317" s="3" t="s">
        <v>1280</v>
      </c>
      <c r="D317" s="5">
        <v>3346564.4</v>
      </c>
      <c r="E317" s="5">
        <f t="shared" si="40"/>
        <v>0</v>
      </c>
      <c r="F317" s="5">
        <f t="shared" si="52"/>
        <v>3346564.4</v>
      </c>
      <c r="G317" s="249">
        <v>0</v>
      </c>
      <c r="H317" s="249">
        <v>0</v>
      </c>
      <c r="I317" s="5">
        <v>0</v>
      </c>
      <c r="J317" s="249">
        <v>0</v>
      </c>
      <c r="K317" s="249">
        <v>0</v>
      </c>
      <c r="L317" s="249">
        <v>0</v>
      </c>
      <c r="M317" s="25">
        <v>2</v>
      </c>
      <c r="N317" s="5">
        <f>1635186.98*2</f>
        <v>3270373.96</v>
      </c>
      <c r="O317" s="5">
        <v>0</v>
      </c>
      <c r="P317" s="5">
        <v>0</v>
      </c>
      <c r="Q317" s="249">
        <v>0</v>
      </c>
      <c r="R317" s="249">
        <v>0</v>
      </c>
      <c r="S317" s="5">
        <v>0</v>
      </c>
      <c r="T317" s="5">
        <v>0</v>
      </c>
      <c r="U317" s="5">
        <v>0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7">
        <v>76190.44</v>
      </c>
      <c r="AG317" s="5">
        <v>0</v>
      </c>
      <c r="AH317" s="246">
        <v>2020</v>
      </c>
      <c r="AI317" s="246">
        <v>2020</v>
      </c>
      <c r="AJ317" s="6" t="s">
        <v>49</v>
      </c>
      <c r="AV317" s="2" t="e">
        <f t="shared" si="50"/>
        <v>#N/A</v>
      </c>
      <c r="CB317" s="236"/>
      <c r="CF317" s="2" t="e">
        <f t="shared" si="38"/>
        <v>#N/A</v>
      </c>
    </row>
    <row r="318" spans="1:84" ht="61.5" x14ac:dyDescent="0.85">
      <c r="A318" s="2">
        <v>1</v>
      </c>
      <c r="B318" s="18">
        <f>SUBTOTAL(103,$A$22:A318)</f>
        <v>283</v>
      </c>
      <c r="C318" s="3" t="s">
        <v>1281</v>
      </c>
      <c r="D318" s="5">
        <v>101554.75</v>
      </c>
      <c r="E318" s="5">
        <f t="shared" si="40"/>
        <v>0</v>
      </c>
      <c r="F318" s="5">
        <f t="shared" si="52"/>
        <v>101554.75</v>
      </c>
      <c r="G318" s="249">
        <v>0</v>
      </c>
      <c r="H318" s="249">
        <v>0</v>
      </c>
      <c r="I318" s="5">
        <v>0</v>
      </c>
      <c r="J318" s="249">
        <v>0</v>
      </c>
      <c r="K318" s="249">
        <v>0</v>
      </c>
      <c r="L318" s="249">
        <v>0</v>
      </c>
      <c r="M318" s="241">
        <v>0</v>
      </c>
      <c r="N318" s="5">
        <v>0</v>
      </c>
      <c r="O318" s="5">
        <v>0</v>
      </c>
      <c r="P318" s="5">
        <v>0</v>
      </c>
      <c r="Q318" s="249">
        <v>0</v>
      </c>
      <c r="R318" s="249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f>ROUND(P318*1.5%,2)</f>
        <v>0</v>
      </c>
      <c r="AF318" s="7">
        <v>101554.75</v>
      </c>
      <c r="AG318" s="5">
        <v>0</v>
      </c>
      <c r="AH318" s="246">
        <v>2020</v>
      </c>
      <c r="AI318" s="6" t="s">
        <v>49</v>
      </c>
      <c r="AJ318" s="6" t="s">
        <v>49</v>
      </c>
      <c r="AV318" s="2" t="e">
        <f t="shared" si="50"/>
        <v>#N/A</v>
      </c>
      <c r="CB318" s="236"/>
      <c r="CF318" s="2" t="e">
        <f t="shared" si="38"/>
        <v>#N/A</v>
      </c>
    </row>
    <row r="319" spans="1:84" ht="61.5" x14ac:dyDescent="0.85">
      <c r="A319" s="2">
        <v>1</v>
      </c>
      <c r="B319" s="18">
        <f>SUBTOTAL(103,$A$22:A319)</f>
        <v>284</v>
      </c>
      <c r="C319" s="3" t="s">
        <v>1282</v>
      </c>
      <c r="D319" s="5">
        <v>5509944.8600000003</v>
      </c>
      <c r="E319" s="5">
        <f t="shared" si="40"/>
        <v>5405855.4900000002</v>
      </c>
      <c r="F319" s="5">
        <f t="shared" si="52"/>
        <v>104089.37</v>
      </c>
      <c r="G319" s="249">
        <v>0</v>
      </c>
      <c r="H319" s="249">
        <v>0</v>
      </c>
      <c r="I319" s="5">
        <v>0</v>
      </c>
      <c r="J319" s="249">
        <v>0</v>
      </c>
      <c r="K319" s="249">
        <v>0</v>
      </c>
      <c r="L319" s="249">
        <v>0</v>
      </c>
      <c r="M319" s="241">
        <v>0</v>
      </c>
      <c r="N319" s="5">
        <v>0</v>
      </c>
      <c r="O319" s="5">
        <v>0</v>
      </c>
      <c r="P319" s="5">
        <v>0</v>
      </c>
      <c r="Q319" s="249">
        <v>0</v>
      </c>
      <c r="R319" s="249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f>ROUND(P319*1.5%,2)</f>
        <v>0</v>
      </c>
      <c r="AF319" s="7">
        <v>104089.37</v>
      </c>
      <c r="AG319" s="5">
        <v>0</v>
      </c>
      <c r="AH319" s="246">
        <v>2020</v>
      </c>
      <c r="AI319" s="6" t="s">
        <v>49</v>
      </c>
      <c r="AJ319" s="6" t="s">
        <v>49</v>
      </c>
      <c r="AV319" s="2" t="e">
        <f t="shared" si="50"/>
        <v>#N/A</v>
      </c>
      <c r="CB319" s="236"/>
      <c r="CF319" s="2" t="e">
        <f t="shared" si="38"/>
        <v>#N/A</v>
      </c>
    </row>
    <row r="320" spans="1:84" ht="61.5" x14ac:dyDescent="0.85">
      <c r="A320" s="2">
        <v>1</v>
      </c>
      <c r="B320" s="18">
        <f>SUBTOTAL(103,$A$22:A320)</f>
        <v>285</v>
      </c>
      <c r="C320" s="3" t="s">
        <v>1029</v>
      </c>
      <c r="D320" s="5">
        <v>5087184.08</v>
      </c>
      <c r="E320" s="5">
        <f t="shared" si="40"/>
        <v>837028.81000000052</v>
      </c>
      <c r="F320" s="5">
        <f t="shared" si="52"/>
        <v>4250155.2699999996</v>
      </c>
      <c r="G320" s="249">
        <v>0</v>
      </c>
      <c r="H320" s="249">
        <v>0</v>
      </c>
      <c r="I320" s="5">
        <v>0</v>
      </c>
      <c r="J320" s="249">
        <v>0</v>
      </c>
      <c r="K320" s="249">
        <v>0</v>
      </c>
      <c r="L320" s="249">
        <v>0</v>
      </c>
      <c r="M320" s="241">
        <v>0</v>
      </c>
      <c r="N320" s="5">
        <v>0</v>
      </c>
      <c r="O320" s="7">
        <v>953.5</v>
      </c>
      <c r="P320" s="7">
        <v>4069118.49</v>
      </c>
      <c r="Q320" s="249">
        <v>0</v>
      </c>
      <c r="R320" s="249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f>ROUND(P320*1.5%,2)</f>
        <v>61036.78</v>
      </c>
      <c r="AF320" s="5">
        <v>0</v>
      </c>
      <c r="AG320" s="5">
        <v>120000</v>
      </c>
      <c r="AH320" s="246" t="s">
        <v>49</v>
      </c>
      <c r="AI320" s="246">
        <v>2020</v>
      </c>
      <c r="AJ320" s="6">
        <v>2020</v>
      </c>
      <c r="CB320" s="236"/>
      <c r="CF320" s="2">
        <f t="shared" si="38"/>
        <v>953.5</v>
      </c>
    </row>
    <row r="321" spans="1:262" ht="61.5" x14ac:dyDescent="0.85">
      <c r="A321" s="2">
        <v>1</v>
      </c>
      <c r="B321" s="18">
        <f>SUBTOTAL(103,$A$22:A321)</f>
        <v>286</v>
      </c>
      <c r="C321" s="3" t="s">
        <v>1283</v>
      </c>
      <c r="D321" s="5">
        <v>5425723.8799999999</v>
      </c>
      <c r="E321" s="5">
        <f t="shared" si="40"/>
        <v>0</v>
      </c>
      <c r="F321" s="5">
        <f t="shared" si="52"/>
        <v>5425723.8799999999</v>
      </c>
      <c r="G321" s="249">
        <v>0</v>
      </c>
      <c r="H321" s="249">
        <v>0</v>
      </c>
      <c r="I321" s="5">
        <v>0</v>
      </c>
      <c r="J321" s="249">
        <v>0</v>
      </c>
      <c r="K321" s="249">
        <v>0</v>
      </c>
      <c r="L321" s="249">
        <v>0</v>
      </c>
      <c r="M321" s="440">
        <v>4</v>
      </c>
      <c r="N321" s="7">
        <v>5425723.8799999999</v>
      </c>
      <c r="O321" s="5">
        <v>0</v>
      </c>
      <c r="P321" s="5">
        <v>0</v>
      </c>
      <c r="Q321" s="249">
        <v>0</v>
      </c>
      <c r="R321" s="249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246" t="s">
        <v>49</v>
      </c>
      <c r="AI321" s="246">
        <v>2020</v>
      </c>
      <c r="AJ321" s="6" t="s">
        <v>49</v>
      </c>
      <c r="CB321" s="236"/>
      <c r="CF321" s="2" t="e">
        <f t="shared" si="38"/>
        <v>#N/A</v>
      </c>
    </row>
    <row r="322" spans="1:262" ht="61.5" x14ac:dyDescent="0.85">
      <c r="A322" s="2">
        <v>1</v>
      </c>
      <c r="B322" s="18">
        <f>SUBTOTAL(103,$A$22:A322)</f>
        <v>287</v>
      </c>
      <c r="C322" s="3" t="s">
        <v>1284</v>
      </c>
      <c r="D322" s="5">
        <v>964103.66999999993</v>
      </c>
      <c r="E322" s="5">
        <f t="shared" si="40"/>
        <v>125013.67999999993</v>
      </c>
      <c r="F322" s="5">
        <f t="shared" si="52"/>
        <v>839089.99</v>
      </c>
      <c r="G322" s="249">
        <v>0</v>
      </c>
      <c r="H322" s="249">
        <v>0</v>
      </c>
      <c r="I322" s="5">
        <v>0</v>
      </c>
      <c r="J322" s="249">
        <v>0</v>
      </c>
      <c r="K322" s="249">
        <v>0</v>
      </c>
      <c r="L322" s="249">
        <v>0</v>
      </c>
      <c r="M322" s="241">
        <v>0</v>
      </c>
      <c r="N322" s="5">
        <v>0</v>
      </c>
      <c r="O322" s="5">
        <v>0</v>
      </c>
      <c r="P322" s="5">
        <v>0</v>
      </c>
      <c r="Q322" s="249">
        <v>0</v>
      </c>
      <c r="R322" s="249">
        <v>0</v>
      </c>
      <c r="S322" s="7">
        <v>273.98200000000003</v>
      </c>
      <c r="T322" s="7">
        <v>826689.65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f>ROUND(T322*1.5%,2)</f>
        <v>12400.34</v>
      </c>
      <c r="AF322" s="5">
        <v>0</v>
      </c>
      <c r="AG322" s="5">
        <v>0</v>
      </c>
      <c r="AH322" s="246" t="s">
        <v>49</v>
      </c>
      <c r="AI322" s="246">
        <v>2020</v>
      </c>
      <c r="AJ322" s="6">
        <v>2020</v>
      </c>
      <c r="CB322" s="236"/>
      <c r="CF322" s="2" t="e">
        <f t="shared" si="38"/>
        <v>#N/A</v>
      </c>
    </row>
    <row r="323" spans="1:262" ht="61.5" x14ac:dyDescent="0.85">
      <c r="A323" s="2">
        <v>1</v>
      </c>
      <c r="B323" s="18">
        <f>SUBTOTAL(103,$A$22:A323)</f>
        <v>288</v>
      </c>
      <c r="C323" s="3" t="s">
        <v>1285</v>
      </c>
      <c r="D323" s="5">
        <v>1832686.35</v>
      </c>
      <c r="E323" s="5">
        <f t="shared" si="40"/>
        <v>567532.01</v>
      </c>
      <c r="F323" s="5">
        <f t="shared" si="52"/>
        <v>1265154.3400000001</v>
      </c>
      <c r="G323" s="249">
        <v>0</v>
      </c>
      <c r="H323" s="249">
        <v>0</v>
      </c>
      <c r="I323" s="5">
        <v>0</v>
      </c>
      <c r="J323" s="249">
        <v>0</v>
      </c>
      <c r="K323" s="249">
        <v>0</v>
      </c>
      <c r="L323" s="249">
        <v>0</v>
      </c>
      <c r="M323" s="241">
        <v>0</v>
      </c>
      <c r="N323" s="5">
        <v>0</v>
      </c>
      <c r="O323" s="5">
        <v>0</v>
      </c>
      <c r="P323" s="5">
        <v>0</v>
      </c>
      <c r="Q323" s="249">
        <v>0</v>
      </c>
      <c r="R323" s="249">
        <v>0</v>
      </c>
      <c r="S323" s="7">
        <v>390.67</v>
      </c>
      <c r="T323" s="7">
        <v>1246457.48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f>ROUND(T323*1.5%,2)</f>
        <v>18696.86</v>
      </c>
      <c r="AF323" s="5">
        <v>0</v>
      </c>
      <c r="AG323" s="5">
        <v>0</v>
      </c>
      <c r="AH323" s="246" t="s">
        <v>49</v>
      </c>
      <c r="AI323" s="246">
        <v>2020</v>
      </c>
      <c r="AJ323" s="6">
        <v>2020</v>
      </c>
      <c r="CB323" s="236"/>
      <c r="CF323" s="2" t="e">
        <f t="shared" si="38"/>
        <v>#N/A</v>
      </c>
    </row>
    <row r="324" spans="1:262" ht="61.5" x14ac:dyDescent="0.85">
      <c r="A324" s="2">
        <v>1</v>
      </c>
      <c r="B324" s="18">
        <f>SUBTOTAL(103,$A$22:A324)</f>
        <v>289</v>
      </c>
      <c r="C324" s="3" t="s">
        <v>1031</v>
      </c>
      <c r="D324" s="5">
        <v>3195950.2899999996</v>
      </c>
      <c r="E324" s="5">
        <f t="shared" si="40"/>
        <v>3122749.9699999997</v>
      </c>
      <c r="F324" s="5">
        <f t="shared" si="52"/>
        <v>73200.320000000007</v>
      </c>
      <c r="G324" s="249">
        <v>0</v>
      </c>
      <c r="H324" s="249">
        <v>0</v>
      </c>
      <c r="I324" s="5">
        <v>0</v>
      </c>
      <c r="J324" s="249">
        <v>0</v>
      </c>
      <c r="K324" s="249">
        <v>0</v>
      </c>
      <c r="L324" s="249">
        <v>0</v>
      </c>
      <c r="M324" s="241">
        <v>0</v>
      </c>
      <c r="N324" s="5">
        <v>0</v>
      </c>
      <c r="O324" s="5">
        <v>0</v>
      </c>
      <c r="P324" s="5">
        <v>0</v>
      </c>
      <c r="Q324" s="249">
        <v>0</v>
      </c>
      <c r="R324" s="249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f>ROUND(P324*1.5%,2)</f>
        <v>0</v>
      </c>
      <c r="AF324" s="7">
        <v>73200.320000000007</v>
      </c>
      <c r="AG324" s="5">
        <v>0</v>
      </c>
      <c r="AH324" s="246">
        <v>2020</v>
      </c>
      <c r="AI324" s="6" t="s">
        <v>49</v>
      </c>
      <c r="AJ324" s="6" t="s">
        <v>49</v>
      </c>
      <c r="CB324" s="236"/>
      <c r="CF324" s="2">
        <f t="shared" si="38"/>
        <v>738.92</v>
      </c>
    </row>
    <row r="325" spans="1:262" ht="61.5" x14ac:dyDescent="0.85">
      <c r="A325" s="2">
        <v>1</v>
      </c>
      <c r="B325" s="18">
        <f>SUBTOTAL(103,$A$22:A325)</f>
        <v>290</v>
      </c>
      <c r="C325" s="3" t="s">
        <v>1033</v>
      </c>
      <c r="D325" s="5">
        <v>1322373.3</v>
      </c>
      <c r="E325" s="5">
        <f t="shared" si="40"/>
        <v>0</v>
      </c>
      <c r="F325" s="5">
        <f t="shared" si="52"/>
        <v>1322373.3</v>
      </c>
      <c r="G325" s="249">
        <v>0</v>
      </c>
      <c r="H325" s="249">
        <v>0</v>
      </c>
      <c r="I325" s="5">
        <v>0</v>
      </c>
      <c r="J325" s="249">
        <v>0</v>
      </c>
      <c r="K325" s="249">
        <v>0</v>
      </c>
      <c r="L325" s="249">
        <v>0</v>
      </c>
      <c r="M325" s="241">
        <v>0</v>
      </c>
      <c r="N325" s="5">
        <v>0</v>
      </c>
      <c r="O325" s="7">
        <v>275.39999999999998</v>
      </c>
      <c r="P325" s="7">
        <v>1190409.68</v>
      </c>
      <c r="Q325" s="249">
        <v>0</v>
      </c>
      <c r="R325" s="249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7">
        <v>11963.62</v>
      </c>
      <c r="AF325" s="5">
        <v>0</v>
      </c>
      <c r="AG325" s="5">
        <v>120000</v>
      </c>
      <c r="AH325" s="246" t="s">
        <v>49</v>
      </c>
      <c r="AI325" s="246">
        <v>2020</v>
      </c>
      <c r="AJ325" s="6">
        <v>2020</v>
      </c>
      <c r="CB325" s="236"/>
      <c r="CF325" s="2">
        <f t="shared" si="38"/>
        <v>275.39999999999998</v>
      </c>
    </row>
    <row r="326" spans="1:262" ht="61.5" x14ac:dyDescent="0.85">
      <c r="A326" s="2">
        <v>1</v>
      </c>
      <c r="B326" s="18">
        <f>SUBTOTAL(103,$A$22:A326)</f>
        <v>291</v>
      </c>
      <c r="C326" s="3" t="s">
        <v>1034</v>
      </c>
      <c r="D326" s="5">
        <v>1654659.73</v>
      </c>
      <c r="E326" s="5">
        <f t="shared" si="40"/>
        <v>0</v>
      </c>
      <c r="F326" s="5">
        <f t="shared" si="52"/>
        <v>1654659.73</v>
      </c>
      <c r="G326" s="249">
        <v>0</v>
      </c>
      <c r="H326" s="249">
        <v>0</v>
      </c>
      <c r="I326" s="5">
        <v>0</v>
      </c>
      <c r="J326" s="249">
        <v>0</v>
      </c>
      <c r="K326" s="249">
        <v>0</v>
      </c>
      <c r="L326" s="249">
        <v>0</v>
      </c>
      <c r="M326" s="241">
        <v>0</v>
      </c>
      <c r="N326" s="5">
        <v>0</v>
      </c>
      <c r="O326" s="7">
        <v>344.5</v>
      </c>
      <c r="P326" s="7">
        <v>1511980.03</v>
      </c>
      <c r="Q326" s="249">
        <v>0</v>
      </c>
      <c r="R326" s="249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f>ROUND(P326*1.5%,2)</f>
        <v>22679.7</v>
      </c>
      <c r="AF326" s="5">
        <v>0</v>
      </c>
      <c r="AG326" s="5">
        <v>120000</v>
      </c>
      <c r="AH326" s="246" t="s">
        <v>49</v>
      </c>
      <c r="AI326" s="246">
        <v>2020</v>
      </c>
      <c r="AJ326" s="6">
        <v>2020</v>
      </c>
      <c r="CB326" s="236"/>
      <c r="CF326" s="2">
        <f t="shared" si="38"/>
        <v>344.5</v>
      </c>
    </row>
    <row r="327" spans="1:262" ht="61.5" x14ac:dyDescent="0.85">
      <c r="B327" s="3" t="s">
        <v>101</v>
      </c>
      <c r="C327" s="442"/>
      <c r="D327" s="244">
        <v>34780549.410000004</v>
      </c>
      <c r="E327" s="233">
        <f t="shared" si="40"/>
        <v>11033090.750000004</v>
      </c>
      <c r="F327" s="244">
        <f t="shared" ref="F327:AG327" si="53">SUM(F328:F343)</f>
        <v>23747458.66</v>
      </c>
      <c r="G327" s="5">
        <f t="shared" si="53"/>
        <v>0</v>
      </c>
      <c r="H327" s="5">
        <f t="shared" si="53"/>
        <v>0</v>
      </c>
      <c r="I327" s="5">
        <f t="shared" si="53"/>
        <v>0</v>
      </c>
      <c r="J327" s="5">
        <f t="shared" si="53"/>
        <v>0</v>
      </c>
      <c r="K327" s="5">
        <f t="shared" si="53"/>
        <v>2268467.9300000002</v>
      </c>
      <c r="L327" s="5">
        <f t="shared" si="53"/>
        <v>0</v>
      </c>
      <c r="M327" s="241">
        <f t="shared" si="53"/>
        <v>0</v>
      </c>
      <c r="N327" s="5">
        <f t="shared" si="53"/>
        <v>0</v>
      </c>
      <c r="O327" s="5">
        <f t="shared" si="53"/>
        <v>3629.08</v>
      </c>
      <c r="P327" s="5">
        <f t="shared" si="53"/>
        <v>14834560.67</v>
      </c>
      <c r="Q327" s="5">
        <f t="shared" si="53"/>
        <v>0</v>
      </c>
      <c r="R327" s="5">
        <f t="shared" si="53"/>
        <v>0</v>
      </c>
      <c r="S327" s="5">
        <f t="shared" si="53"/>
        <v>1432.5</v>
      </c>
      <c r="T327" s="5">
        <f t="shared" si="53"/>
        <v>5642738.6600000001</v>
      </c>
      <c r="U327" s="5">
        <f t="shared" si="53"/>
        <v>0</v>
      </c>
      <c r="V327" s="5">
        <f t="shared" si="53"/>
        <v>0</v>
      </c>
      <c r="W327" s="5">
        <f t="shared" si="53"/>
        <v>0</v>
      </c>
      <c r="X327" s="5">
        <f t="shared" si="53"/>
        <v>0</v>
      </c>
      <c r="Y327" s="5">
        <f t="shared" si="53"/>
        <v>0</v>
      </c>
      <c r="Z327" s="5">
        <f t="shared" si="53"/>
        <v>0</v>
      </c>
      <c r="AA327" s="5">
        <f t="shared" si="53"/>
        <v>0</v>
      </c>
      <c r="AB327" s="5">
        <f t="shared" si="53"/>
        <v>0</v>
      </c>
      <c r="AC327" s="5">
        <f t="shared" si="53"/>
        <v>0</v>
      </c>
      <c r="AD327" s="5">
        <f t="shared" si="53"/>
        <v>0</v>
      </c>
      <c r="AE327" s="5">
        <f t="shared" si="53"/>
        <v>340912.31</v>
      </c>
      <c r="AF327" s="5">
        <f t="shared" si="53"/>
        <v>540779.09</v>
      </c>
      <c r="AG327" s="5">
        <f t="shared" si="53"/>
        <v>120000</v>
      </c>
      <c r="AH327" s="23" t="s">
        <v>90</v>
      </c>
      <c r="AI327" s="23" t="s">
        <v>90</v>
      </c>
      <c r="AJ327" s="27" t="s">
        <v>90</v>
      </c>
      <c r="AV327" s="2" t="e">
        <f t="shared" ref="AV327:AV333" si="54">VLOOKUP(C327,AY:AZ,2,FALSE)</f>
        <v>#N/A</v>
      </c>
      <c r="CB327" s="236">
        <v>38859598.050000004</v>
      </c>
      <c r="CD327" s="236">
        <f>CB327-F327</f>
        <v>15112139.390000004</v>
      </c>
      <c r="CF327" s="2" t="e">
        <f t="shared" si="38"/>
        <v>#N/A</v>
      </c>
    </row>
    <row r="328" spans="1:262" ht="61.5" x14ac:dyDescent="0.85">
      <c r="A328" s="2">
        <v>1</v>
      </c>
      <c r="B328" s="18">
        <f>SUBTOTAL(103,$A$22:A328)</f>
        <v>292</v>
      </c>
      <c r="C328" s="3" t="s">
        <v>1286</v>
      </c>
      <c r="D328" s="5">
        <v>1565544.36</v>
      </c>
      <c r="E328" s="5">
        <f t="shared" si="40"/>
        <v>145451.66999999993</v>
      </c>
      <c r="F328" s="5">
        <f t="shared" ref="F328:F342" si="55">G328+H328+I328+J328+K328+L328+N328+P328+R328+T328+V328+W328+X328+Y328+Z328+AA328+AB328+AC328+AD328+AE328+AF328+AG328</f>
        <v>1420092.6900000002</v>
      </c>
      <c r="G328" s="5">
        <v>0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241">
        <v>0</v>
      </c>
      <c r="N328" s="5">
        <v>0</v>
      </c>
      <c r="O328" s="7">
        <v>343</v>
      </c>
      <c r="P328" s="7">
        <v>1339821.01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f>ROUND(P328*1.5%,2)</f>
        <v>20097.32</v>
      </c>
      <c r="AF328" s="48">
        <v>60174.36</v>
      </c>
      <c r="AG328" s="5">
        <v>0</v>
      </c>
      <c r="AH328" s="246">
        <v>2020</v>
      </c>
      <c r="AI328" s="246">
        <v>2020</v>
      </c>
      <c r="AJ328" s="6">
        <v>2020</v>
      </c>
      <c r="AV328" s="2" t="e">
        <f t="shared" si="54"/>
        <v>#N/A</v>
      </c>
      <c r="CB328" s="236"/>
      <c r="CF328" s="2" t="e">
        <f t="shared" si="38"/>
        <v>#N/A</v>
      </c>
    </row>
    <row r="329" spans="1:262" ht="61.5" x14ac:dyDescent="0.85">
      <c r="A329" s="2">
        <v>1</v>
      </c>
      <c r="B329" s="18">
        <f>SUBTOTAL(103,$A$22:A329)</f>
        <v>293</v>
      </c>
      <c r="C329" s="3" t="s">
        <v>1287</v>
      </c>
      <c r="D329" s="5">
        <v>2567368.66</v>
      </c>
      <c r="E329" s="5">
        <f t="shared" si="40"/>
        <v>2474349.5</v>
      </c>
      <c r="F329" s="5">
        <f t="shared" si="55"/>
        <v>93019.16</v>
      </c>
      <c r="G329" s="5">
        <v>0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241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f>ROUND(T329*1.5%,2)</f>
        <v>0</v>
      </c>
      <c r="AF329" s="5">
        <f>86368.66+6650.5</f>
        <v>93019.16</v>
      </c>
      <c r="AG329" s="5">
        <v>0</v>
      </c>
      <c r="AH329" s="246">
        <v>2020</v>
      </c>
      <c r="AI329" s="6" t="s">
        <v>49</v>
      </c>
      <c r="AJ329" s="6" t="s">
        <v>49</v>
      </c>
      <c r="AV329" s="2" t="e">
        <f t="shared" si="54"/>
        <v>#N/A</v>
      </c>
      <c r="CB329" s="236"/>
      <c r="CF329" s="2" t="e">
        <f t="shared" si="38"/>
        <v>#N/A</v>
      </c>
    </row>
    <row r="330" spans="1:262" ht="61.5" x14ac:dyDescent="0.85">
      <c r="A330" s="2">
        <v>1</v>
      </c>
      <c r="B330" s="18">
        <f>SUBTOTAL(103,$A$22:A330)</f>
        <v>294</v>
      </c>
      <c r="C330" s="3" t="s">
        <v>1288</v>
      </c>
      <c r="D330" s="5">
        <v>2325723.11</v>
      </c>
      <c r="E330" s="5">
        <f t="shared" si="40"/>
        <v>7900.1299999998882</v>
      </c>
      <c r="F330" s="5">
        <f t="shared" si="55"/>
        <v>2317822.98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0</v>
      </c>
      <c r="M330" s="241">
        <v>0</v>
      </c>
      <c r="N330" s="5">
        <v>0</v>
      </c>
      <c r="O330" s="5">
        <v>464.3</v>
      </c>
      <c r="P330" s="5">
        <v>2214709.36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f>ROUND(P330*1.5%,2)</f>
        <v>33220.639999999999</v>
      </c>
      <c r="AF330" s="48">
        <v>69892.98</v>
      </c>
      <c r="AG330" s="5">
        <v>0</v>
      </c>
      <c r="AH330" s="246">
        <v>2020</v>
      </c>
      <c r="AI330" s="246">
        <v>2020</v>
      </c>
      <c r="AJ330" s="6">
        <v>2020</v>
      </c>
      <c r="AV330" s="2" t="e">
        <f t="shared" si="54"/>
        <v>#N/A</v>
      </c>
      <c r="CB330" s="236"/>
      <c r="CF330" s="2" t="e">
        <f t="shared" si="38"/>
        <v>#N/A</v>
      </c>
    </row>
    <row r="331" spans="1:262" ht="61.5" x14ac:dyDescent="0.85">
      <c r="A331" s="2">
        <v>1</v>
      </c>
      <c r="B331" s="18">
        <f>SUBTOTAL(103,$A$22:A331)</f>
        <v>295</v>
      </c>
      <c r="C331" s="3" t="s">
        <v>1289</v>
      </c>
      <c r="D331" s="5">
        <v>1317002.8400000001</v>
      </c>
      <c r="E331" s="5">
        <f t="shared" si="40"/>
        <v>1268750.5</v>
      </c>
      <c r="F331" s="5">
        <f t="shared" si="55"/>
        <v>48252.34</v>
      </c>
      <c r="G331" s="5">
        <v>0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241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f>ROUND(P331*1.5%,2)</f>
        <v>0</v>
      </c>
      <c r="AF331" s="7">
        <v>48252.34</v>
      </c>
      <c r="AG331" s="5">
        <v>0</v>
      </c>
      <c r="AH331" s="246">
        <v>2020</v>
      </c>
      <c r="AI331" s="6" t="s">
        <v>49</v>
      </c>
      <c r="AJ331" s="6" t="s">
        <v>49</v>
      </c>
      <c r="AV331" s="2" t="e">
        <f t="shared" si="54"/>
        <v>#N/A</v>
      </c>
      <c r="CB331" s="236"/>
      <c r="CF331" s="2" t="e">
        <f t="shared" ref="CF331:CF394" si="56">VLOOKUP(C331,CG:CH,2,FALSE)</f>
        <v>#N/A</v>
      </c>
    </row>
    <row r="332" spans="1:262" ht="61.5" x14ac:dyDescent="0.85">
      <c r="A332" s="2">
        <v>1</v>
      </c>
      <c r="B332" s="18">
        <f>SUBTOTAL(103,$A$22:A332)</f>
        <v>296</v>
      </c>
      <c r="C332" s="3" t="s">
        <v>1290</v>
      </c>
      <c r="D332" s="5">
        <v>1004301.26</v>
      </c>
      <c r="E332" s="5">
        <f t="shared" si="40"/>
        <v>-363871.69999999995</v>
      </c>
      <c r="F332" s="5">
        <f t="shared" si="55"/>
        <v>1368172.96</v>
      </c>
      <c r="G332" s="5">
        <v>0</v>
      </c>
      <c r="H332" s="5">
        <v>0</v>
      </c>
      <c r="I332" s="5">
        <v>0</v>
      </c>
      <c r="J332" s="5">
        <v>0</v>
      </c>
      <c r="K332" s="5">
        <v>0</v>
      </c>
      <c r="L332" s="5">
        <v>0</v>
      </c>
      <c r="M332" s="241">
        <v>0</v>
      </c>
      <c r="N332" s="5">
        <v>0</v>
      </c>
      <c r="O332" s="7">
        <v>296.32</v>
      </c>
      <c r="P332" s="7">
        <v>1291319.8999999999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f>ROUND(P332*1.5%,2)</f>
        <v>19369.8</v>
      </c>
      <c r="AF332" s="48">
        <v>57483.26</v>
      </c>
      <c r="AG332" s="5">
        <v>0</v>
      </c>
      <c r="AH332" s="246">
        <v>2020</v>
      </c>
      <c r="AI332" s="246">
        <v>2020</v>
      </c>
      <c r="AJ332" s="6">
        <v>2020</v>
      </c>
      <c r="AV332" s="2" t="e">
        <f t="shared" si="54"/>
        <v>#N/A</v>
      </c>
      <c r="CB332" s="236"/>
      <c r="CF332" s="2" t="e">
        <f t="shared" si="56"/>
        <v>#N/A</v>
      </c>
    </row>
    <row r="333" spans="1:262" ht="61.5" x14ac:dyDescent="0.85">
      <c r="A333" s="2">
        <v>1</v>
      </c>
      <c r="B333" s="18">
        <f>SUBTOTAL(103,$A$22:A333)</f>
        <v>297</v>
      </c>
      <c r="C333" s="3" t="s">
        <v>1291</v>
      </c>
      <c r="D333" s="5">
        <v>2694274.4</v>
      </c>
      <c r="E333" s="5">
        <f t="shared" si="40"/>
        <v>2612256.7399999998</v>
      </c>
      <c r="F333" s="5">
        <f t="shared" si="55"/>
        <v>82017.66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241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f>ROUND(P333*1.5%,2)</f>
        <v>0</v>
      </c>
      <c r="AF333" s="7">
        <v>82017.66</v>
      </c>
      <c r="AG333" s="5">
        <v>0</v>
      </c>
      <c r="AH333" s="246">
        <v>2020</v>
      </c>
      <c r="AI333" s="6" t="s">
        <v>49</v>
      </c>
      <c r="AJ333" s="6" t="s">
        <v>49</v>
      </c>
      <c r="AV333" s="2" t="e">
        <f t="shared" si="54"/>
        <v>#N/A</v>
      </c>
      <c r="CB333" s="236"/>
      <c r="CF333" s="2" t="e">
        <f t="shared" si="56"/>
        <v>#N/A</v>
      </c>
    </row>
    <row r="334" spans="1:262" s="239" customFormat="1" ht="61.5" x14ac:dyDescent="0.85">
      <c r="A334" s="239">
        <v>1</v>
      </c>
      <c r="B334" s="18">
        <f>SUBTOTAL(103,$A$22:A334)</f>
        <v>298</v>
      </c>
      <c r="C334" s="3" t="s">
        <v>1292</v>
      </c>
      <c r="D334" s="5">
        <v>2857556.7199999997</v>
      </c>
      <c r="E334" s="5">
        <f t="shared" si="40"/>
        <v>35056.950000000186</v>
      </c>
      <c r="F334" s="5">
        <f t="shared" si="55"/>
        <v>2822499.7699999996</v>
      </c>
      <c r="G334" s="249">
        <v>0</v>
      </c>
      <c r="H334" s="249">
        <v>0</v>
      </c>
      <c r="I334" s="5">
        <v>0</v>
      </c>
      <c r="J334" s="249">
        <v>0</v>
      </c>
      <c r="K334" s="249">
        <v>0</v>
      </c>
      <c r="L334" s="249">
        <v>0</v>
      </c>
      <c r="M334" s="25">
        <v>0</v>
      </c>
      <c r="N334" s="5">
        <v>0</v>
      </c>
      <c r="O334" s="5">
        <v>0</v>
      </c>
      <c r="P334" s="5">
        <v>0</v>
      </c>
      <c r="Q334" s="249">
        <v>0</v>
      </c>
      <c r="R334" s="249">
        <v>0</v>
      </c>
      <c r="S334" s="5">
        <v>677.5</v>
      </c>
      <c r="T334" s="5">
        <f>2715326.82+65461.13</f>
        <v>2780787.9499999997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f>ROUND(T334*1.5%,2)</f>
        <v>41711.82</v>
      </c>
      <c r="AF334" s="5">
        <v>0</v>
      </c>
      <c r="AG334" s="5">
        <v>0</v>
      </c>
      <c r="AH334" s="246" t="s">
        <v>49</v>
      </c>
      <c r="AI334" s="246">
        <v>2020</v>
      </c>
      <c r="AJ334" s="6">
        <v>2020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36"/>
      <c r="CC334" s="2"/>
      <c r="CD334" s="2"/>
      <c r="CE334" s="2"/>
      <c r="CF334" s="2" t="e">
        <f t="shared" si="56"/>
        <v>#N/A</v>
      </c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</row>
    <row r="335" spans="1:262" ht="61.5" x14ac:dyDescent="0.85">
      <c r="A335" s="2">
        <v>1</v>
      </c>
      <c r="B335" s="18">
        <f>SUBTOTAL(103,$A$22:A335)</f>
        <v>299</v>
      </c>
      <c r="C335" s="3" t="s">
        <v>1293</v>
      </c>
      <c r="D335" s="5">
        <v>3331286.34</v>
      </c>
      <c r="E335" s="5">
        <f t="shared" si="40"/>
        <v>1028791.3899999997</v>
      </c>
      <c r="F335" s="5">
        <f t="shared" si="55"/>
        <v>2302494.9500000002</v>
      </c>
      <c r="G335" s="249">
        <v>0</v>
      </c>
      <c r="H335" s="249">
        <v>0</v>
      </c>
      <c r="I335" s="5">
        <v>0</v>
      </c>
      <c r="J335" s="249">
        <v>0</v>
      </c>
      <c r="K335" s="7">
        <v>2268467.9300000002</v>
      </c>
      <c r="L335" s="249">
        <v>0</v>
      </c>
      <c r="M335" s="241">
        <v>0</v>
      </c>
      <c r="N335" s="5">
        <v>0</v>
      </c>
      <c r="O335" s="5">
        <v>0</v>
      </c>
      <c r="P335" s="5">
        <v>0</v>
      </c>
      <c r="Q335" s="249">
        <v>0</v>
      </c>
      <c r="R335" s="249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f>ROUND((G335+H335+I335+J335+K335+L335)*1.5%,2)</f>
        <v>34027.019999999997</v>
      </c>
      <c r="AF335" s="5">
        <v>0</v>
      </c>
      <c r="AG335" s="5">
        <v>0</v>
      </c>
      <c r="AH335" s="246" t="s">
        <v>49</v>
      </c>
      <c r="AI335" s="246">
        <v>2020</v>
      </c>
      <c r="AJ335" s="6">
        <v>2020</v>
      </c>
      <c r="CB335" s="236"/>
      <c r="CF335" s="2" t="e">
        <f t="shared" si="56"/>
        <v>#N/A</v>
      </c>
    </row>
    <row r="336" spans="1:262" ht="61.5" x14ac:dyDescent="0.85">
      <c r="A336" s="2">
        <v>1</v>
      </c>
      <c r="B336" s="18">
        <f>SUBTOTAL(103,$A$22:A336)</f>
        <v>300</v>
      </c>
      <c r="C336" s="3" t="s">
        <v>1294</v>
      </c>
      <c r="D336" s="5">
        <v>3210077.19</v>
      </c>
      <c r="E336" s="5">
        <f t="shared" si="40"/>
        <v>305197.2200000002</v>
      </c>
      <c r="F336" s="5">
        <f t="shared" si="55"/>
        <v>2904879.9699999997</v>
      </c>
      <c r="G336" s="249">
        <v>0</v>
      </c>
      <c r="H336" s="249">
        <v>0</v>
      </c>
      <c r="I336" s="5">
        <v>0</v>
      </c>
      <c r="J336" s="249">
        <v>0</v>
      </c>
      <c r="K336" s="249">
        <v>0</v>
      </c>
      <c r="L336" s="249">
        <v>0</v>
      </c>
      <c r="M336" s="241">
        <v>0</v>
      </c>
      <c r="N336" s="5">
        <v>0</v>
      </c>
      <c r="O336" s="5">
        <v>0</v>
      </c>
      <c r="P336" s="5">
        <v>0</v>
      </c>
      <c r="Q336" s="249">
        <v>0</v>
      </c>
      <c r="R336" s="249">
        <v>0</v>
      </c>
      <c r="S336" s="7">
        <v>755</v>
      </c>
      <c r="T336" s="7">
        <v>2861950.71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f>ROUND(T336*1.5%,2)</f>
        <v>42929.26</v>
      </c>
      <c r="AF336" s="5">
        <v>0</v>
      </c>
      <c r="AG336" s="5">
        <v>0</v>
      </c>
      <c r="AH336" s="246" t="s">
        <v>49</v>
      </c>
      <c r="AI336" s="246">
        <v>2020</v>
      </c>
      <c r="AJ336" s="6">
        <v>2020</v>
      </c>
      <c r="CB336" s="236"/>
      <c r="CF336" s="2" t="e">
        <f t="shared" si="56"/>
        <v>#N/A</v>
      </c>
    </row>
    <row r="337" spans="1:262" ht="61.5" x14ac:dyDescent="0.85">
      <c r="A337" s="2">
        <v>1</v>
      </c>
      <c r="B337" s="18">
        <f>SUBTOTAL(103,$A$22:A337)</f>
        <v>301</v>
      </c>
      <c r="C337" s="3" t="s">
        <v>1036</v>
      </c>
      <c r="D337" s="5">
        <v>1787601.6700000002</v>
      </c>
      <c r="E337" s="5">
        <f t="shared" si="40"/>
        <v>-95292.929999999702</v>
      </c>
      <c r="F337" s="5">
        <f t="shared" si="55"/>
        <v>1882894.5999999999</v>
      </c>
      <c r="G337" s="249">
        <v>0</v>
      </c>
      <c r="H337" s="249">
        <v>0</v>
      </c>
      <c r="I337" s="5">
        <v>0</v>
      </c>
      <c r="J337" s="249">
        <v>0</v>
      </c>
      <c r="K337" s="249">
        <v>0</v>
      </c>
      <c r="L337" s="249">
        <v>0</v>
      </c>
      <c r="M337" s="241">
        <v>0</v>
      </c>
      <c r="N337" s="5">
        <v>0</v>
      </c>
      <c r="O337" s="5">
        <v>374.3</v>
      </c>
      <c r="P337" s="5">
        <f>1642957.31+93884.66</f>
        <v>1736841.97</v>
      </c>
      <c r="Q337" s="249">
        <v>0</v>
      </c>
      <c r="R337" s="249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f>ROUND(P337*1.5%,2)</f>
        <v>26052.63</v>
      </c>
      <c r="AF337" s="5">
        <v>0</v>
      </c>
      <c r="AG337" s="5">
        <v>120000</v>
      </c>
      <c r="AH337" s="246" t="s">
        <v>49</v>
      </c>
      <c r="AI337" s="246">
        <v>2020</v>
      </c>
      <c r="AJ337" s="6">
        <v>2020</v>
      </c>
      <c r="CB337" s="236"/>
      <c r="CF337" s="2">
        <f t="shared" si="56"/>
        <v>374.3</v>
      </c>
    </row>
    <row r="338" spans="1:262" ht="61.5" x14ac:dyDescent="0.85">
      <c r="A338" s="2">
        <v>1</v>
      </c>
      <c r="B338" s="18">
        <f>SUBTOTAL(103,$A$22:A338)</f>
        <v>302</v>
      </c>
      <c r="C338" s="3" t="s">
        <v>1038</v>
      </c>
      <c r="D338" s="5">
        <v>1422703.04</v>
      </c>
      <c r="E338" s="5">
        <f t="shared" si="40"/>
        <v>105.12999999988824</v>
      </c>
      <c r="F338" s="5">
        <f t="shared" si="55"/>
        <v>1422597.9100000001</v>
      </c>
      <c r="G338" s="249">
        <v>0</v>
      </c>
      <c r="H338" s="249">
        <v>0</v>
      </c>
      <c r="I338" s="5">
        <v>0</v>
      </c>
      <c r="J338" s="249">
        <v>0</v>
      </c>
      <c r="K338" s="249">
        <v>0</v>
      </c>
      <c r="L338" s="249">
        <v>0</v>
      </c>
      <c r="M338" s="241">
        <v>0</v>
      </c>
      <c r="N338" s="5">
        <v>0</v>
      </c>
      <c r="O338" s="7">
        <v>327.87</v>
      </c>
      <c r="P338" s="48">
        <v>1401677.87</v>
      </c>
      <c r="Q338" s="249">
        <v>0</v>
      </c>
      <c r="R338" s="249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7">
        <v>20920.04</v>
      </c>
      <c r="AF338" s="5">
        <v>0</v>
      </c>
      <c r="AG338" s="5">
        <v>0</v>
      </c>
      <c r="AH338" s="246" t="s">
        <v>49</v>
      </c>
      <c r="AI338" s="246">
        <v>2020</v>
      </c>
      <c r="AJ338" s="6">
        <v>2020</v>
      </c>
      <c r="CB338" s="236"/>
      <c r="CF338" s="2">
        <f t="shared" si="56"/>
        <v>329.1</v>
      </c>
    </row>
    <row r="339" spans="1:262" ht="61.5" x14ac:dyDescent="0.85">
      <c r="A339" s="2">
        <v>1</v>
      </c>
      <c r="B339" s="18">
        <f>SUBTOTAL(103,$A$22:A339)</f>
        <v>303</v>
      </c>
      <c r="C339" s="3" t="s">
        <v>1040</v>
      </c>
      <c r="D339" s="5">
        <v>2288459.5900000003</v>
      </c>
      <c r="E339" s="5">
        <f t="shared" ref="E339:E402" si="57">D339-F339</f>
        <v>403.81000000052154</v>
      </c>
      <c r="F339" s="5">
        <f t="shared" si="55"/>
        <v>2288055.7799999998</v>
      </c>
      <c r="G339" s="249">
        <v>0</v>
      </c>
      <c r="H339" s="249">
        <v>0</v>
      </c>
      <c r="I339" s="5">
        <v>0</v>
      </c>
      <c r="J339" s="249">
        <v>0</v>
      </c>
      <c r="K339" s="249">
        <v>0</v>
      </c>
      <c r="L339" s="249">
        <v>0</v>
      </c>
      <c r="M339" s="241">
        <v>0</v>
      </c>
      <c r="N339" s="5">
        <v>0</v>
      </c>
      <c r="O339" s="7">
        <v>600.53</v>
      </c>
      <c r="P339" s="7">
        <v>2254408.73</v>
      </c>
      <c r="Q339" s="249">
        <v>0</v>
      </c>
      <c r="R339" s="249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7">
        <v>33647.050000000003</v>
      </c>
      <c r="AF339" s="5">
        <v>0</v>
      </c>
      <c r="AG339" s="5">
        <v>0</v>
      </c>
      <c r="AH339" s="246" t="s">
        <v>49</v>
      </c>
      <c r="AI339" s="246">
        <v>2020</v>
      </c>
      <c r="AJ339" s="6">
        <v>2020</v>
      </c>
      <c r="CB339" s="236"/>
      <c r="CF339" s="2">
        <f t="shared" si="56"/>
        <v>611</v>
      </c>
    </row>
    <row r="340" spans="1:262" ht="61.5" x14ac:dyDescent="0.85">
      <c r="A340" s="2">
        <v>1</v>
      </c>
      <c r="B340" s="18">
        <f>SUBTOTAL(103,$A$22:A340)</f>
        <v>304</v>
      </c>
      <c r="C340" s="3" t="s">
        <v>1042</v>
      </c>
      <c r="D340" s="5">
        <v>2836351.9</v>
      </c>
      <c r="E340" s="5">
        <f t="shared" si="57"/>
        <v>476169.95999999996</v>
      </c>
      <c r="F340" s="5">
        <f t="shared" si="55"/>
        <v>2360181.94</v>
      </c>
      <c r="G340" s="249">
        <v>0</v>
      </c>
      <c r="H340" s="249">
        <v>0</v>
      </c>
      <c r="I340" s="5">
        <v>0</v>
      </c>
      <c r="J340" s="249">
        <v>0</v>
      </c>
      <c r="K340" s="249">
        <v>0</v>
      </c>
      <c r="L340" s="249">
        <v>0</v>
      </c>
      <c r="M340" s="241">
        <v>0</v>
      </c>
      <c r="N340" s="5">
        <v>0</v>
      </c>
      <c r="O340" s="7">
        <v>630.69000000000005</v>
      </c>
      <c r="P340" s="7">
        <v>2325302.4</v>
      </c>
      <c r="Q340" s="249">
        <v>0</v>
      </c>
      <c r="R340" s="249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f>ROUND(P340*1.5%,2)</f>
        <v>34879.54</v>
      </c>
      <c r="AF340" s="5">
        <v>0</v>
      </c>
      <c r="AG340" s="5">
        <v>0</v>
      </c>
      <c r="AH340" s="246" t="s">
        <v>49</v>
      </c>
      <c r="AI340" s="246">
        <v>2020</v>
      </c>
      <c r="AJ340" s="6">
        <v>2020</v>
      </c>
      <c r="CB340" s="236"/>
      <c r="CF340" s="2">
        <f t="shared" si="56"/>
        <v>606</v>
      </c>
    </row>
    <row r="341" spans="1:262" ht="61.5" x14ac:dyDescent="0.85">
      <c r="A341" s="2">
        <v>1</v>
      </c>
      <c r="B341" s="18">
        <f>SUBTOTAL(103,$A$22:A341)</f>
        <v>305</v>
      </c>
      <c r="C341" s="3" t="s">
        <v>1164</v>
      </c>
      <c r="D341" s="5">
        <v>2304536.62</v>
      </c>
      <c r="E341" s="5">
        <f t="shared" si="57"/>
        <v>0</v>
      </c>
      <c r="F341" s="5">
        <f t="shared" si="55"/>
        <v>2304536.62</v>
      </c>
      <c r="G341" s="249">
        <v>0</v>
      </c>
      <c r="H341" s="249">
        <v>0</v>
      </c>
      <c r="I341" s="5">
        <v>0</v>
      </c>
      <c r="J341" s="249">
        <v>0</v>
      </c>
      <c r="K341" s="249">
        <v>0</v>
      </c>
      <c r="L341" s="249">
        <v>0</v>
      </c>
      <c r="M341" s="241">
        <v>0</v>
      </c>
      <c r="N341" s="5">
        <v>0</v>
      </c>
      <c r="O341" s="7">
        <v>592.07000000000005</v>
      </c>
      <c r="P341" s="7">
        <v>2270479.4300000002</v>
      </c>
      <c r="Q341" s="249">
        <v>0</v>
      </c>
      <c r="R341" s="249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f>ROUND(P341*1.5%,2)</f>
        <v>34057.19</v>
      </c>
      <c r="AF341" s="5">
        <v>0</v>
      </c>
      <c r="AG341" s="5">
        <v>0</v>
      </c>
      <c r="AH341" s="246" t="s">
        <v>49</v>
      </c>
      <c r="AI341" s="246">
        <v>2020</v>
      </c>
      <c r="AJ341" s="6">
        <v>2020</v>
      </c>
      <c r="CB341" s="236"/>
      <c r="CF341" s="2">
        <f t="shared" si="56"/>
        <v>592.07000000000005</v>
      </c>
    </row>
    <row r="342" spans="1:262" ht="61.5" x14ac:dyDescent="0.85">
      <c r="A342" s="2">
        <v>1</v>
      </c>
      <c r="B342" s="18">
        <f>SUBTOTAL(103,$A$22:A342)</f>
        <v>306</v>
      </c>
      <c r="C342" s="3" t="s">
        <v>1295</v>
      </c>
      <c r="D342" s="5">
        <v>1456376.84</v>
      </c>
      <c r="E342" s="5">
        <f t="shared" si="57"/>
        <v>1415773.2100000002</v>
      </c>
      <c r="F342" s="5">
        <f t="shared" si="55"/>
        <v>40603.629999999997</v>
      </c>
      <c r="G342" s="249">
        <v>0</v>
      </c>
      <c r="H342" s="249">
        <v>0</v>
      </c>
      <c r="I342" s="5">
        <v>0</v>
      </c>
      <c r="J342" s="249">
        <v>0</v>
      </c>
      <c r="K342" s="249">
        <v>0</v>
      </c>
      <c r="L342" s="249">
        <v>0</v>
      </c>
      <c r="M342" s="241">
        <v>0</v>
      </c>
      <c r="N342" s="5">
        <v>0</v>
      </c>
      <c r="O342" s="5">
        <v>0</v>
      </c>
      <c r="P342" s="5">
        <v>0</v>
      </c>
      <c r="Q342" s="249">
        <v>0</v>
      </c>
      <c r="R342" s="249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f>ROUND(T342*1.5%,2)</f>
        <v>0</v>
      </c>
      <c r="AF342" s="5">
        <v>40603.629999999997</v>
      </c>
      <c r="AG342" s="5">
        <v>0</v>
      </c>
      <c r="AH342" s="246">
        <v>2020</v>
      </c>
      <c r="AI342" s="6" t="s">
        <v>49</v>
      </c>
      <c r="AJ342" s="6" t="s">
        <v>49</v>
      </c>
      <c r="CB342" s="236"/>
      <c r="CF342" s="2" t="e">
        <f t="shared" si="56"/>
        <v>#N/A</v>
      </c>
    </row>
    <row r="343" spans="1:262" s="239" customFormat="1" ht="61.5" x14ac:dyDescent="0.85">
      <c r="A343" s="239">
        <v>1</v>
      </c>
      <c r="B343" s="18">
        <f>SUBTOTAL(103,$A$22:A343)</f>
        <v>307</v>
      </c>
      <c r="C343" s="3" t="s">
        <v>1296</v>
      </c>
      <c r="D343" s="5">
        <v>2392099.6100000003</v>
      </c>
      <c r="E343" s="5">
        <f t="shared" si="57"/>
        <v>2302763.91</v>
      </c>
      <c r="F343" s="5">
        <f>G343+H343+I343+J343+K343+L343+N343+P343+R343+T343+V343+W343+X343+Y343+Z343+AA343+AB343+AC343+AD343+AE343+AF343+AG343</f>
        <v>89335.7</v>
      </c>
      <c r="G343" s="249">
        <v>0</v>
      </c>
      <c r="H343" s="249">
        <v>0</v>
      </c>
      <c r="I343" s="5">
        <v>0</v>
      </c>
      <c r="J343" s="249">
        <v>0</v>
      </c>
      <c r="K343" s="249">
        <v>0</v>
      </c>
      <c r="L343" s="249">
        <v>0</v>
      </c>
      <c r="M343" s="25">
        <v>0</v>
      </c>
      <c r="N343" s="5">
        <v>0</v>
      </c>
      <c r="O343" s="5">
        <v>0</v>
      </c>
      <c r="P343" s="5">
        <v>0</v>
      </c>
      <c r="Q343" s="249">
        <v>0</v>
      </c>
      <c r="R343" s="249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f>ROUND(P343*1.5%,2)</f>
        <v>0</v>
      </c>
      <c r="AF343" s="5">
        <v>89335.7</v>
      </c>
      <c r="AG343" s="5">
        <v>0</v>
      </c>
      <c r="AH343" s="246">
        <v>2020</v>
      </c>
      <c r="AI343" s="6" t="s">
        <v>49</v>
      </c>
      <c r="AJ343" s="6" t="s">
        <v>49</v>
      </c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36"/>
      <c r="CC343" s="2"/>
      <c r="CD343" s="2"/>
      <c r="CE343" s="2"/>
      <c r="CF343" s="2" t="e">
        <f t="shared" si="56"/>
        <v>#N/A</v>
      </c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</row>
    <row r="344" spans="1:262" ht="61.5" x14ac:dyDescent="0.85">
      <c r="B344" s="3" t="s">
        <v>102</v>
      </c>
      <c r="C344" s="3"/>
      <c r="D344" s="244">
        <v>4160433.67</v>
      </c>
      <c r="E344" s="233">
        <f t="shared" si="57"/>
        <v>1900027.6799999997</v>
      </c>
      <c r="F344" s="244">
        <f t="shared" ref="F344:AG344" si="58">SUM(F345:F349)</f>
        <v>2260405.9900000002</v>
      </c>
      <c r="G344" s="5">
        <f t="shared" si="58"/>
        <v>0</v>
      </c>
      <c r="H344" s="5">
        <f t="shared" si="58"/>
        <v>0</v>
      </c>
      <c r="I344" s="5">
        <f t="shared" si="58"/>
        <v>0</v>
      </c>
      <c r="J344" s="5">
        <f t="shared" si="58"/>
        <v>0</v>
      </c>
      <c r="K344" s="5">
        <f t="shared" si="58"/>
        <v>0</v>
      </c>
      <c r="L344" s="5">
        <f t="shared" si="58"/>
        <v>0</v>
      </c>
      <c r="M344" s="241">
        <f t="shared" si="58"/>
        <v>0</v>
      </c>
      <c r="N344" s="5">
        <f t="shared" si="58"/>
        <v>0</v>
      </c>
      <c r="O344" s="5">
        <f t="shared" si="58"/>
        <v>568.76</v>
      </c>
      <c r="P344" s="5">
        <f t="shared" si="58"/>
        <v>2126707.66</v>
      </c>
      <c r="Q344" s="5">
        <f t="shared" si="58"/>
        <v>0</v>
      </c>
      <c r="R344" s="5">
        <f t="shared" si="58"/>
        <v>0</v>
      </c>
      <c r="S344" s="5">
        <f t="shared" si="58"/>
        <v>0</v>
      </c>
      <c r="T344" s="5">
        <f t="shared" si="58"/>
        <v>0</v>
      </c>
      <c r="U344" s="5">
        <f t="shared" si="58"/>
        <v>0</v>
      </c>
      <c r="V344" s="5">
        <f t="shared" si="58"/>
        <v>0</v>
      </c>
      <c r="W344" s="5">
        <f t="shared" si="58"/>
        <v>0</v>
      </c>
      <c r="X344" s="5">
        <f t="shared" si="58"/>
        <v>0</v>
      </c>
      <c r="Y344" s="5">
        <f t="shared" si="58"/>
        <v>0</v>
      </c>
      <c r="Z344" s="5">
        <f t="shared" si="58"/>
        <v>0</v>
      </c>
      <c r="AA344" s="5">
        <f t="shared" si="58"/>
        <v>0</v>
      </c>
      <c r="AB344" s="5">
        <f t="shared" si="58"/>
        <v>0</v>
      </c>
      <c r="AC344" s="5">
        <f t="shared" si="58"/>
        <v>0</v>
      </c>
      <c r="AD344" s="5">
        <f t="shared" si="58"/>
        <v>0</v>
      </c>
      <c r="AE344" s="5">
        <f t="shared" si="58"/>
        <v>31900.61</v>
      </c>
      <c r="AF344" s="5">
        <f t="shared" si="58"/>
        <v>101797.72</v>
      </c>
      <c r="AG344" s="5">
        <f t="shared" si="58"/>
        <v>0</v>
      </c>
      <c r="AH344" s="23" t="s">
        <v>90</v>
      </c>
      <c r="AI344" s="23" t="s">
        <v>90</v>
      </c>
      <c r="AJ344" s="27" t="s">
        <v>90</v>
      </c>
      <c r="AV344" s="2" t="e">
        <f>VLOOKUP(C344,AY:AZ,2,FALSE)</f>
        <v>#N/A</v>
      </c>
      <c r="CB344" s="236">
        <v>4925031.5999999996</v>
      </c>
      <c r="CD344" s="236">
        <f>CB344-F344</f>
        <v>2664625.6099999994</v>
      </c>
      <c r="CF344" s="2" t="e">
        <f t="shared" si="56"/>
        <v>#N/A</v>
      </c>
    </row>
    <row r="345" spans="1:262" ht="61.5" x14ac:dyDescent="0.85">
      <c r="A345" s="2">
        <v>1</v>
      </c>
      <c r="B345" s="18">
        <f>SUBTOTAL(103,$A$22:A345)</f>
        <v>308</v>
      </c>
      <c r="C345" s="3" t="s">
        <v>1297</v>
      </c>
      <c r="D345" s="5">
        <v>9547.9500000000007</v>
      </c>
      <c r="E345" s="5">
        <f t="shared" si="57"/>
        <v>0</v>
      </c>
      <c r="F345" s="5">
        <f t="shared" ref="F345:F349" si="59">G345+H345+I345+J345+K345+L345+N345+P345+R345+T345+V345+W345+X345+Y345+Z345+AA345+AB345+AC345+AD345+AE345+AF345+AG345</f>
        <v>9547.9500000000007</v>
      </c>
      <c r="G345" s="5">
        <v>0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241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f>ROUND((G345+H345+I345+J345+K345+L345)*1.5%,2)</f>
        <v>0</v>
      </c>
      <c r="AF345" s="7">
        <v>9547.9500000000007</v>
      </c>
      <c r="AG345" s="5">
        <v>0</v>
      </c>
      <c r="AH345" s="246">
        <v>2020</v>
      </c>
      <c r="AI345" s="246" t="s">
        <v>49</v>
      </c>
      <c r="AJ345" s="6" t="s">
        <v>49</v>
      </c>
      <c r="AV345" s="2" t="e">
        <f>VLOOKUP(C345,AY:AZ,2,FALSE)</f>
        <v>#N/A</v>
      </c>
      <c r="CB345" s="236"/>
      <c r="CF345" s="2" t="e">
        <f t="shared" si="56"/>
        <v>#N/A</v>
      </c>
    </row>
    <row r="346" spans="1:262" ht="61.5" x14ac:dyDescent="0.85">
      <c r="A346" s="2">
        <v>1</v>
      </c>
      <c r="B346" s="18">
        <f>SUBTOTAL(103,$A$22:A346)</f>
        <v>309</v>
      </c>
      <c r="C346" s="3" t="s">
        <v>1298</v>
      </c>
      <c r="D346" s="5">
        <v>167945.43</v>
      </c>
      <c r="E346" s="5">
        <f t="shared" si="57"/>
        <v>136194.91</v>
      </c>
      <c r="F346" s="5">
        <f t="shared" si="59"/>
        <v>31750.52</v>
      </c>
      <c r="G346" s="5">
        <v>0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241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f>ROUND((G346+H346+I346+J346+K346+L346)*1.5%,2)</f>
        <v>0</v>
      </c>
      <c r="AF346" s="5">
        <v>31750.52</v>
      </c>
      <c r="AG346" s="5">
        <v>0</v>
      </c>
      <c r="AH346" s="246">
        <v>2020</v>
      </c>
      <c r="AI346" s="246" t="s">
        <v>49</v>
      </c>
      <c r="AJ346" s="6" t="s">
        <v>49</v>
      </c>
      <c r="AV346" s="2" t="e">
        <f>VLOOKUP(C346,AY:AZ,2,FALSE)</f>
        <v>#N/A</v>
      </c>
      <c r="CB346" s="236"/>
      <c r="CF346" s="2" t="e">
        <f t="shared" si="56"/>
        <v>#N/A</v>
      </c>
    </row>
    <row r="347" spans="1:262" ht="61.5" x14ac:dyDescent="0.85">
      <c r="A347" s="2">
        <v>1</v>
      </c>
      <c r="B347" s="18">
        <f>SUBTOTAL(103,$A$22:A347)</f>
        <v>310</v>
      </c>
      <c r="C347" s="3" t="s">
        <v>1299</v>
      </c>
      <c r="D347" s="5">
        <v>1440513.25</v>
      </c>
      <c r="E347" s="5">
        <f t="shared" si="57"/>
        <v>1380014</v>
      </c>
      <c r="F347" s="5">
        <f t="shared" si="59"/>
        <v>60499.25</v>
      </c>
      <c r="G347" s="5">
        <v>0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241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f>ROUND(T347*1.5%,2)</f>
        <v>0</v>
      </c>
      <c r="AF347" s="37">
        <v>60499.25</v>
      </c>
      <c r="AG347" s="5">
        <v>0</v>
      </c>
      <c r="AH347" s="246">
        <v>2020</v>
      </c>
      <c r="AI347" s="246" t="s">
        <v>49</v>
      </c>
      <c r="AJ347" s="6" t="s">
        <v>49</v>
      </c>
      <c r="AV347" s="2" t="e">
        <f>VLOOKUP(C347,AY:AZ,2,FALSE)</f>
        <v>#N/A</v>
      </c>
      <c r="CB347" s="236"/>
      <c r="CF347" s="2" t="e">
        <f t="shared" si="56"/>
        <v>#N/A</v>
      </c>
    </row>
    <row r="348" spans="1:262" ht="61.5" x14ac:dyDescent="0.85">
      <c r="A348" s="2">
        <v>1</v>
      </c>
      <c r="B348" s="18">
        <f>SUBTOTAL(103,$A$22:A348)</f>
        <v>311</v>
      </c>
      <c r="C348" s="3" t="s">
        <v>1044</v>
      </c>
      <c r="D348" s="5">
        <v>944609.1</v>
      </c>
      <c r="E348" s="5">
        <f t="shared" si="57"/>
        <v>0</v>
      </c>
      <c r="F348" s="5">
        <f t="shared" si="59"/>
        <v>944609.1</v>
      </c>
      <c r="G348" s="5">
        <v>0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241">
        <v>0</v>
      </c>
      <c r="N348" s="5">
        <v>0</v>
      </c>
      <c r="O348" s="7">
        <v>259.76</v>
      </c>
      <c r="P348" s="7">
        <v>930649.36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f>ROUND(P348*1.5%,2)</f>
        <v>13959.74</v>
      </c>
      <c r="AF348" s="5">
        <v>0</v>
      </c>
      <c r="AG348" s="5">
        <v>0</v>
      </c>
      <c r="AH348" s="246" t="s">
        <v>49</v>
      </c>
      <c r="AI348" s="246">
        <v>2020</v>
      </c>
      <c r="AJ348" s="6">
        <v>2020</v>
      </c>
      <c r="CB348" s="236"/>
      <c r="CF348" s="2">
        <f t="shared" si="56"/>
        <v>249</v>
      </c>
    </row>
    <row r="349" spans="1:262" ht="61.5" x14ac:dyDescent="0.85">
      <c r="A349" s="2">
        <v>1</v>
      </c>
      <c r="B349" s="18">
        <f>SUBTOTAL(103,$A$22:A349)</f>
        <v>312</v>
      </c>
      <c r="C349" s="3" t="s">
        <v>1046</v>
      </c>
      <c r="D349" s="5">
        <v>1213999.1700000002</v>
      </c>
      <c r="E349" s="5">
        <f t="shared" si="57"/>
        <v>0</v>
      </c>
      <c r="F349" s="5">
        <f t="shared" si="59"/>
        <v>1213999.1700000002</v>
      </c>
      <c r="G349" s="5">
        <v>0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241">
        <v>0</v>
      </c>
      <c r="N349" s="5">
        <v>0</v>
      </c>
      <c r="O349" s="7">
        <v>309</v>
      </c>
      <c r="P349" s="7">
        <v>1196058.3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f>ROUND(P349*1.5%,2)</f>
        <v>17940.87</v>
      </c>
      <c r="AF349" s="5">
        <v>0</v>
      </c>
      <c r="AG349" s="5">
        <v>0</v>
      </c>
      <c r="AH349" s="246" t="s">
        <v>49</v>
      </c>
      <c r="AI349" s="246">
        <v>2020</v>
      </c>
      <c r="AJ349" s="6">
        <v>2020</v>
      </c>
      <c r="CB349" s="236"/>
      <c r="CF349" s="2">
        <f t="shared" si="56"/>
        <v>309</v>
      </c>
    </row>
    <row r="350" spans="1:262" ht="61.5" x14ac:dyDescent="0.85">
      <c r="B350" s="3" t="s">
        <v>1300</v>
      </c>
      <c r="C350" s="3"/>
      <c r="D350" s="244">
        <v>4763676.91</v>
      </c>
      <c r="E350" s="233">
        <f t="shared" si="57"/>
        <v>334151.02999999933</v>
      </c>
      <c r="F350" s="244">
        <f>SUM(F351:F352)</f>
        <v>4429525.8800000008</v>
      </c>
      <c r="G350" s="5">
        <f t="shared" ref="G350:AG350" si="60">SUM(G351:G352)</f>
        <v>0</v>
      </c>
      <c r="H350" s="5">
        <f t="shared" si="60"/>
        <v>0</v>
      </c>
      <c r="I350" s="5">
        <f t="shared" si="60"/>
        <v>0</v>
      </c>
      <c r="J350" s="5">
        <f t="shared" si="60"/>
        <v>0</v>
      </c>
      <c r="K350" s="5">
        <f t="shared" si="60"/>
        <v>0</v>
      </c>
      <c r="L350" s="5">
        <f t="shared" si="60"/>
        <v>0</v>
      </c>
      <c r="M350" s="241">
        <f t="shared" si="60"/>
        <v>0</v>
      </c>
      <c r="N350" s="5">
        <f t="shared" si="60"/>
        <v>0</v>
      </c>
      <c r="O350" s="5">
        <f t="shared" si="60"/>
        <v>0</v>
      </c>
      <c r="P350" s="5">
        <f t="shared" si="60"/>
        <v>0</v>
      </c>
      <c r="Q350" s="5">
        <f t="shared" si="60"/>
        <v>0</v>
      </c>
      <c r="R350" s="5">
        <f t="shared" si="60"/>
        <v>0</v>
      </c>
      <c r="S350" s="5">
        <f t="shared" si="60"/>
        <v>1137.67</v>
      </c>
      <c r="T350" s="5">
        <f t="shared" si="60"/>
        <v>4285584.68</v>
      </c>
      <c r="U350" s="5">
        <f t="shared" si="60"/>
        <v>0</v>
      </c>
      <c r="V350" s="5">
        <f t="shared" si="60"/>
        <v>0</v>
      </c>
      <c r="W350" s="5">
        <f t="shared" si="60"/>
        <v>0</v>
      </c>
      <c r="X350" s="5">
        <f t="shared" si="60"/>
        <v>0</v>
      </c>
      <c r="Y350" s="5">
        <f t="shared" si="60"/>
        <v>0</v>
      </c>
      <c r="Z350" s="5">
        <f t="shared" si="60"/>
        <v>0</v>
      </c>
      <c r="AA350" s="5">
        <f t="shared" si="60"/>
        <v>0</v>
      </c>
      <c r="AB350" s="5">
        <f t="shared" si="60"/>
        <v>0</v>
      </c>
      <c r="AC350" s="5">
        <f t="shared" si="60"/>
        <v>0</v>
      </c>
      <c r="AD350" s="5">
        <f t="shared" si="60"/>
        <v>0</v>
      </c>
      <c r="AE350" s="5">
        <f t="shared" si="60"/>
        <v>64283.78</v>
      </c>
      <c r="AF350" s="5">
        <f t="shared" si="60"/>
        <v>79657.42</v>
      </c>
      <c r="AG350" s="5">
        <f t="shared" si="60"/>
        <v>0</v>
      </c>
      <c r="AH350" s="23" t="s">
        <v>90</v>
      </c>
      <c r="AI350" s="23" t="s">
        <v>90</v>
      </c>
      <c r="AJ350" s="27" t="s">
        <v>90</v>
      </c>
      <c r="AV350" s="2" t="e">
        <f>VLOOKUP(C350,AY:AZ,2,FALSE)</f>
        <v>#N/A</v>
      </c>
      <c r="CB350" s="236">
        <v>5532352.54</v>
      </c>
      <c r="CD350" s="236">
        <f>CB350-F350</f>
        <v>1102826.6599999992</v>
      </c>
      <c r="CF350" s="2" t="e">
        <f t="shared" si="56"/>
        <v>#N/A</v>
      </c>
    </row>
    <row r="351" spans="1:262" ht="61.5" x14ac:dyDescent="0.85">
      <c r="A351" s="2">
        <v>1</v>
      </c>
      <c r="B351" s="18">
        <f>SUBTOTAL(103,$A$22:A351)</f>
        <v>313</v>
      </c>
      <c r="C351" s="3" t="s">
        <v>1301</v>
      </c>
      <c r="D351" s="5">
        <v>2286802.33</v>
      </c>
      <c r="E351" s="5">
        <f t="shared" si="57"/>
        <v>0</v>
      </c>
      <c r="F351" s="5">
        <f>G351+H351+I351+J351+K351+L351+N351+P351+R351+T351+V351+W351+X351+Y351+Z351+AA351+AB351+AC351+AD351+AE351+AF351+AG351</f>
        <v>2286802.33</v>
      </c>
      <c r="G351" s="5">
        <v>0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241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490.6</v>
      </c>
      <c r="T351" s="5">
        <v>2174527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f>ROUND(T351*1.5%,2)</f>
        <v>32617.91</v>
      </c>
      <c r="AF351" s="7">
        <v>79657.42</v>
      </c>
      <c r="AG351" s="5">
        <v>0</v>
      </c>
      <c r="AH351" s="246">
        <v>2020</v>
      </c>
      <c r="AI351" s="246">
        <v>2020</v>
      </c>
      <c r="AJ351" s="6">
        <v>2020</v>
      </c>
      <c r="AV351" s="2" t="e">
        <f>VLOOKUP(C351,AY:AZ,2,FALSE)</f>
        <v>#N/A</v>
      </c>
      <c r="CB351" s="236"/>
      <c r="CF351" s="2" t="e">
        <f t="shared" si="56"/>
        <v>#N/A</v>
      </c>
    </row>
    <row r="352" spans="1:262" ht="61.5" x14ac:dyDescent="0.85">
      <c r="A352" s="2">
        <v>1</v>
      </c>
      <c r="B352" s="18">
        <f>SUBTOTAL(103,$A$22:A352)</f>
        <v>314</v>
      </c>
      <c r="C352" s="3" t="s">
        <v>1302</v>
      </c>
      <c r="D352" s="5">
        <v>2476874.58</v>
      </c>
      <c r="E352" s="5">
        <f t="shared" si="57"/>
        <v>334151.0299999998</v>
      </c>
      <c r="F352" s="5">
        <f>G352+H352+I352+J352+K352+L352+N352+P352+R352+T352+V352+W352+X352+Y352+Z352+AA352+AB352+AC352+AD352+AE352+AF352+AG352</f>
        <v>2142723.5500000003</v>
      </c>
      <c r="G352" s="249">
        <v>0</v>
      </c>
      <c r="H352" s="249">
        <v>0</v>
      </c>
      <c r="I352" s="5">
        <v>0</v>
      </c>
      <c r="J352" s="249">
        <v>0</v>
      </c>
      <c r="K352" s="249">
        <v>0</v>
      </c>
      <c r="L352" s="249">
        <v>0</v>
      </c>
      <c r="M352" s="241">
        <v>0</v>
      </c>
      <c r="N352" s="5">
        <v>0</v>
      </c>
      <c r="O352" s="5">
        <v>0</v>
      </c>
      <c r="P352" s="5">
        <v>0</v>
      </c>
      <c r="Q352" s="249">
        <v>0</v>
      </c>
      <c r="R352" s="249">
        <v>0</v>
      </c>
      <c r="S352" s="7">
        <v>647.07000000000005</v>
      </c>
      <c r="T352" s="7">
        <v>2111057.6800000002</v>
      </c>
      <c r="U352" s="5">
        <v>0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f>ROUND(T352*1.5%,2)</f>
        <v>31665.87</v>
      </c>
      <c r="AF352" s="5">
        <v>0</v>
      </c>
      <c r="AG352" s="5">
        <v>0</v>
      </c>
      <c r="AH352" s="246" t="s">
        <v>49</v>
      </c>
      <c r="AI352" s="246">
        <v>2020</v>
      </c>
      <c r="AJ352" s="6">
        <v>2020</v>
      </c>
      <c r="CB352" s="236"/>
      <c r="CF352" s="2" t="e">
        <f t="shared" si="56"/>
        <v>#N/A</v>
      </c>
    </row>
    <row r="353" spans="1:84" ht="61.5" x14ac:dyDescent="0.85">
      <c r="B353" s="3" t="s">
        <v>1303</v>
      </c>
      <c r="C353" s="446"/>
      <c r="D353" s="233">
        <v>7840990.7699999996</v>
      </c>
      <c r="E353" s="233">
        <f t="shared" si="57"/>
        <v>0</v>
      </c>
      <c r="F353" s="233">
        <f>SUM(F354:F355)</f>
        <v>7840990.7699999996</v>
      </c>
      <c r="G353" s="234">
        <f t="shared" ref="G353:AG353" si="61">SUM(G354:G355)</f>
        <v>0</v>
      </c>
      <c r="H353" s="234">
        <f t="shared" si="61"/>
        <v>0</v>
      </c>
      <c r="I353" s="234">
        <f t="shared" si="61"/>
        <v>0</v>
      </c>
      <c r="J353" s="234">
        <f t="shared" si="61"/>
        <v>0</v>
      </c>
      <c r="K353" s="234">
        <f t="shared" si="61"/>
        <v>0</v>
      </c>
      <c r="L353" s="234">
        <f t="shared" si="61"/>
        <v>0</v>
      </c>
      <c r="M353" s="235">
        <f t="shared" si="61"/>
        <v>0</v>
      </c>
      <c r="N353" s="234">
        <f t="shared" si="61"/>
        <v>0</v>
      </c>
      <c r="O353" s="234">
        <f t="shared" si="61"/>
        <v>1357</v>
      </c>
      <c r="P353" s="234">
        <f t="shared" si="61"/>
        <v>7767002.5899999999</v>
      </c>
      <c r="Q353" s="234">
        <f t="shared" si="61"/>
        <v>0</v>
      </c>
      <c r="R353" s="234">
        <f t="shared" si="61"/>
        <v>0</v>
      </c>
      <c r="S353" s="234">
        <f t="shared" si="61"/>
        <v>0</v>
      </c>
      <c r="T353" s="234">
        <f t="shared" si="61"/>
        <v>0</v>
      </c>
      <c r="U353" s="234">
        <f t="shared" si="61"/>
        <v>0</v>
      </c>
      <c r="V353" s="234">
        <f t="shared" si="61"/>
        <v>0</v>
      </c>
      <c r="W353" s="234">
        <f t="shared" si="61"/>
        <v>0</v>
      </c>
      <c r="X353" s="234">
        <f t="shared" si="61"/>
        <v>0</v>
      </c>
      <c r="Y353" s="234">
        <f t="shared" si="61"/>
        <v>0</v>
      </c>
      <c r="Z353" s="234">
        <f t="shared" si="61"/>
        <v>0</v>
      </c>
      <c r="AA353" s="234">
        <f t="shared" si="61"/>
        <v>0</v>
      </c>
      <c r="AB353" s="234">
        <f t="shared" si="61"/>
        <v>0</v>
      </c>
      <c r="AC353" s="234">
        <f t="shared" si="61"/>
        <v>0</v>
      </c>
      <c r="AD353" s="234">
        <f t="shared" si="61"/>
        <v>0</v>
      </c>
      <c r="AE353" s="234">
        <f t="shared" si="61"/>
        <v>73988.179999999993</v>
      </c>
      <c r="AF353" s="234">
        <f t="shared" si="61"/>
        <v>0</v>
      </c>
      <c r="AG353" s="234">
        <f t="shared" si="61"/>
        <v>0</v>
      </c>
      <c r="AH353" s="23" t="s">
        <v>90</v>
      </c>
      <c r="AI353" s="23" t="s">
        <v>90</v>
      </c>
      <c r="AJ353" s="27" t="s">
        <v>90</v>
      </c>
      <c r="AV353" s="2" t="e">
        <f>VLOOKUP(C353,AY:AZ,2,FALSE)</f>
        <v>#N/A</v>
      </c>
      <c r="CB353" s="236">
        <v>7838189.9699999997</v>
      </c>
      <c r="CD353" s="236">
        <f>CB353-F353</f>
        <v>-2800.7999999998137</v>
      </c>
      <c r="CF353" s="2" t="e">
        <f t="shared" si="56"/>
        <v>#N/A</v>
      </c>
    </row>
    <row r="354" spans="1:84" ht="61.5" x14ac:dyDescent="0.85">
      <c r="A354" s="2">
        <v>1</v>
      </c>
      <c r="B354" s="18">
        <f>SUBTOTAL(103,$A$22:A354)</f>
        <v>315</v>
      </c>
      <c r="C354" s="286" t="s">
        <v>1165</v>
      </c>
      <c r="D354" s="5">
        <v>2834457.48</v>
      </c>
      <c r="E354" s="5">
        <f t="shared" si="57"/>
        <v>0</v>
      </c>
      <c r="F354" s="5">
        <f>G354+H354+I354+J354+K354+L354+N354+P354+R354+T354+V354+W354+X354+Y354+Z354+AA354+AB354+AC354+AD354+AE354+AF354+AG354</f>
        <v>2834457.48</v>
      </c>
      <c r="G354" s="5">
        <v>0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241">
        <v>0</v>
      </c>
      <c r="N354" s="5">
        <v>0</v>
      </c>
      <c r="O354" s="7">
        <v>618.1</v>
      </c>
      <c r="P354" s="7">
        <v>2834457.48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246" t="s">
        <v>49</v>
      </c>
      <c r="AI354" s="246">
        <v>2020</v>
      </c>
      <c r="AJ354" s="6" t="s">
        <v>49</v>
      </c>
      <c r="AV354" s="2" t="e">
        <f>VLOOKUP(C354,AY:AZ,2,FALSE)</f>
        <v>#N/A</v>
      </c>
      <c r="CB354" s="236"/>
      <c r="CF354" s="2">
        <f t="shared" si="56"/>
        <v>618.1</v>
      </c>
    </row>
    <row r="355" spans="1:84" ht="61.5" x14ac:dyDescent="0.85">
      <c r="A355" s="2">
        <v>1</v>
      </c>
      <c r="B355" s="18">
        <f>SUBTOTAL(103,$A$22:A355)</f>
        <v>316</v>
      </c>
      <c r="C355" s="3" t="s">
        <v>1304</v>
      </c>
      <c r="D355" s="5">
        <v>5006533.2899999991</v>
      </c>
      <c r="E355" s="5">
        <f t="shared" si="57"/>
        <v>0</v>
      </c>
      <c r="F355" s="5">
        <f>G355+H355+I355+J355+K355+L355+N355+P355+R355+T355+V355+W355+X355+Y355+Z355+AA355+AB355+AC355+AD355+AE355+AF355+AG355</f>
        <v>5006533.2899999991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241">
        <v>0</v>
      </c>
      <c r="N355" s="5">
        <v>0</v>
      </c>
      <c r="O355" s="7">
        <v>738.9</v>
      </c>
      <c r="P355" s="5">
        <f>3127494.34+147783.25+128832.61+507278.24+979268.14+41888.53</f>
        <v>4932545.1099999994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f>ROUND(P355*1.5%,2)</f>
        <v>73988.179999999993</v>
      </c>
      <c r="AF355" s="5">
        <v>0</v>
      </c>
      <c r="AG355" s="5">
        <v>0</v>
      </c>
      <c r="AH355" s="246" t="s">
        <v>49</v>
      </c>
      <c r="AI355" s="246">
        <v>2020</v>
      </c>
      <c r="AJ355" s="6">
        <v>2020</v>
      </c>
      <c r="AV355" s="2" t="e">
        <f>VLOOKUP(C355,AY:AZ,2,FALSE)</f>
        <v>#N/A</v>
      </c>
      <c r="CB355" s="236"/>
      <c r="CF355" s="2">
        <f t="shared" si="56"/>
        <v>722.14</v>
      </c>
    </row>
    <row r="356" spans="1:84" ht="61.5" x14ac:dyDescent="0.85">
      <c r="B356" s="3" t="s">
        <v>103</v>
      </c>
      <c r="C356" s="442"/>
      <c r="D356" s="244">
        <v>8430489</v>
      </c>
      <c r="E356" s="233">
        <f t="shared" si="57"/>
        <v>3637.0400000009686</v>
      </c>
      <c r="F356" s="244">
        <f>SUM(F357:F359)</f>
        <v>8426851.959999999</v>
      </c>
      <c r="G356" s="5">
        <f t="shared" ref="G356:AG356" si="62">SUM(G357:G359)</f>
        <v>0</v>
      </c>
      <c r="H356" s="5">
        <f t="shared" si="62"/>
        <v>0</v>
      </c>
      <c r="I356" s="5">
        <f t="shared" si="62"/>
        <v>6562845.1299999999</v>
      </c>
      <c r="J356" s="5">
        <f t="shared" si="62"/>
        <v>0</v>
      </c>
      <c r="K356" s="5">
        <f t="shared" si="62"/>
        <v>0</v>
      </c>
      <c r="L356" s="5">
        <f t="shared" si="62"/>
        <v>0</v>
      </c>
      <c r="M356" s="241">
        <f t="shared" si="62"/>
        <v>0</v>
      </c>
      <c r="N356" s="5">
        <f t="shared" si="62"/>
        <v>0</v>
      </c>
      <c r="O356" s="5">
        <f t="shared" si="62"/>
        <v>406.9</v>
      </c>
      <c r="P356" s="5">
        <f t="shared" si="62"/>
        <v>1731921.7</v>
      </c>
      <c r="Q356" s="5">
        <f t="shared" si="62"/>
        <v>0</v>
      </c>
      <c r="R356" s="5">
        <f t="shared" si="62"/>
        <v>0</v>
      </c>
      <c r="S356" s="5">
        <f t="shared" si="62"/>
        <v>0</v>
      </c>
      <c r="T356" s="5">
        <f t="shared" si="62"/>
        <v>0</v>
      </c>
      <c r="U356" s="5">
        <f t="shared" si="62"/>
        <v>0</v>
      </c>
      <c r="V356" s="5">
        <f t="shared" si="62"/>
        <v>0</v>
      </c>
      <c r="W356" s="5">
        <f t="shared" si="62"/>
        <v>0</v>
      </c>
      <c r="X356" s="5">
        <f t="shared" si="62"/>
        <v>0</v>
      </c>
      <c r="Y356" s="5">
        <f t="shared" si="62"/>
        <v>0</v>
      </c>
      <c r="Z356" s="5">
        <f t="shared" si="62"/>
        <v>0</v>
      </c>
      <c r="AA356" s="5">
        <f t="shared" si="62"/>
        <v>0</v>
      </c>
      <c r="AB356" s="5">
        <f t="shared" si="62"/>
        <v>0</v>
      </c>
      <c r="AC356" s="5">
        <f t="shared" si="62"/>
        <v>0</v>
      </c>
      <c r="AD356" s="5">
        <f t="shared" si="62"/>
        <v>0</v>
      </c>
      <c r="AE356" s="5">
        <f t="shared" si="62"/>
        <v>22341.79</v>
      </c>
      <c r="AF356" s="5">
        <f t="shared" si="62"/>
        <v>109743.34</v>
      </c>
      <c r="AG356" s="5">
        <f t="shared" si="62"/>
        <v>0</v>
      </c>
      <c r="AH356" s="23" t="s">
        <v>90</v>
      </c>
      <c r="AI356" s="23" t="s">
        <v>90</v>
      </c>
      <c r="AJ356" s="27" t="s">
        <v>90</v>
      </c>
      <c r="AV356" s="2" t="e">
        <f>VLOOKUP(C356,AY:AZ,2,FALSE)</f>
        <v>#N/A</v>
      </c>
      <c r="CB356" s="236">
        <v>11111629.25</v>
      </c>
      <c r="CD356" s="236">
        <f>CB356-F356</f>
        <v>2684777.290000001</v>
      </c>
      <c r="CF356" s="2" t="e">
        <f t="shared" si="56"/>
        <v>#N/A</v>
      </c>
    </row>
    <row r="357" spans="1:84" ht="61.5" x14ac:dyDescent="0.85">
      <c r="A357" s="2">
        <v>1</v>
      </c>
      <c r="B357" s="18">
        <f>SUBTOTAL(103,$A$22:A357)</f>
        <v>317</v>
      </c>
      <c r="C357" s="3" t="s">
        <v>1305</v>
      </c>
      <c r="D357" s="5">
        <v>51949.1</v>
      </c>
      <c r="E357" s="5">
        <f t="shared" si="57"/>
        <v>0</v>
      </c>
      <c r="F357" s="5">
        <f>G357+H357+I357+J357+K357+L357+N357+P357+R357+T357+V357+W357+X357+Y357+Z357+AA357+AB357+AC357+AD357+AE357+AF357+AG357</f>
        <v>51949.1</v>
      </c>
      <c r="G357" s="5">
        <v>0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241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f>ROUND(P357*1.5%,2)</f>
        <v>0</v>
      </c>
      <c r="AF357" s="7">
        <v>51949.1</v>
      </c>
      <c r="AG357" s="5">
        <v>0</v>
      </c>
      <c r="AH357" s="246">
        <v>2020</v>
      </c>
      <c r="AI357" s="246" t="s">
        <v>49</v>
      </c>
      <c r="AJ357" s="6" t="s">
        <v>49</v>
      </c>
      <c r="AV357" s="2" t="e">
        <f>VLOOKUP(C357,AY:AZ,2,FALSE)</f>
        <v>#N/A</v>
      </c>
      <c r="CB357" s="236"/>
      <c r="CF357" s="2" t="e">
        <f t="shared" si="56"/>
        <v>#N/A</v>
      </c>
    </row>
    <row r="358" spans="1:84" ht="61.5" x14ac:dyDescent="0.85">
      <c r="A358" s="2">
        <v>1</v>
      </c>
      <c r="B358" s="18">
        <f>SUBTOTAL(103,$A$22:A358)</f>
        <v>318</v>
      </c>
      <c r="C358" s="3" t="s">
        <v>1306</v>
      </c>
      <c r="D358" s="5">
        <v>6562845.1299999999</v>
      </c>
      <c r="E358" s="5">
        <f t="shared" si="57"/>
        <v>0</v>
      </c>
      <c r="F358" s="5">
        <f>G358+H358+I358+J358+K358+L358+N358+P358+R358+T358+V358+W358+X358+Y358+Z358+AA358+AB358+AC358+AD358+AE358+AF358+AG358</f>
        <v>6562845.1299999999</v>
      </c>
      <c r="G358" s="249">
        <v>0</v>
      </c>
      <c r="H358" s="249">
        <v>0</v>
      </c>
      <c r="I358" s="7">
        <v>6562845.1299999999</v>
      </c>
      <c r="J358" s="249">
        <v>0</v>
      </c>
      <c r="K358" s="249">
        <v>0</v>
      </c>
      <c r="L358" s="249">
        <v>0</v>
      </c>
      <c r="M358" s="241">
        <v>0</v>
      </c>
      <c r="N358" s="5">
        <v>0</v>
      </c>
      <c r="O358" s="5">
        <v>0</v>
      </c>
      <c r="P358" s="5">
        <v>0</v>
      </c>
      <c r="Q358" s="249">
        <v>0</v>
      </c>
      <c r="R358" s="249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246" t="s">
        <v>49</v>
      </c>
      <c r="AI358" s="246">
        <v>2020</v>
      </c>
      <c r="AJ358" s="6" t="s">
        <v>49</v>
      </c>
      <c r="CB358" s="236"/>
      <c r="CF358" s="2" t="e">
        <f t="shared" si="56"/>
        <v>#N/A</v>
      </c>
    </row>
    <row r="359" spans="1:84" ht="61.5" x14ac:dyDescent="0.85">
      <c r="A359" s="2">
        <v>1</v>
      </c>
      <c r="B359" s="18">
        <f>SUBTOTAL(103,$A$22:A359)</f>
        <v>319</v>
      </c>
      <c r="C359" s="3" t="s">
        <v>1307</v>
      </c>
      <c r="D359" s="5">
        <v>1815694.77</v>
      </c>
      <c r="E359" s="5">
        <f t="shared" si="57"/>
        <v>3637.0400000000373</v>
      </c>
      <c r="F359" s="5">
        <f>G359+H359+I359+J359+K359+L359+N359+P359+R359+T359+V359+W359+X359+Y359+Z359+AA359+AB359+AC359+AD359+AE359+AF359+AG359</f>
        <v>1812057.73</v>
      </c>
      <c r="G359" s="249">
        <v>0</v>
      </c>
      <c r="H359" s="249">
        <v>0</v>
      </c>
      <c r="I359" s="5">
        <v>0</v>
      </c>
      <c r="J359" s="249">
        <v>0</v>
      </c>
      <c r="K359" s="249">
        <v>0</v>
      </c>
      <c r="L359" s="249">
        <v>0</v>
      </c>
      <c r="M359" s="241">
        <v>0</v>
      </c>
      <c r="N359" s="5">
        <v>0</v>
      </c>
      <c r="O359" s="7">
        <v>406.9</v>
      </c>
      <c r="P359" s="7">
        <v>1731921.7</v>
      </c>
      <c r="Q359" s="249">
        <v>0</v>
      </c>
      <c r="R359" s="249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7">
        <v>22341.79</v>
      </c>
      <c r="AF359" s="7">
        <v>57794.239999999998</v>
      </c>
      <c r="AG359" s="5">
        <v>0</v>
      </c>
      <c r="AH359" s="246">
        <v>2020</v>
      </c>
      <c r="AI359" s="246">
        <v>2020</v>
      </c>
      <c r="AJ359" s="6">
        <v>2020</v>
      </c>
      <c r="CB359" s="236"/>
      <c r="CF359" s="2" t="e">
        <f t="shared" si="56"/>
        <v>#N/A</v>
      </c>
    </row>
    <row r="360" spans="1:84" ht="61.5" x14ac:dyDescent="0.85">
      <c r="B360" s="3" t="s">
        <v>104</v>
      </c>
      <c r="C360" s="3"/>
      <c r="D360" s="244">
        <v>9250134.5000000019</v>
      </c>
      <c r="E360" s="233">
        <f t="shared" si="57"/>
        <v>1250981.1400000025</v>
      </c>
      <c r="F360" s="244">
        <f t="shared" ref="F360:AG360" si="63">SUM(F361:F362)</f>
        <v>7999153.3599999994</v>
      </c>
      <c r="G360" s="5">
        <f t="shared" si="63"/>
        <v>0</v>
      </c>
      <c r="H360" s="5">
        <f t="shared" si="63"/>
        <v>0</v>
      </c>
      <c r="I360" s="5">
        <f t="shared" si="63"/>
        <v>4236373.1399999997</v>
      </c>
      <c r="J360" s="5">
        <f t="shared" si="63"/>
        <v>474283.04</v>
      </c>
      <c r="K360" s="5">
        <f t="shared" si="63"/>
        <v>0</v>
      </c>
      <c r="L360" s="5">
        <f t="shared" si="63"/>
        <v>0</v>
      </c>
      <c r="M360" s="241">
        <f t="shared" si="63"/>
        <v>0</v>
      </c>
      <c r="N360" s="5">
        <f t="shared" si="63"/>
        <v>0</v>
      </c>
      <c r="O360" s="5">
        <f t="shared" si="63"/>
        <v>1144.52</v>
      </c>
      <c r="P360" s="5">
        <f t="shared" si="63"/>
        <v>3057208.51</v>
      </c>
      <c r="Q360" s="5">
        <f t="shared" si="63"/>
        <v>0</v>
      </c>
      <c r="R360" s="5">
        <f t="shared" si="63"/>
        <v>0</v>
      </c>
      <c r="S360" s="5">
        <f t="shared" si="63"/>
        <v>0</v>
      </c>
      <c r="T360" s="5">
        <f t="shared" si="63"/>
        <v>0</v>
      </c>
      <c r="U360" s="5">
        <f t="shared" si="63"/>
        <v>0</v>
      </c>
      <c r="V360" s="5">
        <f t="shared" si="63"/>
        <v>0</v>
      </c>
      <c r="W360" s="5">
        <f t="shared" si="63"/>
        <v>0</v>
      </c>
      <c r="X360" s="5">
        <f t="shared" si="63"/>
        <v>0</v>
      </c>
      <c r="Y360" s="5">
        <f t="shared" si="63"/>
        <v>0</v>
      </c>
      <c r="Z360" s="5">
        <f t="shared" si="63"/>
        <v>0</v>
      </c>
      <c r="AA360" s="5">
        <f t="shared" si="63"/>
        <v>0</v>
      </c>
      <c r="AB360" s="5">
        <f t="shared" si="63"/>
        <v>0</v>
      </c>
      <c r="AC360" s="5">
        <f t="shared" si="63"/>
        <v>0</v>
      </c>
      <c r="AD360" s="5">
        <f t="shared" si="63"/>
        <v>0</v>
      </c>
      <c r="AE360" s="5">
        <f t="shared" si="63"/>
        <v>116517.97</v>
      </c>
      <c r="AF360" s="5">
        <f t="shared" si="63"/>
        <v>114770.7</v>
      </c>
      <c r="AG360" s="5">
        <f t="shared" si="63"/>
        <v>0</v>
      </c>
      <c r="AH360" s="23" t="s">
        <v>90</v>
      </c>
      <c r="AI360" s="23" t="s">
        <v>90</v>
      </c>
      <c r="AJ360" s="27" t="s">
        <v>90</v>
      </c>
      <c r="AV360" s="2" t="e">
        <f>VLOOKUP(C360,AY:AZ,2,FALSE)</f>
        <v>#N/A</v>
      </c>
      <c r="CB360" s="236">
        <v>12137858.549999999</v>
      </c>
      <c r="CD360" s="236">
        <f>CB360-F360</f>
        <v>4138705.1899999995</v>
      </c>
      <c r="CF360" s="2" t="e">
        <f t="shared" si="56"/>
        <v>#N/A</v>
      </c>
    </row>
    <row r="361" spans="1:84" ht="61.5" x14ac:dyDescent="0.85">
      <c r="A361" s="2">
        <v>1</v>
      </c>
      <c r="B361" s="18">
        <f>SUBTOTAL(103,$A$22:A361)</f>
        <v>320</v>
      </c>
      <c r="C361" s="3" t="s">
        <v>1308</v>
      </c>
      <c r="D361" s="5">
        <v>3971480.2600000002</v>
      </c>
      <c r="E361" s="5">
        <f t="shared" si="57"/>
        <v>753642.92000000039</v>
      </c>
      <c r="F361" s="5">
        <f>G361+H361+I361+J361+K361+L361+N361+P361+R361+T361+V361+W361+X361+Y361+Z361+AA361+AB361+AC361+AD361+AE361+AF361+AG361</f>
        <v>3217837.34</v>
      </c>
      <c r="G361" s="5">
        <v>0</v>
      </c>
      <c r="H361" s="5">
        <v>0</v>
      </c>
      <c r="I361" s="5">
        <v>0</v>
      </c>
      <c r="J361" s="5">
        <v>0</v>
      </c>
      <c r="K361" s="5">
        <v>0</v>
      </c>
      <c r="L361" s="5">
        <v>0</v>
      </c>
      <c r="M361" s="241">
        <v>0</v>
      </c>
      <c r="N361" s="5">
        <v>0</v>
      </c>
      <c r="O361" s="7">
        <v>1144.52</v>
      </c>
      <c r="P361" s="7">
        <v>3057208.51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f>ROUND(P361*1.5%,2)</f>
        <v>45858.13</v>
      </c>
      <c r="AF361" s="7">
        <v>114770.7</v>
      </c>
      <c r="AG361" s="5">
        <v>0</v>
      </c>
      <c r="AH361" s="246">
        <v>2020</v>
      </c>
      <c r="AI361" s="246">
        <v>2020</v>
      </c>
      <c r="AJ361" s="6">
        <v>2020</v>
      </c>
      <c r="AV361" s="2" t="e">
        <f>VLOOKUP(C361,AY:AZ,2,FALSE)</f>
        <v>#N/A</v>
      </c>
      <c r="CB361" s="236"/>
      <c r="CF361" s="2" t="e">
        <f t="shared" si="56"/>
        <v>#N/A</v>
      </c>
    </row>
    <row r="362" spans="1:84" ht="61.5" x14ac:dyDescent="0.85">
      <c r="A362" s="2">
        <v>1</v>
      </c>
      <c r="B362" s="18">
        <f>SUBTOTAL(103,$A$22:A362)</f>
        <v>321</v>
      </c>
      <c r="C362" s="3" t="s">
        <v>1309</v>
      </c>
      <c r="D362" s="5">
        <v>5278654.2400000012</v>
      </c>
      <c r="E362" s="5">
        <f t="shared" si="57"/>
        <v>497338.2200000016</v>
      </c>
      <c r="F362" s="5">
        <f>G362+H362+I362+J362+K362+L362+N362+P362+R362+T362+V362+W362+X362+Y362+Z362+AA362+AB362+AC362+AD362+AE362+AF362+AG362</f>
        <v>4781316.0199999996</v>
      </c>
      <c r="G362" s="5">
        <v>0</v>
      </c>
      <c r="H362" s="5">
        <v>0</v>
      </c>
      <c r="I362" s="7">
        <f>1731244.66+2505128.48</f>
        <v>4236373.1399999997</v>
      </c>
      <c r="J362" s="7">
        <v>474283.04</v>
      </c>
      <c r="K362" s="5">
        <v>0</v>
      </c>
      <c r="L362" s="5">
        <v>0</v>
      </c>
      <c r="M362" s="241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  <c r="AE362" s="5">
        <f>ROUND((G362+H362+I362+J362+K362+L362)*1.5%,2)</f>
        <v>70659.839999999997</v>
      </c>
      <c r="AF362" s="5">
        <v>0</v>
      </c>
      <c r="AG362" s="5">
        <v>0</v>
      </c>
      <c r="AH362" s="246" t="s">
        <v>49</v>
      </c>
      <c r="AI362" s="246">
        <v>2020</v>
      </c>
      <c r="AJ362" s="6">
        <v>2020</v>
      </c>
      <c r="CB362" s="236"/>
      <c r="CF362" s="2" t="e">
        <f t="shared" si="56"/>
        <v>#N/A</v>
      </c>
    </row>
    <row r="363" spans="1:84" ht="61.5" x14ac:dyDescent="0.85">
      <c r="B363" s="3" t="s">
        <v>1310</v>
      </c>
      <c r="C363" s="3"/>
      <c r="D363" s="244">
        <v>7261486.2599999998</v>
      </c>
      <c r="E363" s="233">
        <f t="shared" si="57"/>
        <v>4024889.9</v>
      </c>
      <c r="F363" s="244">
        <f t="shared" ref="F363:AG363" si="64">F364</f>
        <v>3236596.36</v>
      </c>
      <c r="G363" s="5">
        <f t="shared" si="64"/>
        <v>0</v>
      </c>
      <c r="H363" s="5">
        <f t="shared" si="64"/>
        <v>0</v>
      </c>
      <c r="I363" s="5">
        <f t="shared" si="64"/>
        <v>0</v>
      </c>
      <c r="J363" s="5">
        <f t="shared" si="64"/>
        <v>0</v>
      </c>
      <c r="K363" s="5">
        <f t="shared" si="64"/>
        <v>0</v>
      </c>
      <c r="L363" s="5">
        <f t="shared" si="64"/>
        <v>0</v>
      </c>
      <c r="M363" s="241">
        <f t="shared" si="64"/>
        <v>0</v>
      </c>
      <c r="N363" s="5">
        <f t="shared" si="64"/>
        <v>0</v>
      </c>
      <c r="O363" s="5">
        <f t="shared" si="64"/>
        <v>552.27</v>
      </c>
      <c r="P363" s="5">
        <f t="shared" si="64"/>
        <v>3067762.84</v>
      </c>
      <c r="Q363" s="5">
        <f t="shared" si="64"/>
        <v>0</v>
      </c>
      <c r="R363" s="5">
        <f t="shared" si="64"/>
        <v>0</v>
      </c>
      <c r="S363" s="5">
        <f t="shared" si="64"/>
        <v>0</v>
      </c>
      <c r="T363" s="5">
        <f t="shared" si="64"/>
        <v>0</v>
      </c>
      <c r="U363" s="5">
        <f t="shared" si="64"/>
        <v>0</v>
      </c>
      <c r="V363" s="5">
        <f t="shared" si="64"/>
        <v>0</v>
      </c>
      <c r="W363" s="5">
        <f t="shared" si="64"/>
        <v>0</v>
      </c>
      <c r="X363" s="5">
        <f t="shared" si="64"/>
        <v>0</v>
      </c>
      <c r="Y363" s="5">
        <f t="shared" si="64"/>
        <v>0</v>
      </c>
      <c r="Z363" s="5">
        <f t="shared" si="64"/>
        <v>0</v>
      </c>
      <c r="AA363" s="5">
        <f t="shared" si="64"/>
        <v>0</v>
      </c>
      <c r="AB363" s="5">
        <f t="shared" si="64"/>
        <v>0</v>
      </c>
      <c r="AC363" s="5">
        <f t="shared" si="64"/>
        <v>0</v>
      </c>
      <c r="AD363" s="5">
        <f t="shared" si="64"/>
        <v>0</v>
      </c>
      <c r="AE363" s="5">
        <f t="shared" si="64"/>
        <v>46016.44</v>
      </c>
      <c r="AF363" s="5">
        <f t="shared" si="64"/>
        <v>122817.08</v>
      </c>
      <c r="AG363" s="5">
        <f t="shared" si="64"/>
        <v>0</v>
      </c>
      <c r="AH363" s="23" t="s">
        <v>90</v>
      </c>
      <c r="AI363" s="23" t="s">
        <v>90</v>
      </c>
      <c r="AJ363" s="27" t="s">
        <v>90</v>
      </c>
      <c r="AV363" s="2" t="e">
        <f t="shared" ref="AV363:AV371" si="65">VLOOKUP(C363,AY:AZ,2,FALSE)</f>
        <v>#N/A</v>
      </c>
      <c r="CB363" s="236">
        <v>5698132.5200000005</v>
      </c>
      <c r="CF363" s="2" t="e">
        <f t="shared" si="56"/>
        <v>#N/A</v>
      </c>
    </row>
    <row r="364" spans="1:84" ht="61.5" x14ac:dyDescent="0.85">
      <c r="A364" s="2">
        <v>1</v>
      </c>
      <c r="B364" s="18">
        <f>SUBTOTAL(103,$A$22:A364)</f>
        <v>322</v>
      </c>
      <c r="C364" s="3" t="s">
        <v>1311</v>
      </c>
      <c r="D364" s="5">
        <v>7261486.2599999998</v>
      </c>
      <c r="E364" s="5">
        <f t="shared" si="57"/>
        <v>4024889.9</v>
      </c>
      <c r="F364" s="5">
        <f>G364+H364+I364+J364+K364+L364+N364+P364+R364+T364+V364+W364+X364+Y364+Z364+AA364+AB364+AC364+AD364+AE364+AF364+AG364</f>
        <v>3236596.36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241">
        <v>0</v>
      </c>
      <c r="N364" s="5">
        <v>0</v>
      </c>
      <c r="O364" s="7">
        <v>552.27</v>
      </c>
      <c r="P364" s="7">
        <v>3067762.84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f>ROUND((P364+T364)*1.5%,2)</f>
        <v>46016.44</v>
      </c>
      <c r="AF364" s="5">
        <v>122817.08</v>
      </c>
      <c r="AG364" s="5">
        <v>0</v>
      </c>
      <c r="AH364" s="246">
        <v>2020</v>
      </c>
      <c r="AI364" s="246">
        <v>2020</v>
      </c>
      <c r="AJ364" s="246">
        <v>2020</v>
      </c>
      <c r="AV364" s="2" t="e">
        <f t="shared" si="65"/>
        <v>#N/A</v>
      </c>
      <c r="CB364" s="236"/>
      <c r="CF364" s="2" t="e">
        <f t="shared" si="56"/>
        <v>#N/A</v>
      </c>
    </row>
    <row r="365" spans="1:84" ht="61.5" x14ac:dyDescent="0.85">
      <c r="B365" s="3" t="s">
        <v>105</v>
      </c>
      <c r="C365" s="442"/>
      <c r="D365" s="244">
        <v>51632572.710000001</v>
      </c>
      <c r="E365" s="233">
        <f t="shared" si="57"/>
        <v>6187043.6099999994</v>
      </c>
      <c r="F365" s="244">
        <f t="shared" ref="F365:AG365" si="66">SUM(F366:F379)</f>
        <v>45445529.100000001</v>
      </c>
      <c r="G365" s="5">
        <f t="shared" si="66"/>
        <v>170842.96</v>
      </c>
      <c r="H365" s="5">
        <f t="shared" si="66"/>
        <v>0</v>
      </c>
      <c r="I365" s="5">
        <f t="shared" si="66"/>
        <v>0</v>
      </c>
      <c r="J365" s="5">
        <f t="shared" si="66"/>
        <v>0</v>
      </c>
      <c r="K365" s="5">
        <f t="shared" si="66"/>
        <v>0</v>
      </c>
      <c r="L365" s="5">
        <f t="shared" si="66"/>
        <v>0</v>
      </c>
      <c r="M365" s="241">
        <f t="shared" si="66"/>
        <v>0</v>
      </c>
      <c r="N365" s="5">
        <f t="shared" si="66"/>
        <v>0</v>
      </c>
      <c r="O365" s="5">
        <f t="shared" si="66"/>
        <v>9868.5</v>
      </c>
      <c r="P365" s="5">
        <f t="shared" si="66"/>
        <v>38938314.030000001</v>
      </c>
      <c r="Q365" s="5">
        <f t="shared" si="66"/>
        <v>0</v>
      </c>
      <c r="R365" s="5">
        <f t="shared" si="66"/>
        <v>0</v>
      </c>
      <c r="S365" s="5">
        <f t="shared" si="66"/>
        <v>2836.8</v>
      </c>
      <c r="T365" s="5">
        <f t="shared" si="66"/>
        <v>5484510.0500000007</v>
      </c>
      <c r="U365" s="5">
        <f t="shared" si="66"/>
        <v>0</v>
      </c>
      <c r="V365" s="5">
        <f t="shared" si="66"/>
        <v>0</v>
      </c>
      <c r="W365" s="5">
        <f t="shared" si="66"/>
        <v>0</v>
      </c>
      <c r="X365" s="5">
        <f t="shared" si="66"/>
        <v>0</v>
      </c>
      <c r="Y365" s="5">
        <f t="shared" si="66"/>
        <v>0</v>
      </c>
      <c r="Z365" s="5">
        <f t="shared" si="66"/>
        <v>0</v>
      </c>
      <c r="AA365" s="5">
        <f t="shared" si="66"/>
        <v>0</v>
      </c>
      <c r="AB365" s="5">
        <f t="shared" si="66"/>
        <v>0</v>
      </c>
      <c r="AC365" s="5">
        <f t="shared" si="66"/>
        <v>0</v>
      </c>
      <c r="AD365" s="5">
        <f t="shared" si="66"/>
        <v>0</v>
      </c>
      <c r="AE365" s="5">
        <f t="shared" si="66"/>
        <v>554759.3600000001</v>
      </c>
      <c r="AF365" s="5">
        <f t="shared" si="66"/>
        <v>297102.7</v>
      </c>
      <c r="AG365" s="5">
        <f t="shared" si="66"/>
        <v>0</v>
      </c>
      <c r="AH365" s="23" t="s">
        <v>90</v>
      </c>
      <c r="AI365" s="23" t="s">
        <v>90</v>
      </c>
      <c r="AJ365" s="27" t="s">
        <v>90</v>
      </c>
      <c r="AV365" s="2" t="e">
        <f t="shared" si="65"/>
        <v>#N/A</v>
      </c>
      <c r="AX365" s="2">
        <v>20654065.649999999</v>
      </c>
      <c r="AY365" s="236">
        <f>AX365-F365</f>
        <v>-24791463.450000003</v>
      </c>
      <c r="CB365" s="5">
        <v>56051993.530000009</v>
      </c>
      <c r="CC365" s="5"/>
      <c r="CD365" s="5">
        <f>CB365-F365</f>
        <v>10606464.430000007</v>
      </c>
      <c r="CF365" s="2" t="e">
        <f t="shared" si="56"/>
        <v>#N/A</v>
      </c>
    </row>
    <row r="366" spans="1:84" ht="61.5" x14ac:dyDescent="0.85">
      <c r="A366" s="2">
        <v>1</v>
      </c>
      <c r="B366" s="18">
        <f>SUBTOTAL(103,$A$22:A366)</f>
        <v>323</v>
      </c>
      <c r="C366" s="3" t="s">
        <v>1312</v>
      </c>
      <c r="D366" s="5">
        <v>54256.44</v>
      </c>
      <c r="E366" s="5">
        <f t="shared" si="57"/>
        <v>0</v>
      </c>
      <c r="F366" s="5">
        <f t="shared" ref="F366:F379" si="67">G366+H366+I366+J366+K366+L366+N366+P366+R366+T366+V366+W366+X366+Y366+Z366+AA366+AB366+AC366+AD366+AE366+AF366+AG366</f>
        <v>54256.44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241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f t="shared" ref="AE366:AE368" si="68">ROUND(P366*1.5%,2)</f>
        <v>0</v>
      </c>
      <c r="AF366" s="5">
        <v>54256.44</v>
      </c>
      <c r="AG366" s="5">
        <v>0</v>
      </c>
      <c r="AH366" s="246">
        <v>2020</v>
      </c>
      <c r="AI366" s="246" t="s">
        <v>49</v>
      </c>
      <c r="AJ366" s="246" t="s">
        <v>49</v>
      </c>
      <c r="AV366" s="2" t="e">
        <f t="shared" si="65"/>
        <v>#N/A</v>
      </c>
      <c r="CB366" s="236"/>
      <c r="CF366" s="2" t="e">
        <f t="shared" si="56"/>
        <v>#N/A</v>
      </c>
    </row>
    <row r="367" spans="1:84" ht="61.5" x14ac:dyDescent="0.85">
      <c r="A367" s="2">
        <v>1</v>
      </c>
      <c r="B367" s="18">
        <f>SUBTOTAL(103,$A$22:A367)</f>
        <v>324</v>
      </c>
      <c r="C367" s="3" t="s">
        <v>1313</v>
      </c>
      <c r="D367" s="5">
        <v>3010935.87</v>
      </c>
      <c r="E367" s="5">
        <f t="shared" si="57"/>
        <v>508683.00999999978</v>
      </c>
      <c r="F367" s="5">
        <f t="shared" si="67"/>
        <v>2502252.8600000003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241">
        <v>0</v>
      </c>
      <c r="N367" s="5">
        <v>0</v>
      </c>
      <c r="O367" s="7">
        <v>616.94000000000005</v>
      </c>
      <c r="P367" s="7">
        <v>2411642.35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f t="shared" si="68"/>
        <v>36174.639999999999</v>
      </c>
      <c r="AF367" s="5">
        <v>54435.87</v>
      </c>
      <c r="AG367" s="5">
        <v>0</v>
      </c>
      <c r="AH367" s="246">
        <v>2020</v>
      </c>
      <c r="AI367" s="246">
        <v>2020</v>
      </c>
      <c r="AJ367" s="6">
        <v>2020</v>
      </c>
      <c r="AV367" s="2" t="e">
        <f t="shared" si="65"/>
        <v>#N/A</v>
      </c>
      <c r="CB367" s="236"/>
      <c r="CF367" s="2" t="e">
        <f t="shared" si="56"/>
        <v>#N/A</v>
      </c>
    </row>
    <row r="368" spans="1:84" ht="61.5" x14ac:dyDescent="0.85">
      <c r="A368" s="2">
        <v>1</v>
      </c>
      <c r="B368" s="18">
        <f>SUBTOTAL(103,$A$22:A368)</f>
        <v>325</v>
      </c>
      <c r="C368" s="3" t="s">
        <v>1314</v>
      </c>
      <c r="D368" s="5">
        <v>1749076.41</v>
      </c>
      <c r="E368" s="5">
        <f t="shared" si="57"/>
        <v>-508683.01000000047</v>
      </c>
      <c r="F368" s="5">
        <f t="shared" si="67"/>
        <v>2257759.4200000004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241">
        <v>0</v>
      </c>
      <c r="N368" s="5">
        <v>0</v>
      </c>
      <c r="O368" s="7">
        <v>340</v>
      </c>
      <c r="P368" s="7">
        <f>1683420.22+501165.52</f>
        <v>2184585.7400000002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f t="shared" si="68"/>
        <v>32768.79</v>
      </c>
      <c r="AF368" s="5">
        <v>40404.89</v>
      </c>
      <c r="AG368" s="5">
        <v>0</v>
      </c>
      <c r="AH368" s="246">
        <v>2020</v>
      </c>
      <c r="AI368" s="246">
        <v>2020</v>
      </c>
      <c r="AJ368" s="6">
        <v>2020</v>
      </c>
      <c r="AV368" s="2" t="e">
        <f t="shared" si="65"/>
        <v>#N/A</v>
      </c>
      <c r="CB368" s="236"/>
      <c r="CF368" s="2" t="e">
        <f t="shared" si="56"/>
        <v>#N/A</v>
      </c>
    </row>
    <row r="369" spans="1:262" ht="61.5" x14ac:dyDescent="0.85">
      <c r="A369" s="2">
        <v>1</v>
      </c>
      <c r="B369" s="18">
        <f>SUBTOTAL(103,$A$22:A369)</f>
        <v>326</v>
      </c>
      <c r="C369" s="3" t="s">
        <v>1050</v>
      </c>
      <c r="D369" s="5">
        <v>4597872.8600000003</v>
      </c>
      <c r="E369" s="5">
        <f t="shared" si="57"/>
        <v>40769.320000000298</v>
      </c>
      <c r="F369" s="5">
        <f t="shared" si="67"/>
        <v>4557103.54</v>
      </c>
      <c r="G369" s="5">
        <v>0</v>
      </c>
      <c r="H369" s="5">
        <v>0</v>
      </c>
      <c r="I369" s="5">
        <v>0</v>
      </c>
      <c r="J369" s="5">
        <v>0</v>
      </c>
      <c r="K369" s="5">
        <v>0</v>
      </c>
      <c r="L369" s="5">
        <v>0</v>
      </c>
      <c r="M369" s="241">
        <v>0</v>
      </c>
      <c r="N369" s="5">
        <v>0</v>
      </c>
      <c r="O369" s="7">
        <v>1235.5</v>
      </c>
      <c r="P369" s="7">
        <v>4529924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7">
        <v>27179.54</v>
      </c>
      <c r="AF369" s="5">
        <v>0</v>
      </c>
      <c r="AG369" s="5">
        <v>0</v>
      </c>
      <c r="AH369" s="246" t="s">
        <v>49</v>
      </c>
      <c r="AI369" s="246">
        <v>2020</v>
      </c>
      <c r="AJ369" s="6">
        <v>2020</v>
      </c>
      <c r="AV369" s="2" t="e">
        <f t="shared" si="65"/>
        <v>#N/A</v>
      </c>
      <c r="CB369" s="236"/>
      <c r="CF369" s="2">
        <f t="shared" si="56"/>
        <v>1256.9000000000001</v>
      </c>
    </row>
    <row r="370" spans="1:262" ht="61.5" x14ac:dyDescent="0.85">
      <c r="A370" s="2">
        <v>1</v>
      </c>
      <c r="B370" s="18">
        <f>SUBTOTAL(103,$A$22:A370)</f>
        <v>327</v>
      </c>
      <c r="C370" s="3" t="s">
        <v>1139</v>
      </c>
      <c r="D370" s="5">
        <v>5471426.4999999991</v>
      </c>
      <c r="E370" s="5">
        <f t="shared" si="57"/>
        <v>1247844.1299999999</v>
      </c>
      <c r="F370" s="5">
        <f t="shared" si="67"/>
        <v>4223582.3699999992</v>
      </c>
      <c r="G370" s="5">
        <v>0</v>
      </c>
      <c r="H370" s="5">
        <v>0</v>
      </c>
      <c r="I370" s="5">
        <v>0</v>
      </c>
      <c r="J370" s="5">
        <v>0</v>
      </c>
      <c r="K370" s="5">
        <v>0</v>
      </c>
      <c r="L370" s="5">
        <v>0</v>
      </c>
      <c r="M370" s="241">
        <v>0</v>
      </c>
      <c r="N370" s="5">
        <v>0</v>
      </c>
      <c r="O370" s="7">
        <v>1109.18</v>
      </c>
      <c r="P370" s="7">
        <v>4198392.0199999996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7">
        <v>25190.35</v>
      </c>
      <c r="AF370" s="5">
        <v>0</v>
      </c>
      <c r="AG370" s="5">
        <v>0</v>
      </c>
      <c r="AH370" s="246" t="s">
        <v>49</v>
      </c>
      <c r="AI370" s="246">
        <v>2020</v>
      </c>
      <c r="AJ370" s="6">
        <v>2020</v>
      </c>
      <c r="AV370" s="2" t="e">
        <f t="shared" si="65"/>
        <v>#N/A</v>
      </c>
      <c r="CB370" s="236"/>
      <c r="CF370" s="2">
        <f t="shared" si="56"/>
        <v>1151</v>
      </c>
    </row>
    <row r="371" spans="1:262" s="239" customFormat="1" ht="61.5" x14ac:dyDescent="0.85">
      <c r="A371" s="239">
        <v>1</v>
      </c>
      <c r="B371" s="18">
        <f>SUBTOTAL(103,$A$22:A371)</f>
        <v>328</v>
      </c>
      <c r="C371" s="3" t="s">
        <v>1315</v>
      </c>
      <c r="D371" s="5">
        <v>3452645.31</v>
      </c>
      <c r="E371" s="5">
        <f t="shared" si="57"/>
        <v>-547.89999999944121</v>
      </c>
      <c r="F371" s="5">
        <f t="shared" si="67"/>
        <v>3453193.2099999995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25">
        <v>0</v>
      </c>
      <c r="N371" s="5">
        <v>0</v>
      </c>
      <c r="O371" s="7">
        <v>635</v>
      </c>
      <c r="P371" s="7">
        <f>3347864.86+539.8</f>
        <v>3348404.6599999997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f t="shared" ref="AE371" si="69">ROUND(P371*1.5%,2)</f>
        <v>50226.07</v>
      </c>
      <c r="AF371" s="5">
        <v>54562.48</v>
      </c>
      <c r="AG371" s="5">
        <v>0</v>
      </c>
      <c r="AH371" s="246">
        <v>2020</v>
      </c>
      <c r="AI371" s="246">
        <v>2020</v>
      </c>
      <c r="AJ371" s="246">
        <v>2020</v>
      </c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 t="e">
        <f t="shared" si="65"/>
        <v>#N/A</v>
      </c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36"/>
      <c r="CC371" s="2"/>
      <c r="CD371" s="2"/>
      <c r="CE371" s="2"/>
      <c r="CF371" s="2" t="e">
        <f t="shared" si="56"/>
        <v>#N/A</v>
      </c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</row>
    <row r="372" spans="1:262" ht="61.5" x14ac:dyDescent="0.85">
      <c r="A372" s="2">
        <v>1</v>
      </c>
      <c r="B372" s="18">
        <f>SUBTOTAL(103,$A$22:A372)</f>
        <v>329</v>
      </c>
      <c r="C372" s="3" t="s">
        <v>1316</v>
      </c>
      <c r="D372" s="5">
        <v>6045408.0499999998</v>
      </c>
      <c r="E372" s="5">
        <f t="shared" si="57"/>
        <v>478630.3499999987</v>
      </c>
      <c r="F372" s="5">
        <f t="shared" si="67"/>
        <v>5566777.7000000011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241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7">
        <v>2836.8</v>
      </c>
      <c r="T372" s="7">
        <f>5358277.61+126232.44</f>
        <v>5484510.0500000007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f>ROUND(T372*1.5%,2)</f>
        <v>82267.649999999994</v>
      </c>
      <c r="AF372" s="5">
        <v>0</v>
      </c>
      <c r="AG372" s="5">
        <v>0</v>
      </c>
      <c r="AH372" s="246" t="s">
        <v>49</v>
      </c>
      <c r="AI372" s="246">
        <v>2020</v>
      </c>
      <c r="AJ372" s="6">
        <v>2020</v>
      </c>
      <c r="CB372" s="236"/>
      <c r="CF372" s="2" t="e">
        <f t="shared" si="56"/>
        <v>#N/A</v>
      </c>
    </row>
    <row r="373" spans="1:262" ht="61.5" x14ac:dyDescent="0.85">
      <c r="A373" s="2">
        <v>1</v>
      </c>
      <c r="B373" s="18">
        <f>SUBTOTAL(103,$A$22:A373)</f>
        <v>330</v>
      </c>
      <c r="C373" s="3" t="s">
        <v>1052</v>
      </c>
      <c r="D373" s="5">
        <v>4137465.72</v>
      </c>
      <c r="E373" s="5">
        <f t="shared" si="57"/>
        <v>305.72000000020489</v>
      </c>
      <c r="F373" s="5">
        <f t="shared" si="67"/>
        <v>4137160</v>
      </c>
      <c r="G373" s="5">
        <v>0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241">
        <v>0</v>
      </c>
      <c r="N373" s="5">
        <v>0</v>
      </c>
      <c r="O373" s="7">
        <v>1159.3699999999999</v>
      </c>
      <c r="P373" s="7">
        <v>4076320.91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7">
        <v>60839.09</v>
      </c>
      <c r="AF373" s="5">
        <v>0</v>
      </c>
      <c r="AG373" s="5">
        <v>0</v>
      </c>
      <c r="AH373" s="246" t="s">
        <v>49</v>
      </c>
      <c r="AI373" s="246">
        <v>2020</v>
      </c>
      <c r="AJ373" s="6">
        <v>2020</v>
      </c>
      <c r="CB373" s="236"/>
      <c r="CF373" s="2">
        <f t="shared" si="56"/>
        <v>1150.3</v>
      </c>
    </row>
    <row r="374" spans="1:262" ht="61.5" x14ac:dyDescent="0.85">
      <c r="A374" s="2">
        <v>1</v>
      </c>
      <c r="B374" s="18">
        <f>SUBTOTAL(103,$A$22:A374)</f>
        <v>331</v>
      </c>
      <c r="C374" s="3" t="s">
        <v>1054</v>
      </c>
      <c r="D374" s="5">
        <v>2786924.03</v>
      </c>
      <c r="E374" s="5">
        <f t="shared" si="57"/>
        <v>0</v>
      </c>
      <c r="F374" s="5">
        <f t="shared" si="67"/>
        <v>2786924.03</v>
      </c>
      <c r="G374" s="5">
        <v>0</v>
      </c>
      <c r="H374" s="5">
        <v>0</v>
      </c>
      <c r="I374" s="5">
        <v>0</v>
      </c>
      <c r="J374" s="5">
        <v>0</v>
      </c>
      <c r="K374" s="5">
        <v>0</v>
      </c>
      <c r="L374" s="5">
        <v>0</v>
      </c>
      <c r="M374" s="241">
        <v>0</v>
      </c>
      <c r="N374" s="5">
        <v>0</v>
      </c>
      <c r="O374" s="7">
        <v>763.8</v>
      </c>
      <c r="P374" s="7">
        <v>2745737.96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f>ROUND(P374*1.5%,2)</f>
        <v>41186.07</v>
      </c>
      <c r="AF374" s="5">
        <v>0</v>
      </c>
      <c r="AG374" s="5">
        <v>0</v>
      </c>
      <c r="AH374" s="246" t="s">
        <v>49</v>
      </c>
      <c r="AI374" s="246">
        <v>2020</v>
      </c>
      <c r="AJ374" s="6">
        <v>2020</v>
      </c>
      <c r="CB374" s="236"/>
      <c r="CF374" s="2">
        <f t="shared" si="56"/>
        <v>763.8</v>
      </c>
    </row>
    <row r="375" spans="1:262" ht="61.5" x14ac:dyDescent="0.85">
      <c r="A375" s="2">
        <v>1</v>
      </c>
      <c r="B375" s="18">
        <f>SUBTOTAL(103,$A$22:A375)</f>
        <v>332</v>
      </c>
      <c r="C375" s="3" t="s">
        <v>1056</v>
      </c>
      <c r="D375" s="5">
        <v>1749879.69</v>
      </c>
      <c r="E375" s="5">
        <f t="shared" si="57"/>
        <v>129.30000000004657</v>
      </c>
      <c r="F375" s="5">
        <f t="shared" si="67"/>
        <v>1749750.39</v>
      </c>
      <c r="G375" s="5">
        <v>0</v>
      </c>
      <c r="H375" s="5">
        <v>0</v>
      </c>
      <c r="I375" s="5">
        <v>0</v>
      </c>
      <c r="J375" s="5">
        <v>0</v>
      </c>
      <c r="K375" s="5">
        <v>0</v>
      </c>
      <c r="L375" s="5">
        <v>0</v>
      </c>
      <c r="M375" s="241">
        <v>0</v>
      </c>
      <c r="N375" s="5">
        <v>0</v>
      </c>
      <c r="O375" s="7">
        <v>456.6</v>
      </c>
      <c r="P375" s="7">
        <v>1724019.4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7">
        <v>25730.99</v>
      </c>
      <c r="AF375" s="5">
        <v>0</v>
      </c>
      <c r="AG375" s="5">
        <v>0</v>
      </c>
      <c r="AH375" s="246" t="s">
        <v>49</v>
      </c>
      <c r="AI375" s="246">
        <v>2020</v>
      </c>
      <c r="AJ375" s="6">
        <v>2020</v>
      </c>
      <c r="CB375" s="236"/>
      <c r="CF375" s="2">
        <f t="shared" si="56"/>
        <v>461.1</v>
      </c>
    </row>
    <row r="376" spans="1:262" ht="61.5" x14ac:dyDescent="0.85">
      <c r="A376" s="2">
        <v>1</v>
      </c>
      <c r="B376" s="18">
        <f>SUBTOTAL(103,$A$22:A376)</f>
        <v>333</v>
      </c>
      <c r="C376" s="3" t="s">
        <v>1317</v>
      </c>
      <c r="D376" s="5">
        <v>1395351.75</v>
      </c>
      <c r="E376" s="5">
        <f t="shared" si="57"/>
        <v>1221946.1499999999</v>
      </c>
      <c r="F376" s="5">
        <f t="shared" si="67"/>
        <v>173405.6</v>
      </c>
      <c r="G376" s="5">
        <v>170842.96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241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f>ROUND((G376+H376+I376+J376+K376+L376)*1.5%,2)</f>
        <v>2562.64</v>
      </c>
      <c r="AF376" s="5">
        <v>0</v>
      </c>
      <c r="AG376" s="5">
        <v>0</v>
      </c>
      <c r="AH376" s="246" t="s">
        <v>49</v>
      </c>
      <c r="AI376" s="246">
        <v>2020</v>
      </c>
      <c r="AJ376" s="6">
        <v>2020</v>
      </c>
      <c r="CB376" s="236"/>
      <c r="CF376" s="2" t="e">
        <f t="shared" si="56"/>
        <v>#N/A</v>
      </c>
    </row>
    <row r="377" spans="1:262" ht="61.5" x14ac:dyDescent="0.85">
      <c r="A377" s="2">
        <v>1</v>
      </c>
      <c r="B377" s="18">
        <f>SUBTOTAL(103,$A$22:A377)</f>
        <v>334</v>
      </c>
      <c r="C377" s="3" t="s">
        <v>1057</v>
      </c>
      <c r="D377" s="5">
        <v>5506257.7399999993</v>
      </c>
      <c r="E377" s="5">
        <f t="shared" si="57"/>
        <v>-764992.09000000078</v>
      </c>
      <c r="F377" s="5">
        <f t="shared" si="67"/>
        <v>6271249.8300000001</v>
      </c>
      <c r="G377" s="5">
        <v>0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241">
        <v>0</v>
      </c>
      <c r="N377" s="5">
        <v>0</v>
      </c>
      <c r="O377" s="7">
        <v>1532.62</v>
      </c>
      <c r="P377" s="7">
        <v>6178571.2599999998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f>ROUND(P377*1.5%,2)</f>
        <v>92678.57</v>
      </c>
      <c r="AF377" s="5">
        <v>0</v>
      </c>
      <c r="AG377" s="5">
        <v>0</v>
      </c>
      <c r="AH377" s="246" t="s">
        <v>49</v>
      </c>
      <c r="AI377" s="246">
        <v>2020</v>
      </c>
      <c r="AJ377" s="6">
        <v>2020</v>
      </c>
      <c r="CB377" s="236"/>
      <c r="CF377" s="2">
        <f t="shared" si="56"/>
        <v>1528.9</v>
      </c>
    </row>
    <row r="378" spans="1:262" ht="61.5" x14ac:dyDescent="0.85">
      <c r="A378" s="2">
        <v>1</v>
      </c>
      <c r="B378" s="18">
        <f>SUBTOTAL(103,$A$22:A378)</f>
        <v>335</v>
      </c>
      <c r="C378" s="3" t="s">
        <v>950</v>
      </c>
      <c r="D378" s="5">
        <v>4498868.8</v>
      </c>
      <c r="E378" s="5">
        <f t="shared" si="57"/>
        <v>716388.39999999991</v>
      </c>
      <c r="F378" s="5">
        <f t="shared" si="67"/>
        <v>3782480.4</v>
      </c>
      <c r="G378" s="5">
        <v>0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241">
        <v>0</v>
      </c>
      <c r="N378" s="5">
        <v>0</v>
      </c>
      <c r="O378" s="7">
        <v>909.07</v>
      </c>
      <c r="P378" s="7">
        <v>3634519.59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f>ROUND(P378*1.5%,2)</f>
        <v>54517.79</v>
      </c>
      <c r="AF378" s="7">
        <v>93443.02</v>
      </c>
      <c r="AG378" s="5">
        <v>0</v>
      </c>
      <c r="AH378" s="246">
        <v>2020</v>
      </c>
      <c r="AI378" s="246">
        <v>2020</v>
      </c>
      <c r="AJ378" s="6">
        <v>2020</v>
      </c>
      <c r="CB378" s="236"/>
      <c r="CF378" s="2">
        <f t="shared" si="56"/>
        <v>870</v>
      </c>
    </row>
    <row r="379" spans="1:262" ht="61.5" x14ac:dyDescent="0.85">
      <c r="A379" s="2">
        <v>1</v>
      </c>
      <c r="B379" s="18">
        <f>SUBTOTAL(103,$A$22:A379)</f>
        <v>336</v>
      </c>
      <c r="C379" s="290" t="s">
        <v>1181</v>
      </c>
      <c r="D379" s="5">
        <v>4978221.0999999996</v>
      </c>
      <c r="E379" s="5">
        <f t="shared" si="57"/>
        <v>1048587.7899999996</v>
      </c>
      <c r="F379" s="5">
        <f t="shared" si="67"/>
        <v>3929633.31</v>
      </c>
      <c r="G379" s="5">
        <v>0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241">
        <v>0</v>
      </c>
      <c r="N379" s="5">
        <v>0</v>
      </c>
      <c r="O379" s="7">
        <v>1110.42</v>
      </c>
      <c r="P379" s="48">
        <v>3906196.14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48">
        <v>23437.17</v>
      </c>
      <c r="AF379" s="5">
        <v>0</v>
      </c>
      <c r="AG379" s="5">
        <v>0</v>
      </c>
      <c r="AH379" s="246" t="s">
        <v>49</v>
      </c>
      <c r="AI379" s="246">
        <v>2020</v>
      </c>
      <c r="AJ379" s="6">
        <v>2020</v>
      </c>
      <c r="CB379" s="236"/>
      <c r="CF379" s="2">
        <f t="shared" si="56"/>
        <v>1229.9000000000001</v>
      </c>
    </row>
    <row r="380" spans="1:262" ht="61.5" x14ac:dyDescent="0.85">
      <c r="B380" s="3" t="s">
        <v>1318</v>
      </c>
      <c r="C380" s="3"/>
      <c r="D380" s="244">
        <v>2913286.51</v>
      </c>
      <c r="E380" s="233">
        <f t="shared" si="57"/>
        <v>0</v>
      </c>
      <c r="F380" s="244">
        <f>F381+F382</f>
        <v>2913286.51</v>
      </c>
      <c r="G380" s="5">
        <f t="shared" ref="G380:AG380" si="70">G381+G382</f>
        <v>120832.23</v>
      </c>
      <c r="H380" s="5">
        <f t="shared" si="70"/>
        <v>0</v>
      </c>
      <c r="I380" s="5">
        <f t="shared" si="70"/>
        <v>0</v>
      </c>
      <c r="J380" s="5">
        <f t="shared" si="70"/>
        <v>109660.45000000001</v>
      </c>
      <c r="K380" s="5">
        <f t="shared" si="70"/>
        <v>295538.62</v>
      </c>
      <c r="L380" s="5">
        <f t="shared" si="70"/>
        <v>0</v>
      </c>
      <c r="M380" s="241">
        <f t="shared" si="70"/>
        <v>0</v>
      </c>
      <c r="N380" s="5">
        <f t="shared" si="70"/>
        <v>0</v>
      </c>
      <c r="O380" s="5">
        <f t="shared" si="70"/>
        <v>541.1</v>
      </c>
      <c r="P380" s="5">
        <f t="shared" si="70"/>
        <v>2344240.58</v>
      </c>
      <c r="Q380" s="5">
        <f t="shared" si="70"/>
        <v>0</v>
      </c>
      <c r="R380" s="5">
        <f t="shared" si="70"/>
        <v>0</v>
      </c>
      <c r="S380" s="5">
        <f t="shared" si="70"/>
        <v>0</v>
      </c>
      <c r="T380" s="5">
        <f t="shared" si="70"/>
        <v>0</v>
      </c>
      <c r="U380" s="5">
        <f t="shared" si="70"/>
        <v>0</v>
      </c>
      <c r="V380" s="5">
        <f t="shared" si="70"/>
        <v>0</v>
      </c>
      <c r="W380" s="5">
        <f t="shared" si="70"/>
        <v>0</v>
      </c>
      <c r="X380" s="5">
        <f t="shared" si="70"/>
        <v>0</v>
      </c>
      <c r="Y380" s="5">
        <f t="shared" si="70"/>
        <v>0</v>
      </c>
      <c r="Z380" s="5">
        <f t="shared" si="70"/>
        <v>0</v>
      </c>
      <c r="AA380" s="5">
        <f t="shared" si="70"/>
        <v>0</v>
      </c>
      <c r="AB380" s="5">
        <f t="shared" si="70"/>
        <v>0</v>
      </c>
      <c r="AC380" s="5">
        <f t="shared" si="70"/>
        <v>0</v>
      </c>
      <c r="AD380" s="5">
        <f t="shared" si="70"/>
        <v>0</v>
      </c>
      <c r="AE380" s="5">
        <f t="shared" si="70"/>
        <v>43014.630000000005</v>
      </c>
      <c r="AF380" s="5">
        <f t="shared" si="70"/>
        <v>0</v>
      </c>
      <c r="AG380" s="5">
        <f t="shared" si="70"/>
        <v>0</v>
      </c>
      <c r="AH380" s="23" t="s">
        <v>90</v>
      </c>
      <c r="AI380" s="23" t="s">
        <v>90</v>
      </c>
      <c r="AJ380" s="27" t="s">
        <v>90</v>
      </c>
      <c r="AV380" s="2" t="e">
        <f>VLOOKUP(C380,AY:AZ,2,FALSE)</f>
        <v>#N/A</v>
      </c>
      <c r="CB380" s="5">
        <v>2913286.51</v>
      </c>
      <c r="CC380" s="5"/>
      <c r="CD380" s="5">
        <f>CB380-F380</f>
        <v>0</v>
      </c>
      <c r="CF380" s="2" t="e">
        <f t="shared" si="56"/>
        <v>#N/A</v>
      </c>
    </row>
    <row r="381" spans="1:262" ht="61.5" x14ac:dyDescent="0.85">
      <c r="A381" s="2">
        <v>1</v>
      </c>
      <c r="B381" s="18">
        <f>SUBTOTAL(103,$A$22:A381)</f>
        <v>337</v>
      </c>
      <c r="C381" s="3" t="s">
        <v>1059</v>
      </c>
      <c r="D381" s="5">
        <v>2379404.19</v>
      </c>
      <c r="E381" s="5">
        <f t="shared" si="57"/>
        <v>0</v>
      </c>
      <c r="F381" s="5">
        <f>G381+H381+I381+J381+K381+L381+N381+P381+R381+T381+V381+W381+X381+Y381+Z381+AA381+AB381+AC381+AD381+AE381+AF381+AG381</f>
        <v>2379404.19</v>
      </c>
      <c r="G381" s="5">
        <v>0</v>
      </c>
      <c r="H381" s="5">
        <v>0</v>
      </c>
      <c r="I381" s="5">
        <v>0</v>
      </c>
      <c r="J381" s="5">
        <v>0</v>
      </c>
      <c r="K381" s="5">
        <v>0</v>
      </c>
      <c r="L381" s="5">
        <v>0</v>
      </c>
      <c r="M381" s="241">
        <v>0</v>
      </c>
      <c r="N381" s="5">
        <v>0</v>
      </c>
      <c r="O381" s="5">
        <v>541.1</v>
      </c>
      <c r="P381" s="5">
        <v>2344240.58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f>ROUND(P381*1.5%,2)</f>
        <v>35163.61</v>
      </c>
      <c r="AF381" s="5">
        <v>0</v>
      </c>
      <c r="AG381" s="5">
        <v>0</v>
      </c>
      <c r="AH381" s="246" t="s">
        <v>49</v>
      </c>
      <c r="AI381" s="246">
        <v>2020</v>
      </c>
      <c r="AJ381" s="6">
        <v>2020</v>
      </c>
      <c r="AV381" s="2" t="e">
        <f>VLOOKUP(C381,AY:AZ,2,FALSE)</f>
        <v>#N/A</v>
      </c>
      <c r="CB381" s="236"/>
      <c r="CF381" s="2">
        <f t="shared" si="56"/>
        <v>541.1</v>
      </c>
    </row>
    <row r="382" spans="1:262" ht="61.5" x14ac:dyDescent="0.85">
      <c r="A382" s="2">
        <v>1</v>
      </c>
      <c r="B382" s="18">
        <f>SUBTOTAL(103,$A$22:A382)</f>
        <v>338</v>
      </c>
      <c r="C382" s="3" t="s">
        <v>1319</v>
      </c>
      <c r="D382" s="5">
        <v>533882.32000000007</v>
      </c>
      <c r="E382" s="5">
        <f t="shared" si="57"/>
        <v>0</v>
      </c>
      <c r="F382" s="5">
        <f>G382+H382+I382+J382+K382+L382+N382+P382+R382+T382+V382+W382+X382+Y382+Z382+AA382+AB382+AC382+AD382+AE382+AF382+AG382</f>
        <v>533882.32000000007</v>
      </c>
      <c r="G382" s="5">
        <v>120832.23</v>
      </c>
      <c r="H382" s="5">
        <v>0</v>
      </c>
      <c r="I382" s="5">
        <v>0</v>
      </c>
      <c r="J382" s="5">
        <f>47331.59+62324.26+4.6</f>
        <v>109660.45000000001</v>
      </c>
      <c r="K382" s="7">
        <v>295538.62</v>
      </c>
      <c r="L382" s="5">
        <v>0</v>
      </c>
      <c r="M382" s="241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f>ROUND((G382+H382+I382+J382+K382+L382)*1.4925%,2)</f>
        <v>7851.02</v>
      </c>
      <c r="AF382" s="5">
        <v>0</v>
      </c>
      <c r="AG382" s="5">
        <v>0</v>
      </c>
      <c r="AH382" s="246" t="s">
        <v>49</v>
      </c>
      <c r="AI382" s="246">
        <v>2020</v>
      </c>
      <c r="AJ382" s="6">
        <v>2020</v>
      </c>
      <c r="CB382" s="236"/>
      <c r="CF382" s="2" t="e">
        <f t="shared" si="56"/>
        <v>#N/A</v>
      </c>
    </row>
    <row r="383" spans="1:262" ht="61.5" x14ac:dyDescent="0.85">
      <c r="B383" s="3" t="s">
        <v>1320</v>
      </c>
      <c r="C383" s="3"/>
      <c r="D383" s="244">
        <v>2727875.44</v>
      </c>
      <c r="E383" s="233">
        <f t="shared" si="57"/>
        <v>722828.51999999979</v>
      </c>
      <c r="F383" s="244">
        <f t="shared" ref="F383:AG383" si="71">F384</f>
        <v>2005046.9200000002</v>
      </c>
      <c r="G383" s="5">
        <f t="shared" si="71"/>
        <v>0</v>
      </c>
      <c r="H383" s="5">
        <f t="shared" si="71"/>
        <v>0</v>
      </c>
      <c r="I383" s="5">
        <f t="shared" si="71"/>
        <v>0</v>
      </c>
      <c r="J383" s="5">
        <f t="shared" si="71"/>
        <v>0</v>
      </c>
      <c r="K383" s="5">
        <f t="shared" si="71"/>
        <v>0</v>
      </c>
      <c r="L383" s="5">
        <f t="shared" si="71"/>
        <v>0</v>
      </c>
      <c r="M383" s="241">
        <f t="shared" si="71"/>
        <v>0</v>
      </c>
      <c r="N383" s="5">
        <f t="shared" si="71"/>
        <v>0</v>
      </c>
      <c r="O383" s="5">
        <f t="shared" si="71"/>
        <v>317.68</v>
      </c>
      <c r="P383" s="5">
        <f t="shared" si="71"/>
        <v>1068295.6000000001</v>
      </c>
      <c r="Q383" s="5">
        <f t="shared" si="71"/>
        <v>0</v>
      </c>
      <c r="R383" s="5">
        <f t="shared" si="71"/>
        <v>0</v>
      </c>
      <c r="S383" s="5">
        <f t="shared" si="71"/>
        <v>364.69</v>
      </c>
      <c r="T383" s="5">
        <f t="shared" si="71"/>
        <v>915315.12</v>
      </c>
      <c r="U383" s="5">
        <f t="shared" si="71"/>
        <v>0</v>
      </c>
      <c r="V383" s="5">
        <f t="shared" si="71"/>
        <v>0</v>
      </c>
      <c r="W383" s="5">
        <f t="shared" si="71"/>
        <v>0</v>
      </c>
      <c r="X383" s="5">
        <f t="shared" si="71"/>
        <v>0</v>
      </c>
      <c r="Y383" s="5">
        <f t="shared" si="71"/>
        <v>0</v>
      </c>
      <c r="Z383" s="5">
        <f t="shared" si="71"/>
        <v>0</v>
      </c>
      <c r="AA383" s="5">
        <f t="shared" si="71"/>
        <v>0</v>
      </c>
      <c r="AB383" s="5">
        <f t="shared" si="71"/>
        <v>0</v>
      </c>
      <c r="AC383" s="5">
        <f t="shared" si="71"/>
        <v>0</v>
      </c>
      <c r="AD383" s="5">
        <f t="shared" si="71"/>
        <v>0</v>
      </c>
      <c r="AE383" s="5">
        <f t="shared" si="71"/>
        <v>21436.2</v>
      </c>
      <c r="AF383" s="5">
        <f t="shared" si="71"/>
        <v>0</v>
      </c>
      <c r="AG383" s="5">
        <f t="shared" si="71"/>
        <v>0</v>
      </c>
      <c r="AH383" s="23" t="s">
        <v>90</v>
      </c>
      <c r="AI383" s="23" t="s">
        <v>90</v>
      </c>
      <c r="AJ383" s="27" t="s">
        <v>90</v>
      </c>
      <c r="AV383" s="2" t="e">
        <f t="shared" ref="AV383:AV390" si="72">VLOOKUP(C383,AY:AZ,2,FALSE)</f>
        <v>#N/A</v>
      </c>
      <c r="CB383" s="236">
        <v>2727875.44</v>
      </c>
      <c r="CF383" s="2" t="e">
        <f t="shared" si="56"/>
        <v>#N/A</v>
      </c>
    </row>
    <row r="384" spans="1:262" ht="61.5" x14ac:dyDescent="0.85">
      <c r="A384" s="2">
        <v>1</v>
      </c>
      <c r="B384" s="18">
        <f>SUBTOTAL(103,$A$22:A384)</f>
        <v>339</v>
      </c>
      <c r="C384" s="3" t="s">
        <v>952</v>
      </c>
      <c r="D384" s="5">
        <v>2727875.44</v>
      </c>
      <c r="E384" s="5">
        <f t="shared" si="57"/>
        <v>722828.51999999979</v>
      </c>
      <c r="F384" s="5">
        <f>G384+H384+I384+J384+K384+L384+N384+P384+R384+T384+V384+W384+X384+Y384+Z384+AA384+AB384+AC384+AD384+AE384+AF384+AG384</f>
        <v>2005046.9200000002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241">
        <v>0</v>
      </c>
      <c r="N384" s="5">
        <v>0</v>
      </c>
      <c r="O384" s="7">
        <v>317.68</v>
      </c>
      <c r="P384" s="48">
        <v>1068295.6000000001</v>
      </c>
      <c r="Q384" s="5">
        <v>0</v>
      </c>
      <c r="R384" s="5">
        <v>0</v>
      </c>
      <c r="S384" s="7">
        <v>364.69</v>
      </c>
      <c r="T384" s="7">
        <v>915315.12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21436.2</v>
      </c>
      <c r="AF384" s="5">
        <v>0</v>
      </c>
      <c r="AG384" s="5">
        <v>0</v>
      </c>
      <c r="AH384" s="246" t="s">
        <v>49</v>
      </c>
      <c r="AI384" s="246">
        <v>2020</v>
      </c>
      <c r="AJ384" s="6">
        <v>2020</v>
      </c>
      <c r="AV384" s="2" t="e">
        <f t="shared" si="72"/>
        <v>#N/A</v>
      </c>
      <c r="CB384" s="236"/>
      <c r="CF384" s="2">
        <f t="shared" si="56"/>
        <v>313.10000000000002</v>
      </c>
    </row>
    <row r="385" spans="1:84" ht="61.5" x14ac:dyDescent="0.85">
      <c r="B385" s="3" t="s">
        <v>1321</v>
      </c>
      <c r="C385" s="3"/>
      <c r="D385" s="244">
        <v>3866903.76</v>
      </c>
      <c r="E385" s="233">
        <f t="shared" si="57"/>
        <v>0</v>
      </c>
      <c r="F385" s="244">
        <f t="shared" ref="F385:AG385" si="73">F386</f>
        <v>3866903.76</v>
      </c>
      <c r="G385" s="5">
        <f t="shared" si="73"/>
        <v>0</v>
      </c>
      <c r="H385" s="5">
        <f t="shared" si="73"/>
        <v>0</v>
      </c>
      <c r="I385" s="5">
        <f t="shared" si="73"/>
        <v>0</v>
      </c>
      <c r="J385" s="5">
        <f t="shared" si="73"/>
        <v>0</v>
      </c>
      <c r="K385" s="5">
        <f t="shared" si="73"/>
        <v>0</v>
      </c>
      <c r="L385" s="5">
        <f t="shared" si="73"/>
        <v>0</v>
      </c>
      <c r="M385" s="241">
        <f t="shared" si="73"/>
        <v>0</v>
      </c>
      <c r="N385" s="5">
        <f t="shared" si="73"/>
        <v>0</v>
      </c>
      <c r="O385" s="5">
        <f t="shared" si="73"/>
        <v>807.46</v>
      </c>
      <c r="P385" s="5">
        <f t="shared" si="73"/>
        <v>3749036.68</v>
      </c>
      <c r="Q385" s="5">
        <f t="shared" si="73"/>
        <v>0</v>
      </c>
      <c r="R385" s="5">
        <f t="shared" si="73"/>
        <v>0</v>
      </c>
      <c r="S385" s="5">
        <f t="shared" si="73"/>
        <v>0</v>
      </c>
      <c r="T385" s="5">
        <f t="shared" si="73"/>
        <v>0</v>
      </c>
      <c r="U385" s="5">
        <f t="shared" si="73"/>
        <v>0</v>
      </c>
      <c r="V385" s="5">
        <f t="shared" si="73"/>
        <v>0</v>
      </c>
      <c r="W385" s="5">
        <f t="shared" si="73"/>
        <v>0</v>
      </c>
      <c r="X385" s="5">
        <f t="shared" si="73"/>
        <v>0</v>
      </c>
      <c r="Y385" s="5">
        <f t="shared" si="73"/>
        <v>0</v>
      </c>
      <c r="Z385" s="5">
        <f t="shared" si="73"/>
        <v>0</v>
      </c>
      <c r="AA385" s="5">
        <f t="shared" si="73"/>
        <v>0</v>
      </c>
      <c r="AB385" s="5">
        <f t="shared" si="73"/>
        <v>0</v>
      </c>
      <c r="AC385" s="5">
        <f t="shared" si="73"/>
        <v>0</v>
      </c>
      <c r="AD385" s="5">
        <f t="shared" si="73"/>
        <v>0</v>
      </c>
      <c r="AE385" s="5">
        <f t="shared" si="73"/>
        <v>56235.55</v>
      </c>
      <c r="AF385" s="5">
        <f t="shared" si="73"/>
        <v>61631.53</v>
      </c>
      <c r="AG385" s="5">
        <f t="shared" si="73"/>
        <v>0</v>
      </c>
      <c r="AH385" s="23" t="s">
        <v>90</v>
      </c>
      <c r="AI385" s="23" t="s">
        <v>90</v>
      </c>
      <c r="AJ385" s="27" t="s">
        <v>90</v>
      </c>
      <c r="AV385" s="2" t="e">
        <f t="shared" si="72"/>
        <v>#N/A</v>
      </c>
      <c r="CB385" s="236">
        <v>3866903.76</v>
      </c>
      <c r="CF385" s="2" t="e">
        <f t="shared" si="56"/>
        <v>#N/A</v>
      </c>
    </row>
    <row r="386" spans="1:84" ht="61.5" x14ac:dyDescent="0.85">
      <c r="A386" s="2">
        <v>1</v>
      </c>
      <c r="B386" s="18">
        <f>SUBTOTAL(103,$A$22:A386)</f>
        <v>340</v>
      </c>
      <c r="C386" s="3" t="s">
        <v>1322</v>
      </c>
      <c r="D386" s="5">
        <v>3866903.76</v>
      </c>
      <c r="E386" s="5">
        <f t="shared" si="57"/>
        <v>0</v>
      </c>
      <c r="F386" s="5">
        <f>G386+H386+I386+J386+K386+L386+N386+P386+R386+T386+V386+W386+X386+Y386+Z386+AA386+AB386+AC386+AD386+AE386+AF386+AG386</f>
        <v>3866903.76</v>
      </c>
      <c r="G386" s="5">
        <v>0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241">
        <v>0</v>
      </c>
      <c r="N386" s="5">
        <v>0</v>
      </c>
      <c r="O386" s="5">
        <v>807.46</v>
      </c>
      <c r="P386" s="5">
        <f>3740078.64+8958.04</f>
        <v>3749036.68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f>ROUND(P386*1.5%,2)</f>
        <v>56235.55</v>
      </c>
      <c r="AF386" s="5">
        <v>61631.53</v>
      </c>
      <c r="AG386" s="5">
        <v>0</v>
      </c>
      <c r="AH386" s="246">
        <v>2020</v>
      </c>
      <c r="AI386" s="246">
        <v>2020</v>
      </c>
      <c r="AJ386" s="246">
        <v>2020</v>
      </c>
      <c r="AV386" s="2" t="e">
        <f t="shared" si="72"/>
        <v>#N/A</v>
      </c>
      <c r="CB386" s="236"/>
      <c r="CF386" s="2" t="e">
        <f t="shared" si="56"/>
        <v>#N/A</v>
      </c>
    </row>
    <row r="387" spans="1:84" ht="61.5" x14ac:dyDescent="0.85">
      <c r="B387" s="3" t="s">
        <v>106</v>
      </c>
      <c r="C387" s="442"/>
      <c r="D387" s="244">
        <v>11324422.880000001</v>
      </c>
      <c r="E387" s="233">
        <f t="shared" si="57"/>
        <v>7037602.1600000011</v>
      </c>
      <c r="F387" s="244">
        <f>SUM(F388:F391)</f>
        <v>4286820.72</v>
      </c>
      <c r="G387" s="5">
        <f t="shared" ref="G387:AG387" si="74">SUM(G388:G391)</f>
        <v>0</v>
      </c>
      <c r="H387" s="5">
        <f t="shared" si="74"/>
        <v>0</v>
      </c>
      <c r="I387" s="5">
        <f t="shared" si="74"/>
        <v>0</v>
      </c>
      <c r="J387" s="5">
        <f t="shared" si="74"/>
        <v>0</v>
      </c>
      <c r="K387" s="5">
        <f t="shared" si="74"/>
        <v>0</v>
      </c>
      <c r="L387" s="5">
        <f t="shared" si="74"/>
        <v>0</v>
      </c>
      <c r="M387" s="241">
        <f t="shared" si="74"/>
        <v>0</v>
      </c>
      <c r="N387" s="5">
        <f t="shared" si="74"/>
        <v>0</v>
      </c>
      <c r="O387" s="5">
        <f t="shared" si="74"/>
        <v>678.3</v>
      </c>
      <c r="P387" s="5">
        <f t="shared" si="74"/>
        <v>2321700.09</v>
      </c>
      <c r="Q387" s="5">
        <f t="shared" si="74"/>
        <v>0</v>
      </c>
      <c r="R387" s="5">
        <f t="shared" si="74"/>
        <v>0</v>
      </c>
      <c r="S387" s="5">
        <f t="shared" si="74"/>
        <v>542.73</v>
      </c>
      <c r="T387" s="5">
        <f t="shared" si="74"/>
        <v>1785668.47</v>
      </c>
      <c r="U387" s="5">
        <f t="shared" si="74"/>
        <v>0</v>
      </c>
      <c r="V387" s="5">
        <f t="shared" si="74"/>
        <v>0</v>
      </c>
      <c r="W387" s="5">
        <f t="shared" si="74"/>
        <v>0</v>
      </c>
      <c r="X387" s="5">
        <f t="shared" si="74"/>
        <v>0</v>
      </c>
      <c r="Y387" s="5">
        <f t="shared" si="74"/>
        <v>0</v>
      </c>
      <c r="Z387" s="5">
        <f t="shared" si="74"/>
        <v>0</v>
      </c>
      <c r="AA387" s="5">
        <f t="shared" si="74"/>
        <v>0</v>
      </c>
      <c r="AB387" s="5">
        <f t="shared" si="74"/>
        <v>0</v>
      </c>
      <c r="AC387" s="5">
        <f t="shared" si="74"/>
        <v>0</v>
      </c>
      <c r="AD387" s="5">
        <f t="shared" si="74"/>
        <v>0</v>
      </c>
      <c r="AE387" s="5">
        <f t="shared" si="74"/>
        <v>26785.03</v>
      </c>
      <c r="AF387" s="5">
        <f t="shared" si="74"/>
        <v>152667.13</v>
      </c>
      <c r="AG387" s="5">
        <f t="shared" si="74"/>
        <v>0</v>
      </c>
      <c r="AH387" s="23" t="s">
        <v>90</v>
      </c>
      <c r="AI387" s="23" t="s">
        <v>90</v>
      </c>
      <c r="AJ387" s="27" t="s">
        <v>90</v>
      </c>
      <c r="AV387" s="2" t="e">
        <f t="shared" si="72"/>
        <v>#N/A</v>
      </c>
      <c r="CB387" s="236">
        <v>11389569.279999999</v>
      </c>
      <c r="CE387" s="5">
        <v>10475726.369999999</v>
      </c>
      <c r="CF387" s="2" t="e">
        <f t="shared" si="56"/>
        <v>#N/A</v>
      </c>
    </row>
    <row r="388" spans="1:84" ht="61.5" x14ac:dyDescent="0.85">
      <c r="A388" s="2">
        <v>1</v>
      </c>
      <c r="B388" s="18">
        <f>SUBTOTAL(103,$A$22:A388)</f>
        <v>341</v>
      </c>
      <c r="C388" s="3" t="s">
        <v>1060</v>
      </c>
      <c r="D388" s="5">
        <v>2321700.09</v>
      </c>
      <c r="E388" s="5">
        <f t="shared" si="57"/>
        <v>0</v>
      </c>
      <c r="F388" s="5">
        <f>G388+H388+I388+J388+K388+L388+N388+P388+R388+T388+V388+W388+X388+Y388+Z388+AA388+AB388+AC388+AD388+AE388+AF388+AG388</f>
        <v>2321700.09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241">
        <v>0</v>
      </c>
      <c r="N388" s="5">
        <v>0</v>
      </c>
      <c r="O388" s="7">
        <v>678.3</v>
      </c>
      <c r="P388" s="7">
        <v>2321700.09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246" t="s">
        <v>49</v>
      </c>
      <c r="AI388" s="246">
        <v>2020</v>
      </c>
      <c r="AJ388" s="6" t="s">
        <v>49</v>
      </c>
      <c r="AV388" s="2" t="e">
        <f t="shared" si="72"/>
        <v>#N/A</v>
      </c>
      <c r="CB388" s="236"/>
      <c r="CF388" s="2">
        <f t="shared" si="56"/>
        <v>678.3</v>
      </c>
    </row>
    <row r="389" spans="1:84" ht="61.5" x14ac:dyDescent="0.85">
      <c r="A389" s="2">
        <v>1</v>
      </c>
      <c r="B389" s="18">
        <f>SUBTOTAL(103,$A$22:A389)</f>
        <v>342</v>
      </c>
      <c r="C389" s="3" t="s">
        <v>1323</v>
      </c>
      <c r="D389" s="5">
        <v>2846363.85</v>
      </c>
      <c r="E389" s="5">
        <f t="shared" si="57"/>
        <v>1033910.3500000001</v>
      </c>
      <c r="F389" s="5">
        <f>G389+H389+I389+J389+K389+L389+N389+P389+R389+T389+V389+W389+X389+Y389+Z389+AA389+AB389+AC389+AD389+AE389+AF389+AG389</f>
        <v>1812453.5</v>
      </c>
      <c r="G389" s="5">
        <v>0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241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7">
        <v>542.73</v>
      </c>
      <c r="T389" s="7">
        <v>1785668.47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f>ROUND(T389*1.5%,2)</f>
        <v>26785.03</v>
      </c>
      <c r="AF389" s="5">
        <v>0</v>
      </c>
      <c r="AG389" s="5">
        <v>0</v>
      </c>
      <c r="AH389" s="246" t="s">
        <v>49</v>
      </c>
      <c r="AI389" s="246">
        <v>2020</v>
      </c>
      <c r="AJ389" s="6">
        <v>2020</v>
      </c>
      <c r="AV389" s="2" t="e">
        <f t="shared" si="72"/>
        <v>#N/A</v>
      </c>
      <c r="CB389" s="236"/>
      <c r="CF389" s="2" t="e">
        <f t="shared" si="56"/>
        <v>#N/A</v>
      </c>
    </row>
    <row r="390" spans="1:84" ht="61.5" x14ac:dyDescent="0.85">
      <c r="A390" s="2">
        <v>1</v>
      </c>
      <c r="B390" s="18">
        <f>SUBTOTAL(103,$A$22:A390)</f>
        <v>343</v>
      </c>
      <c r="C390" s="3" t="s">
        <v>1324</v>
      </c>
      <c r="D390" s="5">
        <v>4867698.0200000005</v>
      </c>
      <c r="E390" s="5">
        <f t="shared" si="57"/>
        <v>4763670.41</v>
      </c>
      <c r="F390" s="5">
        <f>G390+H390+I390+J390+K390+L390+N390+P390+R390+T390+V390+W390+X390+Y390+Z390+AA390+AB390+AC390+AD390+AE390+AF390+AG390</f>
        <v>104027.61</v>
      </c>
      <c r="G390" s="5">
        <v>0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241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f>ROUND(W390*1.5%,2)</f>
        <v>0</v>
      </c>
      <c r="AF390" s="48">
        <v>104027.61</v>
      </c>
      <c r="AG390" s="5">
        <v>0</v>
      </c>
      <c r="AH390" s="246">
        <v>2020</v>
      </c>
      <c r="AI390" s="246" t="s">
        <v>49</v>
      </c>
      <c r="AJ390" s="246" t="s">
        <v>49</v>
      </c>
      <c r="AV390" s="2" t="e">
        <f t="shared" si="72"/>
        <v>#N/A</v>
      </c>
      <c r="CB390" s="236"/>
      <c r="CF390" s="2" t="e">
        <f t="shared" si="56"/>
        <v>#N/A</v>
      </c>
    </row>
    <row r="391" spans="1:84" ht="61.5" x14ac:dyDescent="0.85">
      <c r="A391" s="2">
        <v>1</v>
      </c>
      <c r="B391" s="18">
        <f>SUBTOTAL(103,$A$22:A391)</f>
        <v>344</v>
      </c>
      <c r="C391" s="3" t="s">
        <v>1325</v>
      </c>
      <c r="D391" s="5">
        <v>1288660.92</v>
      </c>
      <c r="E391" s="5">
        <f t="shared" si="57"/>
        <v>1240021.3999999999</v>
      </c>
      <c r="F391" s="5">
        <f>G391+H391+I391+J391+K391+L391+N391+P391+R391+T391+V391+W391+X391+Y391+Z391+AA391+AB391+AC391+AD391+AE391+AF391+AG391</f>
        <v>48639.519999999997</v>
      </c>
      <c r="G391" s="5">
        <v>0</v>
      </c>
      <c r="H391" s="5">
        <v>0</v>
      </c>
      <c r="I391" s="5">
        <v>0</v>
      </c>
      <c r="J391" s="5">
        <v>0</v>
      </c>
      <c r="K391" s="5">
        <v>0</v>
      </c>
      <c r="L391" s="5">
        <v>0</v>
      </c>
      <c r="M391" s="241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f>ROUND(P391*1.5%,2)</f>
        <v>0</v>
      </c>
      <c r="AF391" s="7">
        <v>48639.519999999997</v>
      </c>
      <c r="AG391" s="5">
        <v>0</v>
      </c>
      <c r="AH391" s="246">
        <v>2020</v>
      </c>
      <c r="AI391" s="246" t="s">
        <v>49</v>
      </c>
      <c r="AJ391" s="246" t="s">
        <v>49</v>
      </c>
      <c r="CB391" s="236"/>
      <c r="CF391" s="2" t="e">
        <f t="shared" si="56"/>
        <v>#N/A</v>
      </c>
    </row>
    <row r="392" spans="1:84" ht="61.5" x14ac:dyDescent="0.85">
      <c r="B392" s="3" t="s">
        <v>1326</v>
      </c>
      <c r="C392" s="3"/>
      <c r="D392" s="244">
        <v>4615005.4700000007</v>
      </c>
      <c r="E392" s="233">
        <f t="shared" si="57"/>
        <v>979596.91000000108</v>
      </c>
      <c r="F392" s="244">
        <f>SUM(F393:F394)</f>
        <v>3635408.5599999996</v>
      </c>
      <c r="G392" s="5">
        <f t="shared" ref="G392:AG392" si="75">SUM(G393:G394)</f>
        <v>269822.40000000002</v>
      </c>
      <c r="H392" s="5">
        <f t="shared" si="75"/>
        <v>0</v>
      </c>
      <c r="I392" s="5">
        <f t="shared" si="75"/>
        <v>1785712.81</v>
      </c>
      <c r="J392" s="5">
        <f t="shared" si="75"/>
        <v>0</v>
      </c>
      <c r="K392" s="5">
        <f t="shared" si="75"/>
        <v>215247</v>
      </c>
      <c r="L392" s="5">
        <f t="shared" si="75"/>
        <v>0</v>
      </c>
      <c r="M392" s="241">
        <f t="shared" si="75"/>
        <v>0</v>
      </c>
      <c r="N392" s="5">
        <f t="shared" si="75"/>
        <v>0</v>
      </c>
      <c r="O392" s="5">
        <f t="shared" si="75"/>
        <v>401.44</v>
      </c>
      <c r="P392" s="5">
        <f t="shared" si="75"/>
        <v>1267442.73</v>
      </c>
      <c r="Q392" s="5">
        <f t="shared" si="75"/>
        <v>0</v>
      </c>
      <c r="R392" s="5">
        <f t="shared" si="75"/>
        <v>0</v>
      </c>
      <c r="S392" s="5">
        <f t="shared" si="75"/>
        <v>0</v>
      </c>
      <c r="T392" s="5">
        <f t="shared" si="75"/>
        <v>0</v>
      </c>
      <c r="U392" s="5">
        <f t="shared" si="75"/>
        <v>0</v>
      </c>
      <c r="V392" s="5">
        <f t="shared" si="75"/>
        <v>0</v>
      </c>
      <c r="W392" s="5">
        <f t="shared" si="75"/>
        <v>0</v>
      </c>
      <c r="X392" s="5">
        <f t="shared" si="75"/>
        <v>0</v>
      </c>
      <c r="Y392" s="5">
        <f t="shared" si="75"/>
        <v>0</v>
      </c>
      <c r="Z392" s="5">
        <f t="shared" si="75"/>
        <v>0</v>
      </c>
      <c r="AA392" s="5">
        <f t="shared" si="75"/>
        <v>0</v>
      </c>
      <c r="AB392" s="5">
        <f t="shared" si="75"/>
        <v>0</v>
      </c>
      <c r="AC392" s="5">
        <f t="shared" si="75"/>
        <v>0</v>
      </c>
      <c r="AD392" s="5">
        <f t="shared" si="75"/>
        <v>0</v>
      </c>
      <c r="AE392" s="5">
        <f t="shared" si="75"/>
        <v>53073.37</v>
      </c>
      <c r="AF392" s="5">
        <f t="shared" si="75"/>
        <v>44110.25</v>
      </c>
      <c r="AG392" s="5">
        <f t="shared" si="75"/>
        <v>0</v>
      </c>
      <c r="AH392" s="23" t="s">
        <v>90</v>
      </c>
      <c r="AI392" s="23" t="s">
        <v>90</v>
      </c>
      <c r="AJ392" s="27" t="s">
        <v>90</v>
      </c>
      <c r="AV392" s="2" t="e">
        <f>VLOOKUP(C392,AY:AZ,2,FALSE)</f>
        <v>#N/A</v>
      </c>
      <c r="CB392" s="236">
        <v>4635021.79</v>
      </c>
      <c r="CE392" s="5">
        <v>3960937.4299999997</v>
      </c>
      <c r="CF392" s="2" t="e">
        <f t="shared" si="56"/>
        <v>#N/A</v>
      </c>
    </row>
    <row r="393" spans="1:84" ht="61.5" x14ac:dyDescent="0.85">
      <c r="A393" s="2">
        <v>1</v>
      </c>
      <c r="B393" s="18">
        <f>SUBTOTAL(103,$A$22:A393)</f>
        <v>345</v>
      </c>
      <c r="C393" s="3" t="s">
        <v>1327</v>
      </c>
      <c r="D393" s="5">
        <v>2310161.5300000003</v>
      </c>
      <c r="E393" s="5">
        <f t="shared" si="57"/>
        <v>979596.91000000038</v>
      </c>
      <c r="F393" s="5">
        <f>G393+H393+I393+J393+K393+L393+N393+P393+R393+T393+V393+W393+X393+Y393+Z393+AA393+AB393+AC393+AD393+AE393+AF393+AG393</f>
        <v>1330564.6199999999</v>
      </c>
      <c r="G393" s="5">
        <v>0</v>
      </c>
      <c r="H393" s="5">
        <v>0</v>
      </c>
      <c r="I393" s="5">
        <v>0</v>
      </c>
      <c r="J393" s="5">
        <v>0</v>
      </c>
      <c r="K393" s="5">
        <v>0</v>
      </c>
      <c r="L393" s="5">
        <v>0</v>
      </c>
      <c r="M393" s="241">
        <v>0</v>
      </c>
      <c r="N393" s="5">
        <v>0</v>
      </c>
      <c r="O393" s="7">
        <v>401.44</v>
      </c>
      <c r="P393" s="48">
        <v>1267442.73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f>ROUND(P393*1.5%,2)</f>
        <v>19011.64</v>
      </c>
      <c r="AF393" s="7">
        <v>44110.25</v>
      </c>
      <c r="AG393" s="5">
        <v>0</v>
      </c>
      <c r="AH393" s="246">
        <v>2020</v>
      </c>
      <c r="AI393" s="246">
        <v>2020</v>
      </c>
      <c r="AJ393" s="6">
        <v>2020</v>
      </c>
      <c r="AV393" s="2" t="e">
        <f>VLOOKUP(C393,AY:AZ,2,FALSE)</f>
        <v>#N/A</v>
      </c>
      <c r="CB393" s="236"/>
      <c r="CF393" s="2">
        <f t="shared" si="56"/>
        <v>412.82</v>
      </c>
    </row>
    <row r="394" spans="1:84" ht="61.5" x14ac:dyDescent="0.85">
      <c r="A394" s="2">
        <v>1</v>
      </c>
      <c r="B394" s="18">
        <f>SUBTOTAL(103,$A$22:A394)</f>
        <v>346</v>
      </c>
      <c r="C394" s="3" t="s">
        <v>1328</v>
      </c>
      <c r="D394" s="5">
        <v>2304843.94</v>
      </c>
      <c r="E394" s="5">
        <f t="shared" si="57"/>
        <v>0</v>
      </c>
      <c r="F394" s="5">
        <f>G394+H394+I394+J394+K394+L394+N394+P394+R394+T394+V394+W394+X394+Y394+Z394+AA394+AB394+AC394+AD394+AE394+AF394+AG394</f>
        <v>2304843.94</v>
      </c>
      <c r="G394" s="5">
        <v>269822.40000000002</v>
      </c>
      <c r="H394" s="5">
        <v>0</v>
      </c>
      <c r="I394" s="5">
        <f>1632000+153712.81</f>
        <v>1785712.81</v>
      </c>
      <c r="J394" s="5">
        <v>0</v>
      </c>
      <c r="K394" s="441">
        <v>215247</v>
      </c>
      <c r="L394" s="5">
        <v>0</v>
      </c>
      <c r="M394" s="241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f>ROUND((G394+H394+I394+J394+K394+L394)*1.5%,2)</f>
        <v>34061.730000000003</v>
      </c>
      <c r="AF394" s="5">
        <v>0</v>
      </c>
      <c r="AG394" s="5">
        <v>0</v>
      </c>
      <c r="AH394" s="246" t="s">
        <v>49</v>
      </c>
      <c r="AI394" s="246">
        <v>2020</v>
      </c>
      <c r="AJ394" s="6">
        <v>2020</v>
      </c>
      <c r="CB394" s="236"/>
      <c r="CF394" s="2" t="e">
        <f t="shared" si="56"/>
        <v>#N/A</v>
      </c>
    </row>
    <row r="395" spans="1:84" ht="61.5" x14ac:dyDescent="0.85">
      <c r="B395" s="3" t="s">
        <v>1329</v>
      </c>
      <c r="C395" s="3"/>
      <c r="D395" s="244">
        <v>1491809.6800000002</v>
      </c>
      <c r="E395" s="233">
        <f t="shared" si="57"/>
        <v>1448243.2400000002</v>
      </c>
      <c r="F395" s="244">
        <f>F396</f>
        <v>43566.44</v>
      </c>
      <c r="G395" s="5">
        <f t="shared" ref="G395:AG395" si="76">G396</f>
        <v>0</v>
      </c>
      <c r="H395" s="5">
        <f t="shared" si="76"/>
        <v>0</v>
      </c>
      <c r="I395" s="5">
        <f t="shared" si="76"/>
        <v>0</v>
      </c>
      <c r="J395" s="5">
        <f t="shared" si="76"/>
        <v>0</v>
      </c>
      <c r="K395" s="5">
        <f t="shared" si="76"/>
        <v>0</v>
      </c>
      <c r="L395" s="5">
        <f t="shared" si="76"/>
        <v>0</v>
      </c>
      <c r="M395" s="241">
        <f t="shared" si="76"/>
        <v>0</v>
      </c>
      <c r="N395" s="5">
        <f t="shared" si="76"/>
        <v>0</v>
      </c>
      <c r="O395" s="5">
        <f t="shared" si="76"/>
        <v>0</v>
      </c>
      <c r="P395" s="5">
        <f t="shared" si="76"/>
        <v>0</v>
      </c>
      <c r="Q395" s="5">
        <f t="shared" si="76"/>
        <v>0</v>
      </c>
      <c r="R395" s="5">
        <f t="shared" si="76"/>
        <v>0</v>
      </c>
      <c r="S395" s="5">
        <f t="shared" si="76"/>
        <v>0</v>
      </c>
      <c r="T395" s="5">
        <f t="shared" si="76"/>
        <v>0</v>
      </c>
      <c r="U395" s="5">
        <f t="shared" si="76"/>
        <v>0</v>
      </c>
      <c r="V395" s="5">
        <f t="shared" si="76"/>
        <v>0</v>
      </c>
      <c r="W395" s="5">
        <f t="shared" si="76"/>
        <v>0</v>
      </c>
      <c r="X395" s="5">
        <f t="shared" si="76"/>
        <v>0</v>
      </c>
      <c r="Y395" s="5">
        <f t="shared" si="76"/>
        <v>0</v>
      </c>
      <c r="Z395" s="5">
        <f t="shared" si="76"/>
        <v>0</v>
      </c>
      <c r="AA395" s="5">
        <f t="shared" si="76"/>
        <v>0</v>
      </c>
      <c r="AB395" s="5">
        <f t="shared" si="76"/>
        <v>0</v>
      </c>
      <c r="AC395" s="5">
        <f t="shared" si="76"/>
        <v>0</v>
      </c>
      <c r="AD395" s="5">
        <f t="shared" si="76"/>
        <v>0</v>
      </c>
      <c r="AE395" s="5">
        <f t="shared" si="76"/>
        <v>0</v>
      </c>
      <c r="AF395" s="5">
        <f t="shared" si="76"/>
        <v>43566.44</v>
      </c>
      <c r="AG395" s="5">
        <f t="shared" si="76"/>
        <v>0</v>
      </c>
      <c r="AH395" s="23" t="s">
        <v>90</v>
      </c>
      <c r="AI395" s="23" t="s">
        <v>90</v>
      </c>
      <c r="AJ395" s="27" t="s">
        <v>90</v>
      </c>
      <c r="AV395" s="2" t="e">
        <f>VLOOKUP(C395,AY:AZ,2,FALSE)</f>
        <v>#N/A</v>
      </c>
      <c r="CB395" s="236">
        <v>1547699.36</v>
      </c>
      <c r="CF395" s="2" t="e">
        <f t="shared" ref="CF395:CF408" si="77">VLOOKUP(C395,CG:CH,2,FALSE)</f>
        <v>#N/A</v>
      </c>
    </row>
    <row r="396" spans="1:84" s="250" customFormat="1" ht="123" x14ac:dyDescent="0.85">
      <c r="A396" s="250">
        <v>1</v>
      </c>
      <c r="B396" s="18">
        <f>SUBTOTAL(103,$A$22:A396)</f>
        <v>347</v>
      </c>
      <c r="C396" s="447" t="s">
        <v>1141</v>
      </c>
      <c r="D396" s="251">
        <v>1491809.6800000002</v>
      </c>
      <c r="E396" s="251">
        <f t="shared" si="57"/>
        <v>1448243.2400000002</v>
      </c>
      <c r="F396" s="251">
        <f>G396+H396+I396+J396+K396+L396+N396+P396+R396+T396+V396+W396+X396+Y396+Z396+AA396+AB396+AC396+AD396+AE396+AF396+AG396</f>
        <v>43566.44</v>
      </c>
      <c r="G396" s="251">
        <v>0</v>
      </c>
      <c r="H396" s="251">
        <v>0</v>
      </c>
      <c r="I396" s="251">
        <v>0</v>
      </c>
      <c r="J396" s="251">
        <v>0</v>
      </c>
      <c r="K396" s="251">
        <v>0</v>
      </c>
      <c r="L396" s="251">
        <v>0</v>
      </c>
      <c r="M396" s="252">
        <v>0</v>
      </c>
      <c r="N396" s="251">
        <v>0</v>
      </c>
      <c r="O396" s="251">
        <v>0</v>
      </c>
      <c r="P396" s="251">
        <v>0</v>
      </c>
      <c r="Q396" s="251">
        <v>0</v>
      </c>
      <c r="R396" s="251">
        <v>0</v>
      </c>
      <c r="S396" s="251">
        <v>0</v>
      </c>
      <c r="T396" s="251">
        <v>0</v>
      </c>
      <c r="U396" s="251">
        <v>0</v>
      </c>
      <c r="V396" s="251">
        <v>0</v>
      </c>
      <c r="W396" s="251">
        <v>0</v>
      </c>
      <c r="X396" s="251">
        <v>0</v>
      </c>
      <c r="Y396" s="251">
        <v>0</v>
      </c>
      <c r="Z396" s="251">
        <v>0</v>
      </c>
      <c r="AA396" s="251">
        <v>0</v>
      </c>
      <c r="AB396" s="251">
        <v>0</v>
      </c>
      <c r="AC396" s="251">
        <v>0</v>
      </c>
      <c r="AD396" s="251">
        <v>0</v>
      </c>
      <c r="AE396" s="251">
        <f>ROUND(P396*1.5%,2)</f>
        <v>0</v>
      </c>
      <c r="AF396" s="251">
        <v>43566.44</v>
      </c>
      <c r="AG396" s="251">
        <v>0</v>
      </c>
      <c r="AH396" s="264">
        <v>2020</v>
      </c>
      <c r="AI396" s="264" t="s">
        <v>49</v>
      </c>
      <c r="AJ396" s="264" t="s">
        <v>49</v>
      </c>
      <c r="AV396" s="250" t="e">
        <f>VLOOKUP(C396,AY:AZ,2,FALSE)</f>
        <v>#N/A</v>
      </c>
      <c r="CB396" s="253"/>
      <c r="CF396" s="250">
        <f t="shared" si="77"/>
        <v>336.14</v>
      </c>
    </row>
    <row r="397" spans="1:84" ht="61.5" x14ac:dyDescent="0.85">
      <c r="B397" s="3" t="s">
        <v>107</v>
      </c>
      <c r="C397" s="3"/>
      <c r="D397" s="244">
        <v>7263579.6499999994</v>
      </c>
      <c r="E397" s="233">
        <f t="shared" si="57"/>
        <v>3097137.1499999994</v>
      </c>
      <c r="F397" s="244">
        <f>SUM(F398:F401)</f>
        <v>4166442.5</v>
      </c>
      <c r="G397" s="5">
        <f t="shared" ref="G397:AG397" si="78">SUM(G398:G401)</f>
        <v>0</v>
      </c>
      <c r="H397" s="5">
        <f t="shared" si="78"/>
        <v>0</v>
      </c>
      <c r="I397" s="5">
        <f t="shared" si="78"/>
        <v>0</v>
      </c>
      <c r="J397" s="5">
        <f t="shared" si="78"/>
        <v>0</v>
      </c>
      <c r="K397" s="5">
        <f t="shared" si="78"/>
        <v>0</v>
      </c>
      <c r="L397" s="5">
        <f t="shared" si="78"/>
        <v>0</v>
      </c>
      <c r="M397" s="241">
        <f t="shared" si="78"/>
        <v>0</v>
      </c>
      <c r="N397" s="5">
        <f t="shared" si="78"/>
        <v>0</v>
      </c>
      <c r="O397" s="5">
        <f t="shared" si="78"/>
        <v>542.66</v>
      </c>
      <c r="P397" s="5">
        <f t="shared" si="78"/>
        <v>2207932.36</v>
      </c>
      <c r="Q397" s="5">
        <f t="shared" si="78"/>
        <v>0</v>
      </c>
      <c r="R397" s="5">
        <f t="shared" si="78"/>
        <v>0</v>
      </c>
      <c r="S397" s="5">
        <f t="shared" si="78"/>
        <v>437.5</v>
      </c>
      <c r="T397" s="5">
        <f t="shared" si="78"/>
        <v>1813992.23</v>
      </c>
      <c r="U397" s="5">
        <f t="shared" si="78"/>
        <v>0</v>
      </c>
      <c r="V397" s="5">
        <f t="shared" si="78"/>
        <v>0</v>
      </c>
      <c r="W397" s="5">
        <f t="shared" si="78"/>
        <v>0</v>
      </c>
      <c r="X397" s="5">
        <f t="shared" si="78"/>
        <v>0</v>
      </c>
      <c r="Y397" s="5">
        <f t="shared" si="78"/>
        <v>0</v>
      </c>
      <c r="Z397" s="5">
        <f t="shared" si="78"/>
        <v>0</v>
      </c>
      <c r="AA397" s="5">
        <f t="shared" si="78"/>
        <v>0</v>
      </c>
      <c r="AB397" s="5">
        <f t="shared" si="78"/>
        <v>0</v>
      </c>
      <c r="AC397" s="5">
        <f t="shared" si="78"/>
        <v>0</v>
      </c>
      <c r="AD397" s="5">
        <f t="shared" si="78"/>
        <v>0</v>
      </c>
      <c r="AE397" s="5">
        <f t="shared" si="78"/>
        <v>17958.52</v>
      </c>
      <c r="AF397" s="5">
        <f t="shared" si="78"/>
        <v>126559.39</v>
      </c>
      <c r="AG397" s="5">
        <f t="shared" si="78"/>
        <v>0</v>
      </c>
      <c r="AH397" s="23" t="s">
        <v>90</v>
      </c>
      <c r="AI397" s="23" t="s">
        <v>90</v>
      </c>
      <c r="AJ397" s="27" t="s">
        <v>90</v>
      </c>
      <c r="AV397" s="2" t="e">
        <f>VLOOKUP(C397,AY:AZ,2,FALSE)</f>
        <v>#N/A</v>
      </c>
      <c r="CB397" s="236">
        <v>7290181.6600000001</v>
      </c>
      <c r="CE397" s="5">
        <v>6271514.3100000005</v>
      </c>
      <c r="CF397" s="2" t="e">
        <f t="shared" si="77"/>
        <v>#N/A</v>
      </c>
    </row>
    <row r="398" spans="1:84" ht="61.5" x14ac:dyDescent="0.85">
      <c r="A398" s="2">
        <v>1</v>
      </c>
      <c r="B398" s="18">
        <f>SUBTOTAL(103,$A$22:A398)</f>
        <v>348</v>
      </c>
      <c r="C398" s="3" t="s">
        <v>1330</v>
      </c>
      <c r="D398" s="5">
        <v>1730485.3000000003</v>
      </c>
      <c r="E398" s="5">
        <f t="shared" si="57"/>
        <v>1658743.5800000003</v>
      </c>
      <c r="F398" s="5">
        <f>G398+H398+I398+J398+K398+L398+N398+P398+R398+T398+V398+W398+X398+Y398+Z398+AA398+AB398+AC398+AD398+AE398+AF398+AG398</f>
        <v>71741.72</v>
      </c>
      <c r="G398" s="5">
        <v>0</v>
      </c>
      <c r="H398" s="5">
        <v>0</v>
      </c>
      <c r="I398" s="5">
        <v>0</v>
      </c>
      <c r="J398" s="5">
        <v>0</v>
      </c>
      <c r="K398" s="5">
        <v>0</v>
      </c>
      <c r="L398" s="5">
        <v>0</v>
      </c>
      <c r="M398" s="241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f>ROUND(T398*1.5%,2)</f>
        <v>0</v>
      </c>
      <c r="AF398" s="7">
        <v>71741.72</v>
      </c>
      <c r="AG398" s="5">
        <v>0</v>
      </c>
      <c r="AH398" s="246">
        <v>2020</v>
      </c>
      <c r="AI398" s="246" t="s">
        <v>49</v>
      </c>
      <c r="AJ398" s="246" t="s">
        <v>49</v>
      </c>
      <c r="AV398" s="2" t="e">
        <f>VLOOKUP(C398,AY:AZ,2,FALSE)</f>
        <v>#N/A</v>
      </c>
      <c r="CB398" s="236"/>
      <c r="CF398" s="2" t="e">
        <f t="shared" si="77"/>
        <v>#N/A</v>
      </c>
    </row>
    <row r="399" spans="1:84" ht="61.5" x14ac:dyDescent="0.85">
      <c r="A399" s="2">
        <v>1</v>
      </c>
      <c r="B399" s="18">
        <f>SUBTOTAL(103,$A$22:A399)</f>
        <v>349</v>
      </c>
      <c r="C399" s="3" t="s">
        <v>1331</v>
      </c>
      <c r="D399" s="5">
        <v>1841202.1099999999</v>
      </c>
      <c r="E399" s="5">
        <f t="shared" si="57"/>
        <v>9251.3599999998696</v>
      </c>
      <c r="F399" s="5">
        <f>G399+H399+I399+J399+K399+L399+N399+P399+R399+T399+V399+W399+X399+Y399+Z399+AA399+AB399+AC399+AD399+AE399+AF399+AG399</f>
        <v>1831950.75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241">
        <v>0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7">
        <v>437.5</v>
      </c>
      <c r="T399" s="7">
        <v>1813992.23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7">
        <v>17958.52</v>
      </c>
      <c r="AF399" s="5">
        <v>0</v>
      </c>
      <c r="AG399" s="5">
        <v>0</v>
      </c>
      <c r="AH399" s="246" t="s">
        <v>49</v>
      </c>
      <c r="AI399" s="246">
        <v>2020</v>
      </c>
      <c r="AJ399" s="6">
        <v>2020</v>
      </c>
      <c r="CB399" s="236"/>
      <c r="CF399" s="2" t="e">
        <f t="shared" si="77"/>
        <v>#N/A</v>
      </c>
    </row>
    <row r="400" spans="1:84" ht="61.5" x14ac:dyDescent="0.85">
      <c r="A400" s="2">
        <v>1</v>
      </c>
      <c r="B400" s="18">
        <f>SUBTOTAL(103,$A$22:A400)</f>
        <v>350</v>
      </c>
      <c r="C400" s="3" t="s">
        <v>1332</v>
      </c>
      <c r="D400" s="5">
        <v>2207932.36</v>
      </c>
      <c r="E400" s="5">
        <f t="shared" si="57"/>
        <v>0</v>
      </c>
      <c r="F400" s="5">
        <f>G400+H400+I400+J400+K400+L400+N400+P400+R400+T400+V400+W400+X400+Y400+Z400+AA400+AB400+AC400+AD400+AE400+AF400+AG400</f>
        <v>2207932.36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241">
        <v>0</v>
      </c>
      <c r="N400" s="5">
        <v>0</v>
      </c>
      <c r="O400" s="7">
        <v>542.66</v>
      </c>
      <c r="P400" s="7">
        <v>2207932.36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246" t="s">
        <v>49</v>
      </c>
      <c r="AI400" s="246">
        <v>2020</v>
      </c>
      <c r="AJ400" s="6" t="s">
        <v>49</v>
      </c>
      <c r="CB400" s="236"/>
      <c r="CF400" s="2">
        <f t="shared" si="77"/>
        <v>542.66</v>
      </c>
    </row>
    <row r="401" spans="1:262" ht="61.5" x14ac:dyDescent="0.85">
      <c r="A401" s="2">
        <v>1</v>
      </c>
      <c r="B401" s="18">
        <f>SUBTOTAL(103,$A$22:A401)</f>
        <v>351</v>
      </c>
      <c r="C401" s="3" t="s">
        <v>1333</v>
      </c>
      <c r="D401" s="5">
        <v>1483959.8800000001</v>
      </c>
      <c r="E401" s="5">
        <f t="shared" si="57"/>
        <v>1429142.2100000002</v>
      </c>
      <c r="F401" s="5">
        <f>G401+H401+I401+J401+K401+L401+N401+P401+R401+T401+V401+W401+X401+Y401+Z401+AA401+AB401+AC401+AD401+AE401+AF401+AG401</f>
        <v>54817.67</v>
      </c>
      <c r="G401" s="5">
        <v>0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241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f>ROUND(W401*1.5%,2)</f>
        <v>0</v>
      </c>
      <c r="AF401" s="7">
        <v>54817.67</v>
      </c>
      <c r="AG401" s="5">
        <v>0</v>
      </c>
      <c r="AH401" s="246">
        <v>2020</v>
      </c>
      <c r="AI401" s="246" t="s">
        <v>49</v>
      </c>
      <c r="AJ401" s="246" t="s">
        <v>49</v>
      </c>
      <c r="CB401" s="236"/>
      <c r="CF401" s="2" t="e">
        <f t="shared" si="77"/>
        <v>#N/A</v>
      </c>
    </row>
    <row r="402" spans="1:262" ht="61.5" x14ac:dyDescent="0.85">
      <c r="B402" s="3" t="s">
        <v>1334</v>
      </c>
      <c r="C402" s="3"/>
      <c r="D402" s="244">
        <v>3281480.1</v>
      </c>
      <c r="E402" s="233">
        <f t="shared" si="57"/>
        <v>494709.62999999989</v>
      </c>
      <c r="F402" s="244">
        <f>F403</f>
        <v>2786770.47</v>
      </c>
      <c r="G402" s="5">
        <f t="shared" ref="G402:AG402" si="79">G403</f>
        <v>0</v>
      </c>
      <c r="H402" s="5">
        <f t="shared" si="79"/>
        <v>0</v>
      </c>
      <c r="I402" s="5">
        <f t="shared" si="79"/>
        <v>0</v>
      </c>
      <c r="J402" s="5">
        <f t="shared" si="79"/>
        <v>0</v>
      </c>
      <c r="K402" s="5">
        <f t="shared" si="79"/>
        <v>0</v>
      </c>
      <c r="L402" s="5">
        <f t="shared" si="79"/>
        <v>0</v>
      </c>
      <c r="M402" s="241">
        <f t="shared" si="79"/>
        <v>0</v>
      </c>
      <c r="N402" s="5">
        <f t="shared" si="79"/>
        <v>0</v>
      </c>
      <c r="O402" s="5">
        <f t="shared" si="79"/>
        <v>0</v>
      </c>
      <c r="P402" s="5">
        <f t="shared" si="79"/>
        <v>0</v>
      </c>
      <c r="Q402" s="5">
        <f t="shared" si="79"/>
        <v>0</v>
      </c>
      <c r="R402" s="5">
        <f t="shared" si="79"/>
        <v>0</v>
      </c>
      <c r="S402" s="5">
        <f t="shared" si="79"/>
        <v>818.41</v>
      </c>
      <c r="T402" s="5">
        <f t="shared" si="79"/>
        <v>2759451.89</v>
      </c>
      <c r="U402" s="5">
        <f t="shared" si="79"/>
        <v>0</v>
      </c>
      <c r="V402" s="5">
        <f t="shared" si="79"/>
        <v>0</v>
      </c>
      <c r="W402" s="5">
        <f t="shared" si="79"/>
        <v>0</v>
      </c>
      <c r="X402" s="5">
        <f t="shared" si="79"/>
        <v>0</v>
      </c>
      <c r="Y402" s="5">
        <f t="shared" si="79"/>
        <v>0</v>
      </c>
      <c r="Z402" s="5">
        <f t="shared" si="79"/>
        <v>0</v>
      </c>
      <c r="AA402" s="5">
        <f t="shared" si="79"/>
        <v>0</v>
      </c>
      <c r="AB402" s="5">
        <f t="shared" si="79"/>
        <v>0</v>
      </c>
      <c r="AC402" s="5">
        <f t="shared" si="79"/>
        <v>0</v>
      </c>
      <c r="AD402" s="5">
        <f t="shared" si="79"/>
        <v>0</v>
      </c>
      <c r="AE402" s="5">
        <f t="shared" si="79"/>
        <v>27318.58</v>
      </c>
      <c r="AF402" s="5">
        <f t="shared" si="79"/>
        <v>0</v>
      </c>
      <c r="AG402" s="5">
        <f t="shared" si="79"/>
        <v>0</v>
      </c>
      <c r="AH402" s="23" t="s">
        <v>90</v>
      </c>
      <c r="AI402" s="23" t="s">
        <v>90</v>
      </c>
      <c r="AJ402" s="27" t="s">
        <v>90</v>
      </c>
      <c r="CB402" s="236">
        <v>3230853.85</v>
      </c>
      <c r="CE402" s="5">
        <v>3334643.9899999998</v>
      </c>
      <c r="CF402" s="2" t="e">
        <f t="shared" si="77"/>
        <v>#N/A</v>
      </c>
    </row>
    <row r="403" spans="1:262" ht="61.5" x14ac:dyDescent="0.85">
      <c r="A403" s="2">
        <v>1</v>
      </c>
      <c r="B403" s="18">
        <f>SUBTOTAL(103,$A$22:A403)</f>
        <v>352</v>
      </c>
      <c r="C403" s="3" t="s">
        <v>1335</v>
      </c>
      <c r="D403" s="5">
        <v>3281480.1</v>
      </c>
      <c r="E403" s="5">
        <f t="shared" ref="E403:E444" si="80">D403-F403</f>
        <v>494709.62999999989</v>
      </c>
      <c r="F403" s="5">
        <f>G403+H403+I403+J403+K403+L403+N403+P403+R403+T403+V403+W403+X403+Y403+Z403+AA403+AB403+AC403+AD403+AE403+AF403+AG403</f>
        <v>2786770.47</v>
      </c>
      <c r="G403" s="5">
        <v>0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241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7">
        <v>818.41</v>
      </c>
      <c r="T403" s="7">
        <v>2759451.89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7">
        <v>27318.58</v>
      </c>
      <c r="AF403" s="5">
        <v>0</v>
      </c>
      <c r="AG403" s="5">
        <v>0</v>
      </c>
      <c r="AH403" s="246" t="s">
        <v>49</v>
      </c>
      <c r="AI403" s="246">
        <v>2020</v>
      </c>
      <c r="AJ403" s="6">
        <v>2020</v>
      </c>
      <c r="CB403" s="236"/>
      <c r="CF403" s="2" t="e">
        <f t="shared" si="77"/>
        <v>#N/A</v>
      </c>
    </row>
    <row r="404" spans="1:262" ht="61.5" x14ac:dyDescent="0.85">
      <c r="B404" s="3" t="s">
        <v>108</v>
      </c>
      <c r="C404" s="442"/>
      <c r="D404" s="244">
        <v>18773024.589999996</v>
      </c>
      <c r="E404" s="233">
        <f t="shared" si="80"/>
        <v>10263608.789999997</v>
      </c>
      <c r="F404" s="244">
        <f t="shared" ref="F404:AG404" si="81">SUM(F405:F411)</f>
        <v>8509415.7999999989</v>
      </c>
      <c r="G404" s="5">
        <f t="shared" si="81"/>
        <v>0</v>
      </c>
      <c r="H404" s="5">
        <f t="shared" si="81"/>
        <v>0</v>
      </c>
      <c r="I404" s="5">
        <f t="shared" si="81"/>
        <v>0</v>
      </c>
      <c r="J404" s="5">
        <f t="shared" si="81"/>
        <v>0</v>
      </c>
      <c r="K404" s="5">
        <f t="shared" si="81"/>
        <v>0</v>
      </c>
      <c r="L404" s="5">
        <f t="shared" si="81"/>
        <v>0</v>
      </c>
      <c r="M404" s="241">
        <f t="shared" si="81"/>
        <v>0</v>
      </c>
      <c r="N404" s="5">
        <f t="shared" si="81"/>
        <v>0</v>
      </c>
      <c r="O404" s="5">
        <f t="shared" si="81"/>
        <v>2092.46</v>
      </c>
      <c r="P404" s="5">
        <f t="shared" si="81"/>
        <v>7827572.0800000001</v>
      </c>
      <c r="Q404" s="5">
        <f t="shared" si="81"/>
        <v>0</v>
      </c>
      <c r="R404" s="5">
        <f t="shared" si="81"/>
        <v>0</v>
      </c>
      <c r="S404" s="5">
        <f t="shared" si="81"/>
        <v>0</v>
      </c>
      <c r="T404" s="5">
        <f t="shared" si="81"/>
        <v>0</v>
      </c>
      <c r="U404" s="5">
        <f t="shared" si="81"/>
        <v>0</v>
      </c>
      <c r="V404" s="5">
        <f t="shared" si="81"/>
        <v>0</v>
      </c>
      <c r="W404" s="5">
        <f t="shared" si="81"/>
        <v>0</v>
      </c>
      <c r="X404" s="5">
        <f t="shared" si="81"/>
        <v>0</v>
      </c>
      <c r="Y404" s="5">
        <f t="shared" si="81"/>
        <v>0</v>
      </c>
      <c r="Z404" s="5">
        <f t="shared" si="81"/>
        <v>0</v>
      </c>
      <c r="AA404" s="5">
        <f t="shared" si="81"/>
        <v>0</v>
      </c>
      <c r="AB404" s="5">
        <f t="shared" si="81"/>
        <v>0</v>
      </c>
      <c r="AC404" s="5">
        <f t="shared" si="81"/>
        <v>0</v>
      </c>
      <c r="AD404" s="5">
        <f t="shared" si="81"/>
        <v>0</v>
      </c>
      <c r="AE404" s="5">
        <f t="shared" si="81"/>
        <v>76225.37</v>
      </c>
      <c r="AF404" s="5">
        <f t="shared" si="81"/>
        <v>605618.35</v>
      </c>
      <c r="AG404" s="5">
        <f t="shared" si="81"/>
        <v>0</v>
      </c>
      <c r="AH404" s="23" t="s">
        <v>90</v>
      </c>
      <c r="AI404" s="23" t="s">
        <v>90</v>
      </c>
      <c r="AJ404" s="27" t="s">
        <v>90</v>
      </c>
      <c r="AV404" s="2" t="e">
        <f>VLOOKUP(C404,AY:AZ,2,FALSE)</f>
        <v>#N/A</v>
      </c>
      <c r="CB404" s="236">
        <v>22440468.149999999</v>
      </c>
      <c r="CF404" s="2" t="e">
        <f t="shared" si="77"/>
        <v>#N/A</v>
      </c>
    </row>
    <row r="405" spans="1:262" ht="61.5" x14ac:dyDescent="0.85">
      <c r="A405" s="2">
        <v>1</v>
      </c>
      <c r="B405" s="18">
        <f>SUBTOTAL(103,$A$22:A405)</f>
        <v>353</v>
      </c>
      <c r="C405" s="3" t="s">
        <v>1336</v>
      </c>
      <c r="D405" s="5">
        <v>3531435.05</v>
      </c>
      <c r="E405" s="5">
        <f t="shared" si="80"/>
        <v>1012156.6500000004</v>
      </c>
      <c r="F405" s="5">
        <f>G405+H405+I405+J405+K405+L405+N405+P405+R405+T405+V405+W405+X405+Y405+Z405+AA405+AB405+AC405+AD405+AE405+AF405+AG405</f>
        <v>2519278.3999999994</v>
      </c>
      <c r="G405" s="5">
        <v>0</v>
      </c>
      <c r="H405" s="5">
        <v>0</v>
      </c>
      <c r="I405" s="5">
        <v>0</v>
      </c>
      <c r="J405" s="5">
        <v>0</v>
      </c>
      <c r="K405" s="5">
        <v>0</v>
      </c>
      <c r="L405" s="5">
        <v>0</v>
      </c>
      <c r="M405" s="241">
        <v>0</v>
      </c>
      <c r="N405" s="5">
        <v>0</v>
      </c>
      <c r="O405" s="7">
        <v>625</v>
      </c>
      <c r="P405" s="7">
        <v>2404974.7999999998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7">
        <v>14429.84</v>
      </c>
      <c r="AF405" s="7">
        <v>99873.76</v>
      </c>
      <c r="AG405" s="5">
        <v>0</v>
      </c>
      <c r="AH405" s="246">
        <v>2020</v>
      </c>
      <c r="AI405" s="246">
        <v>2020</v>
      </c>
      <c r="AJ405" s="6">
        <v>2020</v>
      </c>
      <c r="AV405" s="2" t="e">
        <f>VLOOKUP(C405,AY:AZ,2,FALSE)</f>
        <v>#N/A</v>
      </c>
      <c r="CB405" s="236"/>
      <c r="CF405" s="2" t="e">
        <f t="shared" si="77"/>
        <v>#N/A</v>
      </c>
    </row>
    <row r="406" spans="1:262" ht="61.5" x14ac:dyDescent="0.85">
      <c r="A406" s="2">
        <v>1</v>
      </c>
      <c r="B406" s="18">
        <f>SUBTOTAL(103,$A$22:A406)</f>
        <v>354</v>
      </c>
      <c r="C406" s="3" t="s">
        <v>1337</v>
      </c>
      <c r="D406" s="5">
        <v>3130874.1599999997</v>
      </c>
      <c r="E406" s="5">
        <f t="shared" si="80"/>
        <v>814105.25</v>
      </c>
      <c r="F406" s="5">
        <f>G406+H406+I406+J406+K406+L406+N406+P406+R406+T406+V406+W406+X406+Y406+Z406+AA406+AB406+AC406+AD406+AE406+AF406+AG406</f>
        <v>2316768.9099999997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241">
        <v>0</v>
      </c>
      <c r="N406" s="5">
        <v>0</v>
      </c>
      <c r="O406" s="7">
        <v>492.3</v>
      </c>
      <c r="P406" s="48">
        <v>2171491.13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7">
        <v>13028.94</v>
      </c>
      <c r="AF406" s="7">
        <v>132248.84</v>
      </c>
      <c r="AG406" s="5">
        <v>0</v>
      </c>
      <c r="AH406" s="246">
        <v>2020</v>
      </c>
      <c r="AI406" s="246">
        <v>2020</v>
      </c>
      <c r="AJ406" s="6">
        <v>2020</v>
      </c>
      <c r="AV406" s="2" t="e">
        <f>VLOOKUP(C406,AY:AZ,2,FALSE)</f>
        <v>#N/A</v>
      </c>
      <c r="CB406" s="236"/>
      <c r="CF406" s="2" t="e">
        <f t="shared" si="77"/>
        <v>#N/A</v>
      </c>
    </row>
    <row r="407" spans="1:262" ht="61.5" x14ac:dyDescent="0.85">
      <c r="A407" s="2">
        <v>1</v>
      </c>
      <c r="B407" s="18">
        <f>SUBTOTAL(103,$A$22:A407)</f>
        <v>355</v>
      </c>
      <c r="C407" s="3" t="s">
        <v>1338</v>
      </c>
      <c r="D407" s="5">
        <v>5554456.5600000005</v>
      </c>
      <c r="E407" s="5">
        <f t="shared" si="80"/>
        <v>5421953.8200000003</v>
      </c>
      <c r="F407" s="5">
        <f>G407+H407+I407+J407+K407+L407+N407+P407+R407+T407+V407+W407+X407+Y407+Z407+AA407+AB407+AC407+AD407+AE407+AF407+AG407</f>
        <v>132502.74</v>
      </c>
      <c r="G407" s="5">
        <v>0</v>
      </c>
      <c r="H407" s="5">
        <v>0</v>
      </c>
      <c r="I407" s="5">
        <v>0</v>
      </c>
      <c r="J407" s="5">
        <v>0</v>
      </c>
      <c r="K407" s="5">
        <v>0</v>
      </c>
      <c r="L407" s="5">
        <v>0</v>
      </c>
      <c r="M407" s="241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f>ROUND(P407*1.5%,2)</f>
        <v>0</v>
      </c>
      <c r="AF407" s="7">
        <v>132502.74</v>
      </c>
      <c r="AG407" s="5">
        <v>0</v>
      </c>
      <c r="AH407" s="246">
        <v>2020</v>
      </c>
      <c r="AI407" s="246" t="s">
        <v>49</v>
      </c>
      <c r="AJ407" s="246" t="s">
        <v>49</v>
      </c>
      <c r="AV407" s="2" t="e">
        <f>VLOOKUP(C407,AY:AZ,2,FALSE)</f>
        <v>#N/A</v>
      </c>
      <c r="CB407" s="236"/>
      <c r="CF407" s="2" t="e">
        <f t="shared" si="77"/>
        <v>#N/A</v>
      </c>
    </row>
    <row r="408" spans="1:262" ht="61.5" x14ac:dyDescent="0.85">
      <c r="A408" s="2">
        <v>1</v>
      </c>
      <c r="B408" s="18">
        <f>SUBTOTAL(103,$A$22:A408)</f>
        <v>356</v>
      </c>
      <c r="C408" s="3" t="s">
        <v>1061</v>
      </c>
      <c r="D408" s="5">
        <v>4162144.7199999997</v>
      </c>
      <c r="E408" s="5">
        <f t="shared" si="80"/>
        <v>862271.98</v>
      </c>
      <c r="F408" s="5">
        <f>G408+H408+I408+J408+K408+L408+N408+P408+R408+T408+V408+W408+X408+Y408+Z408+AA408+AB408+AC408+AD408+AE408+AF408+AG408</f>
        <v>3299872.7399999998</v>
      </c>
      <c r="G408" s="5">
        <v>0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241">
        <v>0</v>
      </c>
      <c r="N408" s="5">
        <v>0</v>
      </c>
      <c r="O408" s="7">
        <v>975.16</v>
      </c>
      <c r="P408" s="7">
        <v>3251106.15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f>ROUND(P408*1.5%,2)</f>
        <v>48766.59</v>
      </c>
      <c r="AF408" s="5">
        <v>0</v>
      </c>
      <c r="AG408" s="5">
        <v>0</v>
      </c>
      <c r="AH408" s="246" t="s">
        <v>49</v>
      </c>
      <c r="AI408" s="246">
        <v>2020</v>
      </c>
      <c r="AJ408" s="6">
        <v>2020</v>
      </c>
      <c r="CB408" s="236"/>
      <c r="CF408" s="2">
        <f t="shared" si="77"/>
        <v>975.2</v>
      </c>
    </row>
    <row r="409" spans="1:262" s="239" customFormat="1" ht="61.5" x14ac:dyDescent="0.85">
      <c r="A409" s="239">
        <v>1</v>
      </c>
      <c r="B409" s="18">
        <f>SUBTOTAL(103,$A$22:A409)</f>
        <v>357</v>
      </c>
      <c r="C409" s="3" t="s">
        <v>1339</v>
      </c>
      <c r="D409" s="5">
        <v>2424688.3000000003</v>
      </c>
      <c r="E409" s="5">
        <f t="shared" si="80"/>
        <v>2355901.4700000002</v>
      </c>
      <c r="F409" s="5">
        <f t="shared" ref="F409:F411" si="82">G409+H409+I409+J409+K409+L409+N409+P409+R409+T409+V409+W409+X409+Y409+Z409+AA409+AB409+AC409+AD409+AE409+AF409+AG409</f>
        <v>68786.83</v>
      </c>
      <c r="G409" s="5">
        <v>0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2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f t="shared" ref="AE409:AE411" si="83">ROUND(P409*1.5%,2)</f>
        <v>0</v>
      </c>
      <c r="AF409" s="5">
        <v>68786.83</v>
      </c>
      <c r="AG409" s="5">
        <v>0</v>
      </c>
      <c r="AH409" s="246">
        <v>2020</v>
      </c>
      <c r="AI409" s="246" t="s">
        <v>49</v>
      </c>
      <c r="AJ409" s="246" t="s">
        <v>49</v>
      </c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 t="e">
        <v>#N/A</v>
      </c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36"/>
      <c r="CC409" s="2"/>
      <c r="CD409" s="2"/>
      <c r="CE409" s="2"/>
      <c r="CF409" s="2" t="e">
        <v>#N/A</v>
      </c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</row>
    <row r="410" spans="1:262" s="239" customFormat="1" ht="61.5" x14ac:dyDescent="0.85">
      <c r="A410" s="239">
        <v>1</v>
      </c>
      <c r="B410" s="18">
        <f>SUBTOTAL(103,$A$22:A410)</f>
        <v>358</v>
      </c>
      <c r="C410" s="3" t="s">
        <v>1340</v>
      </c>
      <c r="D410" s="5">
        <v>2424688.3000000003</v>
      </c>
      <c r="E410" s="5">
        <f t="shared" si="80"/>
        <v>2355901.4700000002</v>
      </c>
      <c r="F410" s="5">
        <f t="shared" si="82"/>
        <v>68786.83</v>
      </c>
      <c r="G410" s="5">
        <v>0</v>
      </c>
      <c r="H410" s="5">
        <v>0</v>
      </c>
      <c r="I410" s="5">
        <v>0</v>
      </c>
      <c r="J410" s="5">
        <v>0</v>
      </c>
      <c r="K410" s="5">
        <v>0</v>
      </c>
      <c r="L410" s="5">
        <v>0</v>
      </c>
      <c r="M410" s="2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f t="shared" si="83"/>
        <v>0</v>
      </c>
      <c r="AF410" s="5">
        <v>68786.83</v>
      </c>
      <c r="AG410" s="5">
        <v>0</v>
      </c>
      <c r="AH410" s="246">
        <v>2020</v>
      </c>
      <c r="AI410" s="246" t="s">
        <v>49</v>
      </c>
      <c r="AJ410" s="246" t="s">
        <v>49</v>
      </c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 t="e">
        <v>#N/A</v>
      </c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36"/>
      <c r="CC410" s="2"/>
      <c r="CD410" s="2"/>
      <c r="CE410" s="2"/>
      <c r="CF410" s="2" t="e">
        <v>#N/A</v>
      </c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</row>
    <row r="411" spans="1:262" s="239" customFormat="1" ht="61.5" x14ac:dyDescent="0.85">
      <c r="A411" s="239">
        <v>1</v>
      </c>
      <c r="B411" s="18">
        <f>SUBTOTAL(103,$A$22:A411)</f>
        <v>359</v>
      </c>
      <c r="C411" s="3" t="s">
        <v>1341</v>
      </c>
      <c r="D411" s="5">
        <v>4971250</v>
      </c>
      <c r="E411" s="5">
        <f t="shared" si="80"/>
        <v>4867830.6500000004</v>
      </c>
      <c r="F411" s="5">
        <f t="shared" si="82"/>
        <v>103419.35</v>
      </c>
      <c r="G411" s="5">
        <v>0</v>
      </c>
      <c r="H411" s="5">
        <v>0</v>
      </c>
      <c r="I411" s="5">
        <v>0</v>
      </c>
      <c r="J411" s="5">
        <v>0</v>
      </c>
      <c r="K411" s="5">
        <v>0</v>
      </c>
      <c r="L411" s="5">
        <v>0</v>
      </c>
      <c r="M411" s="2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f t="shared" si="83"/>
        <v>0</v>
      </c>
      <c r="AF411" s="5">
        <v>103419.35</v>
      </c>
      <c r="AG411" s="5">
        <v>0</v>
      </c>
      <c r="AH411" s="246">
        <v>2020</v>
      </c>
      <c r="AI411" s="246" t="s">
        <v>49</v>
      </c>
      <c r="AJ411" s="246" t="s">
        <v>49</v>
      </c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36"/>
      <c r="CC411" s="2"/>
      <c r="CD411" s="2"/>
      <c r="CE411" s="2"/>
      <c r="CF411" s="2" t="e">
        <v>#N/A</v>
      </c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</row>
    <row r="412" spans="1:262" ht="61.5" x14ac:dyDescent="0.85">
      <c r="B412" s="3" t="s">
        <v>109</v>
      </c>
      <c r="C412" s="3"/>
      <c r="D412" s="244">
        <v>3182125.22</v>
      </c>
      <c r="E412" s="233">
        <f t="shared" si="80"/>
        <v>823594.76000000024</v>
      </c>
      <c r="F412" s="244">
        <f>F413</f>
        <v>2358530.46</v>
      </c>
      <c r="G412" s="5">
        <f t="shared" ref="G412:AG412" si="84">G413</f>
        <v>0</v>
      </c>
      <c r="H412" s="5">
        <f t="shared" si="84"/>
        <v>0</v>
      </c>
      <c r="I412" s="5">
        <f t="shared" si="84"/>
        <v>0</v>
      </c>
      <c r="J412" s="5">
        <f t="shared" si="84"/>
        <v>0</v>
      </c>
      <c r="K412" s="5">
        <f t="shared" si="84"/>
        <v>0</v>
      </c>
      <c r="L412" s="5">
        <f t="shared" si="84"/>
        <v>0</v>
      </c>
      <c r="M412" s="241">
        <f t="shared" si="84"/>
        <v>0</v>
      </c>
      <c r="N412" s="5">
        <f t="shared" si="84"/>
        <v>0</v>
      </c>
      <c r="O412" s="5">
        <f t="shared" si="84"/>
        <v>540.25</v>
      </c>
      <c r="P412" s="5">
        <f t="shared" si="84"/>
        <v>2261640.71</v>
      </c>
      <c r="Q412" s="5">
        <f t="shared" si="84"/>
        <v>0</v>
      </c>
      <c r="R412" s="5">
        <f t="shared" si="84"/>
        <v>0</v>
      </c>
      <c r="S412" s="5">
        <f t="shared" si="84"/>
        <v>0</v>
      </c>
      <c r="T412" s="5">
        <f t="shared" si="84"/>
        <v>0</v>
      </c>
      <c r="U412" s="5">
        <f t="shared" si="84"/>
        <v>0</v>
      </c>
      <c r="V412" s="5">
        <f t="shared" si="84"/>
        <v>0</v>
      </c>
      <c r="W412" s="5">
        <f t="shared" si="84"/>
        <v>0</v>
      </c>
      <c r="X412" s="5">
        <f t="shared" si="84"/>
        <v>0</v>
      </c>
      <c r="Y412" s="5">
        <f t="shared" si="84"/>
        <v>0</v>
      </c>
      <c r="Z412" s="5">
        <f t="shared" si="84"/>
        <v>0</v>
      </c>
      <c r="AA412" s="5">
        <f t="shared" si="84"/>
        <v>0</v>
      </c>
      <c r="AB412" s="5">
        <f t="shared" si="84"/>
        <v>0</v>
      </c>
      <c r="AC412" s="5">
        <f t="shared" si="84"/>
        <v>0</v>
      </c>
      <c r="AD412" s="5">
        <f t="shared" si="84"/>
        <v>0</v>
      </c>
      <c r="AE412" s="5">
        <f t="shared" si="84"/>
        <v>13569.84</v>
      </c>
      <c r="AF412" s="5">
        <f t="shared" si="84"/>
        <v>83319.91</v>
      </c>
      <c r="AG412" s="5">
        <f t="shared" si="84"/>
        <v>0</v>
      </c>
      <c r="AH412" s="23" t="s">
        <v>90</v>
      </c>
      <c r="AI412" s="23" t="s">
        <v>90</v>
      </c>
      <c r="AJ412" s="27" t="s">
        <v>90</v>
      </c>
      <c r="AV412" s="2" t="e">
        <f>VLOOKUP(C412,AY:AZ,2,FALSE)</f>
        <v>#N/A</v>
      </c>
      <c r="CB412" s="236">
        <v>3182125.2199999997</v>
      </c>
      <c r="CF412" s="2" t="e">
        <f t="shared" ref="CF412:CF444" si="85">VLOOKUP(C412,CG:CH,2,FALSE)</f>
        <v>#N/A</v>
      </c>
    </row>
    <row r="413" spans="1:262" ht="61.5" x14ac:dyDescent="0.85">
      <c r="A413" s="2">
        <v>1</v>
      </c>
      <c r="B413" s="18">
        <f>SUBTOTAL(103,$A$22:A413)</f>
        <v>360</v>
      </c>
      <c r="C413" s="3" t="s">
        <v>1342</v>
      </c>
      <c r="D413" s="5">
        <v>3182125.22</v>
      </c>
      <c r="E413" s="5">
        <f t="shared" si="80"/>
        <v>823594.76000000024</v>
      </c>
      <c r="F413" s="5">
        <f>G413+H413+I413+J413+K413+L413+N413+P413+R413+T413+V413+W413+X413+Y413+Z413+AA413+AB413+AC413+AD413+AE413+AF413+AG413</f>
        <v>2358530.46</v>
      </c>
      <c r="G413" s="5">
        <v>0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241">
        <v>0</v>
      </c>
      <c r="N413" s="5">
        <v>0</v>
      </c>
      <c r="O413" s="7">
        <v>540.25</v>
      </c>
      <c r="P413" s="7">
        <v>2261640.71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7">
        <v>13569.84</v>
      </c>
      <c r="AF413" s="7">
        <v>83319.91</v>
      </c>
      <c r="AG413" s="5">
        <v>0</v>
      </c>
      <c r="AH413" s="246">
        <v>2020</v>
      </c>
      <c r="AI413" s="246">
        <v>2020</v>
      </c>
      <c r="AJ413" s="6">
        <v>2020</v>
      </c>
      <c r="AV413" s="2" t="e">
        <f>VLOOKUP(C413,AY:AZ,2,FALSE)</f>
        <v>#N/A</v>
      </c>
      <c r="CB413" s="236"/>
      <c r="CF413" s="2" t="e">
        <f t="shared" si="85"/>
        <v>#N/A</v>
      </c>
    </row>
    <row r="414" spans="1:262" ht="61.5" x14ac:dyDescent="0.85">
      <c r="B414" s="3" t="s">
        <v>1343</v>
      </c>
      <c r="C414" s="3"/>
      <c r="D414" s="244">
        <v>522383.64</v>
      </c>
      <c r="E414" s="233">
        <f t="shared" si="80"/>
        <v>331861.67000000004</v>
      </c>
      <c r="F414" s="244">
        <f>SUM(F415:F417)</f>
        <v>190521.97</v>
      </c>
      <c r="G414" s="5">
        <f t="shared" ref="G414:AG414" si="86">SUM(G415:G417)</f>
        <v>0</v>
      </c>
      <c r="H414" s="5">
        <f t="shared" si="86"/>
        <v>0</v>
      </c>
      <c r="I414" s="5">
        <f t="shared" si="86"/>
        <v>0</v>
      </c>
      <c r="J414" s="5">
        <f t="shared" si="86"/>
        <v>86514.08</v>
      </c>
      <c r="K414" s="5">
        <f t="shared" si="86"/>
        <v>0</v>
      </c>
      <c r="L414" s="5">
        <f t="shared" si="86"/>
        <v>0</v>
      </c>
      <c r="M414" s="241">
        <f t="shared" si="86"/>
        <v>0</v>
      </c>
      <c r="N414" s="5">
        <f t="shared" si="86"/>
        <v>0</v>
      </c>
      <c r="O414" s="5">
        <f t="shared" si="86"/>
        <v>0</v>
      </c>
      <c r="P414" s="5">
        <f t="shared" si="86"/>
        <v>0</v>
      </c>
      <c r="Q414" s="5">
        <f t="shared" si="86"/>
        <v>0</v>
      </c>
      <c r="R414" s="5">
        <f t="shared" si="86"/>
        <v>0</v>
      </c>
      <c r="S414" s="5">
        <f t="shared" si="86"/>
        <v>0</v>
      </c>
      <c r="T414" s="5">
        <f t="shared" si="86"/>
        <v>0</v>
      </c>
      <c r="U414" s="5">
        <f t="shared" si="86"/>
        <v>0</v>
      </c>
      <c r="V414" s="5">
        <f t="shared" si="86"/>
        <v>0</v>
      </c>
      <c r="W414" s="5">
        <f t="shared" si="86"/>
        <v>0</v>
      </c>
      <c r="X414" s="5">
        <f t="shared" si="86"/>
        <v>0</v>
      </c>
      <c r="Y414" s="5">
        <f t="shared" si="86"/>
        <v>0</v>
      </c>
      <c r="Z414" s="5">
        <f t="shared" si="86"/>
        <v>0</v>
      </c>
      <c r="AA414" s="5">
        <f t="shared" si="86"/>
        <v>0</v>
      </c>
      <c r="AB414" s="5">
        <f t="shared" si="86"/>
        <v>0</v>
      </c>
      <c r="AC414" s="5">
        <f t="shared" si="86"/>
        <v>0</v>
      </c>
      <c r="AD414" s="5">
        <f t="shared" si="86"/>
        <v>0</v>
      </c>
      <c r="AE414" s="5">
        <f t="shared" si="86"/>
        <v>1297.71</v>
      </c>
      <c r="AF414" s="5">
        <f t="shared" si="86"/>
        <v>102710.18</v>
      </c>
      <c r="AG414" s="5">
        <f t="shared" si="86"/>
        <v>0</v>
      </c>
      <c r="AH414" s="23" t="s">
        <v>90</v>
      </c>
      <c r="AI414" s="23" t="s">
        <v>90</v>
      </c>
      <c r="AJ414" s="27" t="s">
        <v>90</v>
      </c>
      <c r="CB414" s="236">
        <v>522383.64</v>
      </c>
      <c r="CF414" s="2" t="e">
        <f t="shared" si="85"/>
        <v>#N/A</v>
      </c>
    </row>
    <row r="415" spans="1:262" ht="61.5" x14ac:dyDescent="0.85">
      <c r="A415" s="2">
        <v>1</v>
      </c>
      <c r="B415" s="18">
        <f>SUBTOTAL(103,$A$22:A415)</f>
        <v>361</v>
      </c>
      <c r="C415" s="3" t="s">
        <v>1344</v>
      </c>
      <c r="D415" s="5">
        <v>522383.64</v>
      </c>
      <c r="E415" s="5">
        <f t="shared" si="80"/>
        <v>434571.85</v>
      </c>
      <c r="F415" s="5">
        <f>G415+H415+I415+J415+K415+L415+N415+P415+R415+T415+V415+W415+X415+Y415+Z415+AA415+AB415+AC415+AD415+AE415+AF415+AG415</f>
        <v>87811.790000000008</v>
      </c>
      <c r="G415" s="5">
        <v>0</v>
      </c>
      <c r="H415" s="5">
        <v>0</v>
      </c>
      <c r="I415" s="5">
        <v>0</v>
      </c>
      <c r="J415" s="7">
        <v>86514.08</v>
      </c>
      <c r="K415" s="5">
        <v>0</v>
      </c>
      <c r="L415" s="5">
        <v>0</v>
      </c>
      <c r="M415" s="241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f>ROUND((G415+H415+I415+J415+K415+L415)*1.5%,2)</f>
        <v>1297.71</v>
      </c>
      <c r="AF415" s="5">
        <v>0</v>
      </c>
      <c r="AG415" s="5">
        <v>0</v>
      </c>
      <c r="AH415" s="246" t="s">
        <v>49</v>
      </c>
      <c r="AI415" s="246">
        <v>2020</v>
      </c>
      <c r="AJ415" s="6">
        <v>2020</v>
      </c>
      <c r="CB415" s="236"/>
      <c r="CF415" s="2" t="e">
        <f t="shared" si="85"/>
        <v>#N/A</v>
      </c>
    </row>
    <row r="416" spans="1:262" s="239" customFormat="1" ht="61.5" x14ac:dyDescent="0.85">
      <c r="A416" s="239">
        <v>1</v>
      </c>
      <c r="B416" s="18">
        <f>SUBTOTAL(103,$A$22:A416)</f>
        <v>362</v>
      </c>
      <c r="C416" s="3" t="s">
        <v>1345</v>
      </c>
      <c r="D416" s="5">
        <v>1818947.37</v>
      </c>
      <c r="E416" s="5">
        <f t="shared" si="80"/>
        <v>1762259.81</v>
      </c>
      <c r="F416" s="5">
        <f>G416+H416+I416+J416+K416+L416+N416+P416+R416+T416+V416+W416+X416+Y416+Z416+AA416+AB416+AC416+AD416+AE416+AF416+AG416</f>
        <v>56687.56</v>
      </c>
      <c r="G416" s="5">
        <v>0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2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f>ROUND(P416*1.5%,2)</f>
        <v>0</v>
      </c>
      <c r="AF416" s="5">
        <v>56687.56</v>
      </c>
      <c r="AG416" s="5">
        <v>0</v>
      </c>
      <c r="AH416" s="246">
        <v>2020</v>
      </c>
      <c r="AI416" s="246" t="s">
        <v>49</v>
      </c>
      <c r="AJ416" s="246" t="s">
        <v>49</v>
      </c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 t="e">
        <f>VLOOKUP(C416,AY:AZ,2,FALSE)</f>
        <v>#N/A</v>
      </c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36"/>
      <c r="CC416" s="2"/>
      <c r="CD416" s="2"/>
      <c r="CE416" s="2"/>
      <c r="CF416" s="2" t="e">
        <f t="shared" si="85"/>
        <v>#N/A</v>
      </c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</row>
    <row r="417" spans="1:262" s="239" customFormat="1" ht="61.5" x14ac:dyDescent="0.85">
      <c r="A417" s="239">
        <v>1</v>
      </c>
      <c r="B417" s="18">
        <f>SUBTOTAL(103,$A$22:A417)</f>
        <v>363</v>
      </c>
      <c r="C417" s="3" t="s">
        <v>1346</v>
      </c>
      <c r="D417" s="5">
        <v>947985.6</v>
      </c>
      <c r="E417" s="5">
        <f t="shared" si="80"/>
        <v>901962.98</v>
      </c>
      <c r="F417" s="5">
        <f>G417+H417+I417+J417+K417+L417+N417+P417+R417+T417+V417+W417+X417+Y417+Z417+AA417+AB417+AC417+AD417+AE417+AF417+AG417</f>
        <v>46022.62</v>
      </c>
      <c r="G417" s="5">
        <v>0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2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f>ROUND(P417*1.5%,2)</f>
        <v>0</v>
      </c>
      <c r="AF417" s="5">
        <v>46022.62</v>
      </c>
      <c r="AG417" s="5">
        <v>0</v>
      </c>
      <c r="AH417" s="246">
        <v>2020</v>
      </c>
      <c r="AI417" s="246" t="s">
        <v>49</v>
      </c>
      <c r="AJ417" s="246" t="s">
        <v>49</v>
      </c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 t="e">
        <f>VLOOKUP(C417,AY:AZ,2,FALSE)</f>
        <v>#N/A</v>
      </c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36"/>
      <c r="CC417" s="2"/>
      <c r="CD417" s="2"/>
      <c r="CE417" s="2"/>
      <c r="CF417" s="2" t="e">
        <f t="shared" si="85"/>
        <v>#N/A</v>
      </c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</row>
    <row r="418" spans="1:262" ht="61.5" x14ac:dyDescent="0.85">
      <c r="B418" s="3" t="s">
        <v>110</v>
      </c>
      <c r="C418" s="442"/>
      <c r="D418" s="244">
        <v>18167495.66</v>
      </c>
      <c r="E418" s="233">
        <f t="shared" si="80"/>
        <v>9467325.3300000001</v>
      </c>
      <c r="F418" s="244">
        <f t="shared" ref="F418:AG418" si="87">SUM(F419:F421)</f>
        <v>8700170.3300000001</v>
      </c>
      <c r="G418" s="5">
        <f t="shared" si="87"/>
        <v>0</v>
      </c>
      <c r="H418" s="5">
        <f t="shared" si="87"/>
        <v>0</v>
      </c>
      <c r="I418" s="5">
        <f t="shared" si="87"/>
        <v>0</v>
      </c>
      <c r="J418" s="5">
        <f t="shared" si="87"/>
        <v>0</v>
      </c>
      <c r="K418" s="5">
        <f t="shared" si="87"/>
        <v>0</v>
      </c>
      <c r="L418" s="5">
        <f t="shared" si="87"/>
        <v>0</v>
      </c>
      <c r="M418" s="241">
        <f t="shared" si="87"/>
        <v>0</v>
      </c>
      <c r="N418" s="5">
        <f t="shared" si="87"/>
        <v>0</v>
      </c>
      <c r="O418" s="5">
        <f t="shared" si="87"/>
        <v>2296.96</v>
      </c>
      <c r="P418" s="5">
        <f t="shared" si="87"/>
        <v>8569425.0999999996</v>
      </c>
      <c r="Q418" s="5">
        <f t="shared" si="87"/>
        <v>0</v>
      </c>
      <c r="R418" s="5">
        <f t="shared" si="87"/>
        <v>0</v>
      </c>
      <c r="S418" s="5">
        <f t="shared" si="87"/>
        <v>0</v>
      </c>
      <c r="T418" s="5">
        <f t="shared" si="87"/>
        <v>0</v>
      </c>
      <c r="U418" s="5">
        <f t="shared" si="87"/>
        <v>0</v>
      </c>
      <c r="V418" s="5">
        <f t="shared" si="87"/>
        <v>0</v>
      </c>
      <c r="W418" s="5">
        <f t="shared" si="87"/>
        <v>0</v>
      </c>
      <c r="X418" s="5">
        <f t="shared" si="87"/>
        <v>0</v>
      </c>
      <c r="Y418" s="5">
        <f t="shared" si="87"/>
        <v>0</v>
      </c>
      <c r="Z418" s="5">
        <f t="shared" si="87"/>
        <v>0</v>
      </c>
      <c r="AA418" s="5">
        <f t="shared" si="87"/>
        <v>0</v>
      </c>
      <c r="AB418" s="5">
        <f t="shared" si="87"/>
        <v>0</v>
      </c>
      <c r="AC418" s="5">
        <f t="shared" si="87"/>
        <v>0</v>
      </c>
      <c r="AD418" s="5">
        <f t="shared" si="87"/>
        <v>0</v>
      </c>
      <c r="AE418" s="5">
        <f t="shared" si="87"/>
        <v>46312.56</v>
      </c>
      <c r="AF418" s="5">
        <f t="shared" si="87"/>
        <v>84432.67</v>
      </c>
      <c r="AG418" s="5">
        <f t="shared" si="87"/>
        <v>0</v>
      </c>
      <c r="AH418" s="23" t="s">
        <v>90</v>
      </c>
      <c r="AI418" s="23" t="s">
        <v>90</v>
      </c>
      <c r="AJ418" s="27" t="s">
        <v>90</v>
      </c>
      <c r="AV418" s="2" t="e">
        <f>VLOOKUP(C418,AY:AZ,2,FALSE)</f>
        <v>#N/A</v>
      </c>
      <c r="CB418" s="236">
        <v>18514841.960000001</v>
      </c>
      <c r="CF418" s="2" t="e">
        <f t="shared" si="85"/>
        <v>#N/A</v>
      </c>
    </row>
    <row r="419" spans="1:262" ht="61.5" x14ac:dyDescent="0.85">
      <c r="A419" s="2">
        <v>1</v>
      </c>
      <c r="B419" s="18">
        <f>SUBTOTAL(103,$A$22:A419)</f>
        <v>364</v>
      </c>
      <c r="C419" s="3" t="s">
        <v>1064</v>
      </c>
      <c r="D419" s="5">
        <v>1883595.76</v>
      </c>
      <c r="E419" s="5">
        <f t="shared" si="80"/>
        <v>6035.660000000149</v>
      </c>
      <c r="F419" s="5">
        <f>G419+H419+I419+J419+K419+L419+N419+P419+R419+T419+V419+W419+X419+Y419+Z419+AA419+AB419+AC419+AD419+AE419+AF419+AG419</f>
        <v>1877560.0999999999</v>
      </c>
      <c r="G419" s="5">
        <v>0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241">
        <v>0</v>
      </c>
      <c r="N419" s="5">
        <v>0</v>
      </c>
      <c r="O419" s="7">
        <v>549.33000000000004</v>
      </c>
      <c r="P419" s="48">
        <v>1871524.43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7">
        <v>6035.67</v>
      </c>
      <c r="AF419" s="5">
        <v>0</v>
      </c>
      <c r="AG419" s="5">
        <v>0</v>
      </c>
      <c r="AH419" s="246" t="s">
        <v>49</v>
      </c>
      <c r="AI419" s="246">
        <v>2020</v>
      </c>
      <c r="AJ419" s="6">
        <v>2020</v>
      </c>
      <c r="AV419" s="2" t="e">
        <f>VLOOKUP(C419,AY:AZ,2,FALSE)</f>
        <v>#N/A</v>
      </c>
      <c r="CB419" s="236"/>
      <c r="CF419" s="2">
        <f t="shared" si="85"/>
        <v>596.4</v>
      </c>
    </row>
    <row r="420" spans="1:262" ht="61.5" x14ac:dyDescent="0.85">
      <c r="A420" s="2">
        <v>1</v>
      </c>
      <c r="B420" s="18">
        <f>SUBTOTAL(103,$A$22:A420)</f>
        <v>365</v>
      </c>
      <c r="C420" s="3" t="s">
        <v>1066</v>
      </c>
      <c r="D420" s="5">
        <v>3584544.9999999995</v>
      </c>
      <c r="E420" s="5">
        <f t="shared" si="80"/>
        <v>29483.709999999963</v>
      </c>
      <c r="F420" s="5">
        <f>G420+H420+I420+J420+K420+L420+N420+P420+R420+T420+V420+W420+X420+Y420+Z420+AA420+AB420+AC420+AD420+AE420+AF420+AG420</f>
        <v>3555061.2899999996</v>
      </c>
      <c r="G420" s="5">
        <v>0</v>
      </c>
      <c r="H420" s="5">
        <v>0</v>
      </c>
      <c r="I420" s="5">
        <v>0</v>
      </c>
      <c r="J420" s="5">
        <v>0</v>
      </c>
      <c r="K420" s="5">
        <v>0</v>
      </c>
      <c r="L420" s="5">
        <v>0</v>
      </c>
      <c r="M420" s="241">
        <v>0</v>
      </c>
      <c r="N420" s="5">
        <v>0</v>
      </c>
      <c r="O420" s="7">
        <v>940.23</v>
      </c>
      <c r="P420" s="7">
        <v>3448386.53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7">
        <v>22242.09</v>
      </c>
      <c r="AF420" s="7">
        <v>84432.67</v>
      </c>
      <c r="AG420" s="5">
        <v>0</v>
      </c>
      <c r="AH420" s="246">
        <v>2020</v>
      </c>
      <c r="AI420" s="246">
        <v>2020</v>
      </c>
      <c r="AJ420" s="6">
        <v>2020</v>
      </c>
      <c r="AV420" s="2" t="e">
        <f>VLOOKUP(C420,AY:AZ,2,FALSE)</f>
        <v>#N/A</v>
      </c>
      <c r="CB420" s="236"/>
      <c r="CF420" s="2">
        <f t="shared" si="85"/>
        <v>936.1</v>
      </c>
    </row>
    <row r="421" spans="1:262" ht="61.5" x14ac:dyDescent="0.85">
      <c r="A421" s="2">
        <v>1</v>
      </c>
      <c r="B421" s="18">
        <f>SUBTOTAL(103,$A$22:A421)</f>
        <v>366</v>
      </c>
      <c r="C421" s="3" t="s">
        <v>1167</v>
      </c>
      <c r="D421" s="5">
        <v>3267548.94</v>
      </c>
      <c r="E421" s="5">
        <f t="shared" si="80"/>
        <v>0</v>
      </c>
      <c r="F421" s="5">
        <f>G421+H421+I421+J421+K421+L421+N421+P421+R421+T421+V421+W421+X421+Y421+Z421+AA421+AB421+AC421+AD421+AE421+AF421+AG421</f>
        <v>3267548.94</v>
      </c>
      <c r="G421" s="5">
        <v>0</v>
      </c>
      <c r="H421" s="5">
        <v>0</v>
      </c>
      <c r="I421" s="5">
        <v>0</v>
      </c>
      <c r="J421" s="5">
        <v>0</v>
      </c>
      <c r="K421" s="5">
        <v>0</v>
      </c>
      <c r="L421" s="5">
        <v>0</v>
      </c>
      <c r="M421" s="241">
        <v>0</v>
      </c>
      <c r="N421" s="5">
        <v>0</v>
      </c>
      <c r="O421" s="7">
        <v>807.4</v>
      </c>
      <c r="P421" s="7">
        <v>3249514.14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7">
        <v>18034.8</v>
      </c>
      <c r="AF421" s="5">
        <v>0</v>
      </c>
      <c r="AG421" s="5">
        <v>0</v>
      </c>
      <c r="AH421" s="246" t="s">
        <v>49</v>
      </c>
      <c r="AI421" s="246">
        <v>2020</v>
      </c>
      <c r="AJ421" s="6">
        <v>2020</v>
      </c>
      <c r="CB421" s="236"/>
      <c r="CF421" s="2">
        <f t="shared" si="85"/>
        <v>807.4</v>
      </c>
    </row>
    <row r="422" spans="1:262" ht="61.5" x14ac:dyDescent="0.85">
      <c r="B422" s="3" t="s">
        <v>111</v>
      </c>
      <c r="C422" s="442"/>
      <c r="D422" s="244">
        <v>5141890.1999999993</v>
      </c>
      <c r="E422" s="233">
        <f t="shared" si="80"/>
        <v>860166.87999999896</v>
      </c>
      <c r="F422" s="244">
        <f>F423</f>
        <v>4281723.32</v>
      </c>
      <c r="G422" s="5">
        <f t="shared" ref="G422:AG422" si="88">G423</f>
        <v>0</v>
      </c>
      <c r="H422" s="5">
        <f t="shared" si="88"/>
        <v>0</v>
      </c>
      <c r="I422" s="5">
        <f t="shared" si="88"/>
        <v>0</v>
      </c>
      <c r="J422" s="5">
        <f t="shared" si="88"/>
        <v>0</v>
      </c>
      <c r="K422" s="5">
        <f t="shared" si="88"/>
        <v>0</v>
      </c>
      <c r="L422" s="5">
        <f t="shared" si="88"/>
        <v>0</v>
      </c>
      <c r="M422" s="241">
        <f t="shared" si="88"/>
        <v>0</v>
      </c>
      <c r="N422" s="5">
        <f t="shared" si="88"/>
        <v>0</v>
      </c>
      <c r="O422" s="5">
        <f t="shared" si="88"/>
        <v>965.75</v>
      </c>
      <c r="P422" s="5">
        <f t="shared" si="88"/>
        <v>4066944.18</v>
      </c>
      <c r="Q422" s="5">
        <f t="shared" si="88"/>
        <v>0</v>
      </c>
      <c r="R422" s="5">
        <f t="shared" si="88"/>
        <v>0</v>
      </c>
      <c r="S422" s="5">
        <f t="shared" si="88"/>
        <v>0</v>
      </c>
      <c r="T422" s="5">
        <f t="shared" si="88"/>
        <v>0</v>
      </c>
      <c r="U422" s="5">
        <f t="shared" si="88"/>
        <v>0</v>
      </c>
      <c r="V422" s="5">
        <f t="shared" si="88"/>
        <v>0</v>
      </c>
      <c r="W422" s="5">
        <f t="shared" si="88"/>
        <v>0</v>
      </c>
      <c r="X422" s="5">
        <f t="shared" si="88"/>
        <v>0</v>
      </c>
      <c r="Y422" s="5">
        <f t="shared" si="88"/>
        <v>0</v>
      </c>
      <c r="Z422" s="5">
        <f t="shared" si="88"/>
        <v>0</v>
      </c>
      <c r="AA422" s="5">
        <f t="shared" si="88"/>
        <v>0</v>
      </c>
      <c r="AB422" s="5">
        <f t="shared" si="88"/>
        <v>0</v>
      </c>
      <c r="AC422" s="5">
        <f t="shared" si="88"/>
        <v>0</v>
      </c>
      <c r="AD422" s="5">
        <f t="shared" si="88"/>
        <v>0</v>
      </c>
      <c r="AE422" s="5">
        <f t="shared" si="88"/>
        <v>57038.89</v>
      </c>
      <c r="AF422" s="5">
        <f t="shared" si="88"/>
        <v>157740.25</v>
      </c>
      <c r="AG422" s="5">
        <f t="shared" si="88"/>
        <v>0</v>
      </c>
      <c r="AH422" s="23" t="s">
        <v>90</v>
      </c>
      <c r="AI422" s="23" t="s">
        <v>90</v>
      </c>
      <c r="AJ422" s="27" t="s">
        <v>90</v>
      </c>
      <c r="AV422" s="2" t="e">
        <f>VLOOKUP(C422,AY:AZ,2,FALSE)</f>
        <v>#N/A</v>
      </c>
      <c r="CB422" s="236">
        <v>5141890.2</v>
      </c>
      <c r="CF422" s="2" t="e">
        <f t="shared" si="85"/>
        <v>#N/A</v>
      </c>
    </row>
    <row r="423" spans="1:262" ht="61.5" x14ac:dyDescent="0.85">
      <c r="A423" s="2">
        <v>1</v>
      </c>
      <c r="B423" s="18">
        <f>SUBTOTAL(103,$A$22:A423)</f>
        <v>367</v>
      </c>
      <c r="C423" s="3" t="s">
        <v>1347</v>
      </c>
      <c r="D423" s="5">
        <v>5141890.1999999993</v>
      </c>
      <c r="E423" s="5">
        <f t="shared" si="80"/>
        <v>860166.87999999896</v>
      </c>
      <c r="F423" s="5">
        <f>G423+H423+I423+J423+K423+L423+N423+P423+R423+T423+V423+W423+X423+Y423+Z423+AA423+AB423+AC423+AD423+AE423+AF423+AG423</f>
        <v>4281723.32</v>
      </c>
      <c r="G423" s="5">
        <v>0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241">
        <v>0</v>
      </c>
      <c r="N423" s="5">
        <v>0</v>
      </c>
      <c r="O423" s="7">
        <v>965.75</v>
      </c>
      <c r="P423" s="7">
        <v>4066944.18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7">
        <v>57038.89</v>
      </c>
      <c r="AF423" s="7">
        <v>157740.25</v>
      </c>
      <c r="AG423" s="5">
        <v>0</v>
      </c>
      <c r="AH423" s="246">
        <v>2020</v>
      </c>
      <c r="AI423" s="246">
        <v>2020</v>
      </c>
      <c r="AJ423" s="6">
        <v>2020</v>
      </c>
      <c r="AV423" s="2" t="e">
        <f>VLOOKUP(C423,AY:AZ,2,FALSE)</f>
        <v>#N/A</v>
      </c>
      <c r="CB423" s="236"/>
      <c r="CF423" s="2" t="e">
        <f t="shared" si="85"/>
        <v>#N/A</v>
      </c>
    </row>
    <row r="424" spans="1:262" ht="61.5" x14ac:dyDescent="0.85">
      <c r="B424" s="3" t="s">
        <v>1348</v>
      </c>
      <c r="C424" s="3"/>
      <c r="D424" s="244">
        <v>15983757.409999998</v>
      </c>
      <c r="E424" s="233">
        <f t="shared" si="80"/>
        <v>13466204.629999999</v>
      </c>
      <c r="F424" s="244">
        <f>SUM(F425:F427)</f>
        <v>2517552.7799999993</v>
      </c>
      <c r="G424" s="5">
        <f t="shared" ref="G424:AG424" si="89">SUM(G425:G427)</f>
        <v>269270.51</v>
      </c>
      <c r="H424" s="5">
        <f t="shared" si="89"/>
        <v>204291.73</v>
      </c>
      <c r="I424" s="5">
        <f t="shared" si="89"/>
        <v>1350679.88</v>
      </c>
      <c r="J424" s="5">
        <f t="shared" si="89"/>
        <v>377296.73</v>
      </c>
      <c r="K424" s="5">
        <f t="shared" si="89"/>
        <v>0</v>
      </c>
      <c r="L424" s="5">
        <f t="shared" si="89"/>
        <v>0</v>
      </c>
      <c r="M424" s="241">
        <f t="shared" si="89"/>
        <v>0</v>
      </c>
      <c r="N424" s="5">
        <f t="shared" si="89"/>
        <v>0</v>
      </c>
      <c r="O424" s="5">
        <f t="shared" si="89"/>
        <v>0</v>
      </c>
      <c r="P424" s="5">
        <f t="shared" si="89"/>
        <v>0</v>
      </c>
      <c r="Q424" s="5">
        <f t="shared" si="89"/>
        <v>0</v>
      </c>
      <c r="R424" s="5">
        <f t="shared" si="89"/>
        <v>0</v>
      </c>
      <c r="S424" s="5">
        <f t="shared" si="89"/>
        <v>0</v>
      </c>
      <c r="T424" s="5">
        <f t="shared" si="89"/>
        <v>0</v>
      </c>
      <c r="U424" s="5">
        <f t="shared" si="89"/>
        <v>0</v>
      </c>
      <c r="V424" s="5">
        <f t="shared" si="89"/>
        <v>0</v>
      </c>
      <c r="W424" s="5">
        <f t="shared" si="89"/>
        <v>0</v>
      </c>
      <c r="X424" s="5">
        <f t="shared" si="89"/>
        <v>0</v>
      </c>
      <c r="Y424" s="5">
        <f t="shared" si="89"/>
        <v>0</v>
      </c>
      <c r="Z424" s="5">
        <f t="shared" si="89"/>
        <v>0</v>
      </c>
      <c r="AA424" s="5">
        <f t="shared" si="89"/>
        <v>0</v>
      </c>
      <c r="AB424" s="5">
        <f t="shared" si="89"/>
        <v>0</v>
      </c>
      <c r="AC424" s="5">
        <f t="shared" si="89"/>
        <v>0</v>
      </c>
      <c r="AD424" s="5">
        <f t="shared" si="89"/>
        <v>0</v>
      </c>
      <c r="AE424" s="5">
        <f t="shared" si="89"/>
        <v>33023.08</v>
      </c>
      <c r="AF424" s="5">
        <f t="shared" si="89"/>
        <v>282990.84999999998</v>
      </c>
      <c r="AG424" s="5">
        <f t="shared" si="89"/>
        <v>0</v>
      </c>
      <c r="AH424" s="23" t="s">
        <v>90</v>
      </c>
      <c r="AI424" s="23" t="s">
        <v>90</v>
      </c>
      <c r="AJ424" s="27" t="s">
        <v>90</v>
      </c>
      <c r="AV424" s="2" t="e">
        <f>VLOOKUP(C424,AY:AZ,2,FALSE)</f>
        <v>#N/A</v>
      </c>
      <c r="CB424" s="236">
        <v>21864677.539999999</v>
      </c>
      <c r="CF424" s="2" t="e">
        <f t="shared" si="85"/>
        <v>#N/A</v>
      </c>
    </row>
    <row r="425" spans="1:262" ht="61.5" x14ac:dyDescent="0.85">
      <c r="A425" s="2">
        <v>1</v>
      </c>
      <c r="B425" s="18">
        <f>SUBTOTAL(103,$A$22:A425)</f>
        <v>368</v>
      </c>
      <c r="C425" s="3" t="s">
        <v>1349</v>
      </c>
      <c r="D425" s="5">
        <v>6351854.879999999</v>
      </c>
      <c r="E425" s="5">
        <f t="shared" si="80"/>
        <v>6193085.8499999987</v>
      </c>
      <c r="F425" s="5">
        <f>G425+H425+I425+J425+K425+L425+N425+P425+R425+T425+V425+W425+X425+Y425+Z425+AA425+AB425+AC425+AD425+AE425+AF425+AG425</f>
        <v>158769.03</v>
      </c>
      <c r="G425" s="5">
        <v>0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241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f>ROUND(P425*1.5%,2)</f>
        <v>0</v>
      </c>
      <c r="AF425" s="7">
        <v>158769.03</v>
      </c>
      <c r="AG425" s="5">
        <v>0</v>
      </c>
      <c r="AH425" s="246">
        <v>2020</v>
      </c>
      <c r="AI425" s="246" t="s">
        <v>49</v>
      </c>
      <c r="AJ425" s="246" t="s">
        <v>49</v>
      </c>
      <c r="AV425" s="2" t="e">
        <f>VLOOKUP(C425,AY:AZ,2,FALSE)</f>
        <v>#N/A</v>
      </c>
      <c r="CB425" s="236"/>
      <c r="CF425" s="2" t="e">
        <f t="shared" si="85"/>
        <v>#N/A</v>
      </c>
    </row>
    <row r="426" spans="1:262" ht="61.5" x14ac:dyDescent="0.85">
      <c r="A426" s="2">
        <v>1</v>
      </c>
      <c r="B426" s="18">
        <f>SUBTOTAL(103,$A$22:A426)</f>
        <v>369</v>
      </c>
      <c r="C426" s="3" t="s">
        <v>1350</v>
      </c>
      <c r="D426" s="5">
        <v>3789390.1299999994</v>
      </c>
      <c r="E426" s="5">
        <f t="shared" si="80"/>
        <v>1554828.1999999997</v>
      </c>
      <c r="F426" s="5">
        <f>G426+H426+I426+J426+K426+L426+N426+P426+R426+T426+V426+W426+X426+Y426+Z426+AA426+AB426+AC426+AD426+AE426+AF426+AG426</f>
        <v>2234561.9299999997</v>
      </c>
      <c r="G426" s="7">
        <v>269270.51</v>
      </c>
      <c r="H426" s="7">
        <v>204291.73</v>
      </c>
      <c r="I426" s="7">
        <v>1350679.88</v>
      </c>
      <c r="J426" s="7">
        <v>377296.73</v>
      </c>
      <c r="K426" s="5">
        <v>0</v>
      </c>
      <c r="L426" s="5">
        <v>0</v>
      </c>
      <c r="M426" s="241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f>ROUND((G426+H426+I426+J426+K426+L426)*1.5%,2)</f>
        <v>33023.08</v>
      </c>
      <c r="AF426" s="5">
        <v>0</v>
      </c>
      <c r="AG426" s="5">
        <v>0</v>
      </c>
      <c r="AH426" s="246" t="s">
        <v>49</v>
      </c>
      <c r="AI426" s="246">
        <v>2020</v>
      </c>
      <c r="AJ426" s="6">
        <v>2020</v>
      </c>
      <c r="CB426" s="236"/>
      <c r="CF426" s="2" t="e">
        <f t="shared" si="85"/>
        <v>#N/A</v>
      </c>
    </row>
    <row r="427" spans="1:262" ht="61.5" x14ac:dyDescent="0.85">
      <c r="A427" s="2">
        <v>1</v>
      </c>
      <c r="B427" s="18">
        <f>SUBTOTAL(103,$A$22:A427)</f>
        <v>370</v>
      </c>
      <c r="C427" s="3" t="s">
        <v>1351</v>
      </c>
      <c r="D427" s="5">
        <v>5842512.4000000004</v>
      </c>
      <c r="E427" s="5">
        <f t="shared" si="80"/>
        <v>5718290.5800000001</v>
      </c>
      <c r="F427" s="5">
        <f>G427+H427+I427+J427+K427+L427+N427+P427+R427+T427+V427+W427+X427+Y427+Z427+AA427+AB427+AC427+AD427+AE427+AF427+AG427</f>
        <v>124221.82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241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f>ROUND(P427*1.5%,2)</f>
        <v>0</v>
      </c>
      <c r="AF427" s="7">
        <v>124221.82</v>
      </c>
      <c r="AG427" s="5">
        <v>0</v>
      </c>
      <c r="AH427" s="246">
        <v>2020</v>
      </c>
      <c r="AI427" s="246" t="s">
        <v>49</v>
      </c>
      <c r="AJ427" s="246" t="s">
        <v>49</v>
      </c>
      <c r="AV427" s="2" t="e">
        <f>VLOOKUP(C427,AY:AZ,2,FALSE)</f>
        <v>#N/A</v>
      </c>
      <c r="CB427" s="236"/>
      <c r="CF427" s="2" t="e">
        <f t="shared" si="85"/>
        <v>#N/A</v>
      </c>
    </row>
    <row r="428" spans="1:262" ht="61.5" x14ac:dyDescent="0.85">
      <c r="B428" s="3" t="s">
        <v>112</v>
      </c>
      <c r="C428" s="3"/>
      <c r="D428" s="244">
        <v>33530692.979999997</v>
      </c>
      <c r="E428" s="233">
        <f t="shared" si="80"/>
        <v>13791800.219999995</v>
      </c>
      <c r="F428" s="244">
        <f t="shared" ref="F428:AG428" si="90">SUM(F429:F434)</f>
        <v>19738892.760000002</v>
      </c>
      <c r="G428" s="5">
        <f t="shared" si="90"/>
        <v>1000351.54</v>
      </c>
      <c r="H428" s="5">
        <f t="shared" si="90"/>
        <v>1810542.37</v>
      </c>
      <c r="I428" s="5">
        <f t="shared" si="90"/>
        <v>9395223.0500000007</v>
      </c>
      <c r="J428" s="5">
        <f t="shared" si="90"/>
        <v>986303.66</v>
      </c>
      <c r="K428" s="5">
        <f t="shared" si="90"/>
        <v>0</v>
      </c>
      <c r="L428" s="5">
        <f t="shared" si="90"/>
        <v>0</v>
      </c>
      <c r="M428" s="241">
        <f t="shared" si="90"/>
        <v>0</v>
      </c>
      <c r="N428" s="5">
        <f t="shared" si="90"/>
        <v>0</v>
      </c>
      <c r="O428" s="5">
        <f t="shared" si="90"/>
        <v>619</v>
      </c>
      <c r="P428" s="5">
        <f t="shared" si="90"/>
        <v>2465528.8199999998</v>
      </c>
      <c r="Q428" s="5">
        <f t="shared" si="90"/>
        <v>0</v>
      </c>
      <c r="R428" s="5">
        <f t="shared" si="90"/>
        <v>0</v>
      </c>
      <c r="S428" s="5">
        <f t="shared" si="90"/>
        <v>858.98</v>
      </c>
      <c r="T428" s="5">
        <f t="shared" si="90"/>
        <v>3617645.64</v>
      </c>
      <c r="U428" s="5">
        <f t="shared" si="90"/>
        <v>0</v>
      </c>
      <c r="V428" s="5">
        <f t="shared" si="90"/>
        <v>0</v>
      </c>
      <c r="W428" s="5">
        <f t="shared" si="90"/>
        <v>0</v>
      </c>
      <c r="X428" s="5">
        <f t="shared" si="90"/>
        <v>0</v>
      </c>
      <c r="Y428" s="5">
        <f t="shared" si="90"/>
        <v>0</v>
      </c>
      <c r="Z428" s="5">
        <f t="shared" si="90"/>
        <v>0</v>
      </c>
      <c r="AA428" s="5">
        <f t="shared" si="90"/>
        <v>0</v>
      </c>
      <c r="AB428" s="5">
        <f t="shared" si="90"/>
        <v>0</v>
      </c>
      <c r="AC428" s="5">
        <f t="shared" si="90"/>
        <v>0</v>
      </c>
      <c r="AD428" s="5">
        <f t="shared" si="90"/>
        <v>0</v>
      </c>
      <c r="AE428" s="5">
        <f t="shared" si="90"/>
        <v>250119.41999999998</v>
      </c>
      <c r="AF428" s="5">
        <f t="shared" si="90"/>
        <v>213178.26</v>
      </c>
      <c r="AG428" s="5">
        <f t="shared" si="90"/>
        <v>0</v>
      </c>
      <c r="AH428" s="23" t="s">
        <v>90</v>
      </c>
      <c r="AI428" s="23" t="s">
        <v>90</v>
      </c>
      <c r="AJ428" s="27" t="s">
        <v>90</v>
      </c>
      <c r="AV428" s="2" t="e">
        <f>VLOOKUP(C428,AY:AZ,2,FALSE)</f>
        <v>#N/A</v>
      </c>
      <c r="CB428" s="236">
        <v>34570625.039999999</v>
      </c>
      <c r="CF428" s="2" t="e">
        <f t="shared" si="85"/>
        <v>#N/A</v>
      </c>
    </row>
    <row r="429" spans="1:262" ht="61.5" x14ac:dyDescent="0.85">
      <c r="A429" s="2">
        <v>1</v>
      </c>
      <c r="B429" s="18">
        <f>SUBTOTAL(103,$A$22:A429)</f>
        <v>371</v>
      </c>
      <c r="C429" s="3" t="s">
        <v>1352</v>
      </c>
      <c r="D429" s="5">
        <v>3249292.7</v>
      </c>
      <c r="E429" s="5">
        <f t="shared" si="80"/>
        <v>3142502.06</v>
      </c>
      <c r="F429" s="5">
        <f t="shared" ref="F429:F434" si="91">G429+H429+I429+J429+K429+L429+N429+P429+R429+T429+V429+W429+X429+Y429+Z429+AA429+AB429+AC429+AD429+AE429+AF429+AG429</f>
        <v>106790.64</v>
      </c>
      <c r="G429" s="5">
        <v>0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241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f>ROUND(P429*1.5%,2)</f>
        <v>0</v>
      </c>
      <c r="AF429" s="7">
        <v>106790.64</v>
      </c>
      <c r="AG429" s="5">
        <v>0</v>
      </c>
      <c r="AH429" s="246">
        <v>2020</v>
      </c>
      <c r="AI429" s="246" t="s">
        <v>49</v>
      </c>
      <c r="AJ429" s="246" t="s">
        <v>49</v>
      </c>
      <c r="AV429" s="2" t="e">
        <f>VLOOKUP(C429,AY:AZ,2,FALSE)</f>
        <v>#N/A</v>
      </c>
      <c r="CB429" s="236"/>
      <c r="CF429" s="2" t="e">
        <f t="shared" si="85"/>
        <v>#N/A</v>
      </c>
    </row>
    <row r="430" spans="1:262" ht="61.5" x14ac:dyDescent="0.85">
      <c r="A430" s="2">
        <v>1</v>
      </c>
      <c r="B430" s="18">
        <f>SUBTOTAL(103,$A$22:A430)</f>
        <v>372</v>
      </c>
      <c r="C430" s="3" t="s">
        <v>1353</v>
      </c>
      <c r="D430" s="5">
        <v>3243925.67</v>
      </c>
      <c r="E430" s="5">
        <f t="shared" si="80"/>
        <v>635026.29999999981</v>
      </c>
      <c r="F430" s="5">
        <f t="shared" si="91"/>
        <v>2608899.37</v>
      </c>
      <c r="G430" s="5">
        <v>0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241">
        <v>0</v>
      </c>
      <c r="N430" s="5">
        <v>0</v>
      </c>
      <c r="O430" s="7">
        <v>619</v>
      </c>
      <c r="P430" s="7">
        <v>2465528.8199999998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f>ROUND(P430*1.5%,2)</f>
        <v>36982.93</v>
      </c>
      <c r="AF430" s="7">
        <v>106387.62</v>
      </c>
      <c r="AG430" s="5">
        <v>0</v>
      </c>
      <c r="AH430" s="246">
        <v>2020</v>
      </c>
      <c r="AI430" s="246">
        <v>2020</v>
      </c>
      <c r="AJ430" s="6">
        <v>2020</v>
      </c>
      <c r="AV430" s="2" t="e">
        <f>VLOOKUP(C430,AY:AZ,2,FALSE)</f>
        <v>#N/A</v>
      </c>
      <c r="CB430" s="236"/>
      <c r="CF430" s="2" t="e">
        <f t="shared" si="85"/>
        <v>#N/A</v>
      </c>
    </row>
    <row r="431" spans="1:262" ht="61.5" x14ac:dyDescent="0.85">
      <c r="A431" s="2">
        <v>1</v>
      </c>
      <c r="B431" s="18">
        <f>SUBTOTAL(103,$A$22:A431)</f>
        <v>373</v>
      </c>
      <c r="C431" s="3" t="s">
        <v>1354</v>
      </c>
      <c r="D431" s="5">
        <v>5055398.59</v>
      </c>
      <c r="E431" s="5">
        <f t="shared" si="80"/>
        <v>0</v>
      </c>
      <c r="F431" s="5">
        <f t="shared" si="91"/>
        <v>5055398.59</v>
      </c>
      <c r="G431" s="7">
        <v>420192.57</v>
      </c>
      <c r="H431" s="7">
        <v>698894.43</v>
      </c>
      <c r="I431" s="7">
        <v>3335941.54</v>
      </c>
      <c r="J431" s="7">
        <v>526027.78</v>
      </c>
      <c r="K431" s="5">
        <v>0</v>
      </c>
      <c r="L431" s="5">
        <v>0</v>
      </c>
      <c r="M431" s="241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f>ROUND((G431+H431+I431+J431+K431+L431)*1.4925%,2)</f>
        <v>74342.27</v>
      </c>
      <c r="AF431" s="5">
        <v>0</v>
      </c>
      <c r="AG431" s="5">
        <v>0</v>
      </c>
      <c r="AH431" s="246" t="s">
        <v>49</v>
      </c>
      <c r="AI431" s="246">
        <v>2020</v>
      </c>
      <c r="AJ431" s="6">
        <v>2020</v>
      </c>
      <c r="CB431" s="236"/>
      <c r="CF431" s="2" t="e">
        <f t="shared" si="85"/>
        <v>#N/A</v>
      </c>
    </row>
    <row r="432" spans="1:262" ht="61.5" x14ac:dyDescent="0.85">
      <c r="A432" s="2">
        <v>1</v>
      </c>
      <c r="B432" s="18">
        <f>SUBTOTAL(103,$A$22:A432)</f>
        <v>374</v>
      </c>
      <c r="C432" s="3" t="s">
        <v>1355</v>
      </c>
      <c r="D432" s="5">
        <v>5685725.29</v>
      </c>
      <c r="E432" s="5">
        <f t="shared" si="80"/>
        <v>0</v>
      </c>
      <c r="F432" s="5">
        <f t="shared" si="91"/>
        <v>5685725.29</v>
      </c>
      <c r="G432" s="7">
        <v>580158.97</v>
      </c>
      <c r="H432" s="7">
        <v>1111647.94</v>
      </c>
      <c r="I432" s="7">
        <v>3450030.95</v>
      </c>
      <c r="J432" s="7">
        <v>460275.88</v>
      </c>
      <c r="K432" s="5">
        <v>0</v>
      </c>
      <c r="L432" s="5">
        <v>0</v>
      </c>
      <c r="M432" s="241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f>ROUND((G432+H432+I432+J432+K432+L432)*1.4925%,2)</f>
        <v>83611.55</v>
      </c>
      <c r="AF432" s="5">
        <v>0</v>
      </c>
      <c r="AG432" s="5">
        <v>0</v>
      </c>
      <c r="AH432" s="246" t="s">
        <v>49</v>
      </c>
      <c r="AI432" s="246">
        <v>2020</v>
      </c>
      <c r="AJ432" s="6">
        <v>2020</v>
      </c>
      <c r="CB432" s="236"/>
      <c r="CF432" s="2" t="e">
        <f t="shared" si="85"/>
        <v>#N/A</v>
      </c>
    </row>
    <row r="433" spans="1:262" ht="61.5" x14ac:dyDescent="0.85">
      <c r="A433" s="2">
        <v>1</v>
      </c>
      <c r="B433" s="18">
        <f>SUBTOTAL(103,$A$22:A433)</f>
        <v>375</v>
      </c>
      <c r="C433" s="3" t="s">
        <v>1356</v>
      </c>
      <c r="D433" s="5">
        <v>3267591.73</v>
      </c>
      <c r="E433" s="5">
        <f t="shared" si="80"/>
        <v>619398.10999999987</v>
      </c>
      <c r="F433" s="5">
        <f t="shared" si="91"/>
        <v>2648193.62</v>
      </c>
      <c r="G433" s="5">
        <v>0</v>
      </c>
      <c r="H433" s="5">
        <v>0</v>
      </c>
      <c r="I433" s="48">
        <v>2609250.56</v>
      </c>
      <c r="J433" s="5">
        <v>0</v>
      </c>
      <c r="K433" s="5">
        <v>0</v>
      </c>
      <c r="L433" s="5">
        <v>0</v>
      </c>
      <c r="M433" s="241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f>ROUND((G433+H433+I433+J433+K433+L433)*1.4925%,2)</f>
        <v>38943.06</v>
      </c>
      <c r="AF433" s="5">
        <v>0</v>
      </c>
      <c r="AG433" s="5">
        <v>0</v>
      </c>
      <c r="AH433" s="246" t="s">
        <v>49</v>
      </c>
      <c r="AI433" s="246">
        <v>2020</v>
      </c>
      <c r="AJ433" s="6">
        <v>2020</v>
      </c>
      <c r="CB433" s="236"/>
      <c r="CF433" s="2" t="e">
        <f t="shared" si="85"/>
        <v>#N/A</v>
      </c>
    </row>
    <row r="434" spans="1:262" ht="61.5" x14ac:dyDescent="0.85">
      <c r="A434" s="2">
        <v>1</v>
      </c>
      <c r="B434" s="18">
        <f>SUBTOTAL(103,$A$22:A434)</f>
        <v>376</v>
      </c>
      <c r="C434" s="3" t="s">
        <v>1357</v>
      </c>
      <c r="D434" s="5">
        <v>3633885.25</v>
      </c>
      <c r="E434" s="5">
        <f t="shared" si="80"/>
        <v>0</v>
      </c>
      <c r="F434" s="5">
        <f t="shared" si="91"/>
        <v>3633885.25</v>
      </c>
      <c r="G434" s="5">
        <v>0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241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7">
        <v>858.98</v>
      </c>
      <c r="T434" s="7">
        <v>3617645.64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f>ROUND(T434*0.4489%,2)</f>
        <v>16239.61</v>
      </c>
      <c r="AF434" s="5">
        <v>0</v>
      </c>
      <c r="AG434" s="5">
        <v>0</v>
      </c>
      <c r="AH434" s="246" t="s">
        <v>49</v>
      </c>
      <c r="AI434" s="246">
        <v>2020</v>
      </c>
      <c r="AJ434" s="6">
        <v>2020</v>
      </c>
      <c r="CB434" s="236"/>
      <c r="CF434" s="2" t="e">
        <f t="shared" si="85"/>
        <v>#N/A</v>
      </c>
    </row>
    <row r="435" spans="1:262" ht="61.5" x14ac:dyDescent="0.85">
      <c r="B435" s="3" t="s">
        <v>1358</v>
      </c>
      <c r="C435" s="3"/>
      <c r="D435" s="244">
        <v>9403284.9900000002</v>
      </c>
      <c r="E435" s="233">
        <f t="shared" si="80"/>
        <v>0</v>
      </c>
      <c r="F435" s="244">
        <f>SUM(F436:F440)</f>
        <v>9403284.9900000002</v>
      </c>
      <c r="G435" s="5">
        <f t="shared" ref="G435:AG435" si="92">SUM(G436:G440)</f>
        <v>167835.45</v>
      </c>
      <c r="H435" s="5">
        <f t="shared" si="92"/>
        <v>0</v>
      </c>
      <c r="I435" s="5">
        <f t="shared" si="92"/>
        <v>658789.53</v>
      </c>
      <c r="J435" s="5">
        <f t="shared" si="92"/>
        <v>0</v>
      </c>
      <c r="K435" s="5">
        <f t="shared" si="92"/>
        <v>618954.18000000005</v>
      </c>
      <c r="L435" s="5">
        <f t="shared" si="92"/>
        <v>0</v>
      </c>
      <c r="M435" s="241">
        <f t="shared" si="92"/>
        <v>0</v>
      </c>
      <c r="N435" s="5">
        <f t="shared" si="92"/>
        <v>0</v>
      </c>
      <c r="O435" s="5">
        <f t="shared" si="92"/>
        <v>2201.9</v>
      </c>
      <c r="P435" s="5">
        <f t="shared" si="92"/>
        <v>7825011.9399999995</v>
      </c>
      <c r="Q435" s="5">
        <f t="shared" si="92"/>
        <v>0</v>
      </c>
      <c r="R435" s="5">
        <f t="shared" si="92"/>
        <v>0</v>
      </c>
      <c r="S435" s="5">
        <f t="shared" si="92"/>
        <v>0</v>
      </c>
      <c r="T435" s="5">
        <f t="shared" si="92"/>
        <v>0</v>
      </c>
      <c r="U435" s="5">
        <f t="shared" si="92"/>
        <v>0</v>
      </c>
      <c r="V435" s="5">
        <f t="shared" si="92"/>
        <v>0</v>
      </c>
      <c r="W435" s="5">
        <f t="shared" si="92"/>
        <v>0</v>
      </c>
      <c r="X435" s="5">
        <f t="shared" si="92"/>
        <v>0</v>
      </c>
      <c r="Y435" s="5">
        <f t="shared" si="92"/>
        <v>0</v>
      </c>
      <c r="Z435" s="5">
        <f t="shared" si="92"/>
        <v>0</v>
      </c>
      <c r="AA435" s="5">
        <f t="shared" si="92"/>
        <v>0</v>
      </c>
      <c r="AB435" s="5">
        <f t="shared" si="92"/>
        <v>0</v>
      </c>
      <c r="AC435" s="5">
        <f t="shared" si="92"/>
        <v>0</v>
      </c>
      <c r="AD435" s="5">
        <f t="shared" si="92"/>
        <v>0</v>
      </c>
      <c r="AE435" s="5">
        <f t="shared" si="92"/>
        <v>132693.88999999998</v>
      </c>
      <c r="AF435" s="5">
        <f t="shared" si="92"/>
        <v>0</v>
      </c>
      <c r="AG435" s="5">
        <f t="shared" si="92"/>
        <v>0</v>
      </c>
      <c r="AH435" s="23" t="s">
        <v>90</v>
      </c>
      <c r="AI435" s="23" t="s">
        <v>90</v>
      </c>
      <c r="AJ435" s="27" t="s">
        <v>90</v>
      </c>
      <c r="AV435" s="2" t="e">
        <f>VLOOKUP(C435,AY:AZ,2,FALSE)</f>
        <v>#N/A</v>
      </c>
      <c r="CB435" s="236">
        <v>12742956.99</v>
      </c>
      <c r="CD435" s="236">
        <f>CB435-F435</f>
        <v>3339672</v>
      </c>
      <c r="CF435" s="2" t="e">
        <f t="shared" si="85"/>
        <v>#N/A</v>
      </c>
    </row>
    <row r="436" spans="1:262" ht="61.5" x14ac:dyDescent="0.85">
      <c r="A436" s="2">
        <v>1</v>
      </c>
      <c r="B436" s="18">
        <f>SUBTOTAL(103,$A$22:A436)</f>
        <v>377</v>
      </c>
      <c r="C436" s="3" t="s">
        <v>1359</v>
      </c>
      <c r="D436" s="5">
        <v>2250143.48</v>
      </c>
      <c r="E436" s="5">
        <f t="shared" si="80"/>
        <v>0</v>
      </c>
      <c r="F436" s="5">
        <f>G436+H436+I436+J436+K436+L436+N436+P436+R436+T436+V436+W436+X436+Y436+Z436+AA436+AB436+AC436+AD436+AE436+AF436+AG436</f>
        <v>2250143.48</v>
      </c>
      <c r="G436" s="5">
        <v>0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241">
        <v>0</v>
      </c>
      <c r="N436" s="5">
        <v>0</v>
      </c>
      <c r="O436" s="7">
        <v>631</v>
      </c>
      <c r="P436" s="7">
        <v>2219021.7000000002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7">
        <v>31121.78</v>
      </c>
      <c r="AF436" s="5">
        <v>0</v>
      </c>
      <c r="AG436" s="5">
        <v>0</v>
      </c>
      <c r="AH436" s="246" t="s">
        <v>49</v>
      </c>
      <c r="AI436" s="246">
        <v>2020</v>
      </c>
      <c r="AJ436" s="6">
        <v>2020</v>
      </c>
      <c r="AV436" s="2" t="e">
        <f>VLOOKUP(C436,AY:AZ,2,FALSE)</f>
        <v>#N/A</v>
      </c>
      <c r="CB436" s="236"/>
      <c r="CF436" s="2">
        <f t="shared" si="85"/>
        <v>631</v>
      </c>
    </row>
    <row r="437" spans="1:262" ht="61.5" x14ac:dyDescent="0.85">
      <c r="A437" s="2">
        <v>1</v>
      </c>
      <c r="B437" s="18">
        <f>SUBTOTAL(103,$A$22:A437)</f>
        <v>378</v>
      </c>
      <c r="C437" s="3" t="s">
        <v>1070</v>
      </c>
      <c r="D437" s="5">
        <v>2167263.7000000002</v>
      </c>
      <c r="E437" s="5">
        <f t="shared" si="80"/>
        <v>0</v>
      </c>
      <c r="F437" s="5">
        <f>G437+H437+I437+J437+K437+L437+N437+P437+R437+T437+V437+W437+X437+Y437+Z437+AA437+AB437+AC437+AD437+AE437+AF437+AG437</f>
        <v>2167263.7000000002</v>
      </c>
      <c r="G437" s="5">
        <v>0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241">
        <v>0</v>
      </c>
      <c r="N437" s="5">
        <v>0</v>
      </c>
      <c r="O437" s="7">
        <v>554.9</v>
      </c>
      <c r="P437" s="7">
        <v>2137288.23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7">
        <v>29975.47</v>
      </c>
      <c r="AF437" s="5">
        <v>0</v>
      </c>
      <c r="AG437" s="5">
        <v>0</v>
      </c>
      <c r="AH437" s="246" t="s">
        <v>49</v>
      </c>
      <c r="AI437" s="246">
        <v>2020</v>
      </c>
      <c r="AJ437" s="6">
        <v>2020</v>
      </c>
      <c r="AV437" s="2" t="e">
        <f>VLOOKUP(C437,AY:AZ,2,FALSE)</f>
        <v>#N/A</v>
      </c>
      <c r="CB437" s="236"/>
      <c r="CF437" s="2">
        <f t="shared" si="85"/>
        <v>566</v>
      </c>
    </row>
    <row r="438" spans="1:262" ht="61.5" x14ac:dyDescent="0.85">
      <c r="A438" s="2">
        <v>1</v>
      </c>
      <c r="B438" s="18">
        <f>SUBTOTAL(103,$A$22:A438)</f>
        <v>379</v>
      </c>
      <c r="C438" s="3" t="s">
        <v>1072</v>
      </c>
      <c r="D438" s="5">
        <v>2202329.54</v>
      </c>
      <c r="E438" s="5">
        <f t="shared" si="80"/>
        <v>0</v>
      </c>
      <c r="F438" s="5">
        <f>G438+H438+I438+J438+K438+L438+N438+P438+R438+T438+V438+W438+X438+Y438+Z438+AA438+AB438+AC438+AD438+AE438+AF438+AG438</f>
        <v>2202329.54</v>
      </c>
      <c r="G438" s="5">
        <v>0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241">
        <v>0</v>
      </c>
      <c r="N438" s="5">
        <v>0</v>
      </c>
      <c r="O438" s="7">
        <v>562</v>
      </c>
      <c r="P438" s="7">
        <v>2171869.08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7">
        <v>30460.46</v>
      </c>
      <c r="AF438" s="5">
        <v>0</v>
      </c>
      <c r="AG438" s="5">
        <v>0</v>
      </c>
      <c r="AH438" s="246" t="s">
        <v>49</v>
      </c>
      <c r="AI438" s="246">
        <v>2020</v>
      </c>
      <c r="AJ438" s="6">
        <v>2020</v>
      </c>
      <c r="AV438" s="2" t="e">
        <f>VLOOKUP(C438,AY:AZ,2,FALSE)</f>
        <v>#N/A</v>
      </c>
      <c r="CB438" s="236"/>
      <c r="CF438" s="2">
        <f t="shared" si="85"/>
        <v>562</v>
      </c>
    </row>
    <row r="439" spans="1:262" ht="61.5" x14ac:dyDescent="0.85">
      <c r="A439" s="2">
        <v>1</v>
      </c>
      <c r="B439" s="18">
        <f>SUBTOTAL(103,$A$22:A439)</f>
        <v>380</v>
      </c>
      <c r="C439" s="3" t="s">
        <v>1360</v>
      </c>
      <c r="D439" s="5">
        <v>1467262.85</v>
      </c>
      <c r="E439" s="5">
        <f t="shared" si="80"/>
        <v>0</v>
      </c>
      <c r="F439" s="5">
        <f>G439+H439+I439+J439+K439+L439+N439+P439+R439+T439+V439+W439+X439+Y439+Z439+AA439+AB439+AC439+AD439+AE439+AF439+AG439</f>
        <v>1467262.85</v>
      </c>
      <c r="G439" s="7">
        <v>167835.45</v>
      </c>
      <c r="H439" s="5">
        <v>0</v>
      </c>
      <c r="I439" s="7">
        <v>658789.53</v>
      </c>
      <c r="J439" s="5">
        <v>0</v>
      </c>
      <c r="K439" s="7">
        <v>618954.18000000005</v>
      </c>
      <c r="L439" s="5">
        <v>0</v>
      </c>
      <c r="M439" s="241">
        <v>0</v>
      </c>
      <c r="N439" s="5">
        <v>0</v>
      </c>
      <c r="O439" s="7">
        <v>0</v>
      </c>
      <c r="P439" s="7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f>ROUND((G439+H439+I439+J439+K439+L439)*1.5%,2)</f>
        <v>21683.69</v>
      </c>
      <c r="AF439" s="5">
        <v>0</v>
      </c>
      <c r="AG439" s="5">
        <v>0</v>
      </c>
      <c r="AH439" s="246" t="s">
        <v>49</v>
      </c>
      <c r="AI439" s="246">
        <v>2020</v>
      </c>
      <c r="AJ439" s="6">
        <v>2020</v>
      </c>
      <c r="CB439" s="236"/>
      <c r="CF439" s="2" t="e">
        <f t="shared" si="85"/>
        <v>#N/A</v>
      </c>
    </row>
    <row r="440" spans="1:262" ht="61.5" x14ac:dyDescent="0.85">
      <c r="A440" s="2">
        <v>1</v>
      </c>
      <c r="B440" s="18">
        <f>SUBTOTAL(103,$A$22:A440)</f>
        <v>381</v>
      </c>
      <c r="C440" s="3" t="s">
        <v>1074</v>
      </c>
      <c r="D440" s="5">
        <v>1316285.42</v>
      </c>
      <c r="E440" s="5">
        <f t="shared" si="80"/>
        <v>0</v>
      </c>
      <c r="F440" s="5">
        <f>G440+H440+I440+J440+K440+L440+N440+P440+R440+T440+V440+W440+X440+Y440+Z440+AA440+AB440+AC440+AD440+AE440+AF440+AG440</f>
        <v>1316285.42</v>
      </c>
      <c r="G440" s="5">
        <v>0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241">
        <v>0</v>
      </c>
      <c r="N440" s="5">
        <v>0</v>
      </c>
      <c r="O440" s="7">
        <v>454</v>
      </c>
      <c r="P440" s="7">
        <v>1296832.93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f>ROUND(P440*1.5%,2)</f>
        <v>19452.490000000002</v>
      </c>
      <c r="AF440" s="5">
        <v>0</v>
      </c>
      <c r="AG440" s="5">
        <v>0</v>
      </c>
      <c r="AH440" s="246" t="s">
        <v>49</v>
      </c>
      <c r="AI440" s="246">
        <v>2020</v>
      </c>
      <c r="AJ440" s="6">
        <v>2020</v>
      </c>
      <c r="CB440" s="236"/>
      <c r="CF440" s="2">
        <f t="shared" si="85"/>
        <v>454</v>
      </c>
    </row>
    <row r="441" spans="1:262" ht="61.5" x14ac:dyDescent="0.85">
      <c r="B441" s="3" t="s">
        <v>1361</v>
      </c>
      <c r="C441" s="3"/>
      <c r="D441" s="244">
        <v>5174634.9800000004</v>
      </c>
      <c r="E441" s="233">
        <f t="shared" si="80"/>
        <v>0</v>
      </c>
      <c r="F441" s="244">
        <f>F442+F443</f>
        <v>5174634.9800000004</v>
      </c>
      <c r="G441" s="5">
        <f t="shared" ref="G441:AG441" si="93">G442+G443</f>
        <v>0</v>
      </c>
      <c r="H441" s="5">
        <f t="shared" si="93"/>
        <v>0</v>
      </c>
      <c r="I441" s="5">
        <f t="shared" si="93"/>
        <v>0</v>
      </c>
      <c r="J441" s="5">
        <f t="shared" si="93"/>
        <v>0</v>
      </c>
      <c r="K441" s="5">
        <f t="shared" si="93"/>
        <v>0</v>
      </c>
      <c r="L441" s="5">
        <f t="shared" si="93"/>
        <v>0</v>
      </c>
      <c r="M441" s="241">
        <f t="shared" si="93"/>
        <v>0</v>
      </c>
      <c r="N441" s="5">
        <f t="shared" si="93"/>
        <v>0</v>
      </c>
      <c r="O441" s="5">
        <f t="shared" si="93"/>
        <v>1342.3899999999999</v>
      </c>
      <c r="P441" s="5">
        <f t="shared" si="93"/>
        <v>5095125.3600000003</v>
      </c>
      <c r="Q441" s="5">
        <f t="shared" si="93"/>
        <v>0</v>
      </c>
      <c r="R441" s="5">
        <f t="shared" si="93"/>
        <v>0</v>
      </c>
      <c r="S441" s="5">
        <f t="shared" si="93"/>
        <v>0</v>
      </c>
      <c r="T441" s="5">
        <f t="shared" si="93"/>
        <v>0</v>
      </c>
      <c r="U441" s="5">
        <f t="shared" si="93"/>
        <v>0</v>
      </c>
      <c r="V441" s="5">
        <f t="shared" si="93"/>
        <v>0</v>
      </c>
      <c r="W441" s="5">
        <f t="shared" si="93"/>
        <v>0</v>
      </c>
      <c r="X441" s="5">
        <f t="shared" si="93"/>
        <v>0</v>
      </c>
      <c r="Y441" s="5">
        <f t="shared" si="93"/>
        <v>0</v>
      </c>
      <c r="Z441" s="5">
        <f t="shared" si="93"/>
        <v>0</v>
      </c>
      <c r="AA441" s="5">
        <f t="shared" si="93"/>
        <v>0</v>
      </c>
      <c r="AB441" s="5">
        <f t="shared" si="93"/>
        <v>0</v>
      </c>
      <c r="AC441" s="5">
        <f t="shared" si="93"/>
        <v>0</v>
      </c>
      <c r="AD441" s="5">
        <f t="shared" si="93"/>
        <v>0</v>
      </c>
      <c r="AE441" s="5">
        <f t="shared" si="93"/>
        <v>79509.62</v>
      </c>
      <c r="AF441" s="5">
        <f t="shared" si="93"/>
        <v>0</v>
      </c>
      <c r="AG441" s="5">
        <f t="shared" si="93"/>
        <v>0</v>
      </c>
      <c r="AH441" s="23" t="s">
        <v>90</v>
      </c>
      <c r="AI441" s="23" t="s">
        <v>90</v>
      </c>
      <c r="AJ441" s="27" t="s">
        <v>90</v>
      </c>
      <c r="AV441" s="2" t="e">
        <f>VLOOKUP(C441,AY:AZ,2,FALSE)</f>
        <v>#N/A</v>
      </c>
      <c r="CB441" s="236">
        <v>6025381.3300000001</v>
      </c>
      <c r="CF441" s="2" t="e">
        <f t="shared" si="85"/>
        <v>#N/A</v>
      </c>
    </row>
    <row r="442" spans="1:262" ht="61.5" x14ac:dyDescent="0.85">
      <c r="A442" s="2">
        <v>1</v>
      </c>
      <c r="B442" s="18">
        <f>SUBTOTAL(103,$A$22:A442)</f>
        <v>382</v>
      </c>
      <c r="C442" s="3" t="s">
        <v>1076</v>
      </c>
      <c r="D442" s="5">
        <v>2210436.8400000003</v>
      </c>
      <c r="E442" s="5">
        <f t="shared" si="80"/>
        <v>0</v>
      </c>
      <c r="F442" s="5">
        <f>G442+H442+I442+J442+K442+L442+N442+P442+R442+T442+V442+W442+X442+Y442+Z442+AA442+AB442+AC442+AD442+AE442+AF442+AG442</f>
        <v>2210436.8400000003</v>
      </c>
      <c r="G442" s="5">
        <v>0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241">
        <v>0</v>
      </c>
      <c r="N442" s="5">
        <v>0</v>
      </c>
      <c r="O442" s="7">
        <v>595.09</v>
      </c>
      <c r="P442" s="7">
        <v>2179864.2400000002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7">
        <v>30572.6</v>
      </c>
      <c r="AF442" s="5">
        <v>0</v>
      </c>
      <c r="AG442" s="5">
        <v>0</v>
      </c>
      <c r="AH442" s="246" t="s">
        <v>49</v>
      </c>
      <c r="AI442" s="246">
        <v>2020</v>
      </c>
      <c r="AJ442" s="6">
        <v>2020</v>
      </c>
      <c r="AV442" s="2" t="e">
        <f>VLOOKUP(C442,AY:AZ,2,FALSE)</f>
        <v>#N/A</v>
      </c>
      <c r="CB442" s="236"/>
      <c r="CF442" s="2">
        <f t="shared" si="85"/>
        <v>595</v>
      </c>
    </row>
    <row r="443" spans="1:262" ht="61.5" x14ac:dyDescent="0.85">
      <c r="A443" s="2">
        <v>1</v>
      </c>
      <c r="B443" s="18">
        <f>SUBTOTAL(103,$A$22:A443)</f>
        <v>383</v>
      </c>
      <c r="C443" s="3" t="s">
        <v>1362</v>
      </c>
      <c r="D443" s="5">
        <v>2964198.14</v>
      </c>
      <c r="E443" s="5">
        <f t="shared" si="80"/>
        <v>0</v>
      </c>
      <c r="F443" s="5">
        <f>G443+H443+I443+J443+K443+L443+N443+P443+R443+T443+V443+W443+X443+Y443+Z443+AA443+AB443+AC443+AD443+AE443+AF443+AG443</f>
        <v>2964198.14</v>
      </c>
      <c r="G443" s="5">
        <v>0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241">
        <v>0</v>
      </c>
      <c r="N443" s="5">
        <v>0</v>
      </c>
      <c r="O443" s="7">
        <v>747.3</v>
      </c>
      <c r="P443" s="7">
        <v>2915261.12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f>46811.66+2125.36</f>
        <v>48937.020000000004</v>
      </c>
      <c r="AF443" s="5">
        <v>0</v>
      </c>
      <c r="AG443" s="5">
        <v>0</v>
      </c>
      <c r="AH443" s="246" t="s">
        <v>49</v>
      </c>
      <c r="AI443" s="246">
        <v>2020</v>
      </c>
      <c r="AJ443" s="6">
        <v>2020</v>
      </c>
      <c r="CB443" s="236"/>
      <c r="CF443" s="2">
        <f t="shared" si="85"/>
        <v>747.3</v>
      </c>
    </row>
    <row r="444" spans="1:262" ht="61.5" x14ac:dyDescent="0.85">
      <c r="B444" s="3" t="s">
        <v>113</v>
      </c>
      <c r="C444" s="3"/>
      <c r="D444" s="244">
        <v>28248063.09</v>
      </c>
      <c r="E444" s="233">
        <f t="shared" si="80"/>
        <v>10208209.529999997</v>
      </c>
      <c r="F444" s="244">
        <f t="shared" ref="F444:AG444" si="94">SUM(F445:F454)</f>
        <v>18039853.560000002</v>
      </c>
      <c r="G444" s="5">
        <f t="shared" si="94"/>
        <v>0</v>
      </c>
      <c r="H444" s="5">
        <f t="shared" si="94"/>
        <v>0</v>
      </c>
      <c r="I444" s="5">
        <f t="shared" si="94"/>
        <v>0</v>
      </c>
      <c r="J444" s="5">
        <f t="shared" si="94"/>
        <v>0</v>
      </c>
      <c r="K444" s="5">
        <f t="shared" si="94"/>
        <v>0</v>
      </c>
      <c r="L444" s="5">
        <f t="shared" si="94"/>
        <v>0</v>
      </c>
      <c r="M444" s="241">
        <f t="shared" si="94"/>
        <v>0</v>
      </c>
      <c r="N444" s="5">
        <f t="shared" si="94"/>
        <v>0</v>
      </c>
      <c r="O444" s="5">
        <f t="shared" si="94"/>
        <v>4734.95</v>
      </c>
      <c r="P444" s="5">
        <f t="shared" si="94"/>
        <v>17182022.680000003</v>
      </c>
      <c r="Q444" s="5">
        <f t="shared" si="94"/>
        <v>0</v>
      </c>
      <c r="R444" s="5">
        <f t="shared" si="94"/>
        <v>0</v>
      </c>
      <c r="S444" s="5">
        <f t="shared" si="94"/>
        <v>0</v>
      </c>
      <c r="T444" s="5">
        <f t="shared" si="94"/>
        <v>0</v>
      </c>
      <c r="U444" s="5">
        <f t="shared" si="94"/>
        <v>0</v>
      </c>
      <c r="V444" s="5">
        <f t="shared" si="94"/>
        <v>0</v>
      </c>
      <c r="W444" s="5">
        <f t="shared" si="94"/>
        <v>0</v>
      </c>
      <c r="X444" s="5">
        <f t="shared" si="94"/>
        <v>0</v>
      </c>
      <c r="Y444" s="5">
        <f t="shared" si="94"/>
        <v>0</v>
      </c>
      <c r="Z444" s="5">
        <f t="shared" si="94"/>
        <v>0</v>
      </c>
      <c r="AA444" s="5">
        <f t="shared" si="94"/>
        <v>0</v>
      </c>
      <c r="AB444" s="5">
        <f t="shared" si="94"/>
        <v>0</v>
      </c>
      <c r="AC444" s="5">
        <f t="shared" si="94"/>
        <v>0</v>
      </c>
      <c r="AD444" s="5">
        <f t="shared" si="94"/>
        <v>0</v>
      </c>
      <c r="AE444" s="5">
        <f t="shared" si="94"/>
        <v>252364.16999999998</v>
      </c>
      <c r="AF444" s="5">
        <f t="shared" si="94"/>
        <v>605466.71000000008</v>
      </c>
      <c r="AG444" s="5">
        <f t="shared" si="94"/>
        <v>0</v>
      </c>
      <c r="AH444" s="23" t="s">
        <v>90</v>
      </c>
      <c r="AI444" s="23" t="s">
        <v>90</v>
      </c>
      <c r="AJ444" s="27" t="s">
        <v>90</v>
      </c>
      <c r="AV444" s="2" t="e">
        <f>VLOOKUP(C444,AY:AZ,2,FALSE)</f>
        <v>#N/A</v>
      </c>
      <c r="CB444" s="236">
        <v>29961094.709999993</v>
      </c>
      <c r="CF444" s="2" t="e">
        <f t="shared" si="85"/>
        <v>#N/A</v>
      </c>
    </row>
    <row r="445" spans="1:262" s="239" customFormat="1" ht="61.5" x14ac:dyDescent="0.85">
      <c r="A445" s="239">
        <v>1</v>
      </c>
      <c r="B445" s="18">
        <f>SUBTOTAL(103,$A$22:A445)</f>
        <v>384</v>
      </c>
      <c r="C445" s="3" t="s">
        <v>1363</v>
      </c>
      <c r="D445" s="5">
        <v>5017460.6800000006</v>
      </c>
      <c r="E445" s="5">
        <v>0</v>
      </c>
      <c r="F445" s="5">
        <f t="shared" ref="F445:F452" si="95">G445+H445+I445+J445+K445+L445+N445+P445+R445+T445+V445+W445+X445+Y445+Z445+AA445+AB445+AC445+AD445+AE445+AF445+AG445</f>
        <v>5017460.6800000006</v>
      </c>
      <c r="G445" s="5">
        <v>0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25">
        <v>0</v>
      </c>
      <c r="N445" s="5">
        <v>0</v>
      </c>
      <c r="O445" s="5">
        <v>867.3</v>
      </c>
      <c r="P445" s="5">
        <v>4814154.82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f t="shared" ref="AE445:AE450" si="96">ROUND(P445*1.5%,2)</f>
        <v>72212.320000000007</v>
      </c>
      <c r="AF445" s="7">
        <v>131093.54</v>
      </c>
      <c r="AG445" s="5">
        <v>0</v>
      </c>
      <c r="AH445" s="246">
        <v>2020</v>
      </c>
      <c r="AI445" s="246">
        <v>2020</v>
      </c>
      <c r="AJ445" s="6">
        <v>2020</v>
      </c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 t="e">
        <v>#N/A</v>
      </c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36"/>
      <c r="CC445" s="2"/>
      <c r="CD445" s="2"/>
      <c r="CE445" s="2"/>
      <c r="CF445" s="2" t="e">
        <v>#N/A</v>
      </c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</row>
    <row r="446" spans="1:262" ht="61.5" x14ac:dyDescent="0.85">
      <c r="A446" s="2">
        <v>1</v>
      </c>
      <c r="B446" s="18">
        <f>SUBTOTAL(103,$A$22:A446)</f>
        <v>385</v>
      </c>
      <c r="C446" s="3" t="s">
        <v>1364</v>
      </c>
      <c r="D446" s="5">
        <v>2810575.6300000004</v>
      </c>
      <c r="E446" s="5">
        <f t="shared" ref="E446:E509" si="97">D446-F446</f>
        <v>0</v>
      </c>
      <c r="F446" s="5">
        <f t="shared" si="95"/>
        <v>2810575.6300000004</v>
      </c>
      <c r="G446" s="5">
        <v>0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241">
        <v>0</v>
      </c>
      <c r="N446" s="5">
        <v>0</v>
      </c>
      <c r="O446" s="7">
        <v>652.70000000000005</v>
      </c>
      <c r="P446" s="7">
        <v>2689261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7">
        <v>37716.89</v>
      </c>
      <c r="AF446" s="7">
        <v>83597.740000000005</v>
      </c>
      <c r="AG446" s="5">
        <v>0</v>
      </c>
      <c r="AH446" s="246">
        <v>2020</v>
      </c>
      <c r="AI446" s="246">
        <v>2020</v>
      </c>
      <c r="AJ446" s="6">
        <v>2020</v>
      </c>
      <c r="AV446" s="2" t="e">
        <f>VLOOKUP(C446,AY:AZ,2,FALSE)</f>
        <v>#N/A</v>
      </c>
      <c r="CB446" s="236"/>
      <c r="CF446" s="2" t="e">
        <f t="shared" ref="CF446:CF509" si="98">VLOOKUP(C446,CG:CH,2,FALSE)</f>
        <v>#N/A</v>
      </c>
    </row>
    <row r="447" spans="1:262" ht="61.5" x14ac:dyDescent="0.85">
      <c r="A447" s="2">
        <v>1</v>
      </c>
      <c r="B447" s="18">
        <f>SUBTOTAL(103,$A$22:A447)</f>
        <v>386</v>
      </c>
      <c r="C447" s="3" t="s">
        <v>1365</v>
      </c>
      <c r="D447" s="5">
        <v>5245064.0000000009</v>
      </c>
      <c r="E447" s="5">
        <f t="shared" si="97"/>
        <v>5114026.3900000006</v>
      </c>
      <c r="F447" s="5">
        <f t="shared" si="95"/>
        <v>131037.61</v>
      </c>
      <c r="G447" s="5">
        <v>0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241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f t="shared" si="96"/>
        <v>0</v>
      </c>
      <c r="AF447" s="7">
        <v>131037.61</v>
      </c>
      <c r="AG447" s="5">
        <v>0</v>
      </c>
      <c r="AH447" s="246">
        <v>2020</v>
      </c>
      <c r="AI447" s="246" t="s">
        <v>49</v>
      </c>
      <c r="AJ447" s="246" t="s">
        <v>49</v>
      </c>
      <c r="AV447" s="2">
        <f>VLOOKUP(C447,AY:AZ,2,FALSE)</f>
        <v>1</v>
      </c>
      <c r="CB447" s="236"/>
      <c r="CF447" s="2" t="e">
        <f t="shared" si="98"/>
        <v>#N/A</v>
      </c>
    </row>
    <row r="448" spans="1:262" ht="61.5" x14ac:dyDescent="0.85">
      <c r="A448" s="2">
        <v>1</v>
      </c>
      <c r="B448" s="18">
        <f>SUBTOTAL(103,$A$22:A448)</f>
        <v>387</v>
      </c>
      <c r="C448" s="3" t="s">
        <v>1366</v>
      </c>
      <c r="D448" s="5">
        <v>2938871.62</v>
      </c>
      <c r="E448" s="5">
        <f t="shared" si="97"/>
        <v>0</v>
      </c>
      <c r="F448" s="5">
        <f t="shared" si="95"/>
        <v>2938871.62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241">
        <v>0</v>
      </c>
      <c r="N448" s="5">
        <v>0</v>
      </c>
      <c r="O448" s="7">
        <v>681</v>
      </c>
      <c r="P448" s="7">
        <v>2814506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7">
        <v>39473.449999999997</v>
      </c>
      <c r="AF448" s="7">
        <v>84892.17</v>
      </c>
      <c r="AG448" s="5">
        <v>0</v>
      </c>
      <c r="AH448" s="246">
        <v>2020</v>
      </c>
      <c r="AI448" s="246">
        <v>2020</v>
      </c>
      <c r="AJ448" s="6">
        <v>2020</v>
      </c>
      <c r="AV448" s="2" t="e">
        <f>VLOOKUP(C448,AY:AZ,2,FALSE)</f>
        <v>#N/A</v>
      </c>
      <c r="CB448" s="236"/>
      <c r="CF448" s="2" t="e">
        <f t="shared" si="98"/>
        <v>#N/A</v>
      </c>
    </row>
    <row r="449" spans="1:262" ht="61.5" x14ac:dyDescent="0.85">
      <c r="A449" s="2">
        <v>1</v>
      </c>
      <c r="B449" s="18">
        <f>SUBTOTAL(103,$A$22:A449)</f>
        <v>388</v>
      </c>
      <c r="C449" s="3" t="s">
        <v>1145</v>
      </c>
      <c r="D449" s="5">
        <v>3146286.42</v>
      </c>
      <c r="E449" s="5">
        <f t="shared" si="97"/>
        <v>895882.49999999953</v>
      </c>
      <c r="F449" s="5">
        <f t="shared" si="95"/>
        <v>2250403.9200000004</v>
      </c>
      <c r="G449" s="5">
        <v>0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241">
        <v>0</v>
      </c>
      <c r="N449" s="5">
        <v>0</v>
      </c>
      <c r="O449" s="7">
        <v>678.5</v>
      </c>
      <c r="P449" s="7">
        <v>2217146.7200000002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f t="shared" si="96"/>
        <v>33257.199999999997</v>
      </c>
      <c r="AF449" s="5">
        <v>0</v>
      </c>
      <c r="AG449" s="5">
        <v>0</v>
      </c>
      <c r="AH449" s="246" t="s">
        <v>49</v>
      </c>
      <c r="AI449" s="246">
        <v>2020</v>
      </c>
      <c r="AJ449" s="6">
        <v>2020</v>
      </c>
      <c r="CB449" s="236"/>
      <c r="CF449" s="2">
        <f t="shared" si="98"/>
        <v>678.5</v>
      </c>
    </row>
    <row r="450" spans="1:262" ht="61.5" x14ac:dyDescent="0.85">
      <c r="A450" s="2">
        <v>1</v>
      </c>
      <c r="B450" s="18">
        <f>SUBTOTAL(103,$A$22:A450)</f>
        <v>389</v>
      </c>
      <c r="C450" s="3" t="s">
        <v>1093</v>
      </c>
      <c r="D450" s="5">
        <v>2695968.78</v>
      </c>
      <c r="E450" s="5">
        <f t="shared" si="97"/>
        <v>0</v>
      </c>
      <c r="F450" s="5">
        <f t="shared" si="95"/>
        <v>2695968.78</v>
      </c>
      <c r="G450" s="5">
        <v>0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241">
        <v>0</v>
      </c>
      <c r="N450" s="5">
        <v>0</v>
      </c>
      <c r="O450" s="7">
        <v>1273.99</v>
      </c>
      <c r="P450" s="7">
        <v>2656126.88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f t="shared" si="96"/>
        <v>39841.9</v>
      </c>
      <c r="AF450" s="5">
        <v>0</v>
      </c>
      <c r="AG450" s="5">
        <v>0</v>
      </c>
      <c r="AH450" s="246" t="s">
        <v>49</v>
      </c>
      <c r="AI450" s="246">
        <v>2020</v>
      </c>
      <c r="AJ450" s="6">
        <v>2020</v>
      </c>
      <c r="CB450" s="236"/>
      <c r="CF450" s="2">
        <f t="shared" si="98"/>
        <v>1278.8</v>
      </c>
    </row>
    <row r="451" spans="1:262" ht="61.5" x14ac:dyDescent="0.85">
      <c r="A451" s="2">
        <v>1</v>
      </c>
      <c r="B451" s="18">
        <f>SUBTOTAL(103,$A$22:A451)</f>
        <v>390</v>
      </c>
      <c r="C451" s="3" t="s">
        <v>1095</v>
      </c>
      <c r="D451" s="5">
        <v>800120.67999999993</v>
      </c>
      <c r="E451" s="5">
        <f t="shared" si="97"/>
        <v>0</v>
      </c>
      <c r="F451" s="5">
        <f t="shared" si="95"/>
        <v>800120.67999999993</v>
      </c>
      <c r="G451" s="5">
        <v>0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241">
        <v>0</v>
      </c>
      <c r="N451" s="5">
        <v>0</v>
      </c>
      <c r="O451" s="7">
        <v>234</v>
      </c>
      <c r="P451" s="7">
        <v>788296.24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f>ROUND(P451*1.5%,2)</f>
        <v>11824.44</v>
      </c>
      <c r="AF451" s="5">
        <v>0</v>
      </c>
      <c r="AG451" s="5">
        <v>0</v>
      </c>
      <c r="AH451" s="246" t="s">
        <v>49</v>
      </c>
      <c r="AI451" s="246">
        <v>2020</v>
      </c>
      <c r="AJ451" s="6">
        <v>2020</v>
      </c>
      <c r="CB451" s="236"/>
      <c r="CF451" s="2">
        <f t="shared" si="98"/>
        <v>225.04</v>
      </c>
    </row>
    <row r="452" spans="1:262" ht="61.5" x14ac:dyDescent="0.85">
      <c r="A452" s="2">
        <v>1</v>
      </c>
      <c r="B452" s="18">
        <f>SUBTOTAL(103,$A$22:A452)</f>
        <v>391</v>
      </c>
      <c r="C452" s="3" t="s">
        <v>1097</v>
      </c>
      <c r="D452" s="5">
        <v>1220568.99</v>
      </c>
      <c r="E452" s="5">
        <f t="shared" si="97"/>
        <v>0</v>
      </c>
      <c r="F452" s="5">
        <f t="shared" si="95"/>
        <v>1220568.99</v>
      </c>
      <c r="G452" s="5">
        <v>0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241">
        <v>0</v>
      </c>
      <c r="N452" s="5">
        <v>0</v>
      </c>
      <c r="O452" s="7">
        <v>347.46</v>
      </c>
      <c r="P452" s="7">
        <v>1202531.02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  <c r="AE452" s="5">
        <f>ROUND(P452*1.5%,2)</f>
        <v>18037.97</v>
      </c>
      <c r="AF452" s="5">
        <v>0</v>
      </c>
      <c r="AG452" s="5">
        <v>0</v>
      </c>
      <c r="AH452" s="246" t="s">
        <v>49</v>
      </c>
      <c r="AI452" s="246">
        <v>2020</v>
      </c>
      <c r="AJ452" s="6">
        <v>2020</v>
      </c>
      <c r="CB452" s="236"/>
      <c r="CF452" s="2">
        <f t="shared" si="98"/>
        <v>337</v>
      </c>
    </row>
    <row r="453" spans="1:262" s="239" customFormat="1" ht="61.5" x14ac:dyDescent="0.85">
      <c r="A453" s="239">
        <v>1</v>
      </c>
      <c r="B453" s="18">
        <f>SUBTOTAL(103,$A$22:A453)</f>
        <v>392</v>
      </c>
      <c r="C453" s="3" t="s">
        <v>1367</v>
      </c>
      <c r="D453" s="5">
        <v>3400436.16</v>
      </c>
      <c r="E453" s="5">
        <f t="shared" si="97"/>
        <v>3312780.06</v>
      </c>
      <c r="F453" s="5">
        <f>G453+H453+I453+J453+K453+L453+N453+P453+R453+T453+V453+W453+X453+Y453+Z453+AA453+AB453+AC453+AD453+AE453+AF453+AG453</f>
        <v>87656.1</v>
      </c>
      <c r="G453" s="5">
        <v>0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2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f>ROUND(P453*1.5%,2)</f>
        <v>0</v>
      </c>
      <c r="AF453" s="5">
        <v>87656.1</v>
      </c>
      <c r="AG453" s="5">
        <v>0</v>
      </c>
      <c r="AH453" s="246">
        <v>2020</v>
      </c>
      <c r="AI453" s="246" t="s">
        <v>49</v>
      </c>
      <c r="AJ453" s="246" t="s">
        <v>49</v>
      </c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 t="e">
        <f>VLOOKUP(C453,AY:AZ,2,FALSE)</f>
        <v>#N/A</v>
      </c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36"/>
      <c r="CC453" s="2"/>
      <c r="CD453" s="2"/>
      <c r="CE453" s="2"/>
      <c r="CF453" s="2" t="e">
        <f t="shared" si="98"/>
        <v>#N/A</v>
      </c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</row>
    <row r="454" spans="1:262" s="239" customFormat="1" ht="61.5" x14ac:dyDescent="0.85">
      <c r="A454" s="239">
        <v>1</v>
      </c>
      <c r="B454" s="18">
        <f>SUBTOTAL(103,$A$22:A454)</f>
        <v>393</v>
      </c>
      <c r="C454" s="3" t="s">
        <v>1368</v>
      </c>
      <c r="D454" s="5">
        <v>3378504.6</v>
      </c>
      <c r="E454" s="5">
        <f t="shared" si="97"/>
        <v>3291315.0500000003</v>
      </c>
      <c r="F454" s="5">
        <f>G454+H454+I454+J454+K454+L454+N454+P454+R454+T454+V454+W454+X454+Y454+Z454+AA454+AB454+AC454+AD454+AE454+AF454+AG454</f>
        <v>87189.55</v>
      </c>
      <c r="G454" s="5">
        <v>0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2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f>ROUND(P454*1.5%,2)</f>
        <v>0</v>
      </c>
      <c r="AF454" s="5">
        <v>87189.55</v>
      </c>
      <c r="AG454" s="5">
        <v>0</v>
      </c>
      <c r="AH454" s="246">
        <v>2020</v>
      </c>
      <c r="AI454" s="246" t="s">
        <v>49</v>
      </c>
      <c r="AJ454" s="246" t="s">
        <v>49</v>
      </c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 t="e">
        <f>VLOOKUP(C454,AY:AZ,2,FALSE)</f>
        <v>#N/A</v>
      </c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36"/>
      <c r="CC454" s="2"/>
      <c r="CD454" s="2"/>
      <c r="CE454" s="2"/>
      <c r="CF454" s="2" t="e">
        <f t="shared" si="98"/>
        <v>#N/A</v>
      </c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</row>
    <row r="455" spans="1:262" ht="61.5" x14ac:dyDescent="0.85">
      <c r="B455" s="3" t="s">
        <v>128</v>
      </c>
      <c r="C455" s="3"/>
      <c r="D455" s="244">
        <v>3623254.4499999997</v>
      </c>
      <c r="E455" s="233">
        <f t="shared" si="97"/>
        <v>0</v>
      </c>
      <c r="F455" s="244">
        <f>F456</f>
        <v>3623254.4499999997</v>
      </c>
      <c r="G455" s="5">
        <f t="shared" ref="G455:AG455" si="99">G456</f>
        <v>0</v>
      </c>
      <c r="H455" s="5">
        <f t="shared" si="99"/>
        <v>0</v>
      </c>
      <c r="I455" s="5">
        <f t="shared" si="99"/>
        <v>0</v>
      </c>
      <c r="J455" s="5">
        <f t="shared" si="99"/>
        <v>0</v>
      </c>
      <c r="K455" s="5">
        <f t="shared" si="99"/>
        <v>0</v>
      </c>
      <c r="L455" s="5">
        <f t="shared" si="99"/>
        <v>0</v>
      </c>
      <c r="M455" s="241">
        <f t="shared" si="99"/>
        <v>0</v>
      </c>
      <c r="N455" s="5">
        <f t="shared" si="99"/>
        <v>0</v>
      </c>
      <c r="O455" s="5">
        <f t="shared" si="99"/>
        <v>837.3</v>
      </c>
      <c r="P455" s="5">
        <f t="shared" si="99"/>
        <v>3606600.61</v>
      </c>
      <c r="Q455" s="5">
        <f t="shared" si="99"/>
        <v>0</v>
      </c>
      <c r="R455" s="5">
        <f t="shared" si="99"/>
        <v>0</v>
      </c>
      <c r="S455" s="5">
        <f t="shared" si="99"/>
        <v>0</v>
      </c>
      <c r="T455" s="5">
        <f t="shared" si="99"/>
        <v>0</v>
      </c>
      <c r="U455" s="5">
        <f t="shared" si="99"/>
        <v>0</v>
      </c>
      <c r="V455" s="5">
        <f t="shared" si="99"/>
        <v>0</v>
      </c>
      <c r="W455" s="5">
        <f t="shared" si="99"/>
        <v>0</v>
      </c>
      <c r="X455" s="5">
        <f t="shared" si="99"/>
        <v>0</v>
      </c>
      <c r="Y455" s="5">
        <f t="shared" si="99"/>
        <v>0</v>
      </c>
      <c r="Z455" s="5">
        <f t="shared" si="99"/>
        <v>0</v>
      </c>
      <c r="AA455" s="5">
        <f t="shared" si="99"/>
        <v>0</v>
      </c>
      <c r="AB455" s="5">
        <f t="shared" si="99"/>
        <v>0</v>
      </c>
      <c r="AC455" s="5">
        <f t="shared" si="99"/>
        <v>0</v>
      </c>
      <c r="AD455" s="5">
        <f t="shared" si="99"/>
        <v>0</v>
      </c>
      <c r="AE455" s="5">
        <f t="shared" si="99"/>
        <v>16653.84</v>
      </c>
      <c r="AF455" s="5">
        <f t="shared" si="99"/>
        <v>0</v>
      </c>
      <c r="AG455" s="5">
        <f t="shared" si="99"/>
        <v>0</v>
      </c>
      <c r="AH455" s="23" t="s">
        <v>90</v>
      </c>
      <c r="AI455" s="23" t="s">
        <v>90</v>
      </c>
      <c r="AJ455" s="27" t="s">
        <v>90</v>
      </c>
      <c r="AV455" s="2" t="e">
        <f>VLOOKUP(C455,AY:AZ,2,FALSE)</f>
        <v>#N/A</v>
      </c>
      <c r="CB455" s="236">
        <v>3726576.42</v>
      </c>
      <c r="CF455" s="2" t="e">
        <f t="shared" si="98"/>
        <v>#N/A</v>
      </c>
    </row>
    <row r="456" spans="1:262" ht="61.5" x14ac:dyDescent="0.85">
      <c r="A456" s="2">
        <v>1</v>
      </c>
      <c r="B456" s="18">
        <f>SUBTOTAL(103,$A$22:A456)</f>
        <v>394</v>
      </c>
      <c r="C456" s="3" t="s">
        <v>1169</v>
      </c>
      <c r="D456" s="5">
        <v>3623254.4499999997</v>
      </c>
      <c r="E456" s="5">
        <f t="shared" si="97"/>
        <v>0</v>
      </c>
      <c r="F456" s="5">
        <f>G456+H456+I456+J456+K456+L456+N456+P456+R456+T456+V456+W456+X456+Y456+Z456+AA456+AB456+AC456+AD456+AE456+AF456+AG456</f>
        <v>3623254.4499999997</v>
      </c>
      <c r="G456" s="5">
        <v>0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241">
        <v>0</v>
      </c>
      <c r="N456" s="5">
        <v>0</v>
      </c>
      <c r="O456" s="7">
        <v>837.3</v>
      </c>
      <c r="P456" s="7">
        <v>3606600.61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16653.84</v>
      </c>
      <c r="AF456" s="5">
        <v>0</v>
      </c>
      <c r="AG456" s="5">
        <v>0</v>
      </c>
      <c r="AH456" s="246" t="s">
        <v>49</v>
      </c>
      <c r="AI456" s="246">
        <v>2020</v>
      </c>
      <c r="AJ456" s="6">
        <v>2020</v>
      </c>
      <c r="CB456" s="236"/>
      <c r="CF456" s="2">
        <f t="shared" si="98"/>
        <v>837.3</v>
      </c>
    </row>
    <row r="457" spans="1:262" ht="61.5" x14ac:dyDescent="0.85">
      <c r="B457" s="3" t="s">
        <v>1369</v>
      </c>
      <c r="C457" s="442"/>
      <c r="D457" s="244">
        <v>3515825.94</v>
      </c>
      <c r="E457" s="233">
        <f t="shared" si="97"/>
        <v>0</v>
      </c>
      <c r="F457" s="244">
        <f>F458</f>
        <v>3515825.94</v>
      </c>
      <c r="G457" s="5">
        <f t="shared" ref="G457:AG457" si="100">G458</f>
        <v>0</v>
      </c>
      <c r="H457" s="5">
        <f t="shared" si="100"/>
        <v>0</v>
      </c>
      <c r="I457" s="5">
        <f t="shared" si="100"/>
        <v>0</v>
      </c>
      <c r="J457" s="5">
        <f t="shared" si="100"/>
        <v>0</v>
      </c>
      <c r="K457" s="5">
        <f t="shared" si="100"/>
        <v>0</v>
      </c>
      <c r="L457" s="5">
        <f t="shared" si="100"/>
        <v>0</v>
      </c>
      <c r="M457" s="241">
        <f t="shared" si="100"/>
        <v>0</v>
      </c>
      <c r="N457" s="5">
        <f t="shared" si="100"/>
        <v>0</v>
      </c>
      <c r="O457" s="5">
        <f t="shared" si="100"/>
        <v>806.42</v>
      </c>
      <c r="P457" s="5">
        <f t="shared" si="100"/>
        <v>3418104.51</v>
      </c>
      <c r="Q457" s="5">
        <f t="shared" si="100"/>
        <v>0</v>
      </c>
      <c r="R457" s="5">
        <f t="shared" si="100"/>
        <v>0</v>
      </c>
      <c r="S457" s="5">
        <f t="shared" si="100"/>
        <v>0</v>
      </c>
      <c r="T457" s="5">
        <f t="shared" si="100"/>
        <v>0</v>
      </c>
      <c r="U457" s="5">
        <f t="shared" si="100"/>
        <v>0</v>
      </c>
      <c r="V457" s="5">
        <f t="shared" si="100"/>
        <v>0</v>
      </c>
      <c r="W457" s="5">
        <f t="shared" si="100"/>
        <v>0</v>
      </c>
      <c r="X457" s="5">
        <f t="shared" si="100"/>
        <v>0</v>
      </c>
      <c r="Y457" s="5">
        <f t="shared" si="100"/>
        <v>0</v>
      </c>
      <c r="Z457" s="5">
        <f t="shared" si="100"/>
        <v>0</v>
      </c>
      <c r="AA457" s="5">
        <f t="shared" si="100"/>
        <v>0</v>
      </c>
      <c r="AB457" s="5">
        <f t="shared" si="100"/>
        <v>0</v>
      </c>
      <c r="AC457" s="5">
        <f t="shared" si="100"/>
        <v>0</v>
      </c>
      <c r="AD457" s="5">
        <f t="shared" si="100"/>
        <v>0</v>
      </c>
      <c r="AE457" s="5">
        <f t="shared" si="100"/>
        <v>34608.31</v>
      </c>
      <c r="AF457" s="5">
        <f t="shared" si="100"/>
        <v>63113.120000000003</v>
      </c>
      <c r="AG457" s="5">
        <f t="shared" si="100"/>
        <v>0</v>
      </c>
      <c r="AH457" s="23" t="s">
        <v>90</v>
      </c>
      <c r="AI457" s="23" t="s">
        <v>90</v>
      </c>
      <c r="AJ457" s="27" t="s">
        <v>90</v>
      </c>
      <c r="AV457" s="2" t="e">
        <f>VLOOKUP(C457,AY:AZ,2,FALSE)</f>
        <v>#N/A</v>
      </c>
      <c r="CB457" s="236">
        <v>5198352.66</v>
      </c>
      <c r="CF457" s="2" t="e">
        <f t="shared" si="98"/>
        <v>#N/A</v>
      </c>
    </row>
    <row r="458" spans="1:262" ht="61.5" x14ac:dyDescent="0.85">
      <c r="A458" s="2">
        <v>1</v>
      </c>
      <c r="B458" s="18">
        <f>SUBTOTAL(103,$A$22:A458)</f>
        <v>395</v>
      </c>
      <c r="C458" s="3" t="s">
        <v>1099</v>
      </c>
      <c r="D458" s="5">
        <v>3515825.94</v>
      </c>
      <c r="E458" s="5">
        <f t="shared" si="97"/>
        <v>0</v>
      </c>
      <c r="F458" s="5">
        <f>G458+H458+I458+J458+K458+L458+N458+P458+R458+T458+V458+W458+X458+Y458+Z458+AA458+AB458+AC458+AD458+AE458+AF458+AG458</f>
        <v>3515825.94</v>
      </c>
      <c r="G458" s="5">
        <v>0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241">
        <v>0</v>
      </c>
      <c r="N458" s="5">
        <v>0</v>
      </c>
      <c r="O458" s="7">
        <v>806.42</v>
      </c>
      <c r="P458" s="48">
        <v>3418104.51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7">
        <v>34608.31</v>
      </c>
      <c r="AF458" s="7">
        <v>63113.120000000003</v>
      </c>
      <c r="AG458" s="5">
        <v>0</v>
      </c>
      <c r="AH458" s="246">
        <v>2020</v>
      </c>
      <c r="AI458" s="246">
        <v>2020</v>
      </c>
      <c r="AJ458" s="6">
        <v>2020</v>
      </c>
      <c r="AV458" s="2" t="e">
        <f>VLOOKUP(C458,AY:AZ,2,FALSE)</f>
        <v>#N/A</v>
      </c>
      <c r="CB458" s="236"/>
      <c r="CF458" s="2">
        <f t="shared" si="98"/>
        <v>806.38</v>
      </c>
    </row>
    <row r="459" spans="1:262" ht="61.5" x14ac:dyDescent="0.85">
      <c r="B459" s="3" t="s">
        <v>114</v>
      </c>
      <c r="C459" s="3"/>
      <c r="D459" s="244">
        <v>1371104.41</v>
      </c>
      <c r="E459" s="233">
        <f t="shared" si="97"/>
        <v>0</v>
      </c>
      <c r="F459" s="244">
        <f t="shared" ref="F459:AG459" si="101">F460</f>
        <v>1371104.41</v>
      </c>
      <c r="G459" s="5">
        <f t="shared" si="101"/>
        <v>0</v>
      </c>
      <c r="H459" s="5">
        <f t="shared" si="101"/>
        <v>0</v>
      </c>
      <c r="I459" s="5">
        <f t="shared" si="101"/>
        <v>0</v>
      </c>
      <c r="J459" s="5">
        <f t="shared" si="101"/>
        <v>0</v>
      </c>
      <c r="K459" s="5">
        <f t="shared" si="101"/>
        <v>0</v>
      </c>
      <c r="L459" s="5">
        <f t="shared" si="101"/>
        <v>0</v>
      </c>
      <c r="M459" s="241">
        <f t="shared" si="101"/>
        <v>0</v>
      </c>
      <c r="N459" s="5">
        <f t="shared" si="101"/>
        <v>0</v>
      </c>
      <c r="O459" s="5">
        <f t="shared" si="101"/>
        <v>302</v>
      </c>
      <c r="P459" s="5">
        <f t="shared" si="101"/>
        <v>1318463.79</v>
      </c>
      <c r="Q459" s="5">
        <f t="shared" si="101"/>
        <v>0</v>
      </c>
      <c r="R459" s="5">
        <f t="shared" si="101"/>
        <v>0</v>
      </c>
      <c r="S459" s="5">
        <f t="shared" si="101"/>
        <v>0</v>
      </c>
      <c r="T459" s="5">
        <f t="shared" si="101"/>
        <v>0</v>
      </c>
      <c r="U459" s="5">
        <f t="shared" si="101"/>
        <v>0</v>
      </c>
      <c r="V459" s="5">
        <f t="shared" si="101"/>
        <v>0</v>
      </c>
      <c r="W459" s="5">
        <f t="shared" si="101"/>
        <v>0</v>
      </c>
      <c r="X459" s="5">
        <f t="shared" si="101"/>
        <v>0</v>
      </c>
      <c r="Y459" s="5">
        <f t="shared" si="101"/>
        <v>0</v>
      </c>
      <c r="Z459" s="5">
        <f t="shared" si="101"/>
        <v>0</v>
      </c>
      <c r="AA459" s="5">
        <f t="shared" si="101"/>
        <v>0</v>
      </c>
      <c r="AB459" s="5">
        <f t="shared" si="101"/>
        <v>0</v>
      </c>
      <c r="AC459" s="5">
        <f t="shared" si="101"/>
        <v>0</v>
      </c>
      <c r="AD459" s="5">
        <f t="shared" si="101"/>
        <v>0</v>
      </c>
      <c r="AE459" s="5">
        <f t="shared" si="101"/>
        <v>13349.45</v>
      </c>
      <c r="AF459" s="5">
        <f t="shared" si="101"/>
        <v>39291.17</v>
      </c>
      <c r="AG459" s="5">
        <f t="shared" si="101"/>
        <v>0</v>
      </c>
      <c r="AH459" s="23" t="s">
        <v>90</v>
      </c>
      <c r="AI459" s="23" t="s">
        <v>90</v>
      </c>
      <c r="AJ459" s="27" t="s">
        <v>90</v>
      </c>
      <c r="AV459" s="2" t="e">
        <f>VLOOKUP(C459,AY:AZ,2,FALSE)</f>
        <v>#N/A</v>
      </c>
      <c r="CB459" s="236">
        <v>1821119.2799999998</v>
      </c>
      <c r="CF459" s="2" t="e">
        <f t="shared" si="98"/>
        <v>#N/A</v>
      </c>
    </row>
    <row r="460" spans="1:262" ht="61.5" x14ac:dyDescent="0.85">
      <c r="A460" s="2">
        <v>1</v>
      </c>
      <c r="B460" s="18">
        <f>SUBTOTAL(103,$A$22:A460)</f>
        <v>396</v>
      </c>
      <c r="C460" s="3" t="s">
        <v>1101</v>
      </c>
      <c r="D460" s="5">
        <v>1371104.41</v>
      </c>
      <c r="E460" s="5">
        <f t="shared" si="97"/>
        <v>0</v>
      </c>
      <c r="F460" s="5">
        <f>G460+H460+I460+J460+K460+L460+N460+P460+R460+T460+V460+W460+X460+Y460+Z460+AA460+AB460+AC460+AD460+AE460+AF460+AG460</f>
        <v>1371104.41</v>
      </c>
      <c r="G460" s="5">
        <v>0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241">
        <v>0</v>
      </c>
      <c r="N460" s="5">
        <v>0</v>
      </c>
      <c r="O460" s="7">
        <v>302</v>
      </c>
      <c r="P460" s="7">
        <v>1318463.79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48">
        <v>13349.45</v>
      </c>
      <c r="AF460" s="7">
        <v>39291.17</v>
      </c>
      <c r="AG460" s="5">
        <v>0</v>
      </c>
      <c r="AH460" s="246">
        <v>2020</v>
      </c>
      <c r="AI460" s="246">
        <v>2020</v>
      </c>
      <c r="AJ460" s="6">
        <v>2020</v>
      </c>
      <c r="AV460" s="2" t="e">
        <f>VLOOKUP(C460,AY:AZ,2,FALSE)</f>
        <v>#N/A</v>
      </c>
      <c r="CB460" s="236"/>
      <c r="CF460" s="2">
        <f t="shared" si="98"/>
        <v>308.60000000000002</v>
      </c>
    </row>
    <row r="461" spans="1:262" ht="61.5" x14ac:dyDescent="0.85">
      <c r="B461" s="3" t="s">
        <v>237</v>
      </c>
      <c r="C461" s="3"/>
      <c r="D461" s="244">
        <v>4974970.34</v>
      </c>
      <c r="E461" s="233">
        <f t="shared" si="97"/>
        <v>4934808.43</v>
      </c>
      <c r="F461" s="244">
        <f>F462</f>
        <v>40161.910000000003</v>
      </c>
      <c r="G461" s="5">
        <f t="shared" ref="G461:AG461" si="102">G462</f>
        <v>0</v>
      </c>
      <c r="H461" s="5">
        <f t="shared" si="102"/>
        <v>0</v>
      </c>
      <c r="I461" s="5">
        <f t="shared" si="102"/>
        <v>0</v>
      </c>
      <c r="J461" s="5">
        <f t="shared" si="102"/>
        <v>0</v>
      </c>
      <c r="K461" s="5">
        <f t="shared" si="102"/>
        <v>0</v>
      </c>
      <c r="L461" s="5">
        <f t="shared" si="102"/>
        <v>0</v>
      </c>
      <c r="M461" s="241">
        <f t="shared" si="102"/>
        <v>0</v>
      </c>
      <c r="N461" s="5">
        <f t="shared" si="102"/>
        <v>0</v>
      </c>
      <c r="O461" s="5">
        <f t="shared" si="102"/>
        <v>0</v>
      </c>
      <c r="P461" s="5">
        <f t="shared" si="102"/>
        <v>0</v>
      </c>
      <c r="Q461" s="5">
        <f t="shared" si="102"/>
        <v>0</v>
      </c>
      <c r="R461" s="5">
        <f t="shared" si="102"/>
        <v>0</v>
      </c>
      <c r="S461" s="5">
        <f t="shared" si="102"/>
        <v>0</v>
      </c>
      <c r="T461" s="5">
        <f t="shared" si="102"/>
        <v>0</v>
      </c>
      <c r="U461" s="5">
        <f t="shared" si="102"/>
        <v>0</v>
      </c>
      <c r="V461" s="5">
        <f t="shared" si="102"/>
        <v>0</v>
      </c>
      <c r="W461" s="5">
        <f t="shared" si="102"/>
        <v>0</v>
      </c>
      <c r="X461" s="5">
        <f t="shared" si="102"/>
        <v>0</v>
      </c>
      <c r="Y461" s="5">
        <f t="shared" si="102"/>
        <v>0</v>
      </c>
      <c r="Z461" s="5">
        <f t="shared" si="102"/>
        <v>0</v>
      </c>
      <c r="AA461" s="5">
        <f t="shared" si="102"/>
        <v>0</v>
      </c>
      <c r="AB461" s="5">
        <f t="shared" si="102"/>
        <v>0</v>
      </c>
      <c r="AC461" s="5">
        <f t="shared" si="102"/>
        <v>0</v>
      </c>
      <c r="AD461" s="5">
        <f t="shared" si="102"/>
        <v>0</v>
      </c>
      <c r="AE461" s="5">
        <f t="shared" si="102"/>
        <v>0</v>
      </c>
      <c r="AF461" s="5">
        <f t="shared" si="102"/>
        <v>40161.910000000003</v>
      </c>
      <c r="AG461" s="5">
        <f t="shared" si="102"/>
        <v>0</v>
      </c>
      <c r="AH461" s="23" t="s">
        <v>90</v>
      </c>
      <c r="AI461" s="23" t="s">
        <v>90</v>
      </c>
      <c r="AJ461" s="27" t="s">
        <v>90</v>
      </c>
      <c r="CB461" s="236">
        <v>4609049.76</v>
      </c>
      <c r="CF461" s="2" t="e">
        <f t="shared" si="98"/>
        <v>#N/A</v>
      </c>
    </row>
    <row r="462" spans="1:262" ht="61.5" x14ac:dyDescent="0.85">
      <c r="A462" s="2">
        <v>1</v>
      </c>
      <c r="B462" s="18">
        <f>SUBTOTAL(103,$A$22:A462)</f>
        <v>397</v>
      </c>
      <c r="C462" s="3" t="s">
        <v>1370</v>
      </c>
      <c r="D462" s="5">
        <v>4974970.34</v>
      </c>
      <c r="E462" s="5">
        <f t="shared" si="97"/>
        <v>4934808.43</v>
      </c>
      <c r="F462" s="5">
        <f>G462+H462+I462+J462+K462+L462+N462+P462+R462+T462+V462+W462+X462+Y462+Z462+AA462+AB462+AC462+AD462+AE462+AF462+AG462</f>
        <v>40161.910000000003</v>
      </c>
      <c r="G462" s="5">
        <v>0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241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f>ROUND(P462*1.5%,2)</f>
        <v>0</v>
      </c>
      <c r="AF462" s="7">
        <v>40161.910000000003</v>
      </c>
      <c r="AG462" s="5">
        <v>0</v>
      </c>
      <c r="AH462" s="246">
        <v>2020</v>
      </c>
      <c r="AI462" s="246" t="s">
        <v>49</v>
      </c>
      <c r="AJ462" s="246" t="s">
        <v>49</v>
      </c>
      <c r="CB462" s="236"/>
      <c r="CF462" s="2">
        <f t="shared" si="98"/>
        <v>735</v>
      </c>
    </row>
    <row r="463" spans="1:262" ht="61.5" x14ac:dyDescent="0.85">
      <c r="B463" s="3" t="s">
        <v>1371</v>
      </c>
      <c r="C463" s="442"/>
      <c r="D463" s="244">
        <v>5368567.4000000004</v>
      </c>
      <c r="E463" s="233">
        <f t="shared" si="97"/>
        <v>5240689.8000000007</v>
      </c>
      <c r="F463" s="244">
        <f t="shared" ref="F463:AG463" si="103">F464</f>
        <v>127877.6</v>
      </c>
      <c r="G463" s="5">
        <f t="shared" si="103"/>
        <v>0</v>
      </c>
      <c r="H463" s="5">
        <f t="shared" si="103"/>
        <v>0</v>
      </c>
      <c r="I463" s="5">
        <f t="shared" si="103"/>
        <v>0</v>
      </c>
      <c r="J463" s="5">
        <f t="shared" si="103"/>
        <v>0</v>
      </c>
      <c r="K463" s="5">
        <f t="shared" si="103"/>
        <v>0</v>
      </c>
      <c r="L463" s="5">
        <f t="shared" si="103"/>
        <v>0</v>
      </c>
      <c r="M463" s="241">
        <f t="shared" si="103"/>
        <v>0</v>
      </c>
      <c r="N463" s="5">
        <f t="shared" si="103"/>
        <v>0</v>
      </c>
      <c r="O463" s="5">
        <f t="shared" si="103"/>
        <v>0</v>
      </c>
      <c r="P463" s="5">
        <f t="shared" si="103"/>
        <v>0</v>
      </c>
      <c r="Q463" s="5">
        <f t="shared" si="103"/>
        <v>0</v>
      </c>
      <c r="R463" s="5">
        <f t="shared" si="103"/>
        <v>0</v>
      </c>
      <c r="S463" s="5">
        <f t="shared" si="103"/>
        <v>0</v>
      </c>
      <c r="T463" s="5">
        <f t="shared" si="103"/>
        <v>0</v>
      </c>
      <c r="U463" s="5">
        <f t="shared" si="103"/>
        <v>0</v>
      </c>
      <c r="V463" s="5">
        <f t="shared" si="103"/>
        <v>0</v>
      </c>
      <c r="W463" s="5">
        <f t="shared" si="103"/>
        <v>0</v>
      </c>
      <c r="X463" s="5">
        <f t="shared" si="103"/>
        <v>0</v>
      </c>
      <c r="Y463" s="5">
        <f t="shared" si="103"/>
        <v>0</v>
      </c>
      <c r="Z463" s="5">
        <f t="shared" si="103"/>
        <v>0</v>
      </c>
      <c r="AA463" s="5">
        <f t="shared" si="103"/>
        <v>0</v>
      </c>
      <c r="AB463" s="5">
        <f t="shared" si="103"/>
        <v>0</v>
      </c>
      <c r="AC463" s="5">
        <f t="shared" si="103"/>
        <v>0</v>
      </c>
      <c r="AD463" s="5">
        <f t="shared" si="103"/>
        <v>0</v>
      </c>
      <c r="AE463" s="5">
        <f t="shared" si="103"/>
        <v>0</v>
      </c>
      <c r="AF463" s="5">
        <f t="shared" si="103"/>
        <v>127877.6</v>
      </c>
      <c r="AG463" s="5">
        <f t="shared" si="103"/>
        <v>0</v>
      </c>
      <c r="AH463" s="23" t="s">
        <v>90</v>
      </c>
      <c r="AI463" s="23" t="s">
        <v>90</v>
      </c>
      <c r="AJ463" s="27" t="s">
        <v>90</v>
      </c>
      <c r="AV463" s="2" t="e">
        <f t="shared" ref="AV463:AV469" si="104">VLOOKUP(C463,AY:AZ,2,FALSE)</f>
        <v>#N/A</v>
      </c>
      <c r="CB463" s="236">
        <v>5368567.4000000004</v>
      </c>
      <c r="CF463" s="2" t="e">
        <f t="shared" si="98"/>
        <v>#N/A</v>
      </c>
    </row>
    <row r="464" spans="1:262" ht="61.5" x14ac:dyDescent="0.85">
      <c r="A464" s="2">
        <v>1</v>
      </c>
      <c r="B464" s="18">
        <f>SUBTOTAL(103,$A$22:A464)</f>
        <v>398</v>
      </c>
      <c r="C464" s="3" t="s">
        <v>1372</v>
      </c>
      <c r="D464" s="5">
        <v>5368567.4000000004</v>
      </c>
      <c r="E464" s="5">
        <f t="shared" si="97"/>
        <v>5240689.8000000007</v>
      </c>
      <c r="F464" s="5">
        <f>G464+H464+I464+J464+K464+L464+N464+P464+R464+T464+V464+W464+X464+Y464+Z464+AA464+AB464+AC464+AD464+AE464+AF464+AG464</f>
        <v>127877.6</v>
      </c>
      <c r="G464" s="5">
        <v>0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241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f>ROUND(P464*1.5%,2)</f>
        <v>0</v>
      </c>
      <c r="AF464" s="48">
        <v>127877.6</v>
      </c>
      <c r="AG464" s="5">
        <v>0</v>
      </c>
      <c r="AH464" s="246">
        <v>2020</v>
      </c>
      <c r="AI464" s="246" t="s">
        <v>49</v>
      </c>
      <c r="AJ464" s="246" t="s">
        <v>49</v>
      </c>
      <c r="AV464" s="2" t="e">
        <f t="shared" si="104"/>
        <v>#N/A</v>
      </c>
      <c r="CB464" s="236"/>
      <c r="CF464" s="2" t="e">
        <f t="shared" si="98"/>
        <v>#N/A</v>
      </c>
    </row>
    <row r="465" spans="1:84" ht="61.5" x14ac:dyDescent="0.85">
      <c r="B465" s="3" t="s">
        <v>1373</v>
      </c>
      <c r="C465" s="3"/>
      <c r="D465" s="244">
        <v>2682382.0500000003</v>
      </c>
      <c r="E465" s="233">
        <f t="shared" si="97"/>
        <v>2594808.33</v>
      </c>
      <c r="F465" s="244">
        <f t="shared" ref="F465:AG465" si="105">F466</f>
        <v>87573.72</v>
      </c>
      <c r="G465" s="5">
        <f t="shared" si="105"/>
        <v>0</v>
      </c>
      <c r="H465" s="5">
        <f t="shared" si="105"/>
        <v>0</v>
      </c>
      <c r="I465" s="5">
        <f t="shared" si="105"/>
        <v>0</v>
      </c>
      <c r="J465" s="5">
        <f t="shared" si="105"/>
        <v>0</v>
      </c>
      <c r="K465" s="5">
        <f t="shared" si="105"/>
        <v>0</v>
      </c>
      <c r="L465" s="5">
        <f t="shared" si="105"/>
        <v>0</v>
      </c>
      <c r="M465" s="241">
        <f t="shared" si="105"/>
        <v>0</v>
      </c>
      <c r="N465" s="5">
        <f t="shared" si="105"/>
        <v>0</v>
      </c>
      <c r="O465" s="5">
        <f t="shared" si="105"/>
        <v>0</v>
      </c>
      <c r="P465" s="5">
        <f t="shared" si="105"/>
        <v>0</v>
      </c>
      <c r="Q465" s="5">
        <f t="shared" si="105"/>
        <v>0</v>
      </c>
      <c r="R465" s="5">
        <f t="shared" si="105"/>
        <v>0</v>
      </c>
      <c r="S465" s="5">
        <f t="shared" si="105"/>
        <v>0</v>
      </c>
      <c r="T465" s="5">
        <f t="shared" si="105"/>
        <v>0</v>
      </c>
      <c r="U465" s="5">
        <f t="shared" si="105"/>
        <v>0</v>
      </c>
      <c r="V465" s="5">
        <f t="shared" si="105"/>
        <v>0</v>
      </c>
      <c r="W465" s="5">
        <f t="shared" si="105"/>
        <v>0</v>
      </c>
      <c r="X465" s="5">
        <f t="shared" si="105"/>
        <v>0</v>
      </c>
      <c r="Y465" s="5">
        <f t="shared" si="105"/>
        <v>0</v>
      </c>
      <c r="Z465" s="5">
        <f t="shared" si="105"/>
        <v>0</v>
      </c>
      <c r="AA465" s="5">
        <f t="shared" si="105"/>
        <v>0</v>
      </c>
      <c r="AB465" s="5">
        <f t="shared" si="105"/>
        <v>0</v>
      </c>
      <c r="AC465" s="5">
        <f t="shared" si="105"/>
        <v>0</v>
      </c>
      <c r="AD465" s="5">
        <f t="shared" si="105"/>
        <v>0</v>
      </c>
      <c r="AE465" s="5">
        <f t="shared" si="105"/>
        <v>0</v>
      </c>
      <c r="AF465" s="5">
        <f t="shared" si="105"/>
        <v>87573.72</v>
      </c>
      <c r="AG465" s="5">
        <f t="shared" si="105"/>
        <v>0</v>
      </c>
      <c r="AH465" s="23" t="s">
        <v>90</v>
      </c>
      <c r="AI465" s="23" t="s">
        <v>90</v>
      </c>
      <c r="AJ465" s="27" t="s">
        <v>90</v>
      </c>
      <c r="AV465" s="2" t="e">
        <f t="shared" si="104"/>
        <v>#N/A</v>
      </c>
      <c r="CB465" s="236">
        <v>2682382.0500000003</v>
      </c>
      <c r="CF465" s="2" t="e">
        <f t="shared" si="98"/>
        <v>#N/A</v>
      </c>
    </row>
    <row r="466" spans="1:84" ht="61.5" x14ac:dyDescent="0.85">
      <c r="A466" s="2">
        <v>1</v>
      </c>
      <c r="B466" s="18">
        <f>SUBTOTAL(103,$A$22:A466)</f>
        <v>399</v>
      </c>
      <c r="C466" s="3" t="s">
        <v>1374</v>
      </c>
      <c r="D466" s="5">
        <v>2682382.0500000003</v>
      </c>
      <c r="E466" s="5">
        <f t="shared" si="97"/>
        <v>2594808.33</v>
      </c>
      <c r="F466" s="5">
        <f>G466+H466+I466+J466+K466+L466+N466+P466+R466+T466+V466+W466+X466+Y466+Z466+AA466+AB466+AC466+AD466+AE466+AF466+AG466</f>
        <v>87573.72</v>
      </c>
      <c r="G466" s="5">
        <v>0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241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f>ROUND(P466*1.5%,2)</f>
        <v>0</v>
      </c>
      <c r="AF466" s="48">
        <v>87573.72</v>
      </c>
      <c r="AG466" s="5">
        <v>0</v>
      </c>
      <c r="AH466" s="246">
        <v>2020</v>
      </c>
      <c r="AI466" s="246" t="s">
        <v>49</v>
      </c>
      <c r="AJ466" s="246" t="s">
        <v>49</v>
      </c>
      <c r="AV466" s="2" t="e">
        <f t="shared" si="104"/>
        <v>#N/A</v>
      </c>
      <c r="CB466" s="236"/>
      <c r="CF466" s="2" t="e">
        <f t="shared" si="98"/>
        <v>#N/A</v>
      </c>
    </row>
    <row r="467" spans="1:84" ht="61.5" x14ac:dyDescent="0.85">
      <c r="B467" s="3" t="s">
        <v>115</v>
      </c>
      <c r="C467" s="3"/>
      <c r="D467" s="244">
        <v>11742480.74</v>
      </c>
      <c r="E467" s="233">
        <f t="shared" si="97"/>
        <v>7254549.2000000002</v>
      </c>
      <c r="F467" s="244">
        <f t="shared" ref="F467:AG467" si="106">SUM(F468:F472)</f>
        <v>4487931.54</v>
      </c>
      <c r="G467" s="5">
        <f t="shared" si="106"/>
        <v>0</v>
      </c>
      <c r="H467" s="5">
        <f t="shared" si="106"/>
        <v>0</v>
      </c>
      <c r="I467" s="5">
        <f t="shared" si="106"/>
        <v>0</v>
      </c>
      <c r="J467" s="5">
        <f t="shared" si="106"/>
        <v>0</v>
      </c>
      <c r="K467" s="5">
        <f t="shared" si="106"/>
        <v>0</v>
      </c>
      <c r="L467" s="5">
        <f t="shared" si="106"/>
        <v>0</v>
      </c>
      <c r="M467" s="241">
        <f t="shared" si="106"/>
        <v>0</v>
      </c>
      <c r="N467" s="5">
        <f t="shared" si="106"/>
        <v>0</v>
      </c>
      <c r="O467" s="5">
        <f t="shared" si="106"/>
        <v>507.6</v>
      </c>
      <c r="P467" s="5">
        <f t="shared" si="106"/>
        <v>2527690.4000000004</v>
      </c>
      <c r="Q467" s="5">
        <f t="shared" si="106"/>
        <v>0</v>
      </c>
      <c r="R467" s="5">
        <f t="shared" si="106"/>
        <v>0</v>
      </c>
      <c r="S467" s="5">
        <f t="shared" si="106"/>
        <v>478</v>
      </c>
      <c r="T467" s="5">
        <f t="shared" si="106"/>
        <v>1520049.06</v>
      </c>
      <c r="U467" s="5">
        <f t="shared" si="106"/>
        <v>0</v>
      </c>
      <c r="V467" s="5">
        <f t="shared" si="106"/>
        <v>0</v>
      </c>
      <c r="W467" s="5">
        <f t="shared" si="106"/>
        <v>0</v>
      </c>
      <c r="X467" s="5">
        <f t="shared" si="106"/>
        <v>0</v>
      </c>
      <c r="Y467" s="5">
        <f t="shared" si="106"/>
        <v>0</v>
      </c>
      <c r="Z467" s="5">
        <f t="shared" si="106"/>
        <v>0</v>
      </c>
      <c r="AA467" s="5">
        <f t="shared" si="106"/>
        <v>0</v>
      </c>
      <c r="AB467" s="5">
        <f t="shared" si="106"/>
        <v>0</v>
      </c>
      <c r="AC467" s="5">
        <f t="shared" si="106"/>
        <v>0</v>
      </c>
      <c r="AD467" s="5">
        <f t="shared" si="106"/>
        <v>0</v>
      </c>
      <c r="AE467" s="5">
        <f t="shared" si="106"/>
        <v>42467.72</v>
      </c>
      <c r="AF467" s="5">
        <f t="shared" si="106"/>
        <v>277724.36</v>
      </c>
      <c r="AG467" s="5">
        <f t="shared" si="106"/>
        <v>120000</v>
      </c>
      <c r="AH467" s="23" t="s">
        <v>90</v>
      </c>
      <c r="AI467" s="23" t="s">
        <v>90</v>
      </c>
      <c r="AJ467" s="27" t="s">
        <v>90</v>
      </c>
      <c r="AV467" s="2" t="e">
        <f t="shared" si="104"/>
        <v>#N/A</v>
      </c>
      <c r="CB467" s="5">
        <v>11742480.740000002</v>
      </c>
      <c r="CC467" s="5"/>
      <c r="CD467" s="5">
        <f>CB467-F467</f>
        <v>7254549.200000002</v>
      </c>
      <c r="CF467" s="2" t="e">
        <f t="shared" si="98"/>
        <v>#N/A</v>
      </c>
    </row>
    <row r="468" spans="1:84" ht="61.5" x14ac:dyDescent="0.85">
      <c r="A468" s="2">
        <v>1</v>
      </c>
      <c r="B468" s="18">
        <f>SUBTOTAL(103,$A$22:A468)</f>
        <v>400</v>
      </c>
      <c r="C468" s="3" t="s">
        <v>1375</v>
      </c>
      <c r="D468" s="5">
        <v>4201814.5599999996</v>
      </c>
      <c r="E468" s="5">
        <f t="shared" si="97"/>
        <v>4060548.6599999997</v>
      </c>
      <c r="F468" s="5">
        <f>G468+H468+I468+J468+K468+L468+N468+P468+R468+T468+V468+W468+X468+Y468+Z468+AA468+AB468+AC468+AD468+AE468+AF468+AG468</f>
        <v>141265.9</v>
      </c>
      <c r="G468" s="5">
        <v>0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241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f>ROUND(W468*1.5%,2)</f>
        <v>0</v>
      </c>
      <c r="AF468" s="48">
        <v>141265.9</v>
      </c>
      <c r="AG468" s="5">
        <v>0</v>
      </c>
      <c r="AH468" s="246">
        <v>2020</v>
      </c>
      <c r="AI468" s="246" t="s">
        <v>49</v>
      </c>
      <c r="AJ468" s="246" t="s">
        <v>49</v>
      </c>
      <c r="AV468" s="2" t="e">
        <f t="shared" si="104"/>
        <v>#N/A</v>
      </c>
      <c r="CB468" s="236"/>
      <c r="CF468" s="2" t="e">
        <f t="shared" si="98"/>
        <v>#N/A</v>
      </c>
    </row>
    <row r="469" spans="1:84" ht="61.5" x14ac:dyDescent="0.85">
      <c r="A469" s="2">
        <v>1</v>
      </c>
      <c r="B469" s="18">
        <f>SUBTOTAL(103,$A$22:A469)</f>
        <v>401</v>
      </c>
      <c r="C469" s="3" t="s">
        <v>1171</v>
      </c>
      <c r="D469" s="5">
        <v>1216558.3500000001</v>
      </c>
      <c r="E469" s="5">
        <f t="shared" si="97"/>
        <v>0</v>
      </c>
      <c r="F469" s="5">
        <f>G469+H469+I469+J469+K469+L469+N469+P469+R469+T469+V469+W469+X469+Y469+Z469+AA469+AB469+AC469+AD469+AE469+AF469+AG469</f>
        <v>1216558.3500000001</v>
      </c>
      <c r="G469" s="5">
        <v>0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241">
        <v>0</v>
      </c>
      <c r="N469" s="5">
        <v>0</v>
      </c>
      <c r="O469" s="7">
        <v>317.8</v>
      </c>
      <c r="P469" s="7">
        <v>1216558.3500000001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246" t="s">
        <v>49</v>
      </c>
      <c r="AI469" s="246">
        <v>2020</v>
      </c>
      <c r="AJ469" s="6" t="s">
        <v>49</v>
      </c>
      <c r="AV469" s="2" t="e">
        <f t="shared" si="104"/>
        <v>#N/A</v>
      </c>
      <c r="CB469" s="236"/>
      <c r="CF469" s="2">
        <f t="shared" si="98"/>
        <v>317.8</v>
      </c>
    </row>
    <row r="470" spans="1:84" ht="61.5" x14ac:dyDescent="0.85">
      <c r="A470" s="2">
        <v>1</v>
      </c>
      <c r="B470" s="18">
        <f>SUBTOTAL(103,$A$22:A470)</f>
        <v>402</v>
      </c>
      <c r="C470" s="3" t="s">
        <v>1376</v>
      </c>
      <c r="D470" s="5">
        <v>1860965.27</v>
      </c>
      <c r="E470" s="5">
        <f t="shared" si="97"/>
        <v>268368.31000000006</v>
      </c>
      <c r="F470" s="5">
        <f>G470+H470+I470+J470+K470+L470+N470+P470+R470+T470+V470+W470+X470+Y470+Z470+AA470+AB470+AC470+AD470+AE470+AF470+AG470</f>
        <v>1592596.96</v>
      </c>
      <c r="G470" s="5">
        <v>0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241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7">
        <v>478</v>
      </c>
      <c r="T470" s="7">
        <v>1520049.06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f>ROUND(T470*1.5%,2)</f>
        <v>22800.74</v>
      </c>
      <c r="AF470" s="7">
        <v>49747.16</v>
      </c>
      <c r="AG470" s="5">
        <v>0</v>
      </c>
      <c r="AH470" s="246">
        <v>2020</v>
      </c>
      <c r="AI470" s="246">
        <v>2020</v>
      </c>
      <c r="AJ470" s="6">
        <v>2020</v>
      </c>
      <c r="CB470" s="236"/>
      <c r="CF470" s="2" t="e">
        <f t="shared" si="98"/>
        <v>#N/A</v>
      </c>
    </row>
    <row r="471" spans="1:84" ht="61.5" x14ac:dyDescent="0.85">
      <c r="A471" s="2">
        <v>1</v>
      </c>
      <c r="B471" s="18">
        <f>SUBTOTAL(103,$A$22:A471)</f>
        <v>403</v>
      </c>
      <c r="C471" s="3" t="s">
        <v>1102</v>
      </c>
      <c r="D471" s="5">
        <v>1517864.1500000001</v>
      </c>
      <c r="E471" s="5">
        <f t="shared" si="97"/>
        <v>67065.120000000112</v>
      </c>
      <c r="F471" s="5">
        <f>G471+H471+I471+J471+K471+L471+N471+P471+R471+T471+V471+W471+X471+Y471+Z471+AA471+AB471+AC471+AD471+AE471+AF471+AG471</f>
        <v>1450799.03</v>
      </c>
      <c r="G471" s="5">
        <v>0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241">
        <v>0</v>
      </c>
      <c r="N471" s="5">
        <v>0</v>
      </c>
      <c r="O471" s="5">
        <v>189.8</v>
      </c>
      <c r="P471" s="5">
        <f>1377206.06-66074.01</f>
        <v>1311132.05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f>ROUND(P471*1.5%,2)</f>
        <v>19666.98</v>
      </c>
      <c r="AF471" s="5">
        <v>0</v>
      </c>
      <c r="AG471" s="5">
        <v>120000</v>
      </c>
      <c r="AH471" s="246" t="s">
        <v>49</v>
      </c>
      <c r="AI471" s="246">
        <v>2020</v>
      </c>
      <c r="AJ471" s="6">
        <v>2020</v>
      </c>
      <c r="CB471" s="236"/>
      <c r="CF471" s="2">
        <f t="shared" si="98"/>
        <v>189.8</v>
      </c>
    </row>
    <row r="472" spans="1:84" ht="61.5" x14ac:dyDescent="0.85">
      <c r="A472" s="2">
        <v>1</v>
      </c>
      <c r="B472" s="18">
        <f>SUBTOTAL(103,$A$22:A472)</f>
        <v>404</v>
      </c>
      <c r="C472" s="3" t="s">
        <v>1377</v>
      </c>
      <c r="D472" s="5">
        <v>2945278.41</v>
      </c>
      <c r="E472" s="5">
        <f t="shared" si="97"/>
        <v>2858567.1100000003</v>
      </c>
      <c r="F472" s="5">
        <f>G472+H472+I472+J472+K472+L472+N472+P472+R472+T472+V472+W472+X472+Y472+Z472+AA472+AB472+AC472+AD472+AE472+AF472+AG472</f>
        <v>86711.3</v>
      </c>
      <c r="G472" s="5">
        <v>0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241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f>ROUND(P472*1.5%,2)</f>
        <v>0</v>
      </c>
      <c r="AF472" s="48">
        <v>86711.3</v>
      </c>
      <c r="AG472" s="5">
        <v>0</v>
      </c>
      <c r="AH472" s="246">
        <v>2020</v>
      </c>
      <c r="AI472" s="246" t="s">
        <v>49</v>
      </c>
      <c r="AJ472" s="246" t="s">
        <v>49</v>
      </c>
      <c r="CB472" s="236"/>
      <c r="CF472" s="2" t="e">
        <f t="shared" si="98"/>
        <v>#N/A</v>
      </c>
    </row>
    <row r="473" spans="1:84" ht="61.5" x14ac:dyDescent="0.85">
      <c r="B473" s="3" t="s">
        <v>116</v>
      </c>
      <c r="C473" s="3"/>
      <c r="D473" s="244">
        <v>40245217.780000001</v>
      </c>
      <c r="E473" s="233">
        <f t="shared" si="97"/>
        <v>15174557.470000003</v>
      </c>
      <c r="F473" s="244">
        <f>F474+F475+F476+F477+F478+F479+F480+F481+F482+F483+F484</f>
        <v>25070660.309999999</v>
      </c>
      <c r="G473" s="5">
        <f t="shared" ref="G473:AG473" si="107">G474+G475+G476+G477+G478+G479+G480+G481+G482+G483+G484</f>
        <v>217243.21000000002</v>
      </c>
      <c r="H473" s="5">
        <f t="shared" si="107"/>
        <v>0</v>
      </c>
      <c r="I473" s="5">
        <f t="shared" si="107"/>
        <v>3037610.26</v>
      </c>
      <c r="J473" s="5">
        <f t="shared" si="107"/>
        <v>280774.89</v>
      </c>
      <c r="K473" s="5">
        <f t="shared" si="107"/>
        <v>730380.2</v>
      </c>
      <c r="L473" s="5">
        <f t="shared" si="107"/>
        <v>0</v>
      </c>
      <c r="M473" s="241">
        <f t="shared" si="107"/>
        <v>0</v>
      </c>
      <c r="N473" s="5">
        <f t="shared" si="107"/>
        <v>0</v>
      </c>
      <c r="O473" s="5">
        <f t="shared" si="107"/>
        <v>6213.04</v>
      </c>
      <c r="P473" s="5">
        <f t="shared" si="107"/>
        <v>20114074.100000001</v>
      </c>
      <c r="Q473" s="5">
        <f t="shared" si="107"/>
        <v>0</v>
      </c>
      <c r="R473" s="5">
        <f t="shared" si="107"/>
        <v>0</v>
      </c>
      <c r="S473" s="5">
        <f t="shared" si="107"/>
        <v>0</v>
      </c>
      <c r="T473" s="5">
        <f t="shared" si="107"/>
        <v>0</v>
      </c>
      <c r="U473" s="5">
        <f t="shared" si="107"/>
        <v>0</v>
      </c>
      <c r="V473" s="5">
        <f t="shared" si="107"/>
        <v>0</v>
      </c>
      <c r="W473" s="5">
        <f t="shared" si="107"/>
        <v>0</v>
      </c>
      <c r="X473" s="5">
        <f t="shared" si="107"/>
        <v>0</v>
      </c>
      <c r="Y473" s="5">
        <f t="shared" si="107"/>
        <v>0</v>
      </c>
      <c r="Z473" s="5">
        <f t="shared" si="107"/>
        <v>0</v>
      </c>
      <c r="AA473" s="5">
        <f t="shared" si="107"/>
        <v>0</v>
      </c>
      <c r="AB473" s="5">
        <f t="shared" si="107"/>
        <v>0</v>
      </c>
      <c r="AC473" s="5">
        <f t="shared" si="107"/>
        <v>0</v>
      </c>
      <c r="AD473" s="5">
        <f t="shared" si="107"/>
        <v>0</v>
      </c>
      <c r="AE473" s="5">
        <f t="shared" si="107"/>
        <v>357106.66000000003</v>
      </c>
      <c r="AF473" s="5">
        <f t="shared" si="107"/>
        <v>333470.99</v>
      </c>
      <c r="AG473" s="5">
        <f t="shared" si="107"/>
        <v>0</v>
      </c>
      <c r="AH473" s="23" t="s">
        <v>90</v>
      </c>
      <c r="AI473" s="23" t="s">
        <v>90</v>
      </c>
      <c r="AJ473" s="27" t="s">
        <v>90</v>
      </c>
      <c r="AV473" s="2" t="e">
        <f>VLOOKUP(C473,AY:AZ,2,FALSE)</f>
        <v>#N/A</v>
      </c>
      <c r="CB473" s="5">
        <v>43274846.739999995</v>
      </c>
      <c r="CC473" s="5"/>
      <c r="CD473" s="5">
        <f>CB473-F473</f>
        <v>18204186.429999996</v>
      </c>
      <c r="CF473" s="2" t="e">
        <f t="shared" si="98"/>
        <v>#N/A</v>
      </c>
    </row>
    <row r="474" spans="1:84" ht="61.5" x14ac:dyDescent="0.85">
      <c r="A474" s="2">
        <v>1</v>
      </c>
      <c r="B474" s="18">
        <f>SUBTOTAL(103,$A$22:A474)</f>
        <v>405</v>
      </c>
      <c r="C474" s="3" t="s">
        <v>1103</v>
      </c>
      <c r="D474" s="5">
        <v>4633571.43</v>
      </c>
      <c r="E474" s="5">
        <f t="shared" si="97"/>
        <v>4450.9699999997392</v>
      </c>
      <c r="F474" s="5">
        <f t="shared" ref="F474:F480" si="108">G474+H474+I474+J474+K474+L474+N474+P474+R474+T474+V474+W474+X474+Y474+Z474+AA474+AB474+AC474+AD474+AE474+AF474+AG474</f>
        <v>4629120.46</v>
      </c>
      <c r="G474" s="5">
        <v>0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241">
        <v>0</v>
      </c>
      <c r="N474" s="5">
        <v>0</v>
      </c>
      <c r="O474" s="7">
        <v>1538.84</v>
      </c>
      <c r="P474" s="7">
        <v>4565095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7">
        <v>64025.46</v>
      </c>
      <c r="AF474" s="5">
        <v>0</v>
      </c>
      <c r="AG474" s="5">
        <v>0</v>
      </c>
      <c r="AH474" s="246" t="s">
        <v>49</v>
      </c>
      <c r="AI474" s="246">
        <v>2020</v>
      </c>
      <c r="AJ474" s="6">
        <v>2020</v>
      </c>
      <c r="AV474" s="2" t="e">
        <f>VLOOKUP(C474,AY:AZ,2,FALSE)</f>
        <v>#N/A</v>
      </c>
      <c r="CB474" s="236"/>
      <c r="CF474" s="2">
        <f t="shared" si="98"/>
        <v>1525.2</v>
      </c>
    </row>
    <row r="475" spans="1:84" ht="61.5" x14ac:dyDescent="0.85">
      <c r="A475" s="2">
        <v>1</v>
      </c>
      <c r="B475" s="18">
        <f>SUBTOTAL(103,$A$22:A475)</f>
        <v>406</v>
      </c>
      <c r="C475" s="3" t="s">
        <v>1378</v>
      </c>
      <c r="D475" s="5">
        <v>5343157.95</v>
      </c>
      <c r="E475" s="5">
        <f t="shared" si="97"/>
        <v>1730916.83</v>
      </c>
      <c r="F475" s="5">
        <f t="shared" si="108"/>
        <v>3612241.12</v>
      </c>
      <c r="G475" s="5">
        <v>0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241">
        <v>0</v>
      </c>
      <c r="N475" s="5">
        <v>0</v>
      </c>
      <c r="O475" s="7">
        <v>1004.6</v>
      </c>
      <c r="P475" s="7">
        <v>3440631.65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f>ROUND(P475*1.5%,2)</f>
        <v>51609.47</v>
      </c>
      <c r="AF475" s="5">
        <v>120000</v>
      </c>
      <c r="AG475" s="5">
        <v>0</v>
      </c>
      <c r="AH475" s="246">
        <v>2020</v>
      </c>
      <c r="AI475" s="246">
        <v>2020</v>
      </c>
      <c r="AJ475" s="6">
        <v>2020</v>
      </c>
      <c r="AV475" s="2" t="e">
        <f>VLOOKUP(C475,AY:AZ,2,FALSE)</f>
        <v>#N/A</v>
      </c>
      <c r="CB475" s="236"/>
      <c r="CF475" s="2" t="e">
        <f t="shared" si="98"/>
        <v>#N/A</v>
      </c>
    </row>
    <row r="476" spans="1:84" ht="61.5" x14ac:dyDescent="0.85">
      <c r="A476" s="2">
        <v>1</v>
      </c>
      <c r="B476" s="18">
        <f>SUBTOTAL(103,$A$22:A476)</f>
        <v>407</v>
      </c>
      <c r="C476" s="3" t="s">
        <v>1104</v>
      </c>
      <c r="D476" s="5">
        <v>4313623.05</v>
      </c>
      <c r="E476" s="5">
        <f t="shared" si="97"/>
        <v>4143.6200000001118</v>
      </c>
      <c r="F476" s="5">
        <f t="shared" si="108"/>
        <v>4309479.43</v>
      </c>
      <c r="G476" s="5">
        <v>0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241">
        <v>0</v>
      </c>
      <c r="N476" s="5">
        <v>0</v>
      </c>
      <c r="O476" s="7">
        <v>1373.6</v>
      </c>
      <c r="P476" s="7">
        <v>4249874.93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7">
        <v>59604.5</v>
      </c>
      <c r="AF476" s="5">
        <v>0</v>
      </c>
      <c r="AG476" s="5">
        <v>0</v>
      </c>
      <c r="AH476" s="246" t="s">
        <v>49</v>
      </c>
      <c r="AI476" s="246">
        <v>2020</v>
      </c>
      <c r="AJ476" s="6">
        <v>2020</v>
      </c>
      <c r="AV476" s="2" t="e">
        <f>VLOOKUP(C476,AY:AZ,2,FALSE)</f>
        <v>#N/A</v>
      </c>
      <c r="CB476" s="236"/>
      <c r="CF476" s="2">
        <f t="shared" si="98"/>
        <v>1373.6</v>
      </c>
    </row>
    <row r="477" spans="1:84" ht="61.5" x14ac:dyDescent="0.85">
      <c r="A477" s="2">
        <v>1</v>
      </c>
      <c r="B477" s="18">
        <f>SUBTOTAL(103,$A$22:A477)</f>
        <v>408</v>
      </c>
      <c r="C477" s="3" t="s">
        <v>1379</v>
      </c>
      <c r="D477" s="5">
        <v>1989946.9500000002</v>
      </c>
      <c r="E477" s="5">
        <f t="shared" si="97"/>
        <v>821884.34000000032</v>
      </c>
      <c r="F477" s="5">
        <f t="shared" si="108"/>
        <v>1168062.6099999999</v>
      </c>
      <c r="G477" s="7">
        <v>106894.33</v>
      </c>
      <c r="H477" s="5">
        <v>0</v>
      </c>
      <c r="I477" s="7">
        <v>578602.22</v>
      </c>
      <c r="J477" s="7">
        <v>130137.83</v>
      </c>
      <c r="K477" s="7">
        <v>335166.21999999997</v>
      </c>
      <c r="L477" s="5">
        <v>0</v>
      </c>
      <c r="M477" s="241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f>ROUND((G477+H477+I477+J477+K477+L477)*1.5%,2)</f>
        <v>17262.009999999998</v>
      </c>
      <c r="AF477" s="5">
        <v>0</v>
      </c>
      <c r="AG477" s="5">
        <v>0</v>
      </c>
      <c r="AH477" s="246" t="s">
        <v>49</v>
      </c>
      <c r="AI477" s="246">
        <v>2020</v>
      </c>
      <c r="AJ477" s="6">
        <v>2020</v>
      </c>
      <c r="CB477" s="236"/>
      <c r="CF477" s="2" t="e">
        <f t="shared" si="98"/>
        <v>#N/A</v>
      </c>
    </row>
    <row r="478" spans="1:84" ht="61.5" x14ac:dyDescent="0.85">
      <c r="A478" s="2">
        <v>1</v>
      </c>
      <c r="B478" s="18">
        <f>SUBTOTAL(103,$A$22:A478)</f>
        <v>409</v>
      </c>
      <c r="C478" s="3" t="s">
        <v>1380</v>
      </c>
      <c r="D478" s="5">
        <v>1509653.6199999999</v>
      </c>
      <c r="E478" s="5">
        <f t="shared" si="97"/>
        <v>298185.48</v>
      </c>
      <c r="F478" s="5">
        <f t="shared" si="108"/>
        <v>1211468.1399999999</v>
      </c>
      <c r="G478" s="7">
        <v>110348.88</v>
      </c>
      <c r="H478" s="5">
        <v>0</v>
      </c>
      <c r="I478" s="7">
        <v>537364.75</v>
      </c>
      <c r="J478" s="7">
        <v>150637.06</v>
      </c>
      <c r="K478" s="7">
        <v>395213.98</v>
      </c>
      <c r="L478" s="5">
        <v>0</v>
      </c>
      <c r="M478" s="241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f>ROUND((G478+H478+I478+J478+K478+L478)*1.5%,2)</f>
        <v>17903.47</v>
      </c>
      <c r="AF478" s="5">
        <v>0</v>
      </c>
      <c r="AG478" s="5">
        <v>0</v>
      </c>
      <c r="AH478" s="246" t="s">
        <v>49</v>
      </c>
      <c r="AI478" s="246">
        <v>2020</v>
      </c>
      <c r="AJ478" s="6">
        <v>2020</v>
      </c>
      <c r="CB478" s="236"/>
      <c r="CF478" s="2" t="e">
        <f t="shared" si="98"/>
        <v>#N/A</v>
      </c>
    </row>
    <row r="479" spans="1:84" ht="61.5" x14ac:dyDescent="0.85">
      <c r="A479" s="2">
        <v>1</v>
      </c>
      <c r="B479" s="18">
        <f>SUBTOTAL(103,$A$22:A479)</f>
        <v>410</v>
      </c>
      <c r="C479" s="3" t="s">
        <v>1381</v>
      </c>
      <c r="D479" s="5">
        <v>1409084.5899999999</v>
      </c>
      <c r="E479" s="5">
        <f t="shared" si="97"/>
        <v>-541383.35000000009</v>
      </c>
      <c r="F479" s="5">
        <f t="shared" si="108"/>
        <v>1950467.94</v>
      </c>
      <c r="G479" s="5">
        <v>0</v>
      </c>
      <c r="H479" s="5">
        <v>0</v>
      </c>
      <c r="I479" s="5">
        <f>1388260.68+533382.61</f>
        <v>1921643.29</v>
      </c>
      <c r="J479" s="5">
        <v>0</v>
      </c>
      <c r="K479" s="5">
        <v>0</v>
      </c>
      <c r="L479" s="5">
        <v>0</v>
      </c>
      <c r="M479" s="241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f>ROUND((G479+H479+I479+J479+K479+L479)*1.5%,2)</f>
        <v>28824.65</v>
      </c>
      <c r="AF479" s="5">
        <v>0</v>
      </c>
      <c r="AG479" s="5">
        <v>0</v>
      </c>
      <c r="AH479" s="246" t="s">
        <v>49</v>
      </c>
      <c r="AI479" s="246">
        <v>2020</v>
      </c>
      <c r="AJ479" s="6">
        <v>2020</v>
      </c>
      <c r="CB479" s="236"/>
      <c r="CF479" s="2" t="e">
        <f t="shared" si="98"/>
        <v>#N/A</v>
      </c>
    </row>
    <row r="480" spans="1:84" ht="61.5" x14ac:dyDescent="0.85">
      <c r="A480" s="2">
        <v>1</v>
      </c>
      <c r="B480" s="18">
        <f>SUBTOTAL(103,$A$22:A480)</f>
        <v>411</v>
      </c>
      <c r="C480" s="3" t="s">
        <v>1133</v>
      </c>
      <c r="D480" s="5">
        <v>3832203.62</v>
      </c>
      <c r="E480" s="5">
        <f t="shared" si="97"/>
        <v>3777135.1</v>
      </c>
      <c r="F480" s="5">
        <f t="shared" si="108"/>
        <v>55068.52</v>
      </c>
      <c r="G480" s="5">
        <v>0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241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f>ROUND(P480*1.5%,2)</f>
        <v>0</v>
      </c>
      <c r="AF480" s="7">
        <v>55068.52</v>
      </c>
      <c r="AG480" s="5">
        <v>0</v>
      </c>
      <c r="AH480" s="246">
        <v>2020</v>
      </c>
      <c r="AI480" s="246" t="s">
        <v>49</v>
      </c>
      <c r="AJ480" s="246" t="s">
        <v>49</v>
      </c>
      <c r="CB480" s="236"/>
      <c r="CF480" s="2">
        <f t="shared" si="98"/>
        <v>500</v>
      </c>
    </row>
    <row r="481" spans="1:84" ht="61.5" x14ac:dyDescent="0.85">
      <c r="A481" s="2">
        <v>1</v>
      </c>
      <c r="B481" s="18">
        <f>SUBTOTAL(103,$A$22:A481)</f>
        <v>412</v>
      </c>
      <c r="C481" s="3" t="s">
        <v>1177</v>
      </c>
      <c r="D481" s="5">
        <v>4994309.25</v>
      </c>
      <c r="E481" s="5">
        <f t="shared" si="97"/>
        <v>4895345</v>
      </c>
      <c r="F481" s="5">
        <f>G481+H481+I481+J481+K481+L481+N481+P481+R481+T481+V481+W481+X481+Y481+Z481+AA481+AB481+AC481+AD481+AE481+AF481+AG481</f>
        <v>98964.25</v>
      </c>
      <c r="G481" s="5">
        <v>0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241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f>ROUND(P481*1.5%,2)</f>
        <v>0</v>
      </c>
      <c r="AF481" s="7">
        <v>98964.25</v>
      </c>
      <c r="AG481" s="5">
        <v>0</v>
      </c>
      <c r="AH481" s="246">
        <v>2020</v>
      </c>
      <c r="AI481" s="246" t="s">
        <v>49</v>
      </c>
      <c r="AJ481" s="246" t="s">
        <v>49</v>
      </c>
      <c r="CB481" s="236"/>
      <c r="CF481" s="2">
        <f t="shared" si="98"/>
        <v>958</v>
      </c>
    </row>
    <row r="482" spans="1:84" ht="61.5" x14ac:dyDescent="0.85">
      <c r="A482" s="2">
        <v>1</v>
      </c>
      <c r="B482" s="18">
        <f>SUBTOTAL(103,$A$22:A482)</f>
        <v>413</v>
      </c>
      <c r="C482" s="3" t="s">
        <v>1382</v>
      </c>
      <c r="D482" s="5">
        <v>3215741.2600000002</v>
      </c>
      <c r="E482" s="5">
        <f t="shared" si="97"/>
        <v>865877.87000000011</v>
      </c>
      <c r="F482" s="5">
        <f>G482+H482+I482+J482+K482+L482+N482+P482+R482+T482+V482+W482+X482+Y482+Z482+AA482+AB482+AC482+AD482+AE482+AF482+AG482</f>
        <v>2349863.39</v>
      </c>
      <c r="G482" s="5">
        <v>0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241">
        <v>0</v>
      </c>
      <c r="N482" s="5">
        <v>0</v>
      </c>
      <c r="O482" s="7">
        <v>513.5</v>
      </c>
      <c r="P482" s="7">
        <v>2256576.52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f>ROUND(P482*1.5%,2)</f>
        <v>33848.65</v>
      </c>
      <c r="AF482" s="7">
        <v>59438.22</v>
      </c>
      <c r="AG482" s="5">
        <v>0</v>
      </c>
      <c r="AH482" s="246">
        <v>2020</v>
      </c>
      <c r="AI482" s="246">
        <v>2020</v>
      </c>
      <c r="AJ482" s="6">
        <v>2020</v>
      </c>
      <c r="CB482" s="236"/>
      <c r="CF482" s="2" t="e">
        <f t="shared" si="98"/>
        <v>#N/A</v>
      </c>
    </row>
    <row r="483" spans="1:84" ht="61.5" x14ac:dyDescent="0.85">
      <c r="A483" s="2">
        <v>1</v>
      </c>
      <c r="B483" s="18">
        <f>SUBTOTAL(103,$A$22:A483)</f>
        <v>414</v>
      </c>
      <c r="C483" s="3" t="s">
        <v>1383</v>
      </c>
      <c r="D483" s="5">
        <v>4659445.5299999993</v>
      </c>
      <c r="E483" s="5">
        <f t="shared" si="97"/>
        <v>2144231.8799999994</v>
      </c>
      <c r="F483" s="5">
        <f>G483+H483+I483+J483+K483+L483+N483+P483+R483+T483+V483+W483+X483+Y483+Z483+AA483+AB483+AC483+AD483+AE483+AF483+AG483</f>
        <v>2515213.65</v>
      </c>
      <c r="G483" s="5">
        <v>0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241">
        <v>0</v>
      </c>
      <c r="N483" s="5">
        <v>0</v>
      </c>
      <c r="O483" s="7">
        <v>791.12</v>
      </c>
      <c r="P483" s="48">
        <v>2478043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f>ROUND(P483*1.5%,2)</f>
        <v>37170.65</v>
      </c>
      <c r="AF483" s="5">
        <v>0</v>
      </c>
      <c r="AG483" s="5">
        <v>0</v>
      </c>
      <c r="AH483" s="246" t="s">
        <v>49</v>
      </c>
      <c r="AI483" s="246">
        <v>2020</v>
      </c>
      <c r="AJ483" s="6">
        <v>2020</v>
      </c>
      <c r="AV483" s="2" t="e">
        <f>VLOOKUP(C483,AY:AZ,2,FALSE)</f>
        <v>#N/A</v>
      </c>
      <c r="CB483" s="236"/>
      <c r="CF483" s="2">
        <f t="shared" si="98"/>
        <v>833.9</v>
      </c>
    </row>
    <row r="484" spans="1:84" ht="61.5" x14ac:dyDescent="0.85">
      <c r="A484" s="2">
        <v>1</v>
      </c>
      <c r="B484" s="18">
        <f>SUBTOTAL(103,$A$22:A484)</f>
        <v>415</v>
      </c>
      <c r="C484" s="3" t="s">
        <v>954</v>
      </c>
      <c r="D484" s="5">
        <v>4344480.5299999993</v>
      </c>
      <c r="E484" s="5">
        <f t="shared" si="97"/>
        <v>1173769.7299999995</v>
      </c>
      <c r="F484" s="5">
        <f>G484+H484+I484+J484+K484+L484+N484+P484+R484+T484+V484+W484+X484+Y484+Z484+AA484+AB484+AC484+AD484+AE484+AF484+AG484</f>
        <v>3170710.8</v>
      </c>
      <c r="G484" s="5">
        <v>0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241">
        <v>0</v>
      </c>
      <c r="N484" s="5">
        <v>0</v>
      </c>
      <c r="O484" s="7">
        <v>991.38</v>
      </c>
      <c r="P484" s="48">
        <v>3123853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f>ROUND(P484*1.5%,2)</f>
        <v>46857.8</v>
      </c>
      <c r="AF484" s="5">
        <v>0</v>
      </c>
      <c r="AG484" s="5">
        <v>0</v>
      </c>
      <c r="AH484" s="246" t="s">
        <v>49</v>
      </c>
      <c r="AI484" s="246">
        <v>2020</v>
      </c>
      <c r="AJ484" s="6">
        <v>2020</v>
      </c>
      <c r="AV484" s="2" t="e">
        <f>VLOOKUP(C484,AY:AZ,2,FALSE)</f>
        <v>#N/A</v>
      </c>
      <c r="CB484" s="236"/>
      <c r="CF484" s="2">
        <f t="shared" si="98"/>
        <v>1035.9000000000001</v>
      </c>
    </row>
    <row r="485" spans="1:84" ht="61.5" x14ac:dyDescent="0.85">
      <c r="B485" s="3" t="s">
        <v>117</v>
      </c>
      <c r="C485" s="3"/>
      <c r="D485" s="244">
        <v>34433820.409999996</v>
      </c>
      <c r="E485" s="233">
        <f t="shared" si="97"/>
        <v>9060685.3099999987</v>
      </c>
      <c r="F485" s="244">
        <f>SUM(F486:F493)</f>
        <v>25373135.099999998</v>
      </c>
      <c r="G485" s="5">
        <f t="shared" ref="G485:AG485" si="109">SUM(G486:G493)</f>
        <v>0</v>
      </c>
      <c r="H485" s="5">
        <f t="shared" si="109"/>
        <v>0</v>
      </c>
      <c r="I485" s="5">
        <f t="shared" si="109"/>
        <v>899499.24</v>
      </c>
      <c r="J485" s="5">
        <f t="shared" si="109"/>
        <v>0</v>
      </c>
      <c r="K485" s="5">
        <f t="shared" si="109"/>
        <v>0</v>
      </c>
      <c r="L485" s="5">
        <f t="shared" si="109"/>
        <v>0</v>
      </c>
      <c r="M485" s="241">
        <f t="shared" si="109"/>
        <v>0</v>
      </c>
      <c r="N485" s="5">
        <f t="shared" si="109"/>
        <v>0</v>
      </c>
      <c r="O485" s="5">
        <f t="shared" si="109"/>
        <v>5735.25</v>
      </c>
      <c r="P485" s="5">
        <f t="shared" si="109"/>
        <v>23342207.390000001</v>
      </c>
      <c r="Q485" s="5">
        <f t="shared" si="109"/>
        <v>192</v>
      </c>
      <c r="R485" s="5">
        <f t="shared" si="109"/>
        <v>318485.12</v>
      </c>
      <c r="S485" s="5">
        <f t="shared" si="109"/>
        <v>0</v>
      </c>
      <c r="T485" s="5">
        <f t="shared" si="109"/>
        <v>0</v>
      </c>
      <c r="U485" s="5">
        <f t="shared" si="109"/>
        <v>0</v>
      </c>
      <c r="V485" s="5">
        <f t="shared" si="109"/>
        <v>0</v>
      </c>
      <c r="W485" s="5">
        <f t="shared" si="109"/>
        <v>0</v>
      </c>
      <c r="X485" s="5">
        <f t="shared" si="109"/>
        <v>0</v>
      </c>
      <c r="Y485" s="5">
        <f t="shared" si="109"/>
        <v>0</v>
      </c>
      <c r="Z485" s="5">
        <f t="shared" si="109"/>
        <v>0</v>
      </c>
      <c r="AA485" s="5">
        <f t="shared" si="109"/>
        <v>0</v>
      </c>
      <c r="AB485" s="5">
        <f t="shared" si="109"/>
        <v>0</v>
      </c>
      <c r="AC485" s="5">
        <f t="shared" si="109"/>
        <v>0</v>
      </c>
      <c r="AD485" s="5">
        <f t="shared" si="109"/>
        <v>0</v>
      </c>
      <c r="AE485" s="5">
        <f t="shared" si="109"/>
        <v>366431.75</v>
      </c>
      <c r="AF485" s="5">
        <f t="shared" si="109"/>
        <v>446511.6</v>
      </c>
      <c r="AG485" s="5">
        <f t="shared" si="109"/>
        <v>0</v>
      </c>
      <c r="AH485" s="23" t="s">
        <v>90</v>
      </c>
      <c r="AI485" s="23" t="s">
        <v>90</v>
      </c>
      <c r="AJ485" s="27" t="s">
        <v>90</v>
      </c>
      <c r="AV485" s="2" t="e">
        <f>VLOOKUP(C485,AY:AZ,2,FALSE)</f>
        <v>#N/A</v>
      </c>
      <c r="CB485" s="236">
        <v>38327194.07</v>
      </c>
      <c r="CF485" s="2" t="e">
        <f t="shared" si="98"/>
        <v>#N/A</v>
      </c>
    </row>
    <row r="486" spans="1:84" ht="61.5" x14ac:dyDescent="0.85">
      <c r="A486" s="2">
        <v>1</v>
      </c>
      <c r="B486" s="18">
        <f>SUBTOTAL(103,$A$22:A486)</f>
        <v>416</v>
      </c>
      <c r="C486" s="3" t="s">
        <v>1105</v>
      </c>
      <c r="D486" s="5">
        <v>2052000.74</v>
      </c>
      <c r="E486" s="5">
        <f t="shared" si="97"/>
        <v>1971.1299999998882</v>
      </c>
      <c r="F486" s="5">
        <f t="shared" ref="F486:F493" si="110">G486+H486+I486+J486+K486+L486+N486+P486+R486+T486+V486+W486+X486+Y486+Z486+AA486+AB486+AC486+AD486+AE486+AF486+AG486</f>
        <v>2050029.61</v>
      </c>
      <c r="G486" s="5">
        <v>0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241">
        <v>0</v>
      </c>
      <c r="N486" s="5">
        <v>0</v>
      </c>
      <c r="O486" s="7">
        <v>1029.8800000000001</v>
      </c>
      <c r="P486" s="7">
        <v>2021675.61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7">
        <v>28354</v>
      </c>
      <c r="AF486" s="5">
        <v>0</v>
      </c>
      <c r="AG486" s="5">
        <v>0</v>
      </c>
      <c r="AH486" s="246" t="s">
        <v>49</v>
      </c>
      <c r="AI486" s="246">
        <v>2020</v>
      </c>
      <c r="AJ486" s="6">
        <v>2020</v>
      </c>
      <c r="AV486" s="2" t="e">
        <f>VLOOKUP(C486,AY:AZ,2,FALSE)</f>
        <v>#N/A</v>
      </c>
      <c r="CB486" s="236"/>
      <c r="CF486" s="2">
        <f t="shared" si="98"/>
        <v>1062.4000000000001</v>
      </c>
    </row>
    <row r="487" spans="1:84" ht="61.5" x14ac:dyDescent="0.85">
      <c r="A487" s="2">
        <v>1</v>
      </c>
      <c r="B487" s="18">
        <f>SUBTOTAL(103,$A$22:A487)</f>
        <v>417</v>
      </c>
      <c r="C487" s="3" t="s">
        <v>1384</v>
      </c>
      <c r="D487" s="5">
        <v>2381202.33</v>
      </c>
      <c r="E487" s="5">
        <f t="shared" si="97"/>
        <v>450984.48</v>
      </c>
      <c r="F487" s="5">
        <f t="shared" si="110"/>
        <v>1930217.85</v>
      </c>
      <c r="G487" s="5">
        <v>0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241">
        <v>0</v>
      </c>
      <c r="N487" s="5">
        <v>0</v>
      </c>
      <c r="O487" s="7">
        <v>514.20000000000005</v>
      </c>
      <c r="P487" s="7">
        <v>1814427.36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f t="shared" ref="AE487:AE491" si="111">ROUND(P487*1.5%,2)</f>
        <v>27216.41</v>
      </c>
      <c r="AF487" s="7">
        <v>88574.080000000002</v>
      </c>
      <c r="AG487" s="5">
        <v>0</v>
      </c>
      <c r="AH487" s="246">
        <v>2020</v>
      </c>
      <c r="AI487" s="246">
        <v>2020</v>
      </c>
      <c r="AJ487" s="6">
        <v>2020</v>
      </c>
      <c r="AV487" s="2" t="e">
        <f>VLOOKUP(C487,AY:AZ,2,FALSE)</f>
        <v>#N/A</v>
      </c>
      <c r="CB487" s="236"/>
      <c r="CF487" s="2" t="e">
        <f t="shared" si="98"/>
        <v>#N/A</v>
      </c>
    </row>
    <row r="488" spans="1:84" ht="61.5" x14ac:dyDescent="0.85">
      <c r="A488" s="2">
        <v>1</v>
      </c>
      <c r="B488" s="18">
        <f>SUBTOTAL(103,$A$22:A488)</f>
        <v>418</v>
      </c>
      <c r="C488" s="3" t="s">
        <v>1385</v>
      </c>
      <c r="D488" s="5">
        <v>8666833.0800000001</v>
      </c>
      <c r="E488" s="5">
        <f t="shared" si="97"/>
        <v>-1702047.8200000003</v>
      </c>
      <c r="F488" s="5">
        <f t="shared" si="110"/>
        <v>10368880.9</v>
      </c>
      <c r="G488" s="5">
        <v>0</v>
      </c>
      <c r="H488" s="5">
        <v>0</v>
      </c>
      <c r="I488" s="5">
        <v>0</v>
      </c>
      <c r="J488" s="5">
        <v>0</v>
      </c>
      <c r="K488" s="5">
        <v>0</v>
      </c>
      <c r="L488" s="5">
        <v>0</v>
      </c>
      <c r="M488" s="241">
        <v>0</v>
      </c>
      <c r="N488" s="5">
        <v>0</v>
      </c>
      <c r="O488" s="7">
        <v>1954.34</v>
      </c>
      <c r="P488" s="7">
        <v>10060425.52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f t="shared" si="111"/>
        <v>150906.38</v>
      </c>
      <c r="AF488" s="7">
        <v>157549</v>
      </c>
      <c r="AG488" s="5">
        <v>0</v>
      </c>
      <c r="AH488" s="246">
        <v>2020</v>
      </c>
      <c r="AI488" s="246">
        <v>2020</v>
      </c>
      <c r="AJ488" s="6">
        <v>2020</v>
      </c>
      <c r="AV488" s="2" t="e">
        <f>VLOOKUP(C488,AY$488:AZ$488,2,FALSE)</f>
        <v>#N/A</v>
      </c>
      <c r="CB488" s="236"/>
      <c r="CF488" s="2" t="e">
        <f t="shared" si="98"/>
        <v>#N/A</v>
      </c>
    </row>
    <row r="489" spans="1:84" ht="61.5" x14ac:dyDescent="0.85">
      <c r="A489" s="2">
        <v>1</v>
      </c>
      <c r="B489" s="18">
        <f>SUBTOTAL(103,$A$22:A489)</f>
        <v>419</v>
      </c>
      <c r="C489" s="3" t="s">
        <v>1107</v>
      </c>
      <c r="D489" s="5">
        <v>5276306.63</v>
      </c>
      <c r="E489" s="5">
        <f t="shared" si="97"/>
        <v>5246692.3099999996</v>
      </c>
      <c r="F489" s="5">
        <f t="shared" si="110"/>
        <v>29614.32</v>
      </c>
      <c r="G489" s="5">
        <v>0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241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f t="shared" si="111"/>
        <v>0</v>
      </c>
      <c r="AF489" s="7">
        <v>29614.32</v>
      </c>
      <c r="AG489" s="5">
        <v>0</v>
      </c>
      <c r="AH489" s="246">
        <v>2020</v>
      </c>
      <c r="AI489" s="246" t="s">
        <v>49</v>
      </c>
      <c r="AJ489" s="246" t="s">
        <v>49</v>
      </c>
      <c r="CB489" s="236"/>
      <c r="CF489" s="2">
        <f t="shared" si="98"/>
        <v>1105</v>
      </c>
    </row>
    <row r="490" spans="1:84" ht="61.5" x14ac:dyDescent="0.85">
      <c r="A490" s="2">
        <v>1</v>
      </c>
      <c r="B490" s="18">
        <f>SUBTOTAL(103,$A$22:A490)</f>
        <v>420</v>
      </c>
      <c r="C490" s="3" t="s">
        <v>1173</v>
      </c>
      <c r="D490" s="5">
        <v>3408422.6399999997</v>
      </c>
      <c r="E490" s="5">
        <f t="shared" si="97"/>
        <v>0</v>
      </c>
      <c r="F490" s="5">
        <f t="shared" si="110"/>
        <v>3408422.6399999997</v>
      </c>
      <c r="G490" s="5">
        <v>0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241">
        <v>0</v>
      </c>
      <c r="N490" s="5">
        <v>0</v>
      </c>
      <c r="O490" s="7">
        <v>835.43</v>
      </c>
      <c r="P490" s="7">
        <v>3358051.86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f t="shared" si="111"/>
        <v>50370.78</v>
      </c>
      <c r="AF490" s="5">
        <v>0</v>
      </c>
      <c r="AG490" s="5">
        <v>0</v>
      </c>
      <c r="AH490" s="246" t="s">
        <v>49</v>
      </c>
      <c r="AI490" s="246">
        <v>2020</v>
      </c>
      <c r="AJ490" s="6">
        <v>2020</v>
      </c>
      <c r="CB490" s="236"/>
      <c r="CF490" s="2">
        <f t="shared" si="98"/>
        <v>835.43</v>
      </c>
    </row>
    <row r="491" spans="1:84" ht="61.5" x14ac:dyDescent="0.85">
      <c r="A491" s="2">
        <v>1</v>
      </c>
      <c r="B491" s="18">
        <f>SUBTOTAL(103,$A$22:A491)</f>
        <v>421</v>
      </c>
      <c r="C491" s="3" t="s">
        <v>1108</v>
      </c>
      <c r="D491" s="5">
        <v>7031127.6799999997</v>
      </c>
      <c r="E491" s="5">
        <f t="shared" si="97"/>
        <v>852186.23000000045</v>
      </c>
      <c r="F491" s="5">
        <f t="shared" si="110"/>
        <v>6178941.4499999993</v>
      </c>
      <c r="G491" s="5">
        <v>0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241">
        <v>0</v>
      </c>
      <c r="N491" s="5">
        <v>0</v>
      </c>
      <c r="O491" s="5">
        <v>1401.4</v>
      </c>
      <c r="P491" s="5">
        <f>6898654.81+28564.59-1000000+160407.64</f>
        <v>6087627.0399999991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f t="shared" si="111"/>
        <v>91314.41</v>
      </c>
      <c r="AF491" s="5">
        <v>0</v>
      </c>
      <c r="AG491" s="5">
        <v>0</v>
      </c>
      <c r="AH491" s="246" t="s">
        <v>49</v>
      </c>
      <c r="AI491" s="246">
        <v>2020</v>
      </c>
      <c r="AJ491" s="6">
        <v>2020</v>
      </c>
      <c r="CB491" s="236"/>
      <c r="CF491" s="2">
        <f t="shared" si="98"/>
        <v>1401.4</v>
      </c>
    </row>
    <row r="492" spans="1:84" ht="61.5" x14ac:dyDescent="0.85">
      <c r="A492" s="2">
        <v>1</v>
      </c>
      <c r="B492" s="18">
        <f>SUBTOTAL(103,$A$22:A492)</f>
        <v>422</v>
      </c>
      <c r="C492" s="3" t="s">
        <v>1386</v>
      </c>
      <c r="D492" s="5">
        <v>590946.49</v>
      </c>
      <c r="E492" s="5">
        <f t="shared" si="97"/>
        <v>203000</v>
      </c>
      <c r="F492" s="5">
        <f t="shared" si="110"/>
        <v>387946.49</v>
      </c>
      <c r="G492" s="5">
        <v>0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241">
        <v>0</v>
      </c>
      <c r="N492" s="5">
        <v>0</v>
      </c>
      <c r="O492" s="5">
        <v>0</v>
      </c>
      <c r="P492" s="5">
        <v>0</v>
      </c>
      <c r="Q492" s="5">
        <v>192</v>
      </c>
      <c r="R492" s="5">
        <v>318485.12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f>ROUND(R492*1.5%,2)</f>
        <v>4777.28</v>
      </c>
      <c r="AF492" s="48">
        <v>64684.09</v>
      </c>
      <c r="AG492" s="5">
        <v>0</v>
      </c>
      <c r="AH492" s="246">
        <v>2020</v>
      </c>
      <c r="AI492" s="246">
        <v>2020</v>
      </c>
      <c r="AJ492" s="6">
        <v>2020</v>
      </c>
      <c r="AV492" s="2" t="e">
        <f>VLOOKUP(C492,AY:AZ,2,FALSE)</f>
        <v>#N/A</v>
      </c>
      <c r="CB492" s="236"/>
      <c r="CF492" s="2" t="e">
        <f t="shared" si="98"/>
        <v>#N/A</v>
      </c>
    </row>
    <row r="493" spans="1:84" ht="61.5" x14ac:dyDescent="0.85">
      <c r="A493" s="2">
        <v>1</v>
      </c>
      <c r="B493" s="18">
        <f>SUBTOTAL(103,$A$22:A493)</f>
        <v>423</v>
      </c>
      <c r="C493" s="3" t="s">
        <v>1387</v>
      </c>
      <c r="D493" s="5">
        <v>5026980.8199999994</v>
      </c>
      <c r="E493" s="5">
        <f t="shared" si="97"/>
        <v>4007898.9799999995</v>
      </c>
      <c r="F493" s="5">
        <f t="shared" si="110"/>
        <v>1019081.84</v>
      </c>
      <c r="G493" s="5">
        <v>0</v>
      </c>
      <c r="H493" s="5">
        <v>0</v>
      </c>
      <c r="I493" s="48">
        <v>899499.24</v>
      </c>
      <c r="J493" s="5">
        <v>0</v>
      </c>
      <c r="K493" s="5">
        <v>0</v>
      </c>
      <c r="L493" s="5">
        <v>0</v>
      </c>
      <c r="M493" s="241">
        <v>0</v>
      </c>
      <c r="N493" s="5">
        <v>0</v>
      </c>
      <c r="O493" s="254">
        <v>0</v>
      </c>
      <c r="P493" s="254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f>ROUND((G493+H493+I493+J493+K493+L493)*1.5%,2)</f>
        <v>13492.49</v>
      </c>
      <c r="AF493" s="7">
        <v>106090.11</v>
      </c>
      <c r="AG493" s="5">
        <v>0</v>
      </c>
      <c r="AH493" s="246">
        <v>2020</v>
      </c>
      <c r="AI493" s="246">
        <v>2020</v>
      </c>
      <c r="AJ493" s="6">
        <v>2020</v>
      </c>
      <c r="CB493" s="236"/>
      <c r="CF493" s="2" t="e">
        <f t="shared" si="98"/>
        <v>#N/A</v>
      </c>
    </row>
    <row r="494" spans="1:84" ht="61.5" x14ac:dyDescent="0.85">
      <c r="B494" s="3" t="s">
        <v>1388</v>
      </c>
      <c r="C494" s="3"/>
      <c r="D494" s="244">
        <v>1499263.62</v>
      </c>
      <c r="E494" s="233">
        <f t="shared" si="97"/>
        <v>0</v>
      </c>
      <c r="F494" s="244">
        <f>F495</f>
        <v>1499263.62</v>
      </c>
      <c r="G494" s="5">
        <f t="shared" ref="G494:AG494" si="112">G495</f>
        <v>0</v>
      </c>
      <c r="H494" s="5">
        <f t="shared" si="112"/>
        <v>0</v>
      </c>
      <c r="I494" s="5">
        <f t="shared" si="112"/>
        <v>0</v>
      </c>
      <c r="J494" s="5">
        <f t="shared" si="112"/>
        <v>0</v>
      </c>
      <c r="K494" s="5">
        <f t="shared" si="112"/>
        <v>0</v>
      </c>
      <c r="L494" s="5">
        <f t="shared" si="112"/>
        <v>0</v>
      </c>
      <c r="M494" s="241">
        <f t="shared" si="112"/>
        <v>0</v>
      </c>
      <c r="N494" s="5">
        <f t="shared" si="112"/>
        <v>0</v>
      </c>
      <c r="O494" s="5">
        <f t="shared" si="112"/>
        <v>484.49</v>
      </c>
      <c r="P494" s="5">
        <f t="shared" si="112"/>
        <v>1477107.01</v>
      </c>
      <c r="Q494" s="5">
        <f t="shared" si="112"/>
        <v>0</v>
      </c>
      <c r="R494" s="5">
        <f t="shared" si="112"/>
        <v>0</v>
      </c>
      <c r="S494" s="5">
        <f t="shared" si="112"/>
        <v>0</v>
      </c>
      <c r="T494" s="5">
        <f t="shared" si="112"/>
        <v>0</v>
      </c>
      <c r="U494" s="5">
        <f t="shared" si="112"/>
        <v>0</v>
      </c>
      <c r="V494" s="5">
        <f t="shared" si="112"/>
        <v>0</v>
      </c>
      <c r="W494" s="5">
        <f t="shared" si="112"/>
        <v>0</v>
      </c>
      <c r="X494" s="5">
        <f t="shared" si="112"/>
        <v>0</v>
      </c>
      <c r="Y494" s="5">
        <f t="shared" si="112"/>
        <v>0</v>
      </c>
      <c r="Z494" s="5">
        <f t="shared" si="112"/>
        <v>0</v>
      </c>
      <c r="AA494" s="5">
        <f t="shared" si="112"/>
        <v>0</v>
      </c>
      <c r="AB494" s="5">
        <f t="shared" si="112"/>
        <v>0</v>
      </c>
      <c r="AC494" s="5">
        <f t="shared" si="112"/>
        <v>0</v>
      </c>
      <c r="AD494" s="5">
        <f t="shared" si="112"/>
        <v>0</v>
      </c>
      <c r="AE494" s="5">
        <f t="shared" si="112"/>
        <v>22156.61</v>
      </c>
      <c r="AF494" s="5">
        <f t="shared" si="112"/>
        <v>0</v>
      </c>
      <c r="AG494" s="5">
        <f t="shared" si="112"/>
        <v>0</v>
      </c>
      <c r="AH494" s="23" t="s">
        <v>90</v>
      </c>
      <c r="AI494" s="23" t="s">
        <v>90</v>
      </c>
      <c r="AJ494" s="27" t="s">
        <v>90</v>
      </c>
      <c r="CB494" s="236">
        <v>2298882.5099999998</v>
      </c>
      <c r="CF494" s="2" t="e">
        <f t="shared" si="98"/>
        <v>#N/A</v>
      </c>
    </row>
    <row r="495" spans="1:84" ht="61.5" x14ac:dyDescent="0.85">
      <c r="A495" s="2">
        <v>1</v>
      </c>
      <c r="B495" s="18">
        <f>SUBTOTAL(103,$A$22:A495)</f>
        <v>424</v>
      </c>
      <c r="C495" s="3" t="s">
        <v>1110</v>
      </c>
      <c r="D495" s="5">
        <v>1499263.62</v>
      </c>
      <c r="E495" s="5">
        <f t="shared" si="97"/>
        <v>0</v>
      </c>
      <c r="F495" s="5">
        <f>G495+H495+I495+J495+K495+L495+N495+P495+R495+T495+V495+W495+X495+Y495+Z495+AA495+AB495+AC495+AD495+AE495+AF495+AG495</f>
        <v>1499263.62</v>
      </c>
      <c r="G495" s="5">
        <v>0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241">
        <v>0</v>
      </c>
      <c r="N495" s="5">
        <v>0</v>
      </c>
      <c r="O495" s="7">
        <v>484.49</v>
      </c>
      <c r="P495" s="7">
        <v>1477107.01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f>ROUND(P495*1.5%,2)</f>
        <v>22156.61</v>
      </c>
      <c r="AF495" s="5">
        <v>0</v>
      </c>
      <c r="AG495" s="5">
        <v>0</v>
      </c>
      <c r="AH495" s="246" t="s">
        <v>49</v>
      </c>
      <c r="AI495" s="246">
        <v>2020</v>
      </c>
      <c r="AJ495" s="6">
        <v>2020</v>
      </c>
      <c r="CB495" s="236"/>
      <c r="CF495" s="2">
        <f t="shared" si="98"/>
        <v>467.74</v>
      </c>
    </row>
    <row r="496" spans="1:84" ht="61.5" x14ac:dyDescent="0.85">
      <c r="B496" s="3" t="s">
        <v>212</v>
      </c>
      <c r="C496" s="3"/>
      <c r="D496" s="244">
        <v>474650.14999999997</v>
      </c>
      <c r="E496" s="233">
        <f t="shared" si="97"/>
        <v>0</v>
      </c>
      <c r="F496" s="244">
        <f>F497</f>
        <v>474650.14999999997</v>
      </c>
      <c r="G496" s="5">
        <f t="shared" ref="G496:AG496" si="113">G497</f>
        <v>0</v>
      </c>
      <c r="H496" s="5">
        <f t="shared" si="113"/>
        <v>0</v>
      </c>
      <c r="I496" s="5">
        <f t="shared" si="113"/>
        <v>0</v>
      </c>
      <c r="J496" s="5">
        <f t="shared" si="113"/>
        <v>0</v>
      </c>
      <c r="K496" s="5">
        <f t="shared" si="113"/>
        <v>0</v>
      </c>
      <c r="L496" s="5">
        <f t="shared" si="113"/>
        <v>0</v>
      </c>
      <c r="M496" s="241">
        <f t="shared" si="113"/>
        <v>0</v>
      </c>
      <c r="N496" s="5">
        <f t="shared" si="113"/>
        <v>0</v>
      </c>
      <c r="O496" s="5">
        <f t="shared" si="113"/>
        <v>0</v>
      </c>
      <c r="P496" s="5">
        <f t="shared" si="113"/>
        <v>0</v>
      </c>
      <c r="Q496" s="5">
        <f t="shared" si="113"/>
        <v>0</v>
      </c>
      <c r="R496" s="5">
        <f t="shared" si="113"/>
        <v>0</v>
      </c>
      <c r="S496" s="5">
        <f t="shared" si="113"/>
        <v>119.3</v>
      </c>
      <c r="T496" s="5">
        <f t="shared" si="113"/>
        <v>362161.55</v>
      </c>
      <c r="U496" s="5">
        <f t="shared" si="113"/>
        <v>0</v>
      </c>
      <c r="V496" s="5">
        <f t="shared" si="113"/>
        <v>0</v>
      </c>
      <c r="W496" s="5">
        <f t="shared" si="113"/>
        <v>0</v>
      </c>
      <c r="X496" s="5">
        <f t="shared" si="113"/>
        <v>0</v>
      </c>
      <c r="Y496" s="5">
        <f t="shared" si="113"/>
        <v>0</v>
      </c>
      <c r="Z496" s="5">
        <f t="shared" si="113"/>
        <v>0</v>
      </c>
      <c r="AA496" s="5">
        <f t="shared" si="113"/>
        <v>0</v>
      </c>
      <c r="AB496" s="5">
        <f t="shared" si="113"/>
        <v>0</v>
      </c>
      <c r="AC496" s="5">
        <f t="shared" si="113"/>
        <v>0</v>
      </c>
      <c r="AD496" s="5">
        <f t="shared" si="113"/>
        <v>0</v>
      </c>
      <c r="AE496" s="5">
        <f t="shared" si="113"/>
        <v>5432.42</v>
      </c>
      <c r="AF496" s="5">
        <f t="shared" si="113"/>
        <v>107056.18</v>
      </c>
      <c r="AG496" s="5">
        <f t="shared" si="113"/>
        <v>0</v>
      </c>
      <c r="AH496" s="23" t="s">
        <v>90</v>
      </c>
      <c r="AI496" s="23" t="s">
        <v>90</v>
      </c>
      <c r="AJ496" s="27" t="s">
        <v>90</v>
      </c>
      <c r="CB496" s="236">
        <v>467593.97</v>
      </c>
      <c r="CF496" s="2" t="e">
        <f t="shared" si="98"/>
        <v>#N/A</v>
      </c>
    </row>
    <row r="497" spans="1:262" ht="61.5" x14ac:dyDescent="0.85">
      <c r="A497" s="2">
        <v>1</v>
      </c>
      <c r="B497" s="18">
        <f>SUBTOTAL(103,$A$22:A497)</f>
        <v>425</v>
      </c>
      <c r="C497" s="3" t="s">
        <v>200</v>
      </c>
      <c r="D497" s="5">
        <v>474650.14999999997</v>
      </c>
      <c r="E497" s="5">
        <f t="shared" si="97"/>
        <v>0</v>
      </c>
      <c r="F497" s="5">
        <f>G497+H497+I497+J497+K497+L497+N497+P497+R497+T497+V497+W497+X497+Y497+Z497+AA497+AB497+AC497+AD497+AE497+AF497+AG497</f>
        <v>474650.14999999997</v>
      </c>
      <c r="G497" s="5">
        <v>0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241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119.3</v>
      </c>
      <c r="T497" s="5">
        <f>362161.55</f>
        <v>362161.55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f>ROUND(T497*1.5%,2)</f>
        <v>5432.42</v>
      </c>
      <c r="AF497" s="7">
        <v>107056.18</v>
      </c>
      <c r="AG497" s="5">
        <v>0</v>
      </c>
      <c r="AH497" s="246">
        <v>2020</v>
      </c>
      <c r="AI497" s="246">
        <v>2020</v>
      </c>
      <c r="AJ497" s="6">
        <v>2020</v>
      </c>
      <c r="CB497" s="236"/>
      <c r="CF497" s="2" t="e">
        <f t="shared" si="98"/>
        <v>#N/A</v>
      </c>
    </row>
    <row r="498" spans="1:262" s="243" customFormat="1" ht="61.5" x14ac:dyDescent="0.85">
      <c r="B498" s="3" t="s">
        <v>127</v>
      </c>
      <c r="C498" s="442"/>
      <c r="D498" s="244">
        <v>4102310.33</v>
      </c>
      <c r="E498" s="233">
        <f t="shared" si="97"/>
        <v>709484.77</v>
      </c>
      <c r="F498" s="244">
        <f>SUM(F499:F502)</f>
        <v>3392825.56</v>
      </c>
      <c r="G498" s="5">
        <f t="shared" ref="G498:AG498" si="114">SUM(G499:G502)</f>
        <v>0</v>
      </c>
      <c r="H498" s="5">
        <f t="shared" si="114"/>
        <v>0</v>
      </c>
      <c r="I498" s="5">
        <f t="shared" si="114"/>
        <v>0</v>
      </c>
      <c r="J498" s="5">
        <f t="shared" si="114"/>
        <v>0</v>
      </c>
      <c r="K498" s="5">
        <f t="shared" si="114"/>
        <v>0</v>
      </c>
      <c r="L498" s="5">
        <f t="shared" si="114"/>
        <v>0</v>
      </c>
      <c r="M498" s="26">
        <f t="shared" si="114"/>
        <v>0</v>
      </c>
      <c r="N498" s="5">
        <f t="shared" si="114"/>
        <v>0</v>
      </c>
      <c r="O498" s="5">
        <f t="shared" si="114"/>
        <v>785</v>
      </c>
      <c r="P498" s="5">
        <f t="shared" si="114"/>
        <v>3380450.98</v>
      </c>
      <c r="Q498" s="5">
        <f t="shared" si="114"/>
        <v>0</v>
      </c>
      <c r="R498" s="5">
        <f t="shared" si="114"/>
        <v>0</v>
      </c>
      <c r="S498" s="5">
        <f t="shared" si="114"/>
        <v>0</v>
      </c>
      <c r="T498" s="5">
        <f t="shared" si="114"/>
        <v>0</v>
      </c>
      <c r="U498" s="5">
        <f t="shared" si="114"/>
        <v>0</v>
      </c>
      <c r="V498" s="5">
        <f t="shared" si="114"/>
        <v>0</v>
      </c>
      <c r="W498" s="5">
        <f t="shared" si="114"/>
        <v>0</v>
      </c>
      <c r="X498" s="5">
        <f t="shared" si="114"/>
        <v>0</v>
      </c>
      <c r="Y498" s="5">
        <f t="shared" si="114"/>
        <v>0</v>
      </c>
      <c r="Z498" s="5">
        <f t="shared" si="114"/>
        <v>0</v>
      </c>
      <c r="AA498" s="5">
        <f t="shared" si="114"/>
        <v>0</v>
      </c>
      <c r="AB498" s="5">
        <f t="shared" si="114"/>
        <v>0</v>
      </c>
      <c r="AC498" s="5">
        <f t="shared" si="114"/>
        <v>0</v>
      </c>
      <c r="AD498" s="5">
        <f t="shared" si="114"/>
        <v>0</v>
      </c>
      <c r="AE498" s="5">
        <f t="shared" si="114"/>
        <v>12374.58</v>
      </c>
      <c r="AF498" s="5">
        <f t="shared" si="114"/>
        <v>0</v>
      </c>
      <c r="AG498" s="5">
        <f t="shared" si="114"/>
        <v>0</v>
      </c>
      <c r="AH498" s="23" t="s">
        <v>90</v>
      </c>
      <c r="AI498" s="23" t="s">
        <v>90</v>
      </c>
      <c r="AJ498" s="27" t="s">
        <v>90</v>
      </c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 t="e">
        <f t="shared" ref="AV498:AV505" si="115">VLOOKUP(C498,AY:AZ,2,FALSE)</f>
        <v>#N/A</v>
      </c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36">
        <v>3974620.0799999996</v>
      </c>
      <c r="CC498" s="2"/>
      <c r="CD498" s="2"/>
      <c r="CE498" s="2"/>
      <c r="CF498" s="2" t="e">
        <f t="shared" si="98"/>
        <v>#N/A</v>
      </c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</row>
    <row r="499" spans="1:262" s="243" customFormat="1" ht="61.5" x14ac:dyDescent="0.85">
      <c r="A499" s="243">
        <v>1</v>
      </c>
      <c r="B499" s="18">
        <f>SUBTOTAL(103,$A$22:A499)</f>
        <v>426</v>
      </c>
      <c r="C499" s="3" t="s">
        <v>1389</v>
      </c>
      <c r="D499" s="5">
        <v>1000160.1</v>
      </c>
      <c r="E499" s="5">
        <f t="shared" si="97"/>
        <v>162813.76000000001</v>
      </c>
      <c r="F499" s="5">
        <f>G499+H499+I499+J499+K499+L499+N499+P499+R499+T499+V499+W499+X499+Y499+Z499+AA499+AB499+AC499+AD499+AE499+AF499+AG499</f>
        <v>837346.34</v>
      </c>
      <c r="G499" s="5">
        <v>0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241">
        <v>0</v>
      </c>
      <c r="N499" s="5">
        <v>0</v>
      </c>
      <c r="O499" s="5">
        <v>205</v>
      </c>
      <c r="P499" s="5">
        <v>824971.76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f>ROUND(P499*1.5%,2)</f>
        <v>12374.58</v>
      </c>
      <c r="AF499" s="5">
        <v>0</v>
      </c>
      <c r="AG499" s="5">
        <v>0</v>
      </c>
      <c r="AH499" s="246" t="s">
        <v>49</v>
      </c>
      <c r="AI499" s="246">
        <v>2020</v>
      </c>
      <c r="AJ499" s="6">
        <v>2020</v>
      </c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 t="e">
        <f t="shared" si="115"/>
        <v>#N/A</v>
      </c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36"/>
      <c r="CC499" s="2"/>
      <c r="CD499" s="2"/>
      <c r="CE499" s="2"/>
      <c r="CF499" s="2" t="e">
        <f t="shared" si="98"/>
        <v>#N/A</v>
      </c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</row>
    <row r="500" spans="1:262" s="243" customFormat="1" ht="61.5" x14ac:dyDescent="0.85">
      <c r="A500" s="243">
        <v>1</v>
      </c>
      <c r="B500" s="18">
        <f>SUBTOTAL(103,$A$22:A500)</f>
        <v>427</v>
      </c>
      <c r="C500" s="3" t="s">
        <v>1390</v>
      </c>
      <c r="D500" s="5">
        <v>1037362.63</v>
      </c>
      <c r="E500" s="5">
        <f t="shared" si="97"/>
        <v>188726.21999999997</v>
      </c>
      <c r="F500" s="5">
        <f>G500+H500+I500+J500+K500+L500+N500+P500+R500+T500+V500+W500+X500+Y500+Z500+AA500+AB500+AC500+AD500+AE500+AF500+AG500</f>
        <v>848636.41</v>
      </c>
      <c r="G500" s="5">
        <v>0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241">
        <v>0</v>
      </c>
      <c r="N500" s="5">
        <v>0</v>
      </c>
      <c r="O500" s="5">
        <v>194.1</v>
      </c>
      <c r="P500" s="5">
        <v>848636.41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246" t="s">
        <v>49</v>
      </c>
      <c r="AI500" s="246">
        <v>2020</v>
      </c>
      <c r="AJ500" s="246" t="s">
        <v>49</v>
      </c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 t="e">
        <f t="shared" si="115"/>
        <v>#N/A</v>
      </c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36"/>
      <c r="CC500" s="2"/>
      <c r="CD500" s="2"/>
      <c r="CE500" s="2"/>
      <c r="CF500" s="2" t="e">
        <f t="shared" si="98"/>
        <v>#N/A</v>
      </c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</row>
    <row r="501" spans="1:262" s="243" customFormat="1" ht="61.5" x14ac:dyDescent="0.85">
      <c r="A501" s="243">
        <v>1</v>
      </c>
      <c r="B501" s="18">
        <f>SUBTOTAL(103,$A$22:A501)</f>
        <v>428</v>
      </c>
      <c r="C501" s="3" t="s">
        <v>393</v>
      </c>
      <c r="D501" s="5">
        <v>1033417.5800000001</v>
      </c>
      <c r="E501" s="5">
        <f t="shared" si="97"/>
        <v>179191.04000000004</v>
      </c>
      <c r="F501" s="5">
        <f>G501+H501+I501+J501+K501+L501+N501+P501+R501+T501+V501+W501+X501+Y501+Z501+AA501+AB501+AC501+AD501+AE501+AF501+AG501</f>
        <v>854226.54</v>
      </c>
      <c r="G501" s="5">
        <v>0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241">
        <v>0</v>
      </c>
      <c r="N501" s="5">
        <v>0</v>
      </c>
      <c r="O501" s="5">
        <v>193.2</v>
      </c>
      <c r="P501" s="5">
        <v>854226.54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246" t="s">
        <v>49</v>
      </c>
      <c r="AI501" s="246">
        <v>2020</v>
      </c>
      <c r="AJ501" s="246" t="s">
        <v>49</v>
      </c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 t="e">
        <f t="shared" si="115"/>
        <v>#N/A</v>
      </c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36"/>
      <c r="CC501" s="2"/>
      <c r="CD501" s="2"/>
      <c r="CE501" s="2"/>
      <c r="CF501" s="2" t="e">
        <f t="shared" si="98"/>
        <v>#N/A</v>
      </c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</row>
    <row r="502" spans="1:262" s="243" customFormat="1" ht="61.5" x14ac:dyDescent="0.85">
      <c r="A502" s="243">
        <v>1</v>
      </c>
      <c r="B502" s="18">
        <f>SUBTOTAL(103,$A$22:A502)</f>
        <v>429</v>
      </c>
      <c r="C502" s="3" t="s">
        <v>1391</v>
      </c>
      <c r="D502" s="5">
        <v>1031370.02</v>
      </c>
      <c r="E502" s="5">
        <f t="shared" si="97"/>
        <v>178753.75</v>
      </c>
      <c r="F502" s="5">
        <f>G502+H502+I502+J502+K502+L502+N502+P502+R502+T502+V502+W502+X502+Y502+Z502+AA502+AB502+AC502+AD502+AE502+AF502+AG502</f>
        <v>852616.27</v>
      </c>
      <c r="G502" s="5">
        <v>0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241">
        <v>0</v>
      </c>
      <c r="N502" s="5">
        <v>0</v>
      </c>
      <c r="O502" s="5">
        <v>192.7</v>
      </c>
      <c r="P502" s="5">
        <v>852616.27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246" t="s">
        <v>49</v>
      </c>
      <c r="AI502" s="246">
        <v>2020</v>
      </c>
      <c r="AJ502" s="6" t="s">
        <v>49</v>
      </c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 t="e">
        <f t="shared" si="115"/>
        <v>#N/A</v>
      </c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36"/>
      <c r="CC502" s="2"/>
      <c r="CD502" s="2"/>
      <c r="CE502" s="2"/>
      <c r="CF502" s="2" t="e">
        <f t="shared" si="98"/>
        <v>#N/A</v>
      </c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</row>
    <row r="503" spans="1:262" ht="61.5" x14ac:dyDescent="0.85">
      <c r="B503" s="3" t="s">
        <v>1392</v>
      </c>
      <c r="C503" s="442"/>
      <c r="D503" s="244">
        <v>11405468.119999999</v>
      </c>
      <c r="E503" s="233">
        <f t="shared" si="97"/>
        <v>3635672.4299999997</v>
      </c>
      <c r="F503" s="244">
        <f>SUM(F504:F508)</f>
        <v>7769795.6899999995</v>
      </c>
      <c r="G503" s="5">
        <f t="shared" ref="G503:AG503" si="116">SUM(G504:G508)</f>
        <v>0</v>
      </c>
      <c r="H503" s="5">
        <f t="shared" si="116"/>
        <v>0</v>
      </c>
      <c r="I503" s="5">
        <f t="shared" si="116"/>
        <v>0</v>
      </c>
      <c r="J503" s="5">
        <f t="shared" si="116"/>
        <v>0</v>
      </c>
      <c r="K503" s="5">
        <f t="shared" si="116"/>
        <v>0</v>
      </c>
      <c r="L503" s="5">
        <f t="shared" si="116"/>
        <v>0</v>
      </c>
      <c r="M503" s="241">
        <f t="shared" si="116"/>
        <v>0</v>
      </c>
      <c r="N503" s="5">
        <f t="shared" si="116"/>
        <v>0</v>
      </c>
      <c r="O503" s="5">
        <f t="shared" si="116"/>
        <v>1553.2</v>
      </c>
      <c r="P503" s="5">
        <f t="shared" si="116"/>
        <v>5380395.1500000004</v>
      </c>
      <c r="Q503" s="5">
        <f t="shared" si="116"/>
        <v>0</v>
      </c>
      <c r="R503" s="5">
        <f t="shared" si="116"/>
        <v>0</v>
      </c>
      <c r="S503" s="5">
        <f t="shared" si="116"/>
        <v>925.06</v>
      </c>
      <c r="T503" s="5">
        <f t="shared" si="116"/>
        <v>2149929.41</v>
      </c>
      <c r="U503" s="5">
        <f t="shared" si="116"/>
        <v>0</v>
      </c>
      <c r="V503" s="5">
        <f t="shared" si="116"/>
        <v>0</v>
      </c>
      <c r="W503" s="5">
        <f t="shared" si="116"/>
        <v>0</v>
      </c>
      <c r="X503" s="5">
        <f t="shared" si="116"/>
        <v>0</v>
      </c>
      <c r="Y503" s="5">
        <f t="shared" si="116"/>
        <v>0</v>
      </c>
      <c r="Z503" s="5">
        <f t="shared" si="116"/>
        <v>0</v>
      </c>
      <c r="AA503" s="5">
        <f t="shared" si="116"/>
        <v>0</v>
      </c>
      <c r="AB503" s="5">
        <f t="shared" si="116"/>
        <v>0</v>
      </c>
      <c r="AC503" s="5">
        <f t="shared" si="116"/>
        <v>0</v>
      </c>
      <c r="AD503" s="5">
        <f t="shared" si="116"/>
        <v>0</v>
      </c>
      <c r="AE503" s="5">
        <f t="shared" si="116"/>
        <v>77392.22</v>
      </c>
      <c r="AF503" s="5">
        <f t="shared" si="116"/>
        <v>162078.90999999997</v>
      </c>
      <c r="AG503" s="5">
        <f t="shared" si="116"/>
        <v>0</v>
      </c>
      <c r="AH503" s="23" t="s">
        <v>90</v>
      </c>
      <c r="AI503" s="23" t="s">
        <v>90</v>
      </c>
      <c r="AJ503" s="27" t="s">
        <v>90</v>
      </c>
      <c r="AV503" s="2" t="e">
        <f t="shared" si="115"/>
        <v>#N/A</v>
      </c>
      <c r="CB503" s="236">
        <v>11081040.970000001</v>
      </c>
      <c r="CD503" s="236">
        <f>CB503-F503</f>
        <v>3311245.2800000012</v>
      </c>
      <c r="CE503" s="5">
        <v>10960961.029999999</v>
      </c>
      <c r="CF503" s="2" t="e">
        <f t="shared" si="98"/>
        <v>#N/A</v>
      </c>
      <c r="CG503" s="5">
        <f>CE503-F503</f>
        <v>3191165.34</v>
      </c>
    </row>
    <row r="504" spans="1:262" ht="61.5" x14ac:dyDescent="0.85">
      <c r="A504" s="2">
        <v>1</v>
      </c>
      <c r="B504" s="18">
        <f>SUBTOTAL(103,$A$22:A504)</f>
        <v>430</v>
      </c>
      <c r="C504" s="3" t="s">
        <v>1393</v>
      </c>
      <c r="D504" s="5">
        <v>2421334.88</v>
      </c>
      <c r="E504" s="5">
        <f t="shared" si="97"/>
        <v>0</v>
      </c>
      <c r="F504" s="5">
        <f>G504+H504+I504+J504+K504+L504+N504+P504+R504+T504+V504+W504+X504+Y504+Z504+AA504+AB504+AC504+AD504+AE504+AF504+AG504</f>
        <v>2421334.88</v>
      </c>
      <c r="G504" s="5">
        <v>0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241">
        <v>0</v>
      </c>
      <c r="N504" s="5">
        <v>0</v>
      </c>
      <c r="O504" s="7">
        <v>629</v>
      </c>
      <c r="P504" s="7">
        <v>2325578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7">
        <v>14999.98</v>
      </c>
      <c r="AF504" s="7">
        <v>80756.899999999994</v>
      </c>
      <c r="AG504" s="5">
        <v>0</v>
      </c>
      <c r="AH504" s="246">
        <v>2020</v>
      </c>
      <c r="AI504" s="246">
        <v>2020</v>
      </c>
      <c r="AJ504" s="6">
        <v>2020</v>
      </c>
      <c r="AV504" s="2" t="e">
        <f t="shared" si="115"/>
        <v>#N/A</v>
      </c>
      <c r="CB504" s="236"/>
      <c r="CF504" s="2" t="e">
        <f t="shared" si="98"/>
        <v>#N/A</v>
      </c>
    </row>
    <row r="505" spans="1:262" ht="61.5" x14ac:dyDescent="0.85">
      <c r="A505" s="2">
        <v>1</v>
      </c>
      <c r="B505" s="18">
        <f>SUBTOTAL(103,$A$22:A505)</f>
        <v>431</v>
      </c>
      <c r="C505" s="3" t="s">
        <v>1394</v>
      </c>
      <c r="D505" s="5">
        <v>1672092.73</v>
      </c>
      <c r="E505" s="5">
        <f t="shared" si="97"/>
        <v>15678.959999999963</v>
      </c>
      <c r="F505" s="5">
        <f>G505+H505+I505+J505+K505+L505+N505+P505+R505+T505+V505+W505+X505+Y505+Z505+AA505+AB505+AC505+AD505+AE505+AF505+AG505</f>
        <v>1656413.77</v>
      </c>
      <c r="G505" s="5">
        <v>0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241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7">
        <v>486.31</v>
      </c>
      <c r="T505" s="48">
        <v>1647382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7">
        <v>9031.77</v>
      </c>
      <c r="AF505" s="5">
        <v>0</v>
      </c>
      <c r="AG505" s="5">
        <v>0</v>
      </c>
      <c r="AH505" s="246" t="s">
        <v>49</v>
      </c>
      <c r="AI505" s="246">
        <v>2020</v>
      </c>
      <c r="AJ505" s="6">
        <v>2020</v>
      </c>
      <c r="AV505" s="2" t="e">
        <f t="shared" si="115"/>
        <v>#N/A</v>
      </c>
      <c r="CB505" s="236"/>
      <c r="CF505" s="2" t="e">
        <f t="shared" si="98"/>
        <v>#N/A</v>
      </c>
    </row>
    <row r="506" spans="1:262" ht="61.5" x14ac:dyDescent="0.85">
      <c r="A506" s="2">
        <v>1</v>
      </c>
      <c r="B506" s="18">
        <f>SUBTOTAL(103,$A$22:A506)</f>
        <v>432</v>
      </c>
      <c r="C506" s="3" t="s">
        <v>1395</v>
      </c>
      <c r="D506" s="5">
        <v>1550573.7599999998</v>
      </c>
      <c r="E506" s="5">
        <f t="shared" si="97"/>
        <v>1040488.1399999998</v>
      </c>
      <c r="F506" s="5">
        <f>G506+H506+I506+J506+K506+L506+N506+P506+R506+T506+V506+W506+X506+Y506+Z506+AA506+AB506+AC506+AD506+AE506+AF506+AG506</f>
        <v>510085.62</v>
      </c>
      <c r="G506" s="5">
        <v>0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241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7">
        <v>438.75</v>
      </c>
      <c r="T506" s="7">
        <v>502547.41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f>ROUND(T506*1.5%,2)</f>
        <v>7538.21</v>
      </c>
      <c r="AF506" s="5">
        <v>0</v>
      </c>
      <c r="AG506" s="5">
        <v>0</v>
      </c>
      <c r="AH506" s="246" t="s">
        <v>49</v>
      </c>
      <c r="AI506" s="246">
        <v>2020</v>
      </c>
      <c r="AJ506" s="6">
        <v>2020</v>
      </c>
      <c r="CB506" s="236"/>
      <c r="CF506" s="2" t="e">
        <f t="shared" si="98"/>
        <v>#N/A</v>
      </c>
    </row>
    <row r="507" spans="1:262" ht="61.5" x14ac:dyDescent="0.85">
      <c r="A507" s="2">
        <v>1</v>
      </c>
      <c r="B507" s="18">
        <f>SUBTOTAL(103,$A$22:A507)</f>
        <v>433</v>
      </c>
      <c r="C507" s="3" t="s">
        <v>1396</v>
      </c>
      <c r="D507" s="5">
        <v>2660827.34</v>
      </c>
      <c r="E507" s="5">
        <f t="shared" si="97"/>
        <v>2579505.33</v>
      </c>
      <c r="F507" s="5">
        <f>G507+H507+I507+J507+K507+L507+N507+P507+R507+T507+V507+W507+X507+Y507+Z507+AA507+AB507+AC507+AD507+AE507+AF507+AG507</f>
        <v>81322.009999999995</v>
      </c>
      <c r="G507" s="5">
        <v>0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241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f>ROUND(T507*1.5%,2)</f>
        <v>0</v>
      </c>
      <c r="AF507" s="5">
        <v>81322.009999999995</v>
      </c>
      <c r="AG507" s="5">
        <v>0</v>
      </c>
      <c r="AH507" s="246">
        <v>2020</v>
      </c>
      <c r="AI507" s="246" t="s">
        <v>49</v>
      </c>
      <c r="AJ507" s="246" t="s">
        <v>49</v>
      </c>
      <c r="CB507" s="236"/>
      <c r="CF507" s="2" t="e">
        <f t="shared" si="98"/>
        <v>#N/A</v>
      </c>
    </row>
    <row r="508" spans="1:262" ht="61.5" x14ac:dyDescent="0.85">
      <c r="A508" s="2">
        <v>1</v>
      </c>
      <c r="B508" s="18">
        <f>SUBTOTAL(103,$A$22:A508)</f>
        <v>434</v>
      </c>
      <c r="C508" s="3" t="s">
        <v>1111</v>
      </c>
      <c r="D508" s="5">
        <v>3100639.4099999997</v>
      </c>
      <c r="E508" s="5">
        <f t="shared" si="97"/>
        <v>0</v>
      </c>
      <c r="F508" s="5">
        <f>G508+H508+I508+J508+K508+L508+N508+P508+R508+T508+V508+W508+X508+Y508+Z508+AA508+AB508+AC508+AD508+AE508+AF508+AG508</f>
        <v>3100639.4099999997</v>
      </c>
      <c r="G508" s="5">
        <v>0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241">
        <v>0</v>
      </c>
      <c r="N508" s="5">
        <v>0</v>
      </c>
      <c r="O508" s="7">
        <v>924.2</v>
      </c>
      <c r="P508" s="7">
        <v>3054817.15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f>ROUND(P508*1.5%,2)</f>
        <v>45822.26</v>
      </c>
      <c r="AF508" s="5">
        <v>0</v>
      </c>
      <c r="AG508" s="5">
        <v>0</v>
      </c>
      <c r="AH508" s="246" t="s">
        <v>49</v>
      </c>
      <c r="AI508" s="246">
        <v>2020</v>
      </c>
      <c r="AJ508" s="6">
        <v>2020</v>
      </c>
      <c r="CB508" s="236"/>
      <c r="CF508" s="2">
        <f t="shared" si="98"/>
        <v>949</v>
      </c>
    </row>
    <row r="509" spans="1:262" ht="61.5" x14ac:dyDescent="0.85">
      <c r="B509" s="3" t="s">
        <v>1397</v>
      </c>
      <c r="C509" s="3"/>
      <c r="D509" s="244">
        <v>2846268.34</v>
      </c>
      <c r="E509" s="233">
        <f t="shared" si="97"/>
        <v>0</v>
      </c>
      <c r="F509" s="244">
        <f t="shared" ref="F509:AG509" si="117">F510</f>
        <v>2846268.34</v>
      </c>
      <c r="G509" s="5">
        <f t="shared" si="117"/>
        <v>0</v>
      </c>
      <c r="H509" s="5">
        <f t="shared" si="117"/>
        <v>0</v>
      </c>
      <c r="I509" s="5">
        <f t="shared" si="117"/>
        <v>0</v>
      </c>
      <c r="J509" s="5">
        <f t="shared" si="117"/>
        <v>0</v>
      </c>
      <c r="K509" s="5">
        <f t="shared" si="117"/>
        <v>0</v>
      </c>
      <c r="L509" s="5">
        <f t="shared" si="117"/>
        <v>0</v>
      </c>
      <c r="M509" s="241">
        <f t="shared" si="117"/>
        <v>0</v>
      </c>
      <c r="N509" s="5">
        <f t="shared" si="117"/>
        <v>0</v>
      </c>
      <c r="O509" s="5">
        <f t="shared" si="117"/>
        <v>613.20000000000005</v>
      </c>
      <c r="P509" s="5">
        <f t="shared" si="117"/>
        <v>2768847</v>
      </c>
      <c r="Q509" s="5">
        <f t="shared" si="117"/>
        <v>0</v>
      </c>
      <c r="R509" s="5">
        <f t="shared" si="117"/>
        <v>0</v>
      </c>
      <c r="S509" s="5">
        <f t="shared" si="117"/>
        <v>0</v>
      </c>
      <c r="T509" s="5">
        <f t="shared" si="117"/>
        <v>0</v>
      </c>
      <c r="U509" s="5">
        <f t="shared" si="117"/>
        <v>0</v>
      </c>
      <c r="V509" s="5">
        <f t="shared" si="117"/>
        <v>0</v>
      </c>
      <c r="W509" s="5">
        <f t="shared" si="117"/>
        <v>0</v>
      </c>
      <c r="X509" s="5">
        <f t="shared" si="117"/>
        <v>0</v>
      </c>
      <c r="Y509" s="5">
        <f t="shared" si="117"/>
        <v>0</v>
      </c>
      <c r="Z509" s="5">
        <f t="shared" si="117"/>
        <v>0</v>
      </c>
      <c r="AA509" s="5">
        <f t="shared" si="117"/>
        <v>0</v>
      </c>
      <c r="AB509" s="5">
        <f t="shared" si="117"/>
        <v>0</v>
      </c>
      <c r="AC509" s="5">
        <f t="shared" si="117"/>
        <v>0</v>
      </c>
      <c r="AD509" s="5">
        <f t="shared" si="117"/>
        <v>0</v>
      </c>
      <c r="AE509" s="5">
        <f t="shared" si="117"/>
        <v>0</v>
      </c>
      <c r="AF509" s="5">
        <f t="shared" si="117"/>
        <v>77421.34</v>
      </c>
      <c r="AG509" s="5">
        <f t="shared" si="117"/>
        <v>0</v>
      </c>
      <c r="AH509" s="23" t="s">
        <v>90</v>
      </c>
      <c r="AI509" s="23" t="s">
        <v>90</v>
      </c>
      <c r="AJ509" s="27" t="s">
        <v>90</v>
      </c>
      <c r="AV509" s="2" t="e">
        <f t="shared" ref="AV509:AV515" si="118">VLOOKUP(C509,AY:AZ,2,FALSE)</f>
        <v>#N/A</v>
      </c>
      <c r="CB509" s="236">
        <v>3314283.2199999997</v>
      </c>
      <c r="CD509" s="236">
        <f>CB509-F509</f>
        <v>468014.87999999989</v>
      </c>
      <c r="CF509" s="2" t="e">
        <f t="shared" si="98"/>
        <v>#N/A</v>
      </c>
    </row>
    <row r="510" spans="1:262" ht="61.5" x14ac:dyDescent="0.85">
      <c r="A510" s="2">
        <v>1</v>
      </c>
      <c r="B510" s="18">
        <f>SUBTOTAL(103,$A$22:A510)</f>
        <v>435</v>
      </c>
      <c r="C510" s="3" t="s">
        <v>1175</v>
      </c>
      <c r="D510" s="5">
        <v>2846268.34</v>
      </c>
      <c r="E510" s="5">
        <f t="shared" ref="E510:E573" si="119">D510-F510</f>
        <v>0</v>
      </c>
      <c r="F510" s="5">
        <f>G510+H510+I510+J510+K510+L510+N510+P510+R510+T510+V510+W510+X510+Y510+Z510+AA510+AB510+AC510+AD510+AE510+AF510+AG510</f>
        <v>2846268.34</v>
      </c>
      <c r="G510" s="5">
        <v>0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241">
        <v>0</v>
      </c>
      <c r="N510" s="5">
        <v>0</v>
      </c>
      <c r="O510" s="7">
        <v>613.20000000000005</v>
      </c>
      <c r="P510" s="7">
        <v>2768847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7">
        <v>77421.34</v>
      </c>
      <c r="AG510" s="5">
        <v>0</v>
      </c>
      <c r="AH510" s="246">
        <v>2020</v>
      </c>
      <c r="AI510" s="246">
        <v>2020</v>
      </c>
      <c r="AJ510" s="6" t="s">
        <v>49</v>
      </c>
      <c r="AV510" s="2" t="e">
        <f t="shared" si="118"/>
        <v>#N/A</v>
      </c>
      <c r="CB510" s="236"/>
      <c r="CF510" s="2">
        <f t="shared" ref="CF510:CF548" si="120">VLOOKUP(C510,CG:CH,2,FALSE)</f>
        <v>613.20000000000005</v>
      </c>
    </row>
    <row r="511" spans="1:262" ht="61.5" x14ac:dyDescent="0.85">
      <c r="B511" s="3" t="s">
        <v>1398</v>
      </c>
      <c r="C511" s="3"/>
      <c r="D511" s="244">
        <v>2720657.6</v>
      </c>
      <c r="E511" s="233">
        <f t="shared" si="119"/>
        <v>-83405.149999999907</v>
      </c>
      <c r="F511" s="244">
        <f>SUM(F512:F513)</f>
        <v>2804062.75</v>
      </c>
      <c r="G511" s="5">
        <f t="shared" ref="G511:AG511" si="121">SUM(G512:G513)</f>
        <v>0</v>
      </c>
      <c r="H511" s="5">
        <f t="shared" si="121"/>
        <v>0</v>
      </c>
      <c r="I511" s="5">
        <f t="shared" si="121"/>
        <v>0</v>
      </c>
      <c r="J511" s="5">
        <f t="shared" si="121"/>
        <v>0</v>
      </c>
      <c r="K511" s="5">
        <f t="shared" si="121"/>
        <v>0</v>
      </c>
      <c r="L511" s="5">
        <f t="shared" si="121"/>
        <v>0</v>
      </c>
      <c r="M511" s="241">
        <f t="shared" si="121"/>
        <v>0</v>
      </c>
      <c r="N511" s="5">
        <f t="shared" si="121"/>
        <v>0</v>
      </c>
      <c r="O511" s="5">
        <f t="shared" si="121"/>
        <v>609.28</v>
      </c>
      <c r="P511" s="5">
        <f t="shared" si="121"/>
        <v>2626425</v>
      </c>
      <c r="Q511" s="5">
        <f t="shared" si="121"/>
        <v>0</v>
      </c>
      <c r="R511" s="5">
        <f t="shared" si="121"/>
        <v>0</v>
      </c>
      <c r="S511" s="5">
        <f t="shared" si="121"/>
        <v>0</v>
      </c>
      <c r="T511" s="5">
        <f t="shared" si="121"/>
        <v>0</v>
      </c>
      <c r="U511" s="5">
        <f t="shared" si="121"/>
        <v>0</v>
      </c>
      <c r="V511" s="5">
        <f t="shared" si="121"/>
        <v>0</v>
      </c>
      <c r="W511" s="5">
        <f t="shared" si="121"/>
        <v>0</v>
      </c>
      <c r="X511" s="5">
        <f t="shared" si="121"/>
        <v>0</v>
      </c>
      <c r="Y511" s="5">
        <f t="shared" si="121"/>
        <v>0</v>
      </c>
      <c r="Z511" s="5">
        <f t="shared" si="121"/>
        <v>0</v>
      </c>
      <c r="AA511" s="5">
        <f t="shared" si="121"/>
        <v>0</v>
      </c>
      <c r="AB511" s="5">
        <f t="shared" si="121"/>
        <v>0</v>
      </c>
      <c r="AC511" s="5">
        <f t="shared" si="121"/>
        <v>0</v>
      </c>
      <c r="AD511" s="5">
        <f t="shared" si="121"/>
        <v>0</v>
      </c>
      <c r="AE511" s="5">
        <f t="shared" si="121"/>
        <v>15246.4</v>
      </c>
      <c r="AF511" s="5">
        <f t="shared" si="121"/>
        <v>162391.35</v>
      </c>
      <c r="AG511" s="5">
        <f t="shared" si="121"/>
        <v>0</v>
      </c>
      <c r="AH511" s="23" t="s">
        <v>90</v>
      </c>
      <c r="AI511" s="23" t="s">
        <v>90</v>
      </c>
      <c r="AJ511" s="27" t="s">
        <v>90</v>
      </c>
      <c r="AV511" s="2" t="e">
        <f t="shared" si="118"/>
        <v>#N/A</v>
      </c>
      <c r="CB511" s="236">
        <v>3133080</v>
      </c>
      <c r="CD511" s="236">
        <f>CB511-F511</f>
        <v>329017.25</v>
      </c>
      <c r="CF511" s="2" t="e">
        <f t="shared" si="120"/>
        <v>#N/A</v>
      </c>
    </row>
    <row r="512" spans="1:262" ht="61.5" x14ac:dyDescent="0.85">
      <c r="A512" s="2">
        <v>1</v>
      </c>
      <c r="B512" s="18">
        <f>SUBTOTAL(103,$A$22:A512)</f>
        <v>436</v>
      </c>
      <c r="C512" s="3" t="s">
        <v>1399</v>
      </c>
      <c r="D512" s="5">
        <v>2720657.6</v>
      </c>
      <c r="E512" s="5">
        <f t="shared" si="119"/>
        <v>1694.0400000000373</v>
      </c>
      <c r="F512" s="5">
        <f>G512+H512+I512+J512+K512+L512+N512+P512+R512+T512+V512+W512+X512+Y512+Z512+AA512+AB512+AC512+AD512+AE512+AF512+AG512</f>
        <v>2718963.56</v>
      </c>
      <c r="G512" s="5">
        <v>0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241">
        <v>0</v>
      </c>
      <c r="N512" s="5">
        <v>0</v>
      </c>
      <c r="O512" s="7">
        <v>609.28</v>
      </c>
      <c r="P512" s="7">
        <v>2626425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7">
        <v>15246.4</v>
      </c>
      <c r="AF512" s="7">
        <v>77292.160000000003</v>
      </c>
      <c r="AG512" s="5">
        <v>0</v>
      </c>
      <c r="AH512" s="246">
        <v>2020</v>
      </c>
      <c r="AI512" s="246">
        <v>2020</v>
      </c>
      <c r="AJ512" s="6">
        <v>2020</v>
      </c>
      <c r="AV512" s="2" t="e">
        <f t="shared" si="118"/>
        <v>#N/A</v>
      </c>
      <c r="CB512" s="236"/>
      <c r="CF512" s="2" t="e">
        <f t="shared" si="120"/>
        <v>#N/A</v>
      </c>
    </row>
    <row r="513" spans="1:262" s="239" customFormat="1" ht="61.5" x14ac:dyDescent="0.85">
      <c r="A513" s="239">
        <v>1</v>
      </c>
      <c r="B513" s="18">
        <f>SUBTOTAL(103,$A$22:A513)</f>
        <v>437</v>
      </c>
      <c r="C513" s="3" t="s">
        <v>1400</v>
      </c>
      <c r="D513" s="5">
        <v>3103317.94</v>
      </c>
      <c r="E513" s="5">
        <f t="shared" si="119"/>
        <v>3018218.75</v>
      </c>
      <c r="F513" s="5">
        <f>G513+H513+I513+J513+K513+L513+N513+P513+R513+T513+V513+W513+X513+Y513+Z513+AA513+AB513+AC513+AD513+AE513+AF513+AG513</f>
        <v>85099.19</v>
      </c>
      <c r="G513" s="5">
        <v>0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2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f>ROUND(P513*1.5%,2)</f>
        <v>0</v>
      </c>
      <c r="AF513" s="5">
        <v>85099.19</v>
      </c>
      <c r="AG513" s="5">
        <v>0</v>
      </c>
      <c r="AH513" s="246">
        <v>2020</v>
      </c>
      <c r="AI513" s="6" t="s">
        <v>49</v>
      </c>
      <c r="AJ513" s="6" t="s">
        <v>49</v>
      </c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 t="e">
        <f t="shared" si="118"/>
        <v>#N/A</v>
      </c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36"/>
      <c r="CC513" s="2"/>
      <c r="CD513" s="2"/>
      <c r="CE513" s="2"/>
      <c r="CF513" s="2" t="e">
        <f t="shared" si="120"/>
        <v>#N/A</v>
      </c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</row>
    <row r="514" spans="1:262" ht="61.5" x14ac:dyDescent="0.85">
      <c r="B514" s="3" t="s">
        <v>118</v>
      </c>
      <c r="C514" s="3"/>
      <c r="D514" s="244">
        <v>5746431.5800000001</v>
      </c>
      <c r="E514" s="233">
        <f t="shared" si="119"/>
        <v>877727.45000000019</v>
      </c>
      <c r="F514" s="244">
        <f>F515+F516</f>
        <v>4868704.13</v>
      </c>
      <c r="G514" s="5">
        <f t="shared" ref="G514:AG514" si="122">G515+G516</f>
        <v>0</v>
      </c>
      <c r="H514" s="5">
        <f t="shared" si="122"/>
        <v>0</v>
      </c>
      <c r="I514" s="5">
        <f t="shared" si="122"/>
        <v>0</v>
      </c>
      <c r="J514" s="5">
        <f t="shared" si="122"/>
        <v>0</v>
      </c>
      <c r="K514" s="5">
        <f t="shared" si="122"/>
        <v>0</v>
      </c>
      <c r="L514" s="5">
        <f t="shared" si="122"/>
        <v>0</v>
      </c>
      <c r="M514" s="241">
        <f t="shared" si="122"/>
        <v>0</v>
      </c>
      <c r="N514" s="5">
        <f t="shared" si="122"/>
        <v>0</v>
      </c>
      <c r="O514" s="5">
        <f t="shared" si="122"/>
        <v>1143</v>
      </c>
      <c r="P514" s="5">
        <f t="shared" si="122"/>
        <v>4643006</v>
      </c>
      <c r="Q514" s="5">
        <f t="shared" si="122"/>
        <v>0</v>
      </c>
      <c r="R514" s="5">
        <f t="shared" si="122"/>
        <v>0</v>
      </c>
      <c r="S514" s="5">
        <f t="shared" si="122"/>
        <v>0</v>
      </c>
      <c r="T514" s="5">
        <f t="shared" si="122"/>
        <v>0</v>
      </c>
      <c r="U514" s="5">
        <f t="shared" si="122"/>
        <v>0</v>
      </c>
      <c r="V514" s="5">
        <f t="shared" si="122"/>
        <v>0</v>
      </c>
      <c r="W514" s="5">
        <f t="shared" si="122"/>
        <v>0</v>
      </c>
      <c r="X514" s="5">
        <f t="shared" si="122"/>
        <v>0</v>
      </c>
      <c r="Y514" s="5">
        <f t="shared" si="122"/>
        <v>0</v>
      </c>
      <c r="Z514" s="5">
        <f t="shared" si="122"/>
        <v>0</v>
      </c>
      <c r="AA514" s="5">
        <f t="shared" si="122"/>
        <v>0</v>
      </c>
      <c r="AB514" s="5">
        <f t="shared" si="122"/>
        <v>0</v>
      </c>
      <c r="AC514" s="5">
        <f t="shared" si="122"/>
        <v>0</v>
      </c>
      <c r="AD514" s="5">
        <f t="shared" si="122"/>
        <v>0</v>
      </c>
      <c r="AE514" s="5">
        <f t="shared" si="122"/>
        <v>29947.39</v>
      </c>
      <c r="AF514" s="5">
        <f t="shared" si="122"/>
        <v>195750.74</v>
      </c>
      <c r="AG514" s="5">
        <f t="shared" si="122"/>
        <v>0</v>
      </c>
      <c r="AH514" s="23" t="s">
        <v>90</v>
      </c>
      <c r="AI514" s="23" t="s">
        <v>90</v>
      </c>
      <c r="AJ514" s="27" t="s">
        <v>90</v>
      </c>
      <c r="AV514" s="2" t="e">
        <f t="shared" si="118"/>
        <v>#N/A</v>
      </c>
      <c r="CB514" s="236">
        <v>5968517.3999999994</v>
      </c>
      <c r="CD514" s="236">
        <f>CB514-F514</f>
        <v>1099813.2699999996</v>
      </c>
      <c r="CF514" s="2" t="e">
        <f t="shared" si="120"/>
        <v>#N/A</v>
      </c>
    </row>
    <row r="515" spans="1:262" ht="61.5" x14ac:dyDescent="0.85">
      <c r="A515" s="2">
        <v>1</v>
      </c>
      <c r="B515" s="18">
        <f>SUBTOTAL(103,$A$22:A515)</f>
        <v>438</v>
      </c>
      <c r="C515" s="3" t="s">
        <v>1401</v>
      </c>
      <c r="D515" s="5">
        <v>4831403.93</v>
      </c>
      <c r="E515" s="5">
        <f t="shared" si="119"/>
        <v>0</v>
      </c>
      <c r="F515" s="5">
        <f>G515+H515+I515+J515+K515+L515+N515+P515+R515+T515+V515+W515+X515+Y515+Z515+AA515+AB515+AC515+AD515+AE515+AF515+AG515</f>
        <v>4831403.93</v>
      </c>
      <c r="G515" s="5">
        <v>0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241">
        <v>0</v>
      </c>
      <c r="N515" s="5">
        <v>0</v>
      </c>
      <c r="O515" s="5">
        <v>1143</v>
      </c>
      <c r="P515" s="7">
        <v>4643006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7">
        <v>29947.39</v>
      </c>
      <c r="AF515" s="7">
        <v>158450.54</v>
      </c>
      <c r="AG515" s="5">
        <v>0</v>
      </c>
      <c r="AH515" s="246">
        <v>2020</v>
      </c>
      <c r="AI515" s="246">
        <v>2020</v>
      </c>
      <c r="AJ515" s="6">
        <v>2020</v>
      </c>
      <c r="AV515" s="2" t="e">
        <f t="shared" si="118"/>
        <v>#N/A</v>
      </c>
      <c r="CB515" s="236"/>
      <c r="CF515" s="2" t="e">
        <f t="shared" si="120"/>
        <v>#N/A</v>
      </c>
    </row>
    <row r="516" spans="1:262" ht="61.5" x14ac:dyDescent="0.85">
      <c r="A516" s="2">
        <v>1</v>
      </c>
      <c r="B516" s="18">
        <f>SUBTOTAL(103,$A$22:A516)</f>
        <v>439</v>
      </c>
      <c r="C516" s="3" t="s">
        <v>1402</v>
      </c>
      <c r="D516" s="5">
        <v>915027.65</v>
      </c>
      <c r="E516" s="5">
        <f t="shared" si="119"/>
        <v>877727.45000000007</v>
      </c>
      <c r="F516" s="5">
        <f>G516+H516+I516+J516+K516+L516+N516+P516+R516+T516+V516+W516+X516+Y516+Z516+AA516+AB516+AC516+AD516+AE516+AF516+AG516</f>
        <v>37300.199999999997</v>
      </c>
      <c r="G516" s="5">
        <v>0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241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f>ROUND(J516*1.5%,2)</f>
        <v>0</v>
      </c>
      <c r="AF516" s="7">
        <v>37300.199999999997</v>
      </c>
      <c r="AG516" s="5">
        <v>0</v>
      </c>
      <c r="AH516" s="246">
        <v>2020</v>
      </c>
      <c r="AI516" s="6" t="s">
        <v>49</v>
      </c>
      <c r="AJ516" s="6" t="s">
        <v>49</v>
      </c>
      <c r="CB516" s="236"/>
      <c r="CF516" s="2" t="e">
        <f t="shared" si="120"/>
        <v>#N/A</v>
      </c>
    </row>
    <row r="517" spans="1:262" ht="61.5" x14ac:dyDescent="0.85">
      <c r="B517" s="3" t="s">
        <v>119</v>
      </c>
      <c r="C517" s="3"/>
      <c r="D517" s="244">
        <v>2598169.9500000002</v>
      </c>
      <c r="E517" s="233">
        <f t="shared" si="119"/>
        <v>27613.729999999981</v>
      </c>
      <c r="F517" s="244">
        <f t="shared" ref="F517:AG517" si="123">F518</f>
        <v>2570556.2200000002</v>
      </c>
      <c r="G517" s="5">
        <f t="shared" si="123"/>
        <v>0</v>
      </c>
      <c r="H517" s="5">
        <f t="shared" si="123"/>
        <v>0</v>
      </c>
      <c r="I517" s="5">
        <f t="shared" si="123"/>
        <v>0</v>
      </c>
      <c r="J517" s="5">
        <f t="shared" si="123"/>
        <v>0</v>
      </c>
      <c r="K517" s="5">
        <f t="shared" si="123"/>
        <v>0</v>
      </c>
      <c r="L517" s="5">
        <f t="shared" si="123"/>
        <v>0</v>
      </c>
      <c r="M517" s="241">
        <f t="shared" si="123"/>
        <v>0</v>
      </c>
      <c r="N517" s="5">
        <f t="shared" si="123"/>
        <v>0</v>
      </c>
      <c r="O517" s="5">
        <f t="shared" si="123"/>
        <v>694.7</v>
      </c>
      <c r="P517" s="5">
        <f t="shared" si="123"/>
        <v>2481018</v>
      </c>
      <c r="Q517" s="5">
        <f t="shared" si="123"/>
        <v>0</v>
      </c>
      <c r="R517" s="5">
        <f t="shared" si="123"/>
        <v>0</v>
      </c>
      <c r="S517" s="5">
        <f t="shared" si="123"/>
        <v>0</v>
      </c>
      <c r="T517" s="5">
        <f t="shared" si="123"/>
        <v>0</v>
      </c>
      <c r="U517" s="5">
        <f t="shared" si="123"/>
        <v>0</v>
      </c>
      <c r="V517" s="5">
        <f t="shared" si="123"/>
        <v>0</v>
      </c>
      <c r="W517" s="5">
        <f t="shared" si="123"/>
        <v>0</v>
      </c>
      <c r="X517" s="5">
        <f t="shared" si="123"/>
        <v>0</v>
      </c>
      <c r="Y517" s="5">
        <f t="shared" si="123"/>
        <v>0</v>
      </c>
      <c r="Z517" s="5">
        <f t="shared" si="123"/>
        <v>0</v>
      </c>
      <c r="AA517" s="5">
        <f t="shared" si="123"/>
        <v>0</v>
      </c>
      <c r="AB517" s="5">
        <f t="shared" si="123"/>
        <v>0</v>
      </c>
      <c r="AC517" s="5">
        <f t="shared" si="123"/>
        <v>0</v>
      </c>
      <c r="AD517" s="5">
        <f t="shared" si="123"/>
        <v>0</v>
      </c>
      <c r="AE517" s="5">
        <f t="shared" si="123"/>
        <v>9601.5400000000009</v>
      </c>
      <c r="AF517" s="5">
        <f t="shared" si="123"/>
        <v>79936.679999999993</v>
      </c>
      <c r="AG517" s="5">
        <f t="shared" si="123"/>
        <v>0</v>
      </c>
      <c r="AH517" s="23" t="s">
        <v>90</v>
      </c>
      <c r="AI517" s="23" t="s">
        <v>90</v>
      </c>
      <c r="AJ517" s="27" t="s">
        <v>90</v>
      </c>
      <c r="AV517" s="2" t="e">
        <f>VLOOKUP(C517,AY:AZ,2,FALSE)</f>
        <v>#N/A</v>
      </c>
      <c r="CB517" s="236">
        <v>3253210.4899999998</v>
      </c>
      <c r="CD517" s="236">
        <f>CB517-F517</f>
        <v>682654.26999999955</v>
      </c>
      <c r="CF517" s="2" t="e">
        <f t="shared" si="120"/>
        <v>#N/A</v>
      </c>
    </row>
    <row r="518" spans="1:262" ht="61.5" x14ac:dyDescent="0.85">
      <c r="A518" s="2">
        <v>1</v>
      </c>
      <c r="B518" s="18">
        <f>SUBTOTAL(103,$A$22:A518)</f>
        <v>440</v>
      </c>
      <c r="C518" s="3" t="s">
        <v>1403</v>
      </c>
      <c r="D518" s="5">
        <v>2598169.9500000002</v>
      </c>
      <c r="E518" s="5">
        <f t="shared" si="119"/>
        <v>27613.729999999981</v>
      </c>
      <c r="F518" s="5">
        <f>G518+H518+I518+J518+K518+L518+N518+P518+R518+T518+V518+W518+X518+Y518+Z518+AA518+AB518+AC518+AD518+AE518+AF518+AG518</f>
        <v>2570556.2200000002</v>
      </c>
      <c r="G518" s="5">
        <v>0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241">
        <v>0</v>
      </c>
      <c r="N518" s="5">
        <v>0</v>
      </c>
      <c r="O518" s="7">
        <v>694.7</v>
      </c>
      <c r="P518" s="7">
        <v>2481018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7">
        <v>9601.5400000000009</v>
      </c>
      <c r="AF518" s="7">
        <v>79936.679999999993</v>
      </c>
      <c r="AG518" s="5">
        <v>0</v>
      </c>
      <c r="AH518" s="246">
        <v>2020</v>
      </c>
      <c r="AI518" s="246">
        <v>2020</v>
      </c>
      <c r="AJ518" s="6">
        <v>2020</v>
      </c>
      <c r="AV518" s="2" t="e">
        <f>VLOOKUP(C518,AY:AZ,2,FALSE)</f>
        <v>#N/A</v>
      </c>
      <c r="CB518" s="236"/>
      <c r="CF518" s="2" t="e">
        <f t="shared" si="120"/>
        <v>#N/A</v>
      </c>
    </row>
    <row r="519" spans="1:262" ht="61.5" x14ac:dyDescent="0.85">
      <c r="B519" s="3" t="s">
        <v>1404</v>
      </c>
      <c r="C519" s="3"/>
      <c r="D519" s="244">
        <v>2309984.3499999996</v>
      </c>
      <c r="E519" s="233">
        <f t="shared" si="119"/>
        <v>-87282.819999999832</v>
      </c>
      <c r="F519" s="244">
        <f>SUM(F520:F521)</f>
        <v>2397267.1699999995</v>
      </c>
      <c r="G519" s="5">
        <f t="shared" ref="G519:AG519" si="124">SUM(G520:G521)</f>
        <v>0</v>
      </c>
      <c r="H519" s="5">
        <f t="shared" si="124"/>
        <v>0</v>
      </c>
      <c r="I519" s="5">
        <f t="shared" si="124"/>
        <v>679682.53</v>
      </c>
      <c r="J519" s="5">
        <f t="shared" si="124"/>
        <v>74978.2</v>
      </c>
      <c r="K519" s="5">
        <f t="shared" si="124"/>
        <v>1521354.0899999999</v>
      </c>
      <c r="L519" s="5">
        <f t="shared" si="124"/>
        <v>0</v>
      </c>
      <c r="M519" s="241">
        <f t="shared" si="124"/>
        <v>0</v>
      </c>
      <c r="N519" s="5">
        <f t="shared" si="124"/>
        <v>0</v>
      </c>
      <c r="O519" s="5">
        <f t="shared" si="124"/>
        <v>0</v>
      </c>
      <c r="P519" s="5">
        <f t="shared" si="124"/>
        <v>0</v>
      </c>
      <c r="Q519" s="5">
        <f t="shared" si="124"/>
        <v>0</v>
      </c>
      <c r="R519" s="5">
        <f t="shared" si="124"/>
        <v>0</v>
      </c>
      <c r="S519" s="5">
        <f t="shared" si="124"/>
        <v>0</v>
      </c>
      <c r="T519" s="5">
        <f t="shared" si="124"/>
        <v>0</v>
      </c>
      <c r="U519" s="5">
        <f t="shared" si="124"/>
        <v>0</v>
      </c>
      <c r="V519" s="5">
        <f t="shared" si="124"/>
        <v>0</v>
      </c>
      <c r="W519" s="5">
        <f t="shared" si="124"/>
        <v>0</v>
      </c>
      <c r="X519" s="5">
        <f t="shared" si="124"/>
        <v>0</v>
      </c>
      <c r="Y519" s="5">
        <f t="shared" si="124"/>
        <v>0</v>
      </c>
      <c r="Z519" s="5">
        <f t="shared" si="124"/>
        <v>0</v>
      </c>
      <c r="AA519" s="5">
        <f t="shared" si="124"/>
        <v>0</v>
      </c>
      <c r="AB519" s="5">
        <f t="shared" si="124"/>
        <v>0</v>
      </c>
      <c r="AC519" s="5">
        <f t="shared" si="124"/>
        <v>0</v>
      </c>
      <c r="AD519" s="5">
        <f t="shared" si="124"/>
        <v>0</v>
      </c>
      <c r="AE519" s="5">
        <f t="shared" si="124"/>
        <v>33969.53</v>
      </c>
      <c r="AF519" s="5">
        <f t="shared" si="124"/>
        <v>87282.82</v>
      </c>
      <c r="AG519" s="5">
        <f t="shared" si="124"/>
        <v>0</v>
      </c>
      <c r="AH519" s="23" t="s">
        <v>90</v>
      </c>
      <c r="AI519" s="23" t="s">
        <v>90</v>
      </c>
      <c r="AJ519" s="27" t="s">
        <v>90</v>
      </c>
      <c r="CB519" s="236">
        <v>2309984.35</v>
      </c>
      <c r="CD519" s="236">
        <f>CB519-F519</f>
        <v>-87282.819999999367</v>
      </c>
      <c r="CF519" s="2" t="e">
        <f t="shared" si="120"/>
        <v>#N/A</v>
      </c>
    </row>
    <row r="520" spans="1:262" ht="61.5" x14ac:dyDescent="0.85">
      <c r="A520" s="2">
        <v>1</v>
      </c>
      <c r="B520" s="18">
        <f>SUBTOTAL(103,$A$22:A520)</f>
        <v>441</v>
      </c>
      <c r="C520" s="3" t="s">
        <v>1405</v>
      </c>
      <c r="D520" s="5">
        <v>2309984.3499999996</v>
      </c>
      <c r="E520" s="5">
        <f t="shared" si="119"/>
        <v>0</v>
      </c>
      <c r="F520" s="5">
        <f>G520+H520+I520+J520+K520+L520+N520+P520+R520+T520+V520+W520+X520+Y520+Z520+AA520+AB520+AC520+AD520+AE520+AF520+AG520</f>
        <v>2309984.3499999996</v>
      </c>
      <c r="G520" s="5">
        <v>0</v>
      </c>
      <c r="H520" s="5">
        <v>0</v>
      </c>
      <c r="I520" s="7">
        <v>679682.53</v>
      </c>
      <c r="J520" s="48">
        <v>74978.2</v>
      </c>
      <c r="K520" s="5">
        <f>574321.54+946962.57+69.98</f>
        <v>1521354.0899999999</v>
      </c>
      <c r="L520" s="5">
        <v>0</v>
      </c>
      <c r="M520" s="241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f>ROUND((G520+H520+I520+J520+K520+L520)*1.4925%,2)+0.01</f>
        <v>33969.53</v>
      </c>
      <c r="AF520" s="5">
        <v>0</v>
      </c>
      <c r="AG520" s="5">
        <v>0</v>
      </c>
      <c r="AH520" s="246" t="s">
        <v>49</v>
      </c>
      <c r="AI520" s="246">
        <v>2020</v>
      </c>
      <c r="AJ520" s="6">
        <v>2020</v>
      </c>
      <c r="CB520" s="236"/>
      <c r="CF520" s="2" t="e">
        <f t="shared" si="120"/>
        <v>#N/A</v>
      </c>
    </row>
    <row r="521" spans="1:262" s="239" customFormat="1" ht="61.5" x14ac:dyDescent="0.85">
      <c r="A521" s="239">
        <v>1</v>
      </c>
      <c r="B521" s="18">
        <f>SUBTOTAL(103,$A$22:A521)</f>
        <v>442</v>
      </c>
      <c r="C521" s="3" t="s">
        <v>1406</v>
      </c>
      <c r="D521" s="5">
        <v>3655260</v>
      </c>
      <c r="E521" s="5">
        <f t="shared" si="119"/>
        <v>3567977.18</v>
      </c>
      <c r="F521" s="5">
        <f>G521+H521+I521+J521+K521+L521+N521+P521+R521+T521+V521+W521+X521+Y521+Z521+AA521+AB521+AC521+AD521+AE521+AF521+AG521</f>
        <v>87282.82</v>
      </c>
      <c r="G521" s="5">
        <v>0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2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f>ROUND(P521*1.5%,2)</f>
        <v>0</v>
      </c>
      <c r="AF521" s="5">
        <v>87282.82</v>
      </c>
      <c r="AG521" s="5">
        <v>0</v>
      </c>
      <c r="AH521" s="246">
        <v>2020</v>
      </c>
      <c r="AI521" s="246" t="s">
        <v>49</v>
      </c>
      <c r="AJ521" s="246" t="s">
        <v>49</v>
      </c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 t="e">
        <f>VLOOKUP(C521,AY:AZ,2,FALSE)</f>
        <v>#N/A</v>
      </c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36"/>
      <c r="CC521" s="2"/>
      <c r="CD521" s="2"/>
      <c r="CE521" s="2"/>
      <c r="CF521" s="2" t="e">
        <f t="shared" si="120"/>
        <v>#N/A</v>
      </c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</row>
    <row r="522" spans="1:262" ht="61.5" x14ac:dyDescent="0.85">
      <c r="B522" s="3" t="s">
        <v>120</v>
      </c>
      <c r="C522" s="442"/>
      <c r="D522" s="244">
        <v>6366130.2999999998</v>
      </c>
      <c r="E522" s="233">
        <f t="shared" si="119"/>
        <v>732600.75</v>
      </c>
      <c r="F522" s="244">
        <f t="shared" ref="F522:AG522" si="125">SUM(F523:F527)</f>
        <v>5633529.5499999998</v>
      </c>
      <c r="G522" s="5">
        <f t="shared" si="125"/>
        <v>0</v>
      </c>
      <c r="H522" s="5">
        <f t="shared" si="125"/>
        <v>0</v>
      </c>
      <c r="I522" s="5">
        <f t="shared" si="125"/>
        <v>0</v>
      </c>
      <c r="J522" s="5">
        <f t="shared" si="125"/>
        <v>0</v>
      </c>
      <c r="K522" s="5">
        <f t="shared" si="125"/>
        <v>633864</v>
      </c>
      <c r="L522" s="5">
        <f t="shared" si="125"/>
        <v>0</v>
      </c>
      <c r="M522" s="241">
        <f t="shared" si="125"/>
        <v>0</v>
      </c>
      <c r="N522" s="5">
        <f t="shared" si="125"/>
        <v>0</v>
      </c>
      <c r="O522" s="5">
        <f t="shared" si="125"/>
        <v>1103.55</v>
      </c>
      <c r="P522" s="5">
        <f t="shared" si="125"/>
        <v>4583091.24</v>
      </c>
      <c r="Q522" s="5">
        <f t="shared" si="125"/>
        <v>0</v>
      </c>
      <c r="R522" s="5">
        <f t="shared" si="125"/>
        <v>0</v>
      </c>
      <c r="S522" s="5">
        <f t="shared" si="125"/>
        <v>0</v>
      </c>
      <c r="T522" s="5">
        <f t="shared" si="125"/>
        <v>0</v>
      </c>
      <c r="U522" s="5">
        <f t="shared" si="125"/>
        <v>0</v>
      </c>
      <c r="V522" s="5">
        <f t="shared" si="125"/>
        <v>0</v>
      </c>
      <c r="W522" s="5">
        <f t="shared" si="125"/>
        <v>0</v>
      </c>
      <c r="X522" s="5">
        <f t="shared" si="125"/>
        <v>0</v>
      </c>
      <c r="Y522" s="5">
        <f t="shared" si="125"/>
        <v>0</v>
      </c>
      <c r="Z522" s="5">
        <f t="shared" si="125"/>
        <v>0</v>
      </c>
      <c r="AA522" s="5">
        <f t="shared" si="125"/>
        <v>0</v>
      </c>
      <c r="AB522" s="5">
        <f t="shared" si="125"/>
        <v>0</v>
      </c>
      <c r="AC522" s="5">
        <f t="shared" si="125"/>
        <v>0</v>
      </c>
      <c r="AD522" s="5">
        <f t="shared" si="125"/>
        <v>0</v>
      </c>
      <c r="AE522" s="5">
        <f t="shared" si="125"/>
        <v>72158.38</v>
      </c>
      <c r="AF522" s="5">
        <f t="shared" si="125"/>
        <v>104415.93</v>
      </c>
      <c r="AG522" s="5">
        <f t="shared" si="125"/>
        <v>240000</v>
      </c>
      <c r="AH522" s="23" t="s">
        <v>90</v>
      </c>
      <c r="AI522" s="23" t="s">
        <v>90</v>
      </c>
      <c r="AJ522" s="27" t="s">
        <v>90</v>
      </c>
      <c r="AV522" s="2" t="e">
        <f>VLOOKUP(C522,AY:AZ,2,FALSE)</f>
        <v>#N/A</v>
      </c>
      <c r="CB522" s="236">
        <v>7354613.0300000003</v>
      </c>
      <c r="CD522" s="236">
        <f>CB522-F522</f>
        <v>1721083.4800000004</v>
      </c>
      <c r="CF522" s="2" t="e">
        <f t="shared" si="120"/>
        <v>#N/A</v>
      </c>
    </row>
    <row r="523" spans="1:262" ht="61.5" x14ac:dyDescent="0.85">
      <c r="A523" s="2">
        <v>1</v>
      </c>
      <c r="B523" s="18">
        <f>SUBTOTAL(103,$A$22:A523)</f>
        <v>443</v>
      </c>
      <c r="C523" s="3" t="s">
        <v>1179</v>
      </c>
      <c r="D523" s="5">
        <v>1338107.19</v>
      </c>
      <c r="E523" s="5">
        <f t="shared" si="119"/>
        <v>-480742.30000000005</v>
      </c>
      <c r="F523" s="5">
        <f t="shared" ref="F523:F527" si="126">G523+H523+I523+J523+K523+L523+N523+P523+R523+T523+V523+W523+X523+Y523+Z523+AA523+AB523+AC523+AD523+AE523+AF523+AG523</f>
        <v>1818849.49</v>
      </c>
      <c r="G523" s="5">
        <v>0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241">
        <v>0</v>
      </c>
      <c r="N523" s="5">
        <v>0</v>
      </c>
      <c r="O523" s="7">
        <v>255.2</v>
      </c>
      <c r="P523" s="7">
        <f>1282944.32+473637.73</f>
        <v>1756582.05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f>ROUND(P523*1.5%,2)</f>
        <v>26348.73</v>
      </c>
      <c r="AF523" s="7">
        <v>35918.71</v>
      </c>
      <c r="AG523" s="5">
        <v>0</v>
      </c>
      <c r="AH523" s="246">
        <v>2020</v>
      </c>
      <c r="AI523" s="246">
        <v>2020</v>
      </c>
      <c r="AJ523" s="6">
        <v>2020</v>
      </c>
      <c r="AV523" s="2" t="e">
        <f>VLOOKUP(C523,AY:AZ,2,FALSE)</f>
        <v>#N/A</v>
      </c>
      <c r="CB523" s="236"/>
      <c r="CF523" s="2">
        <f t="shared" si="120"/>
        <v>255.2</v>
      </c>
    </row>
    <row r="524" spans="1:262" ht="61.5" x14ac:dyDescent="0.85">
      <c r="A524" s="2">
        <v>1</v>
      </c>
      <c r="B524" s="18">
        <f>SUBTOTAL(103,$A$22:A524)</f>
        <v>444</v>
      </c>
      <c r="C524" s="3" t="s">
        <v>1407</v>
      </c>
      <c r="D524" s="5">
        <v>68497.22</v>
      </c>
      <c r="E524" s="5">
        <f t="shared" si="119"/>
        <v>0</v>
      </c>
      <c r="F524" s="5">
        <f t="shared" si="126"/>
        <v>68497.22</v>
      </c>
      <c r="G524" s="5">
        <v>0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241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f>ROUND(P524*1.5%,2)</f>
        <v>0</v>
      </c>
      <c r="AF524" s="7">
        <v>68497.22</v>
      </c>
      <c r="AG524" s="5">
        <v>0</v>
      </c>
      <c r="AH524" s="246">
        <v>2020</v>
      </c>
      <c r="AI524" s="246" t="s">
        <v>49</v>
      </c>
      <c r="AJ524" s="246" t="s">
        <v>49</v>
      </c>
      <c r="AV524" s="2" t="e">
        <f>VLOOKUP(C524,AY:AZ,2,FALSE)</f>
        <v>#N/A</v>
      </c>
      <c r="CB524" s="236"/>
      <c r="CF524" s="2" t="e">
        <f t="shared" si="120"/>
        <v>#N/A</v>
      </c>
    </row>
    <row r="525" spans="1:262" ht="61.5" x14ac:dyDescent="0.85">
      <c r="A525" s="2">
        <v>1</v>
      </c>
      <c r="B525" s="18">
        <f>SUBTOTAL(103,$A$22:A525)</f>
        <v>445</v>
      </c>
      <c r="C525" s="3" t="s">
        <v>1113</v>
      </c>
      <c r="D525" s="5">
        <v>2173966.8199999998</v>
      </c>
      <c r="E525" s="5">
        <f t="shared" si="119"/>
        <v>398275.36999999965</v>
      </c>
      <c r="F525" s="5">
        <f t="shared" si="126"/>
        <v>1775691.4500000002</v>
      </c>
      <c r="G525" s="5">
        <v>0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241">
        <v>0</v>
      </c>
      <c r="N525" s="5">
        <v>0</v>
      </c>
      <c r="O525" s="7">
        <v>440.35</v>
      </c>
      <c r="P525" s="7">
        <v>1631223.1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f>ROUND(P525*1.5%,2)</f>
        <v>24468.35</v>
      </c>
      <c r="AF525" s="5">
        <v>0</v>
      </c>
      <c r="AG525" s="5">
        <v>120000</v>
      </c>
      <c r="AH525" s="246" t="s">
        <v>49</v>
      </c>
      <c r="AI525" s="246">
        <v>2020</v>
      </c>
      <c r="AJ525" s="6">
        <v>2020</v>
      </c>
      <c r="CB525" s="236"/>
      <c r="CF525" s="2">
        <f t="shared" si="120"/>
        <v>437.4</v>
      </c>
    </row>
    <row r="526" spans="1:262" ht="61.5" x14ac:dyDescent="0.85">
      <c r="A526" s="2">
        <v>1</v>
      </c>
      <c r="B526" s="18">
        <f>SUBTOTAL(103,$A$22:A526)</f>
        <v>446</v>
      </c>
      <c r="C526" s="3" t="s">
        <v>1115</v>
      </c>
      <c r="D526" s="5">
        <v>1333215.3800000001</v>
      </c>
      <c r="E526" s="5">
        <f t="shared" si="119"/>
        <v>6095.9599999999627</v>
      </c>
      <c r="F526" s="5">
        <f t="shared" si="126"/>
        <v>1327119.4200000002</v>
      </c>
      <c r="G526" s="5">
        <v>0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241">
        <v>0</v>
      </c>
      <c r="N526" s="5">
        <v>0</v>
      </c>
      <c r="O526" s="7">
        <v>408</v>
      </c>
      <c r="P526" s="7">
        <v>1195286.0900000001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48">
        <v>11833.33</v>
      </c>
      <c r="AF526" s="5">
        <v>0</v>
      </c>
      <c r="AG526" s="5">
        <v>120000</v>
      </c>
      <c r="AH526" s="246" t="s">
        <v>49</v>
      </c>
      <c r="AI526" s="246">
        <v>2020</v>
      </c>
      <c r="AJ526" s="6">
        <v>2020</v>
      </c>
      <c r="CB526" s="236"/>
      <c r="CF526" s="2">
        <f t="shared" si="120"/>
        <v>408</v>
      </c>
    </row>
    <row r="527" spans="1:262" ht="61.5" x14ac:dyDescent="0.85">
      <c r="A527" s="2">
        <v>1</v>
      </c>
      <c r="B527" s="18">
        <f>SUBTOTAL(103,$A$22:A527)</f>
        <v>447</v>
      </c>
      <c r="C527" s="3" t="s">
        <v>1408</v>
      </c>
      <c r="D527" s="5">
        <v>725838.89999999991</v>
      </c>
      <c r="E527" s="5">
        <f t="shared" si="119"/>
        <v>82466.929999999935</v>
      </c>
      <c r="F527" s="5">
        <f t="shared" si="126"/>
        <v>643371.97</v>
      </c>
      <c r="G527" s="5">
        <v>0</v>
      </c>
      <c r="H527" s="5">
        <v>0</v>
      </c>
      <c r="I527" s="5">
        <v>0</v>
      </c>
      <c r="J527" s="5">
        <v>0</v>
      </c>
      <c r="K527" s="441">
        <v>633864</v>
      </c>
      <c r="L527" s="5">
        <v>0</v>
      </c>
      <c r="M527" s="241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f>ROUND(K527*1.5%,2)+0.01</f>
        <v>9507.9699999999993</v>
      </c>
      <c r="AF527" s="5">
        <v>0</v>
      </c>
      <c r="AG527" s="5">
        <v>0</v>
      </c>
      <c r="AH527" s="246" t="s">
        <v>49</v>
      </c>
      <c r="AI527" s="246">
        <v>2020</v>
      </c>
      <c r="AJ527" s="6">
        <v>2020</v>
      </c>
      <c r="CB527" s="236"/>
      <c r="CF527" s="2" t="e">
        <f t="shared" si="120"/>
        <v>#N/A</v>
      </c>
    </row>
    <row r="528" spans="1:262" ht="61.5" x14ac:dyDescent="0.85">
      <c r="B528" s="3" t="s">
        <v>121</v>
      </c>
      <c r="C528" s="3"/>
      <c r="D528" s="244">
        <v>4880587.2799999993</v>
      </c>
      <c r="E528" s="233">
        <f t="shared" si="119"/>
        <v>898415.65999999922</v>
      </c>
      <c r="F528" s="244">
        <f t="shared" ref="F528:AG528" si="127">F529</f>
        <v>3982171.62</v>
      </c>
      <c r="G528" s="5">
        <f t="shared" si="127"/>
        <v>0</v>
      </c>
      <c r="H528" s="5">
        <f t="shared" si="127"/>
        <v>0</v>
      </c>
      <c r="I528" s="5">
        <f t="shared" si="127"/>
        <v>0</v>
      </c>
      <c r="J528" s="5">
        <f t="shared" si="127"/>
        <v>0</v>
      </c>
      <c r="K528" s="5">
        <f t="shared" si="127"/>
        <v>0</v>
      </c>
      <c r="L528" s="5">
        <f t="shared" si="127"/>
        <v>0</v>
      </c>
      <c r="M528" s="241">
        <f t="shared" si="127"/>
        <v>0</v>
      </c>
      <c r="N528" s="5">
        <f t="shared" si="127"/>
        <v>0</v>
      </c>
      <c r="O528" s="5">
        <f t="shared" si="127"/>
        <v>1024.72</v>
      </c>
      <c r="P528" s="5">
        <f t="shared" si="127"/>
        <v>3826730.34</v>
      </c>
      <c r="Q528" s="5">
        <f t="shared" si="127"/>
        <v>0</v>
      </c>
      <c r="R528" s="5">
        <f t="shared" si="127"/>
        <v>0</v>
      </c>
      <c r="S528" s="5">
        <f t="shared" si="127"/>
        <v>0</v>
      </c>
      <c r="T528" s="5">
        <f t="shared" si="127"/>
        <v>0</v>
      </c>
      <c r="U528" s="5">
        <f t="shared" si="127"/>
        <v>0</v>
      </c>
      <c r="V528" s="5">
        <f t="shared" si="127"/>
        <v>0</v>
      </c>
      <c r="W528" s="5">
        <f t="shared" si="127"/>
        <v>0</v>
      </c>
      <c r="X528" s="5">
        <f t="shared" si="127"/>
        <v>0</v>
      </c>
      <c r="Y528" s="5">
        <f t="shared" si="127"/>
        <v>0</v>
      </c>
      <c r="Z528" s="5">
        <f t="shared" si="127"/>
        <v>0</v>
      </c>
      <c r="AA528" s="5">
        <f t="shared" si="127"/>
        <v>0</v>
      </c>
      <c r="AB528" s="5">
        <f t="shared" si="127"/>
        <v>0</v>
      </c>
      <c r="AC528" s="5">
        <f t="shared" si="127"/>
        <v>0</v>
      </c>
      <c r="AD528" s="5">
        <f t="shared" si="127"/>
        <v>0</v>
      </c>
      <c r="AE528" s="5">
        <f t="shared" si="127"/>
        <v>49364.83</v>
      </c>
      <c r="AF528" s="5">
        <f t="shared" si="127"/>
        <v>106076.45</v>
      </c>
      <c r="AG528" s="5">
        <f t="shared" si="127"/>
        <v>0</v>
      </c>
      <c r="AH528" s="23" t="s">
        <v>90</v>
      </c>
      <c r="AI528" s="23" t="s">
        <v>90</v>
      </c>
      <c r="AJ528" s="27" t="s">
        <v>90</v>
      </c>
      <c r="AV528" s="2" t="e">
        <f>VLOOKUP(C528,AY:AZ,2,FALSE)</f>
        <v>#N/A</v>
      </c>
      <c r="CB528" s="236">
        <v>5403513.4500000002</v>
      </c>
      <c r="CD528" s="236">
        <f>CB528-F528</f>
        <v>1421341.83</v>
      </c>
      <c r="CF528" s="2" t="e">
        <f t="shared" si="120"/>
        <v>#N/A</v>
      </c>
    </row>
    <row r="529" spans="1:262" ht="61.5" x14ac:dyDescent="0.85">
      <c r="A529" s="2">
        <v>1</v>
      </c>
      <c r="B529" s="18">
        <f>SUBTOTAL(103,$A$22:A529)</f>
        <v>448</v>
      </c>
      <c r="C529" s="3" t="s">
        <v>1117</v>
      </c>
      <c r="D529" s="5">
        <v>4880587.2799999993</v>
      </c>
      <c r="E529" s="5">
        <f t="shared" si="119"/>
        <v>898415.65999999922</v>
      </c>
      <c r="F529" s="5">
        <f>G529+H529+I529+J529+K529+L529+N529+P529+R529+T529+V529+W529+X529+Y529+Z529+AA529+AB529+AC529+AD529+AE529+AF529+AG529</f>
        <v>3982171.62</v>
      </c>
      <c r="G529" s="5">
        <v>0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241">
        <v>0</v>
      </c>
      <c r="N529" s="5">
        <v>0</v>
      </c>
      <c r="O529" s="7">
        <v>1024.72</v>
      </c>
      <c r="P529" s="7">
        <v>3826730.34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7">
        <v>49364.83</v>
      </c>
      <c r="AF529" s="7">
        <v>106076.45</v>
      </c>
      <c r="AG529" s="5">
        <v>0</v>
      </c>
      <c r="AH529" s="246">
        <v>2020</v>
      </c>
      <c r="AI529" s="246">
        <v>2020</v>
      </c>
      <c r="AJ529" s="6">
        <v>2020</v>
      </c>
      <c r="AV529" s="2" t="e">
        <f>VLOOKUP(C529,AY:AZ,2,FALSE)</f>
        <v>#N/A</v>
      </c>
      <c r="CB529" s="236"/>
      <c r="CF529" s="2">
        <f t="shared" si="120"/>
        <v>1028.5999999999999</v>
      </c>
    </row>
    <row r="530" spans="1:262" ht="61.5" x14ac:dyDescent="0.85">
      <c r="B530" s="3" t="s">
        <v>122</v>
      </c>
      <c r="C530" s="3"/>
      <c r="D530" s="244">
        <v>8593030.2200000007</v>
      </c>
      <c r="E530" s="233">
        <f t="shared" si="119"/>
        <v>482574.87000000104</v>
      </c>
      <c r="F530" s="244">
        <f>F531+F532</f>
        <v>8110455.3499999996</v>
      </c>
      <c r="G530" s="5">
        <f t="shared" ref="G530:AG530" si="128">G531+G532</f>
        <v>0</v>
      </c>
      <c r="H530" s="5">
        <f t="shared" si="128"/>
        <v>0</v>
      </c>
      <c r="I530" s="5">
        <f t="shared" si="128"/>
        <v>0</v>
      </c>
      <c r="J530" s="5">
        <f t="shared" si="128"/>
        <v>0</v>
      </c>
      <c r="K530" s="5">
        <f t="shared" si="128"/>
        <v>0</v>
      </c>
      <c r="L530" s="5">
        <f t="shared" si="128"/>
        <v>0</v>
      </c>
      <c r="M530" s="241">
        <f t="shared" si="128"/>
        <v>0</v>
      </c>
      <c r="N530" s="5">
        <f t="shared" si="128"/>
        <v>0</v>
      </c>
      <c r="O530" s="5">
        <f t="shared" si="128"/>
        <v>578.4</v>
      </c>
      <c r="P530" s="5">
        <f t="shared" si="128"/>
        <v>2614299.75</v>
      </c>
      <c r="Q530" s="5">
        <f t="shared" si="128"/>
        <v>0</v>
      </c>
      <c r="R530" s="5">
        <f t="shared" si="128"/>
        <v>0</v>
      </c>
      <c r="S530" s="5">
        <f t="shared" si="128"/>
        <v>2869</v>
      </c>
      <c r="T530" s="5">
        <f t="shared" si="128"/>
        <v>5415331.7699999996</v>
      </c>
      <c r="U530" s="5">
        <f t="shared" si="128"/>
        <v>0</v>
      </c>
      <c r="V530" s="5">
        <f t="shared" si="128"/>
        <v>0</v>
      </c>
      <c r="W530" s="5">
        <f t="shared" si="128"/>
        <v>0</v>
      </c>
      <c r="X530" s="5">
        <f t="shared" si="128"/>
        <v>0</v>
      </c>
      <c r="Y530" s="5">
        <f t="shared" si="128"/>
        <v>0</v>
      </c>
      <c r="Z530" s="5">
        <f t="shared" si="128"/>
        <v>0</v>
      </c>
      <c r="AA530" s="5">
        <f t="shared" si="128"/>
        <v>0</v>
      </c>
      <c r="AB530" s="5">
        <f t="shared" si="128"/>
        <v>0</v>
      </c>
      <c r="AC530" s="5">
        <f t="shared" si="128"/>
        <v>0</v>
      </c>
      <c r="AD530" s="5">
        <f t="shared" si="128"/>
        <v>0</v>
      </c>
      <c r="AE530" s="5">
        <f t="shared" si="128"/>
        <v>80823.83</v>
      </c>
      <c r="AF530" s="5">
        <f t="shared" si="128"/>
        <v>0</v>
      </c>
      <c r="AG530" s="5">
        <f t="shared" si="128"/>
        <v>0</v>
      </c>
      <c r="AH530" s="23" t="s">
        <v>90</v>
      </c>
      <c r="AI530" s="23" t="s">
        <v>90</v>
      </c>
      <c r="AJ530" s="27" t="s">
        <v>90</v>
      </c>
      <c r="AV530" s="2" t="e">
        <f>VLOOKUP(C530,AY:AZ,2,FALSE)</f>
        <v>#N/A</v>
      </c>
      <c r="CB530" s="236">
        <v>8957085.8399999999</v>
      </c>
      <c r="CD530" s="236">
        <f>CB530-F530</f>
        <v>846630.49000000022</v>
      </c>
      <c r="CF530" s="2" t="e">
        <f t="shared" si="120"/>
        <v>#N/A</v>
      </c>
    </row>
    <row r="531" spans="1:262" ht="61.5" x14ac:dyDescent="0.85">
      <c r="A531" s="2">
        <v>1</v>
      </c>
      <c r="B531" s="18">
        <f>SUBTOTAL(103,$A$22:A531)</f>
        <v>449</v>
      </c>
      <c r="C531" s="3" t="s">
        <v>1409</v>
      </c>
      <c r="D531" s="5">
        <v>2614299.75</v>
      </c>
      <c r="E531" s="5">
        <f t="shared" si="119"/>
        <v>0</v>
      </c>
      <c r="F531" s="5">
        <f>G531+H531+I531+J531+K531+L531+N531+P531+R531+T531+V531+W531+X531+Y531+Z531+AA531+AB531+AC531+AD531+AE531+AF531+AG531</f>
        <v>2614299.75</v>
      </c>
      <c r="G531" s="5">
        <v>0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241">
        <v>0</v>
      </c>
      <c r="N531" s="5">
        <v>0</v>
      </c>
      <c r="O531" s="7">
        <v>578.4</v>
      </c>
      <c r="P531" s="7">
        <v>2614299.75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246" t="s">
        <v>49</v>
      </c>
      <c r="AI531" s="246">
        <v>2020</v>
      </c>
      <c r="AJ531" s="6" t="s">
        <v>49</v>
      </c>
      <c r="AV531" s="2" t="e">
        <f>VLOOKUP(C531,AY:AZ,2,FALSE)</f>
        <v>#N/A</v>
      </c>
      <c r="CB531" s="236"/>
      <c r="CF531" s="2">
        <f t="shared" si="120"/>
        <v>578.4</v>
      </c>
    </row>
    <row r="532" spans="1:262" ht="61.5" x14ac:dyDescent="0.85">
      <c r="A532" s="2">
        <v>1</v>
      </c>
      <c r="B532" s="18">
        <f>SUBTOTAL(103,$A$22:A532)</f>
        <v>450</v>
      </c>
      <c r="C532" s="3" t="s">
        <v>1410</v>
      </c>
      <c r="D532" s="5">
        <v>5978730.4700000007</v>
      </c>
      <c r="E532" s="5">
        <f t="shared" si="119"/>
        <v>482574.87000000104</v>
      </c>
      <c r="F532" s="5">
        <f>G532+H532+I532+J532+K532+L532+N532+P532+R532+T532+V532+W532+X532+Y532+Z532+AA532+AB532+AC532+AD532+AE532+AF532+AG532</f>
        <v>5496155.5999999996</v>
      </c>
      <c r="G532" s="5">
        <v>0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241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7">
        <v>2869</v>
      </c>
      <c r="T532" s="7">
        <f>3760822.73+1654509.04</f>
        <v>5415331.7699999996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f>ROUND(T532*1.4925%,2)</f>
        <v>80823.83</v>
      </c>
      <c r="AF532" s="5">
        <v>0</v>
      </c>
      <c r="AG532" s="5">
        <v>0</v>
      </c>
      <c r="AH532" s="246" t="s">
        <v>49</v>
      </c>
      <c r="AI532" s="246">
        <v>2020</v>
      </c>
      <c r="AJ532" s="6">
        <v>2020</v>
      </c>
      <c r="CB532" s="236"/>
      <c r="CF532" s="2" t="e">
        <f t="shared" si="120"/>
        <v>#N/A</v>
      </c>
    </row>
    <row r="533" spans="1:262" ht="61.5" x14ac:dyDescent="0.85">
      <c r="B533" s="3" t="s">
        <v>1411</v>
      </c>
      <c r="C533" s="3"/>
      <c r="D533" s="244">
        <v>1241065.97</v>
      </c>
      <c r="E533" s="233">
        <f t="shared" si="119"/>
        <v>0</v>
      </c>
      <c r="F533" s="244">
        <f t="shared" ref="F533:AG533" si="129">F534</f>
        <v>1241065.97</v>
      </c>
      <c r="G533" s="5">
        <f t="shared" si="129"/>
        <v>0</v>
      </c>
      <c r="H533" s="5">
        <f t="shared" si="129"/>
        <v>0</v>
      </c>
      <c r="I533" s="5">
        <f t="shared" si="129"/>
        <v>0</v>
      </c>
      <c r="J533" s="5">
        <f t="shared" si="129"/>
        <v>0</v>
      </c>
      <c r="K533" s="5">
        <f t="shared" si="129"/>
        <v>0</v>
      </c>
      <c r="L533" s="5">
        <f t="shared" si="129"/>
        <v>0</v>
      </c>
      <c r="M533" s="241">
        <f t="shared" si="129"/>
        <v>0</v>
      </c>
      <c r="N533" s="5">
        <f t="shared" si="129"/>
        <v>0</v>
      </c>
      <c r="O533" s="5">
        <f t="shared" si="129"/>
        <v>362</v>
      </c>
      <c r="P533" s="5">
        <f t="shared" si="129"/>
        <v>1182710.79</v>
      </c>
      <c r="Q533" s="5">
        <f t="shared" si="129"/>
        <v>0</v>
      </c>
      <c r="R533" s="5">
        <f t="shared" si="129"/>
        <v>0</v>
      </c>
      <c r="S533" s="5">
        <f t="shared" si="129"/>
        <v>0</v>
      </c>
      <c r="T533" s="5">
        <f t="shared" si="129"/>
        <v>0</v>
      </c>
      <c r="U533" s="5">
        <f t="shared" si="129"/>
        <v>0</v>
      </c>
      <c r="V533" s="5">
        <f t="shared" si="129"/>
        <v>0</v>
      </c>
      <c r="W533" s="5">
        <f t="shared" si="129"/>
        <v>0</v>
      </c>
      <c r="X533" s="5">
        <f t="shared" si="129"/>
        <v>0</v>
      </c>
      <c r="Y533" s="5">
        <f t="shared" si="129"/>
        <v>0</v>
      </c>
      <c r="Z533" s="5">
        <f t="shared" si="129"/>
        <v>0</v>
      </c>
      <c r="AA533" s="5">
        <f t="shared" si="129"/>
        <v>0</v>
      </c>
      <c r="AB533" s="5">
        <f t="shared" si="129"/>
        <v>0</v>
      </c>
      <c r="AC533" s="5">
        <f t="shared" si="129"/>
        <v>0</v>
      </c>
      <c r="AD533" s="5">
        <f t="shared" si="129"/>
        <v>0</v>
      </c>
      <c r="AE533" s="5">
        <f t="shared" si="129"/>
        <v>15256.97</v>
      </c>
      <c r="AF533" s="5">
        <f t="shared" si="129"/>
        <v>43098.21</v>
      </c>
      <c r="AG533" s="5">
        <f t="shared" si="129"/>
        <v>0</v>
      </c>
      <c r="AH533" s="23" t="s">
        <v>90</v>
      </c>
      <c r="AI533" s="23" t="s">
        <v>90</v>
      </c>
      <c r="AJ533" s="27" t="s">
        <v>90</v>
      </c>
      <c r="AV533" s="2" t="e">
        <f>VLOOKUP(C533,AY:AZ,2,FALSE)</f>
        <v>#N/A</v>
      </c>
      <c r="CB533" s="236">
        <v>2733218.92</v>
      </c>
      <c r="CD533" s="236">
        <f>CB533-F533</f>
        <v>1492152.95</v>
      </c>
      <c r="CF533" s="2" t="e">
        <f t="shared" si="120"/>
        <v>#N/A</v>
      </c>
    </row>
    <row r="534" spans="1:262" ht="61.5" x14ac:dyDescent="0.85">
      <c r="A534" s="2">
        <v>1</v>
      </c>
      <c r="B534" s="18">
        <f>SUBTOTAL(103,$A$22:A534)</f>
        <v>451</v>
      </c>
      <c r="C534" s="3" t="s">
        <v>1119</v>
      </c>
      <c r="D534" s="5">
        <v>1241065.97</v>
      </c>
      <c r="E534" s="5">
        <f t="shared" si="119"/>
        <v>0</v>
      </c>
      <c r="F534" s="5">
        <f>G534+H534+I534+J534+K534+L534+N534+P534+R534+T534+V534+W534+X534+Y534+Z534+AA534+AB534+AC534+AD534+AE534+AF534+AG534</f>
        <v>1241065.97</v>
      </c>
      <c r="G534" s="5">
        <v>0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241">
        <v>0</v>
      </c>
      <c r="N534" s="5">
        <v>0</v>
      </c>
      <c r="O534" s="7">
        <v>362</v>
      </c>
      <c r="P534" s="7">
        <v>1182710.79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7">
        <v>15256.97</v>
      </c>
      <c r="AF534" s="7">
        <v>43098.21</v>
      </c>
      <c r="AG534" s="5">
        <v>0</v>
      </c>
      <c r="AH534" s="246">
        <v>2020</v>
      </c>
      <c r="AI534" s="246">
        <v>2020</v>
      </c>
      <c r="AJ534" s="6">
        <v>2020</v>
      </c>
      <c r="AV534" s="2" t="e">
        <f>VLOOKUP(C534,AY:AZ,2,FALSE)</f>
        <v>#N/A</v>
      </c>
      <c r="CB534" s="236"/>
      <c r="CF534" s="2">
        <f t="shared" si="120"/>
        <v>378</v>
      </c>
    </row>
    <row r="535" spans="1:262" ht="61.5" x14ac:dyDescent="0.85">
      <c r="B535" s="3" t="s">
        <v>123</v>
      </c>
      <c r="C535" s="442"/>
      <c r="D535" s="244">
        <v>16754328.49</v>
      </c>
      <c r="E535" s="233">
        <f t="shared" si="119"/>
        <v>4392434.6400000006</v>
      </c>
      <c r="F535" s="244">
        <f t="shared" ref="F535:AG535" si="130">SUM(F536:F544)</f>
        <v>12361893.85</v>
      </c>
      <c r="G535" s="5">
        <f t="shared" si="130"/>
        <v>0</v>
      </c>
      <c r="H535" s="5">
        <f t="shared" si="130"/>
        <v>0</v>
      </c>
      <c r="I535" s="5">
        <f t="shared" si="130"/>
        <v>4677812.54</v>
      </c>
      <c r="J535" s="5">
        <f t="shared" si="130"/>
        <v>0</v>
      </c>
      <c r="K535" s="5">
        <f t="shared" si="130"/>
        <v>0</v>
      </c>
      <c r="L535" s="5">
        <f t="shared" si="130"/>
        <v>0</v>
      </c>
      <c r="M535" s="241">
        <f t="shared" si="130"/>
        <v>0</v>
      </c>
      <c r="N535" s="5">
        <f t="shared" si="130"/>
        <v>0</v>
      </c>
      <c r="O535" s="5">
        <f t="shared" si="130"/>
        <v>1057.07</v>
      </c>
      <c r="P535" s="5">
        <f t="shared" si="130"/>
        <v>7082698.4500000002</v>
      </c>
      <c r="Q535" s="5">
        <f t="shared" si="130"/>
        <v>0</v>
      </c>
      <c r="R535" s="5">
        <f t="shared" si="130"/>
        <v>0</v>
      </c>
      <c r="S535" s="5">
        <f t="shared" si="130"/>
        <v>0</v>
      </c>
      <c r="T535" s="5">
        <f t="shared" si="130"/>
        <v>0</v>
      </c>
      <c r="U535" s="5">
        <f t="shared" si="130"/>
        <v>0</v>
      </c>
      <c r="V535" s="5">
        <f t="shared" si="130"/>
        <v>0</v>
      </c>
      <c r="W535" s="5">
        <f t="shared" si="130"/>
        <v>0</v>
      </c>
      <c r="X535" s="5">
        <f t="shared" si="130"/>
        <v>0</v>
      </c>
      <c r="Y535" s="5">
        <f t="shared" si="130"/>
        <v>0</v>
      </c>
      <c r="Z535" s="5">
        <f t="shared" si="130"/>
        <v>0</v>
      </c>
      <c r="AA535" s="5">
        <f t="shared" si="130"/>
        <v>0</v>
      </c>
      <c r="AB535" s="5">
        <f t="shared" si="130"/>
        <v>0</v>
      </c>
      <c r="AC535" s="5">
        <f t="shared" si="130"/>
        <v>0</v>
      </c>
      <c r="AD535" s="5">
        <f t="shared" si="130"/>
        <v>0</v>
      </c>
      <c r="AE535" s="5">
        <f t="shared" si="130"/>
        <v>176407.65999999997</v>
      </c>
      <c r="AF535" s="5">
        <f t="shared" si="130"/>
        <v>424975.2</v>
      </c>
      <c r="AG535" s="5">
        <f t="shared" si="130"/>
        <v>0</v>
      </c>
      <c r="AH535" s="23" t="s">
        <v>90</v>
      </c>
      <c r="AI535" s="23" t="s">
        <v>90</v>
      </c>
      <c r="AJ535" s="27" t="s">
        <v>90</v>
      </c>
      <c r="AV535" s="2" t="e">
        <f>VLOOKUP(C535,AY:AZ,2,FALSE)</f>
        <v>#N/A</v>
      </c>
      <c r="CB535" s="236">
        <v>18660147.93</v>
      </c>
      <c r="CD535" s="236">
        <f>CB535-F535</f>
        <v>6298254.0800000001</v>
      </c>
      <c r="CF535" s="2" t="e">
        <f t="shared" si="120"/>
        <v>#N/A</v>
      </c>
    </row>
    <row r="536" spans="1:262" ht="61.5" x14ac:dyDescent="0.85">
      <c r="A536" s="2">
        <v>1</v>
      </c>
      <c r="B536" s="18">
        <f>SUBTOTAL(103,$A$22:A536)</f>
        <v>452</v>
      </c>
      <c r="C536" s="3" t="s">
        <v>1121</v>
      </c>
      <c r="D536" s="5">
        <v>5882102.4900000002</v>
      </c>
      <c r="E536" s="5">
        <f t="shared" si="119"/>
        <v>-1437638.9300000006</v>
      </c>
      <c r="F536" s="5">
        <f t="shared" ref="F536:F542" si="131">G536+H536+I536+J536+K536+L536+N536+P536+R536+T536+V536+W536+X536+Y536+Z536+AA536+AB536+AC536+AD536+AE536+AF536+AG536</f>
        <v>7319741.4200000009</v>
      </c>
      <c r="G536" s="5">
        <v>0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241">
        <v>0</v>
      </c>
      <c r="N536" s="5">
        <v>0</v>
      </c>
      <c r="O536" s="5">
        <v>1057.07</v>
      </c>
      <c r="P536" s="5">
        <f>5666305.42+1291982.25+235626.63-111215.85</f>
        <v>7082698.4500000002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f>ROUND(P536*1.5%,2)</f>
        <v>106240.48</v>
      </c>
      <c r="AF536" s="7">
        <v>130802.49</v>
      </c>
      <c r="AG536" s="5">
        <v>0</v>
      </c>
      <c r="AH536" s="246">
        <v>2020</v>
      </c>
      <c r="AI536" s="246">
        <v>2020</v>
      </c>
      <c r="AJ536" s="6">
        <v>2020</v>
      </c>
      <c r="AV536" s="2" t="e">
        <f>VLOOKUP(C536,AY:AZ,2,FALSE)</f>
        <v>#N/A</v>
      </c>
      <c r="CB536" s="236"/>
      <c r="CF536" s="2">
        <f t="shared" si="120"/>
        <v>1057.07</v>
      </c>
    </row>
    <row r="537" spans="1:262" ht="61.5" x14ac:dyDescent="0.85">
      <c r="A537" s="2">
        <v>1</v>
      </c>
      <c r="B537" s="18">
        <f>SUBTOTAL(103,$A$22:A537)</f>
        <v>453</v>
      </c>
      <c r="C537" s="3" t="s">
        <v>1412</v>
      </c>
      <c r="D537" s="5">
        <v>3950361.98</v>
      </c>
      <c r="E537" s="5">
        <f t="shared" si="119"/>
        <v>1311361.98</v>
      </c>
      <c r="F537" s="5">
        <f t="shared" si="131"/>
        <v>2639000</v>
      </c>
      <c r="G537" s="5">
        <v>0</v>
      </c>
      <c r="H537" s="5">
        <v>0</v>
      </c>
      <c r="I537" s="5">
        <v>2600000</v>
      </c>
      <c r="J537" s="5">
        <v>0</v>
      </c>
      <c r="K537" s="5">
        <v>0</v>
      </c>
      <c r="L537" s="5">
        <v>0</v>
      </c>
      <c r="M537" s="241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f t="shared" ref="AE537:AE542" si="132">ROUND((G537+H537+I537+J537+K537+L537)*1.5%,2)</f>
        <v>39000</v>
      </c>
      <c r="AF537" s="5">
        <v>0</v>
      </c>
      <c r="AG537" s="5">
        <v>0</v>
      </c>
      <c r="AH537" s="246" t="s">
        <v>49</v>
      </c>
      <c r="AI537" s="246">
        <v>2020</v>
      </c>
      <c r="AJ537" s="6">
        <v>2020</v>
      </c>
      <c r="CB537" s="236"/>
      <c r="CF537" s="2" t="e">
        <f t="shared" si="120"/>
        <v>#N/A</v>
      </c>
    </row>
    <row r="538" spans="1:262" ht="61.5" x14ac:dyDescent="0.85">
      <c r="A538" s="2">
        <v>1</v>
      </c>
      <c r="B538" s="18">
        <f>SUBTOTAL(103,$A$22:A538)</f>
        <v>454</v>
      </c>
      <c r="C538" s="3" t="s">
        <v>1413</v>
      </c>
      <c r="D538" s="5">
        <v>229229.19</v>
      </c>
      <c r="E538" s="5">
        <f t="shared" si="119"/>
        <v>0</v>
      </c>
      <c r="F538" s="5">
        <f t="shared" si="131"/>
        <v>229229.19</v>
      </c>
      <c r="G538" s="5">
        <v>0</v>
      </c>
      <c r="H538" s="5">
        <v>0</v>
      </c>
      <c r="I538" s="7">
        <v>225841.57</v>
      </c>
      <c r="J538" s="5">
        <v>0</v>
      </c>
      <c r="K538" s="5">
        <v>0</v>
      </c>
      <c r="L538" s="5">
        <v>0</v>
      </c>
      <c r="M538" s="241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f t="shared" si="132"/>
        <v>3387.62</v>
      </c>
      <c r="AF538" s="5">
        <v>0</v>
      </c>
      <c r="AG538" s="5">
        <v>0</v>
      </c>
      <c r="AH538" s="246" t="s">
        <v>49</v>
      </c>
      <c r="AI538" s="246">
        <v>2020</v>
      </c>
      <c r="AJ538" s="6">
        <v>2020</v>
      </c>
      <c r="CB538" s="236"/>
      <c r="CF538" s="2" t="e">
        <f t="shared" si="120"/>
        <v>#N/A</v>
      </c>
    </row>
    <row r="539" spans="1:262" ht="61.5" x14ac:dyDescent="0.85">
      <c r="A539" s="2">
        <v>1</v>
      </c>
      <c r="B539" s="18">
        <f>SUBTOTAL(103,$A$22:A539)</f>
        <v>455</v>
      </c>
      <c r="C539" s="3" t="s">
        <v>1414</v>
      </c>
      <c r="D539" s="5">
        <v>2878998.14</v>
      </c>
      <c r="E539" s="5">
        <f t="shared" si="119"/>
        <v>999247.6100000001</v>
      </c>
      <c r="F539" s="5">
        <f t="shared" si="131"/>
        <v>1879750.53</v>
      </c>
      <c r="G539" s="5">
        <v>0</v>
      </c>
      <c r="H539" s="5">
        <v>0</v>
      </c>
      <c r="I539" s="7">
        <v>1851970.97</v>
      </c>
      <c r="J539" s="5">
        <v>0</v>
      </c>
      <c r="K539" s="5">
        <v>0</v>
      </c>
      <c r="L539" s="5">
        <v>0</v>
      </c>
      <c r="M539" s="241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f t="shared" si="132"/>
        <v>27779.56</v>
      </c>
      <c r="AF539" s="5">
        <v>0</v>
      </c>
      <c r="AG539" s="5">
        <v>0</v>
      </c>
      <c r="AH539" s="246" t="s">
        <v>49</v>
      </c>
      <c r="AI539" s="246">
        <v>2020</v>
      </c>
      <c r="AJ539" s="6">
        <v>2020</v>
      </c>
      <c r="CB539" s="236"/>
      <c r="CF539" s="2" t="e">
        <f t="shared" si="120"/>
        <v>#N/A</v>
      </c>
    </row>
    <row r="540" spans="1:262" ht="61.5" x14ac:dyDescent="0.85">
      <c r="A540" s="2">
        <v>1</v>
      </c>
      <c r="B540" s="18">
        <f>SUBTOTAL(103,$A$22:A540)</f>
        <v>456</v>
      </c>
      <c r="C540" s="3" t="s">
        <v>1415</v>
      </c>
      <c r="D540" s="5">
        <v>68684.36</v>
      </c>
      <c r="E540" s="5">
        <f t="shared" si="119"/>
        <v>11447.39</v>
      </c>
      <c r="F540" s="5">
        <f>G540+H540+I540+J540+K540+L540+N540+P540+R540+T540+V540+W540+X540+Y540+Z540+AA540+AB540+AC540+AD540+AE540+AF540+AG540</f>
        <v>57236.97</v>
      </c>
      <c r="G540" s="5">
        <v>0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241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f>ROUND((G540+H540+I540+J540+K540+L540)*1.5%,2)</f>
        <v>0</v>
      </c>
      <c r="AF540" s="7">
        <v>57236.97</v>
      </c>
      <c r="AG540" s="5">
        <v>0</v>
      </c>
      <c r="AH540" s="246">
        <v>2020</v>
      </c>
      <c r="AI540" s="246" t="s">
        <v>49</v>
      </c>
      <c r="AJ540" s="246" t="s">
        <v>49</v>
      </c>
      <c r="AV540" s="2" t="e">
        <f>VLOOKUP(C540,AY:AZ,2,FALSE)</f>
        <v>#N/A</v>
      </c>
      <c r="CB540" s="236"/>
      <c r="CF540" s="2" t="e">
        <f t="shared" si="120"/>
        <v>#N/A</v>
      </c>
    </row>
    <row r="541" spans="1:262" ht="61.5" x14ac:dyDescent="0.85">
      <c r="A541" s="2">
        <v>1</v>
      </c>
      <c r="B541" s="18">
        <f>SUBTOTAL(103,$A$22:A541)</f>
        <v>457</v>
      </c>
      <c r="C541" s="3" t="s">
        <v>1416</v>
      </c>
      <c r="D541" s="5">
        <v>73035.08</v>
      </c>
      <c r="E541" s="5">
        <f t="shared" si="119"/>
        <v>12172.510000000002</v>
      </c>
      <c r="F541" s="5">
        <f t="shared" si="131"/>
        <v>60862.57</v>
      </c>
      <c r="G541" s="5">
        <v>0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241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f t="shared" si="132"/>
        <v>0</v>
      </c>
      <c r="AF541" s="7">
        <v>60862.57</v>
      </c>
      <c r="AG541" s="5">
        <v>0</v>
      </c>
      <c r="AH541" s="246">
        <v>2020</v>
      </c>
      <c r="AI541" s="246" t="s">
        <v>49</v>
      </c>
      <c r="AJ541" s="246" t="s">
        <v>49</v>
      </c>
      <c r="CB541" s="236"/>
      <c r="CF541" s="2" t="e">
        <f t="shared" si="120"/>
        <v>#N/A</v>
      </c>
    </row>
    <row r="542" spans="1:262" ht="61.5" x14ac:dyDescent="0.85">
      <c r="A542" s="2">
        <v>1</v>
      </c>
      <c r="B542" s="18">
        <f>SUBTOTAL(103,$A$22:A542)</f>
        <v>458</v>
      </c>
      <c r="C542" s="3" t="s">
        <v>1417</v>
      </c>
      <c r="D542" s="5">
        <v>77862.94</v>
      </c>
      <c r="E542" s="5">
        <f t="shared" si="119"/>
        <v>12977.160000000003</v>
      </c>
      <c r="F542" s="5">
        <f t="shared" si="131"/>
        <v>64885.78</v>
      </c>
      <c r="G542" s="5">
        <v>0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241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f t="shared" si="132"/>
        <v>0</v>
      </c>
      <c r="AF542" s="7">
        <v>64885.78</v>
      </c>
      <c r="AG542" s="5">
        <v>0</v>
      </c>
      <c r="AH542" s="246">
        <v>2020</v>
      </c>
      <c r="AI542" s="246" t="s">
        <v>49</v>
      </c>
      <c r="AJ542" s="246" t="s">
        <v>49</v>
      </c>
      <c r="CB542" s="236"/>
      <c r="CF542" s="2" t="e">
        <f t="shared" si="120"/>
        <v>#N/A</v>
      </c>
    </row>
    <row r="543" spans="1:262" s="239" customFormat="1" ht="61.5" x14ac:dyDescent="0.85">
      <c r="A543" s="239">
        <v>1</v>
      </c>
      <c r="B543" s="18">
        <f>SUBTOTAL(103,$A$22:A543)</f>
        <v>459</v>
      </c>
      <c r="C543" s="3" t="s">
        <v>1418</v>
      </c>
      <c r="D543" s="5">
        <v>6135300</v>
      </c>
      <c r="E543" s="5">
        <f t="shared" si="119"/>
        <v>6058289.96</v>
      </c>
      <c r="F543" s="5">
        <f>G543+H543+I543+J543+K543+L543+N543+P543+R543+T543+V543+W543+X543+Y543+Z543+AA543+AB543+AC543+AD543+AE543+AF543+AG543</f>
        <v>77010.039999999994</v>
      </c>
      <c r="G543" s="5">
        <v>0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2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f>ROUND(P543*1.5%,2)</f>
        <v>0</v>
      </c>
      <c r="AF543" s="5">
        <v>77010.039999999994</v>
      </c>
      <c r="AG543" s="5">
        <v>0</v>
      </c>
      <c r="AH543" s="246">
        <v>2020</v>
      </c>
      <c r="AI543" s="246" t="s">
        <v>49</v>
      </c>
      <c r="AJ543" s="246" t="s">
        <v>49</v>
      </c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 t="e">
        <f t="shared" ref="AV543:AV548" si="133">VLOOKUP(C543,AY:AZ,2,FALSE)</f>
        <v>#N/A</v>
      </c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36"/>
      <c r="CC543" s="2"/>
      <c r="CD543" s="2"/>
      <c r="CE543" s="2"/>
      <c r="CF543" s="2" t="e">
        <f t="shared" si="120"/>
        <v>#N/A</v>
      </c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</row>
    <row r="544" spans="1:262" s="239" customFormat="1" ht="61.5" x14ac:dyDescent="0.85">
      <c r="A544" s="239">
        <v>1</v>
      </c>
      <c r="B544" s="18">
        <f>SUBTOTAL(103,$A$22:A544)</f>
        <v>460</v>
      </c>
      <c r="C544" s="3" t="s">
        <v>1419</v>
      </c>
      <c r="D544" s="5">
        <v>2978400</v>
      </c>
      <c r="E544" s="5">
        <f t="shared" si="119"/>
        <v>2944222.65</v>
      </c>
      <c r="F544" s="5">
        <f>G544+H544+I544+J544+K544+L544+N544+P544+R544+T544+V544+W544+X544+Y544+Z544+AA544+AB544+AC544+AD544+AE544+AF544+AG544</f>
        <v>34177.35</v>
      </c>
      <c r="G544" s="5">
        <v>0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2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f>ROUND(P544*1.5%,2)</f>
        <v>0</v>
      </c>
      <c r="AF544" s="5">
        <v>34177.35</v>
      </c>
      <c r="AG544" s="5">
        <v>0</v>
      </c>
      <c r="AH544" s="246">
        <v>2020</v>
      </c>
      <c r="AI544" s="246" t="s">
        <v>49</v>
      </c>
      <c r="AJ544" s="246" t="s">
        <v>49</v>
      </c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 t="e">
        <f t="shared" si="133"/>
        <v>#N/A</v>
      </c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36"/>
      <c r="CC544" s="2"/>
      <c r="CD544" s="2"/>
      <c r="CE544" s="2"/>
      <c r="CF544" s="2" t="e">
        <f t="shared" si="120"/>
        <v>#N/A</v>
      </c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</row>
    <row r="545" spans="1:262" ht="61.5" x14ac:dyDescent="0.85">
      <c r="B545" s="3" t="s">
        <v>1420</v>
      </c>
      <c r="C545" s="3"/>
      <c r="D545" s="244">
        <v>7943688.4699999997</v>
      </c>
      <c r="E545" s="233">
        <f t="shared" si="119"/>
        <v>4437398.05</v>
      </c>
      <c r="F545" s="244">
        <f t="shared" ref="F545:AG545" si="134">SUM(F546:F549)</f>
        <v>3506290.42</v>
      </c>
      <c r="G545" s="5">
        <f t="shared" si="134"/>
        <v>0</v>
      </c>
      <c r="H545" s="5">
        <f t="shared" si="134"/>
        <v>0</v>
      </c>
      <c r="I545" s="5">
        <f t="shared" si="134"/>
        <v>0</v>
      </c>
      <c r="J545" s="5">
        <f t="shared" si="134"/>
        <v>0</v>
      </c>
      <c r="K545" s="5">
        <f t="shared" si="134"/>
        <v>0</v>
      </c>
      <c r="L545" s="5">
        <f t="shared" si="134"/>
        <v>0</v>
      </c>
      <c r="M545" s="241">
        <f t="shared" si="134"/>
        <v>0</v>
      </c>
      <c r="N545" s="5">
        <f t="shared" si="134"/>
        <v>0</v>
      </c>
      <c r="O545" s="5">
        <f t="shared" si="134"/>
        <v>810.07999999999993</v>
      </c>
      <c r="P545" s="5">
        <f t="shared" si="134"/>
        <v>3214660.2</v>
      </c>
      <c r="Q545" s="5">
        <f t="shared" si="134"/>
        <v>0</v>
      </c>
      <c r="R545" s="5">
        <f t="shared" si="134"/>
        <v>0</v>
      </c>
      <c r="S545" s="5">
        <f t="shared" si="134"/>
        <v>0</v>
      </c>
      <c r="T545" s="5">
        <f t="shared" si="134"/>
        <v>0</v>
      </c>
      <c r="U545" s="5">
        <f t="shared" si="134"/>
        <v>0</v>
      </c>
      <c r="V545" s="5">
        <f t="shared" si="134"/>
        <v>0</v>
      </c>
      <c r="W545" s="5">
        <f t="shared" si="134"/>
        <v>0</v>
      </c>
      <c r="X545" s="5">
        <f t="shared" si="134"/>
        <v>0</v>
      </c>
      <c r="Y545" s="5">
        <f t="shared" si="134"/>
        <v>0</v>
      </c>
      <c r="Z545" s="5">
        <f t="shared" si="134"/>
        <v>0</v>
      </c>
      <c r="AA545" s="5">
        <f t="shared" si="134"/>
        <v>0</v>
      </c>
      <c r="AB545" s="5">
        <f t="shared" si="134"/>
        <v>0</v>
      </c>
      <c r="AC545" s="5">
        <f t="shared" si="134"/>
        <v>0</v>
      </c>
      <c r="AD545" s="5">
        <f t="shared" si="134"/>
        <v>0</v>
      </c>
      <c r="AE545" s="5">
        <f t="shared" si="134"/>
        <v>45043.53</v>
      </c>
      <c r="AF545" s="5">
        <f t="shared" si="134"/>
        <v>246586.68999999997</v>
      </c>
      <c r="AG545" s="5">
        <f t="shared" si="134"/>
        <v>0</v>
      </c>
      <c r="AH545" s="23" t="s">
        <v>90</v>
      </c>
      <c r="AI545" s="23" t="s">
        <v>90</v>
      </c>
      <c r="AJ545" s="27" t="s">
        <v>90</v>
      </c>
      <c r="AV545" s="2" t="e">
        <f t="shared" si="133"/>
        <v>#N/A</v>
      </c>
      <c r="CB545" s="236">
        <v>7944432.1499999994</v>
      </c>
      <c r="CF545" s="2" t="e">
        <f t="shared" si="120"/>
        <v>#N/A</v>
      </c>
    </row>
    <row r="546" spans="1:262" ht="61.5" x14ac:dyDescent="0.85">
      <c r="A546" s="2">
        <v>1</v>
      </c>
      <c r="B546" s="18">
        <f>SUBTOTAL(103,$A$22:A546)</f>
        <v>461</v>
      </c>
      <c r="C546" s="3" t="s">
        <v>1123</v>
      </c>
      <c r="D546" s="5">
        <v>2428621.89</v>
      </c>
      <c r="E546" s="5">
        <f t="shared" si="119"/>
        <v>2280.6400000001304</v>
      </c>
      <c r="F546" s="5">
        <f>G546+H546+I546+J546+K546+L546+N546+P546+R546+T546+V546+W546+X546+Y546+Z546+AA546+AB546+AC546+AD546+AE546+AF546+AG546</f>
        <v>2426341.25</v>
      </c>
      <c r="G546" s="5">
        <v>0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241">
        <v>0</v>
      </c>
      <c r="N546" s="5">
        <v>0</v>
      </c>
      <c r="O546" s="7">
        <v>618.67999999999995</v>
      </c>
      <c r="P546" s="7">
        <v>2339117.9900000002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7">
        <v>32806.129999999997</v>
      </c>
      <c r="AF546" s="7">
        <v>54417.13</v>
      </c>
      <c r="AG546" s="5">
        <v>0</v>
      </c>
      <c r="AH546" s="246">
        <v>2020</v>
      </c>
      <c r="AI546" s="246">
        <v>2020</v>
      </c>
      <c r="AJ546" s="6">
        <v>2020</v>
      </c>
      <c r="AV546" s="2" t="e">
        <f t="shared" si="133"/>
        <v>#N/A</v>
      </c>
      <c r="CB546" s="236"/>
      <c r="CF546" s="2">
        <f t="shared" si="120"/>
        <v>615.20000000000005</v>
      </c>
    </row>
    <row r="547" spans="1:262" ht="61.5" x14ac:dyDescent="0.85">
      <c r="A547" s="2">
        <v>1</v>
      </c>
      <c r="B547" s="18">
        <f>SUBTOTAL(103,$A$22:A547)</f>
        <v>462</v>
      </c>
      <c r="C547" s="3" t="s">
        <v>1421</v>
      </c>
      <c r="D547" s="5">
        <v>3498950.9099999997</v>
      </c>
      <c r="E547" s="5">
        <f t="shared" si="119"/>
        <v>3386066.8299999996</v>
      </c>
      <c r="F547" s="5">
        <f>G547+H547+I547+J547+K547+L547+N547+P547+R547+T547+V547+W547+X547+Y547+Z547+AA547+AB547+AC547+AD547+AE547+AF547+AG547</f>
        <v>112884.08</v>
      </c>
      <c r="G547" s="5">
        <v>0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241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f>ROUND(W547*1.5%,2)</f>
        <v>0</v>
      </c>
      <c r="AF547" s="7">
        <v>112884.08</v>
      </c>
      <c r="AG547" s="5">
        <v>0</v>
      </c>
      <c r="AH547" s="246">
        <v>2020</v>
      </c>
      <c r="AI547" s="246" t="s">
        <v>49</v>
      </c>
      <c r="AJ547" s="246" t="s">
        <v>49</v>
      </c>
      <c r="AV547" s="2" t="e">
        <f t="shared" si="133"/>
        <v>#N/A</v>
      </c>
      <c r="CB547" s="236"/>
      <c r="CF547" s="2" t="e">
        <f t="shared" si="120"/>
        <v>#N/A</v>
      </c>
    </row>
    <row r="548" spans="1:262" ht="61.5" x14ac:dyDescent="0.85">
      <c r="A548" s="2">
        <v>1</v>
      </c>
      <c r="B548" s="18">
        <f>SUBTOTAL(103,$A$22:A548)</f>
        <v>463</v>
      </c>
      <c r="C548" s="3" t="s">
        <v>1422</v>
      </c>
      <c r="D548" s="5">
        <v>931504.03999999992</v>
      </c>
      <c r="E548" s="5">
        <f t="shared" si="119"/>
        <v>895.72999999998137</v>
      </c>
      <c r="F548" s="5">
        <f>G548+H548+I548+J548+K548+L548+N548+P548+R548+T548+V548+W548+X548+Y548+Z548+AA548+AB548+AC548+AD548+AE548+AF548+AG548</f>
        <v>930608.30999999994</v>
      </c>
      <c r="G548" s="5">
        <v>0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241">
        <v>0</v>
      </c>
      <c r="N548" s="5">
        <v>0</v>
      </c>
      <c r="O548" s="7">
        <v>191.4</v>
      </c>
      <c r="P548" s="48">
        <v>875542.21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7">
        <v>12237.4</v>
      </c>
      <c r="AF548" s="7">
        <v>42828.7</v>
      </c>
      <c r="AG548" s="5">
        <v>0</v>
      </c>
      <c r="AH548" s="246">
        <v>2020</v>
      </c>
      <c r="AI548" s="246">
        <v>2020</v>
      </c>
      <c r="AJ548" s="6">
        <v>2020</v>
      </c>
      <c r="AV548" s="2" t="e">
        <f t="shared" si="133"/>
        <v>#N/A</v>
      </c>
      <c r="CB548" s="236"/>
      <c r="CF548" s="2" t="e">
        <f t="shared" si="120"/>
        <v>#N/A</v>
      </c>
    </row>
    <row r="549" spans="1:262" s="239" customFormat="1" ht="61.5" x14ac:dyDescent="0.85">
      <c r="A549" s="239">
        <v>1</v>
      </c>
      <c r="B549" s="18">
        <f>SUBTOTAL(103,$A$22:A549)</f>
        <v>464</v>
      </c>
      <c r="C549" s="3" t="s">
        <v>1423</v>
      </c>
      <c r="D549" s="5">
        <v>3498600</v>
      </c>
      <c r="E549" s="5">
        <f t="shared" si="119"/>
        <v>3462143.22</v>
      </c>
      <c r="F549" s="5">
        <f>G549+H549+I549+J549+K549+L549+N549+P549+R549+T549+V549+W549+X549+Y549+Z549+AA549+AB549+AC549+AD549+AE549+AF549+AG549</f>
        <v>36456.78</v>
      </c>
      <c r="G549" s="5">
        <v>0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2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36456.78</v>
      </c>
      <c r="AG549" s="5">
        <v>0</v>
      </c>
      <c r="AH549" s="246">
        <v>2020</v>
      </c>
      <c r="AI549" s="246" t="s">
        <v>49</v>
      </c>
      <c r="AJ549" s="246" t="s">
        <v>49</v>
      </c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 t="e">
        <v>#N/A</v>
      </c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36"/>
      <c r="CC549" s="2"/>
      <c r="CD549" s="2"/>
      <c r="CE549" s="2"/>
      <c r="CF549" s="2" t="e">
        <v>#N/A</v>
      </c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</row>
    <row r="550" spans="1:262" ht="61.5" x14ac:dyDescent="0.85">
      <c r="B550" s="3" t="s">
        <v>1424</v>
      </c>
      <c r="C550" s="3"/>
      <c r="D550" s="244">
        <v>917252.46</v>
      </c>
      <c r="E550" s="233">
        <f t="shared" si="119"/>
        <v>181034.46999999997</v>
      </c>
      <c r="F550" s="244">
        <f t="shared" ref="F550:AG550" si="135">SUM(F551:F552)</f>
        <v>736217.99</v>
      </c>
      <c r="G550" s="5">
        <f t="shared" si="135"/>
        <v>0</v>
      </c>
      <c r="H550" s="5">
        <f t="shared" si="135"/>
        <v>0</v>
      </c>
      <c r="I550" s="5">
        <f t="shared" si="135"/>
        <v>0</v>
      </c>
      <c r="J550" s="5">
        <f t="shared" si="135"/>
        <v>0</v>
      </c>
      <c r="K550" s="5">
        <f t="shared" si="135"/>
        <v>0</v>
      </c>
      <c r="L550" s="5">
        <f t="shared" si="135"/>
        <v>0</v>
      </c>
      <c r="M550" s="241">
        <f t="shared" si="135"/>
        <v>0</v>
      </c>
      <c r="N550" s="5">
        <f t="shared" si="135"/>
        <v>0</v>
      </c>
      <c r="O550" s="5">
        <f t="shared" si="135"/>
        <v>0</v>
      </c>
      <c r="P550" s="5">
        <f t="shared" si="135"/>
        <v>0</v>
      </c>
      <c r="Q550" s="5">
        <f t="shared" si="135"/>
        <v>263.2</v>
      </c>
      <c r="R550" s="5">
        <f t="shared" si="135"/>
        <v>423511.37</v>
      </c>
      <c r="S550" s="5">
        <f t="shared" si="135"/>
        <v>582.4</v>
      </c>
      <c r="T550" s="5">
        <f t="shared" si="135"/>
        <v>301826.55</v>
      </c>
      <c r="U550" s="5">
        <f t="shared" si="135"/>
        <v>0</v>
      </c>
      <c r="V550" s="5">
        <f t="shared" si="135"/>
        <v>0</v>
      </c>
      <c r="W550" s="5">
        <f t="shared" si="135"/>
        <v>0</v>
      </c>
      <c r="X550" s="5">
        <f t="shared" si="135"/>
        <v>0</v>
      </c>
      <c r="Y550" s="5">
        <f t="shared" si="135"/>
        <v>0</v>
      </c>
      <c r="Z550" s="5">
        <f t="shared" si="135"/>
        <v>0</v>
      </c>
      <c r="AA550" s="5">
        <f t="shared" si="135"/>
        <v>0</v>
      </c>
      <c r="AB550" s="5">
        <f t="shared" si="135"/>
        <v>0</v>
      </c>
      <c r="AC550" s="5">
        <f t="shared" si="135"/>
        <v>0</v>
      </c>
      <c r="AD550" s="5">
        <f t="shared" si="135"/>
        <v>0</v>
      </c>
      <c r="AE550" s="5">
        <f t="shared" si="135"/>
        <v>10880.07</v>
      </c>
      <c r="AF550" s="5">
        <f t="shared" si="135"/>
        <v>0</v>
      </c>
      <c r="AG550" s="5">
        <f t="shared" si="135"/>
        <v>0</v>
      </c>
      <c r="AH550" s="23" t="s">
        <v>90</v>
      </c>
      <c r="AI550" s="23" t="s">
        <v>90</v>
      </c>
      <c r="AJ550" s="27" t="s">
        <v>90</v>
      </c>
      <c r="AV550" s="2" t="e">
        <f>VLOOKUP(C550,AY:AZ,2,FALSE)</f>
        <v>#N/A</v>
      </c>
      <c r="CB550" s="236">
        <v>786720.65</v>
      </c>
      <c r="CD550" s="236">
        <f>CB550-F550</f>
        <v>50502.660000000033</v>
      </c>
      <c r="CF550" s="2" t="e">
        <f>VLOOKUP(C550,CG:CH,2,FALSE)</f>
        <v>#N/A</v>
      </c>
    </row>
    <row r="551" spans="1:262" ht="61.5" x14ac:dyDescent="0.85">
      <c r="A551" s="2">
        <v>1</v>
      </c>
      <c r="B551" s="18">
        <f>SUBTOTAL(103,$A$22:A551)</f>
        <v>465</v>
      </c>
      <c r="C551" s="3" t="s">
        <v>1425</v>
      </c>
      <c r="D551" s="5">
        <v>306353.95</v>
      </c>
      <c r="E551" s="5">
        <f t="shared" si="119"/>
        <v>0</v>
      </c>
      <c r="F551" s="5">
        <f>G551+H551+I551+J551+K551+L551+N551+P551+R551+T551+V551+W551+X551+Y551+Z551+AA551+AB551+AC551+AD551+AE551+AF551+AG551</f>
        <v>306353.95</v>
      </c>
      <c r="G551" s="5">
        <v>0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241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7">
        <v>582.4</v>
      </c>
      <c r="T551" s="7">
        <v>301826.55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f>ROUND(T551*1.5%,2)</f>
        <v>4527.3999999999996</v>
      </c>
      <c r="AF551" s="5">
        <v>0</v>
      </c>
      <c r="AG551" s="5">
        <v>0</v>
      </c>
      <c r="AH551" s="246" t="s">
        <v>49</v>
      </c>
      <c r="AI551" s="246">
        <v>2020</v>
      </c>
      <c r="AJ551" s="6">
        <v>2020</v>
      </c>
      <c r="CB551" s="236"/>
      <c r="CF551" s="2" t="e">
        <f>VLOOKUP(C551,CG:CH,2,FALSE)</f>
        <v>#N/A</v>
      </c>
    </row>
    <row r="552" spans="1:262" ht="61.5" x14ac:dyDescent="0.85">
      <c r="A552" s="2">
        <v>1</v>
      </c>
      <c r="B552" s="18">
        <f>SUBTOTAL(103,$A$22:A552)</f>
        <v>466</v>
      </c>
      <c r="C552" s="3" t="s">
        <v>1426</v>
      </c>
      <c r="D552" s="5">
        <v>429864.04</v>
      </c>
      <c r="E552" s="5">
        <f t="shared" si="119"/>
        <v>0</v>
      </c>
      <c r="F552" s="5">
        <f>G552+H552+I552+J552+K552+L552+N552+P552+R552+T552+V552+W552+X552+Y552+Z552+AA552+AB552+AC552+AD552+AE552+AF552+AG552</f>
        <v>429864.04</v>
      </c>
      <c r="G552" s="5">
        <v>0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241">
        <v>0</v>
      </c>
      <c r="N552" s="5">
        <v>0</v>
      </c>
      <c r="O552" s="5">
        <v>0</v>
      </c>
      <c r="P552" s="5">
        <v>0</v>
      </c>
      <c r="Q552" s="7">
        <v>263.2</v>
      </c>
      <c r="R552" s="7">
        <v>423511.37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f>ROUND(R552*1.5%,2)</f>
        <v>6352.67</v>
      </c>
      <c r="AF552" s="5">
        <v>0</v>
      </c>
      <c r="AG552" s="5">
        <v>0</v>
      </c>
      <c r="AH552" s="246" t="s">
        <v>49</v>
      </c>
      <c r="AI552" s="246">
        <v>2020</v>
      </c>
      <c r="AJ552" s="6">
        <v>2020</v>
      </c>
      <c r="CB552" s="236"/>
      <c r="CF552" s="2" t="e">
        <f>VLOOKUP(C552,CG:CH,2,FALSE)</f>
        <v>#N/A</v>
      </c>
    </row>
    <row r="553" spans="1:262" ht="61.5" x14ac:dyDescent="0.85">
      <c r="B553" s="3" t="s">
        <v>1427</v>
      </c>
      <c r="C553" s="3"/>
      <c r="D553" s="244">
        <v>1234425.4500000002</v>
      </c>
      <c r="E553" s="233">
        <f t="shared" si="119"/>
        <v>-35717.629999999888</v>
      </c>
      <c r="F553" s="244">
        <f>SUM(F554:F555)</f>
        <v>1270143.08</v>
      </c>
      <c r="G553" s="5">
        <f t="shared" ref="G553:AG553" si="136">SUM(G554:G555)</f>
        <v>0</v>
      </c>
      <c r="H553" s="5">
        <f t="shared" si="136"/>
        <v>0</v>
      </c>
      <c r="I553" s="5">
        <f t="shared" si="136"/>
        <v>0</v>
      </c>
      <c r="J553" s="5">
        <f t="shared" si="136"/>
        <v>0</v>
      </c>
      <c r="K553" s="5">
        <f t="shared" si="136"/>
        <v>0</v>
      </c>
      <c r="L553" s="5">
        <f t="shared" si="136"/>
        <v>0</v>
      </c>
      <c r="M553" s="241">
        <f t="shared" si="136"/>
        <v>0</v>
      </c>
      <c r="N553" s="5">
        <f t="shared" si="136"/>
        <v>0</v>
      </c>
      <c r="O553" s="5">
        <f t="shared" si="136"/>
        <v>297</v>
      </c>
      <c r="P553" s="5">
        <f t="shared" si="136"/>
        <v>1177854.29</v>
      </c>
      <c r="Q553" s="5">
        <f t="shared" si="136"/>
        <v>0</v>
      </c>
      <c r="R553" s="5">
        <f t="shared" si="136"/>
        <v>0</v>
      </c>
      <c r="S553" s="5">
        <f t="shared" si="136"/>
        <v>0</v>
      </c>
      <c r="T553" s="5">
        <f t="shared" si="136"/>
        <v>0</v>
      </c>
      <c r="U553" s="5">
        <f t="shared" si="136"/>
        <v>0</v>
      </c>
      <c r="V553" s="5">
        <f t="shared" si="136"/>
        <v>0</v>
      </c>
      <c r="W553" s="5">
        <f t="shared" si="136"/>
        <v>0</v>
      </c>
      <c r="X553" s="5">
        <f t="shared" si="136"/>
        <v>0</v>
      </c>
      <c r="Y553" s="5">
        <f t="shared" si="136"/>
        <v>0</v>
      </c>
      <c r="Z553" s="5">
        <f t="shared" si="136"/>
        <v>0</v>
      </c>
      <c r="AA553" s="5">
        <f t="shared" si="136"/>
        <v>0</v>
      </c>
      <c r="AB553" s="5">
        <f t="shared" si="136"/>
        <v>0</v>
      </c>
      <c r="AC553" s="5">
        <f t="shared" si="136"/>
        <v>0</v>
      </c>
      <c r="AD553" s="5">
        <f t="shared" si="136"/>
        <v>0</v>
      </c>
      <c r="AE553" s="5">
        <f t="shared" si="136"/>
        <v>17667.810000000001</v>
      </c>
      <c r="AF553" s="5">
        <f t="shared" si="136"/>
        <v>74620.98</v>
      </c>
      <c r="AG553" s="5">
        <f t="shared" si="136"/>
        <v>0</v>
      </c>
      <c r="AH553" s="23" t="s">
        <v>90</v>
      </c>
      <c r="AI553" s="23" t="s">
        <v>90</v>
      </c>
      <c r="AJ553" s="27" t="s">
        <v>90</v>
      </c>
      <c r="AV553" s="2" t="e">
        <f>VLOOKUP(C553,AY:AZ,2,FALSE)</f>
        <v>#N/A</v>
      </c>
      <c r="CB553" s="5">
        <v>1568000</v>
      </c>
      <c r="CC553" s="5"/>
      <c r="CD553" s="5">
        <f>CB553-F553</f>
        <v>297856.91999999993</v>
      </c>
      <c r="CF553" s="2" t="e">
        <f>VLOOKUP(C553,CG:CH,2,FALSE)</f>
        <v>#N/A</v>
      </c>
    </row>
    <row r="554" spans="1:262" ht="61.5" x14ac:dyDescent="0.85">
      <c r="A554" s="2">
        <v>1</v>
      </c>
      <c r="B554" s="18">
        <f>SUBTOTAL(103,$A$22:A554)</f>
        <v>467</v>
      </c>
      <c r="C554" s="3" t="s">
        <v>1125</v>
      </c>
      <c r="D554" s="5">
        <v>1234425.4500000002</v>
      </c>
      <c r="E554" s="5">
        <f t="shared" si="119"/>
        <v>0</v>
      </c>
      <c r="F554" s="5">
        <f>G554+H554+I554+J554+K554+L554+N554+P554+R554+T554+V554+W554+X554+Y554+Z554+AA554+AB554+AC554+AD554+AE554+AF554+AG554</f>
        <v>1234425.4500000002</v>
      </c>
      <c r="G554" s="5">
        <v>0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241">
        <v>0</v>
      </c>
      <c r="N554" s="5">
        <v>0</v>
      </c>
      <c r="O554" s="7">
        <v>297</v>
      </c>
      <c r="P554" s="7">
        <v>1177854.29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f>ROUND(P554*1.5%,2)</f>
        <v>17667.810000000001</v>
      </c>
      <c r="AF554" s="7">
        <v>38903.35</v>
      </c>
      <c r="AG554" s="5">
        <v>0</v>
      </c>
      <c r="AH554" s="246">
        <v>2020</v>
      </c>
      <c r="AI554" s="246">
        <v>2020</v>
      </c>
      <c r="AJ554" s="6">
        <v>2020</v>
      </c>
      <c r="AV554" s="2" t="e">
        <f>VLOOKUP(C554,AY:AZ,2,FALSE)</f>
        <v>#N/A</v>
      </c>
      <c r="CB554" s="236"/>
      <c r="CF554" s="2">
        <f>VLOOKUP(C554,CG:CH,2,FALSE)</f>
        <v>289.86</v>
      </c>
    </row>
    <row r="555" spans="1:262" s="239" customFormat="1" ht="61.5" x14ac:dyDescent="0.85">
      <c r="A555" s="239">
        <v>1</v>
      </c>
      <c r="B555" s="18">
        <f>SUBTOTAL(103,$A$22:A555)</f>
        <v>468</v>
      </c>
      <c r="C555" s="3" t="s">
        <v>1428</v>
      </c>
      <c r="D555" s="5">
        <v>3451696.55</v>
      </c>
      <c r="E555" s="5">
        <f t="shared" si="119"/>
        <v>3415978.92</v>
      </c>
      <c r="F555" s="5">
        <f>G555+H555+I555+J555+K555+L555+N555+P555+R555+T555+V555+W555+X555+Y555+Z555+AA555+AB555+AC555+AD555+AE555+AF555+AG555</f>
        <v>35717.629999999997</v>
      </c>
      <c r="G555" s="5">
        <v>0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2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f>ROUND(P555*1.5%,2)</f>
        <v>0</v>
      </c>
      <c r="AF555" s="5">
        <v>35717.629999999997</v>
      </c>
      <c r="AG555" s="5">
        <v>0</v>
      </c>
      <c r="AH555" s="246">
        <v>2020</v>
      </c>
      <c r="AI555" s="246" t="s">
        <v>49</v>
      </c>
      <c r="AJ555" s="246" t="s">
        <v>49</v>
      </c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 t="e">
        <v>#N/A</v>
      </c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36"/>
      <c r="CC555" s="2"/>
      <c r="CD555" s="2"/>
      <c r="CE555" s="2"/>
      <c r="CF555" s="2" t="e">
        <v>#N/A</v>
      </c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</row>
    <row r="556" spans="1:262" ht="61.5" x14ac:dyDescent="0.85">
      <c r="B556" s="3" t="s">
        <v>1429</v>
      </c>
      <c r="C556" s="3"/>
      <c r="D556" s="244">
        <v>1024488175.7100002</v>
      </c>
      <c r="E556" s="233">
        <f t="shared" si="119"/>
        <v>-339398601.35999978</v>
      </c>
      <c r="F556" s="244">
        <f>F557+F647+F678+F718+F737+F745+F771+F779+F787+F792+F794+F798+F800+F802+F817+F828+F835+F837+F839+F841+F843+F845+F852+F867+F871+F874+F877+F880+F889+F893+F895+F899+F901+F903+F905+F910+F915+F921+F925+F927+F935+F941+F944+F946+F950+F954+F960+F966+F970+F972+F976+F978+F984+F988+F995+F1000+F913+F986+F831+F850+F864+F939+F948+F974+F1002</f>
        <v>1363886777.0699999</v>
      </c>
      <c r="G556" s="5">
        <f t="shared" ref="G556:AG556" si="137">G557+G647+G678+G718+G737+G745+G771+G779+G787+G792+G794+G798+G800+G802+G817+G828+G835+G837+G839+G841+G843+G845+G852+G867+G871+G874+G877+G880+G889+G893+G895+G899+G901+G903+G905+G910+G915+G921+G925+G927+G935+G941+G944+G946+G950+G954+G960+G966+G970+G972+G976+G978+G984+G988+G995+G1000+G913+G986+G831+G850+G864+G939+G948+G974+G1002</f>
        <v>5025151.3899999997</v>
      </c>
      <c r="H556" s="5">
        <f t="shared" si="137"/>
        <v>6376262.6000000006</v>
      </c>
      <c r="I556" s="5">
        <f t="shared" si="137"/>
        <v>44741537.079999998</v>
      </c>
      <c r="J556" s="5">
        <f t="shared" si="137"/>
        <v>12365513.34</v>
      </c>
      <c r="K556" s="5">
        <f t="shared" si="137"/>
        <v>24562224.669999998</v>
      </c>
      <c r="L556" s="5">
        <f t="shared" si="137"/>
        <v>0</v>
      </c>
      <c r="M556" s="26">
        <f t="shared" si="137"/>
        <v>23</v>
      </c>
      <c r="N556" s="5">
        <f t="shared" si="137"/>
        <v>47196259.059999995</v>
      </c>
      <c r="O556" s="5">
        <f t="shared" si="137"/>
        <v>202980.46999999997</v>
      </c>
      <c r="P556" s="5">
        <f t="shared" si="137"/>
        <v>952132671.41000032</v>
      </c>
      <c r="Q556" s="5">
        <f t="shared" si="137"/>
        <v>1058</v>
      </c>
      <c r="R556" s="5">
        <f t="shared" si="137"/>
        <v>2360078.6100000003</v>
      </c>
      <c r="S556" s="5">
        <f t="shared" si="137"/>
        <v>52079.659999999989</v>
      </c>
      <c r="T556" s="5">
        <f t="shared" si="137"/>
        <v>150741381.96000001</v>
      </c>
      <c r="U556" s="5">
        <f t="shared" si="137"/>
        <v>928.69999999999993</v>
      </c>
      <c r="V556" s="5">
        <f t="shared" si="137"/>
        <v>17270717.439999998</v>
      </c>
      <c r="W556" s="5">
        <f t="shared" si="137"/>
        <v>50789041.350000009</v>
      </c>
      <c r="X556" s="5">
        <f t="shared" si="137"/>
        <v>210000</v>
      </c>
      <c r="Y556" s="5">
        <f t="shared" si="137"/>
        <v>0</v>
      </c>
      <c r="Z556" s="5">
        <f t="shared" si="137"/>
        <v>0</v>
      </c>
      <c r="AA556" s="5">
        <f t="shared" si="137"/>
        <v>0</v>
      </c>
      <c r="AB556" s="5">
        <f t="shared" si="137"/>
        <v>0</v>
      </c>
      <c r="AC556" s="5">
        <f t="shared" si="137"/>
        <v>400000</v>
      </c>
      <c r="AD556" s="5">
        <f t="shared" si="137"/>
        <v>0</v>
      </c>
      <c r="AE556" s="5">
        <f t="shared" si="137"/>
        <v>18793323.510000002</v>
      </c>
      <c r="AF556" s="5">
        <f t="shared" si="137"/>
        <v>28882614.650000002</v>
      </c>
      <c r="AG556" s="5">
        <f t="shared" si="137"/>
        <v>2040000</v>
      </c>
      <c r="AH556" s="23" t="s">
        <v>90</v>
      </c>
      <c r="AI556" s="23" t="s">
        <v>90</v>
      </c>
      <c r="AJ556" s="27" t="s">
        <v>90</v>
      </c>
      <c r="AV556" s="2" t="e">
        <f>VLOOKUP(C556,AY:AZ,2,FALSE)</f>
        <v>#N/A</v>
      </c>
      <c r="CB556" s="236">
        <v>799638471.25999999</v>
      </c>
      <c r="CF556" s="2" t="e">
        <f t="shared" ref="CF556:CF619" si="138">VLOOKUP(C556,CG:CH,2,FALSE)</f>
        <v>#N/A</v>
      </c>
    </row>
    <row r="557" spans="1:262" ht="61.5" x14ac:dyDescent="0.85">
      <c r="B557" s="3" t="s">
        <v>912</v>
      </c>
      <c r="C557" s="442"/>
      <c r="D557" s="244">
        <v>254600033.64999992</v>
      </c>
      <c r="E557" s="233">
        <f t="shared" si="119"/>
        <v>-46373434.689999938</v>
      </c>
      <c r="F557" s="244">
        <f t="shared" ref="F557:AG557" si="139">SUM(F558:F646)</f>
        <v>300973468.33999985</v>
      </c>
      <c r="G557" s="5">
        <f t="shared" si="139"/>
        <v>102509.44</v>
      </c>
      <c r="H557" s="5">
        <f t="shared" si="139"/>
        <v>0</v>
      </c>
      <c r="I557" s="5">
        <f t="shared" si="139"/>
        <v>600000</v>
      </c>
      <c r="J557" s="5">
        <f t="shared" si="139"/>
        <v>115886.17</v>
      </c>
      <c r="K557" s="5">
        <f t="shared" si="139"/>
        <v>0</v>
      </c>
      <c r="L557" s="5">
        <f t="shared" si="139"/>
        <v>0</v>
      </c>
      <c r="M557" s="241">
        <f t="shared" si="139"/>
        <v>6</v>
      </c>
      <c r="N557" s="5">
        <f t="shared" si="139"/>
        <v>11777446.5</v>
      </c>
      <c r="O557" s="5">
        <f t="shared" si="139"/>
        <v>57884.42</v>
      </c>
      <c r="P557" s="5">
        <f t="shared" si="139"/>
        <v>252927643.31</v>
      </c>
      <c r="Q557" s="5">
        <f t="shared" si="139"/>
        <v>1058</v>
      </c>
      <c r="R557" s="5">
        <f t="shared" si="139"/>
        <v>2360078.6100000003</v>
      </c>
      <c r="S557" s="5">
        <f t="shared" si="139"/>
        <v>8482.4599999999991</v>
      </c>
      <c r="T557" s="5">
        <f t="shared" si="139"/>
        <v>23469072.489999998</v>
      </c>
      <c r="U557" s="5">
        <f t="shared" si="139"/>
        <v>0</v>
      </c>
      <c r="V557" s="5">
        <f t="shared" si="139"/>
        <v>0</v>
      </c>
      <c r="W557" s="5">
        <f t="shared" si="139"/>
        <v>0</v>
      </c>
      <c r="X557" s="5">
        <f t="shared" si="139"/>
        <v>0</v>
      </c>
      <c r="Y557" s="5">
        <f t="shared" si="139"/>
        <v>0</v>
      </c>
      <c r="Z557" s="5">
        <f t="shared" si="139"/>
        <v>0</v>
      </c>
      <c r="AA557" s="5">
        <f t="shared" si="139"/>
        <v>0</v>
      </c>
      <c r="AB557" s="5">
        <f t="shared" si="139"/>
        <v>0</v>
      </c>
      <c r="AC557" s="5">
        <f t="shared" si="139"/>
        <v>0</v>
      </c>
      <c r="AD557" s="5">
        <f t="shared" si="139"/>
        <v>0</v>
      </c>
      <c r="AE557" s="5">
        <f t="shared" si="139"/>
        <v>4189331.8399999994</v>
      </c>
      <c r="AF557" s="5">
        <f t="shared" si="139"/>
        <v>5431499.9800000004</v>
      </c>
      <c r="AG557" s="5">
        <f t="shared" si="139"/>
        <v>0</v>
      </c>
      <c r="AH557" s="23" t="s">
        <v>90</v>
      </c>
      <c r="AI557" s="23" t="s">
        <v>90</v>
      </c>
      <c r="AJ557" s="27" t="s">
        <v>90</v>
      </c>
      <c r="AV557" s="2" t="e">
        <f>VLOOKUP(C557,AY:AZ,2,FALSE)</f>
        <v>#N/A</v>
      </c>
      <c r="CB557" s="236">
        <v>225509821.20999989</v>
      </c>
      <c r="CF557" s="2" t="e">
        <f t="shared" si="138"/>
        <v>#N/A</v>
      </c>
    </row>
    <row r="558" spans="1:262" ht="61.5" x14ac:dyDescent="0.85">
      <c r="A558" s="2">
        <v>1</v>
      </c>
      <c r="B558" s="18">
        <f>SUBTOTAL(103,$A$558:A558)</f>
        <v>1</v>
      </c>
      <c r="C558" s="3" t="s">
        <v>1430</v>
      </c>
      <c r="D558" s="5">
        <v>4549323.9899999993</v>
      </c>
      <c r="E558" s="5">
        <f t="shared" si="119"/>
        <v>0</v>
      </c>
      <c r="F558" s="5">
        <f t="shared" ref="F558:F639" si="140">G558+H558+I558+J558+K558+L558+N558+P558+R558+T558+V558+W558+X558+Y558+Z558+AA558+AB558+AC558+AD558+AE558+AF558+AG558</f>
        <v>4549323.9899999993</v>
      </c>
      <c r="G558" s="5">
        <v>0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241">
        <v>0</v>
      </c>
      <c r="N558" s="5">
        <v>0</v>
      </c>
      <c r="O558" s="5">
        <v>960</v>
      </c>
      <c r="P558" s="5">
        <v>4383570.43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65753.56</v>
      </c>
      <c r="AF558" s="5">
        <v>100000</v>
      </c>
      <c r="AG558" s="5">
        <v>0</v>
      </c>
      <c r="AH558" s="246">
        <v>2021</v>
      </c>
      <c r="AI558" s="246">
        <v>2021</v>
      </c>
      <c r="AJ558" s="6">
        <v>2021</v>
      </c>
      <c r="AV558" s="2" t="e">
        <f>VLOOKUP(C558,AY:AZ,2,FALSE)</f>
        <v>#N/A</v>
      </c>
      <c r="CB558" s="236"/>
      <c r="CF558" s="2" t="e">
        <f t="shared" si="138"/>
        <v>#N/A</v>
      </c>
    </row>
    <row r="559" spans="1:262" ht="61.5" x14ac:dyDescent="0.85">
      <c r="A559" s="2">
        <v>1</v>
      </c>
      <c r="B559" s="18">
        <f>SUBTOTAL(103,$A$558:A559)</f>
        <v>2</v>
      </c>
      <c r="C559" s="3" t="s">
        <v>1431</v>
      </c>
      <c r="D559" s="5">
        <v>4549323.9899999993</v>
      </c>
      <c r="E559" s="5">
        <f t="shared" si="119"/>
        <v>0</v>
      </c>
      <c r="F559" s="5">
        <f t="shared" si="140"/>
        <v>4549323.9899999993</v>
      </c>
      <c r="G559" s="5">
        <v>0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241">
        <v>0</v>
      </c>
      <c r="N559" s="5">
        <v>0</v>
      </c>
      <c r="O559" s="5">
        <v>960</v>
      </c>
      <c r="P559" s="5">
        <v>4383570.43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65753.56</v>
      </c>
      <c r="AF559" s="5">
        <v>100000</v>
      </c>
      <c r="AG559" s="5">
        <v>0</v>
      </c>
      <c r="AH559" s="246">
        <v>2021</v>
      </c>
      <c r="AI559" s="246">
        <v>2021</v>
      </c>
      <c r="AJ559" s="6">
        <v>2021</v>
      </c>
      <c r="AV559" s="2" t="e">
        <f>VLOOKUP(C559,AY:AZ,2,FALSE)</f>
        <v>#N/A</v>
      </c>
      <c r="CB559" s="236"/>
      <c r="CF559" s="2" t="e">
        <f t="shared" si="138"/>
        <v>#N/A</v>
      </c>
    </row>
    <row r="560" spans="1:262" ht="61.5" x14ac:dyDescent="0.85">
      <c r="A560" s="2">
        <v>1</v>
      </c>
      <c r="B560" s="18">
        <f>SUBTOTAL(103,$A$558:A560)</f>
        <v>3</v>
      </c>
      <c r="C560" s="3" t="s">
        <v>1432</v>
      </c>
      <c r="D560" s="5">
        <v>3263607.5799999996</v>
      </c>
      <c r="E560" s="5">
        <f t="shared" si="119"/>
        <v>0</v>
      </c>
      <c r="F560" s="5">
        <f t="shared" si="140"/>
        <v>3263607.5799999996</v>
      </c>
      <c r="G560" s="5">
        <v>0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241">
        <v>0</v>
      </c>
      <c r="N560" s="5">
        <v>0</v>
      </c>
      <c r="O560" s="5">
        <v>657.1</v>
      </c>
      <c r="P560" s="5">
        <v>3116854.76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46752.82</v>
      </c>
      <c r="AF560" s="5">
        <v>100000</v>
      </c>
      <c r="AG560" s="5">
        <v>0</v>
      </c>
      <c r="AH560" s="246">
        <v>2021</v>
      </c>
      <c r="AI560" s="246">
        <v>2021</v>
      </c>
      <c r="AJ560" s="6">
        <v>2021</v>
      </c>
      <c r="CB560" s="236"/>
      <c r="CF560" s="2" t="e">
        <f t="shared" si="138"/>
        <v>#N/A</v>
      </c>
    </row>
    <row r="561" spans="1:262" ht="61.5" x14ac:dyDescent="0.85">
      <c r="A561" s="2">
        <v>1</v>
      </c>
      <c r="B561" s="18">
        <f>SUBTOTAL(103,$A$558:A561)</f>
        <v>4</v>
      </c>
      <c r="C561" s="3" t="s">
        <v>1433</v>
      </c>
      <c r="D561" s="5">
        <v>3518296.02</v>
      </c>
      <c r="E561" s="5">
        <f t="shared" si="119"/>
        <v>0</v>
      </c>
      <c r="F561" s="5">
        <f t="shared" si="140"/>
        <v>3518296.02</v>
      </c>
      <c r="G561" s="5">
        <v>0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241">
        <v>0</v>
      </c>
      <c r="N561" s="5">
        <v>0</v>
      </c>
      <c r="O561" s="5">
        <v>710</v>
      </c>
      <c r="P561" s="5">
        <v>3367779.33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50516.69</v>
      </c>
      <c r="AF561" s="5">
        <v>100000</v>
      </c>
      <c r="AG561" s="5">
        <v>0</v>
      </c>
      <c r="AH561" s="246">
        <v>2021</v>
      </c>
      <c r="AI561" s="246">
        <v>2021</v>
      </c>
      <c r="AJ561" s="6">
        <v>2021</v>
      </c>
      <c r="AV561" s="2" t="e">
        <f t="shared" ref="AV561:AV571" si="141">VLOOKUP(C561,AY:AZ,2,FALSE)</f>
        <v>#N/A</v>
      </c>
      <c r="CB561" s="236"/>
      <c r="CF561" s="2" t="e">
        <f t="shared" si="138"/>
        <v>#N/A</v>
      </c>
    </row>
    <row r="562" spans="1:262" ht="61.5" x14ac:dyDescent="0.85">
      <c r="A562" s="2">
        <v>1</v>
      </c>
      <c r="B562" s="18">
        <f>SUBTOTAL(103,$A$558:A562)</f>
        <v>5</v>
      </c>
      <c r="C562" s="3" t="s">
        <v>1434</v>
      </c>
      <c r="D562" s="5">
        <v>2570383.31</v>
      </c>
      <c r="E562" s="5">
        <f t="shared" si="119"/>
        <v>0</v>
      </c>
      <c r="F562" s="5">
        <f t="shared" si="140"/>
        <v>2570383.31</v>
      </c>
      <c r="G562" s="5">
        <v>0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241">
        <v>0</v>
      </c>
      <c r="N562" s="5">
        <v>0</v>
      </c>
      <c r="O562" s="5">
        <v>520</v>
      </c>
      <c r="P562" s="5">
        <v>2433875.1800000002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36508.129999999997</v>
      </c>
      <c r="AF562" s="5">
        <v>100000</v>
      </c>
      <c r="AG562" s="5">
        <v>0</v>
      </c>
      <c r="AH562" s="246">
        <v>2021</v>
      </c>
      <c r="AI562" s="246">
        <v>2021</v>
      </c>
      <c r="AJ562" s="6">
        <v>2021</v>
      </c>
      <c r="AV562" s="2" t="e">
        <f t="shared" si="141"/>
        <v>#N/A</v>
      </c>
      <c r="CB562" s="236"/>
      <c r="CF562" s="2" t="e">
        <f t="shared" si="138"/>
        <v>#N/A</v>
      </c>
    </row>
    <row r="563" spans="1:262" ht="61.5" x14ac:dyDescent="0.85">
      <c r="A563" s="2">
        <v>1</v>
      </c>
      <c r="B563" s="18">
        <f>SUBTOTAL(103,$A$558:A563)</f>
        <v>6</v>
      </c>
      <c r="C563" s="3" t="s">
        <v>1435</v>
      </c>
      <c r="D563" s="5">
        <v>4554037.87</v>
      </c>
      <c r="E563" s="5">
        <f t="shared" si="119"/>
        <v>0</v>
      </c>
      <c r="F563" s="5">
        <f t="shared" si="140"/>
        <v>4554037.87</v>
      </c>
      <c r="G563" s="5">
        <v>0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241">
        <v>0</v>
      </c>
      <c r="N563" s="5">
        <v>0</v>
      </c>
      <c r="O563" s="5">
        <v>925.13</v>
      </c>
      <c r="P563" s="5">
        <v>4388214.6500000004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65823.22</v>
      </c>
      <c r="AF563" s="5">
        <v>100000</v>
      </c>
      <c r="AG563" s="5">
        <v>0</v>
      </c>
      <c r="AH563" s="246">
        <v>2021</v>
      </c>
      <c r="AI563" s="246">
        <v>2021</v>
      </c>
      <c r="AJ563" s="6">
        <v>2021</v>
      </c>
      <c r="AV563" s="2" t="e">
        <f t="shared" si="141"/>
        <v>#N/A</v>
      </c>
      <c r="CB563" s="236"/>
      <c r="CF563" s="2" t="e">
        <f t="shared" si="138"/>
        <v>#N/A</v>
      </c>
    </row>
    <row r="564" spans="1:262" ht="61.5" x14ac:dyDescent="0.85">
      <c r="A564" s="2">
        <v>1</v>
      </c>
      <c r="B564" s="18">
        <f>SUBTOTAL(103,$A$558:A564)</f>
        <v>7</v>
      </c>
      <c r="C564" s="3" t="s">
        <v>1436</v>
      </c>
      <c r="D564" s="5">
        <v>3759019.5700000003</v>
      </c>
      <c r="E564" s="5">
        <f t="shared" si="119"/>
        <v>0</v>
      </c>
      <c r="F564" s="5">
        <f t="shared" si="140"/>
        <v>3759019.5700000003</v>
      </c>
      <c r="G564" s="5">
        <v>0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241">
        <v>0</v>
      </c>
      <c r="N564" s="5">
        <v>0</v>
      </c>
      <c r="O564" s="5">
        <v>760</v>
      </c>
      <c r="P564" s="5">
        <v>3604945.39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54074.18</v>
      </c>
      <c r="AF564" s="5">
        <v>100000</v>
      </c>
      <c r="AG564" s="5">
        <v>0</v>
      </c>
      <c r="AH564" s="246">
        <v>2021</v>
      </c>
      <c r="AI564" s="246">
        <v>2021</v>
      </c>
      <c r="AJ564" s="6">
        <v>2021</v>
      </c>
      <c r="AV564" s="2" t="e">
        <f t="shared" si="141"/>
        <v>#N/A</v>
      </c>
      <c r="CB564" s="236"/>
      <c r="CF564" s="2" t="e">
        <f t="shared" si="138"/>
        <v>#N/A</v>
      </c>
    </row>
    <row r="565" spans="1:262" ht="61.5" x14ac:dyDescent="0.85">
      <c r="A565" s="2">
        <v>1</v>
      </c>
      <c r="B565" s="18">
        <f>SUBTOTAL(103,$A$558:A565)</f>
        <v>8</v>
      </c>
      <c r="C565" s="3" t="s">
        <v>1437</v>
      </c>
      <c r="D565" s="5">
        <v>2589386.2599999998</v>
      </c>
      <c r="E565" s="5">
        <f t="shared" si="119"/>
        <v>-1015000</v>
      </c>
      <c r="F565" s="5">
        <f t="shared" si="140"/>
        <v>3604386.26</v>
      </c>
      <c r="G565" s="5">
        <v>0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241">
        <v>0</v>
      </c>
      <c r="N565" s="5">
        <v>0</v>
      </c>
      <c r="O565" s="5">
        <v>524</v>
      </c>
      <c r="P565" s="5">
        <v>3452597.3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51788.959999999999</v>
      </c>
      <c r="AF565" s="5">
        <v>100000</v>
      </c>
      <c r="AG565" s="5">
        <v>0</v>
      </c>
      <c r="AH565" s="246">
        <v>2021</v>
      </c>
      <c r="AI565" s="246">
        <v>2021</v>
      </c>
      <c r="AJ565" s="6">
        <v>2021</v>
      </c>
      <c r="AV565" s="2" t="e">
        <f t="shared" si="141"/>
        <v>#N/A</v>
      </c>
      <c r="CB565" s="236"/>
      <c r="CF565" s="2" t="e">
        <f t="shared" si="138"/>
        <v>#N/A</v>
      </c>
    </row>
    <row r="566" spans="1:262" ht="61.5" x14ac:dyDescent="0.85">
      <c r="A566" s="2">
        <v>1</v>
      </c>
      <c r="B566" s="18">
        <f>SUBTOTAL(103,$A$558:A566)</f>
        <v>9</v>
      </c>
      <c r="C566" s="3" t="s">
        <v>1438</v>
      </c>
      <c r="D566" s="5">
        <v>5092635.92</v>
      </c>
      <c r="E566" s="5">
        <f t="shared" si="119"/>
        <v>0</v>
      </c>
      <c r="F566" s="5">
        <f t="shared" si="140"/>
        <v>5092635.92</v>
      </c>
      <c r="G566" s="5">
        <v>0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241">
        <v>0</v>
      </c>
      <c r="N566" s="5">
        <v>0</v>
      </c>
      <c r="O566" s="5">
        <v>1037</v>
      </c>
      <c r="P566" s="5">
        <v>4918853.12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73782.8</v>
      </c>
      <c r="AF566" s="5">
        <v>100000</v>
      </c>
      <c r="AG566" s="5">
        <v>0</v>
      </c>
      <c r="AH566" s="246">
        <v>2021</v>
      </c>
      <c r="AI566" s="246">
        <v>2021</v>
      </c>
      <c r="AJ566" s="6">
        <v>2021</v>
      </c>
      <c r="AV566" s="2" t="e">
        <f t="shared" si="141"/>
        <v>#N/A</v>
      </c>
      <c r="CB566" s="236"/>
      <c r="CF566" s="2" t="e">
        <f t="shared" si="138"/>
        <v>#N/A</v>
      </c>
    </row>
    <row r="567" spans="1:262" ht="61.5" x14ac:dyDescent="0.85">
      <c r="A567" s="2">
        <v>1</v>
      </c>
      <c r="B567" s="18">
        <f>SUBTOTAL(103,$A$558:A567)</f>
        <v>10</v>
      </c>
      <c r="C567" s="3" t="s">
        <v>1439</v>
      </c>
      <c r="D567" s="5">
        <v>5145091.9399999995</v>
      </c>
      <c r="E567" s="5">
        <f t="shared" si="119"/>
        <v>0</v>
      </c>
      <c r="F567" s="5">
        <f>G567+H567+I567+J567+K567+L567+N567+P567+R567+T567+V567+W567+X567+Y567+Z567+AA567+AB567+AC567+AD567+AE567+AF567+AG567</f>
        <v>5145091.9399999995</v>
      </c>
      <c r="G567" s="5">
        <v>0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241">
        <v>0</v>
      </c>
      <c r="N567" s="5">
        <v>0</v>
      </c>
      <c r="O567" s="5">
        <v>1062</v>
      </c>
      <c r="P567" s="5">
        <v>4970533.93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74558.009999999995</v>
      </c>
      <c r="AF567" s="5">
        <v>100000</v>
      </c>
      <c r="AG567" s="5">
        <v>0</v>
      </c>
      <c r="AH567" s="246">
        <v>2021</v>
      </c>
      <c r="AI567" s="246">
        <v>2021</v>
      </c>
      <c r="AJ567" s="6">
        <v>2021</v>
      </c>
      <c r="AV567" s="2" t="e">
        <f t="shared" si="141"/>
        <v>#N/A</v>
      </c>
      <c r="CB567" s="236"/>
      <c r="CF567" s="2" t="e">
        <f t="shared" si="138"/>
        <v>#N/A</v>
      </c>
    </row>
    <row r="568" spans="1:262" ht="61.5" x14ac:dyDescent="0.85">
      <c r="A568" s="2">
        <v>1</v>
      </c>
      <c r="B568" s="18">
        <f>SUBTOTAL(103,$A$558:A568)</f>
        <v>11</v>
      </c>
      <c r="C568" s="3" t="s">
        <v>1440</v>
      </c>
      <c r="D568" s="5">
        <v>5398710.1299999999</v>
      </c>
      <c r="E568" s="5">
        <f t="shared" si="119"/>
        <v>0</v>
      </c>
      <c r="F568" s="5">
        <f t="shared" si="140"/>
        <v>5398710.1299999999</v>
      </c>
      <c r="G568" s="5">
        <v>0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241">
        <v>0</v>
      </c>
      <c r="N568" s="5">
        <v>0</v>
      </c>
      <c r="O568" s="5">
        <v>1068</v>
      </c>
      <c r="P568" s="5">
        <v>5220404.07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78306.06</v>
      </c>
      <c r="AF568" s="5">
        <v>100000</v>
      </c>
      <c r="AG568" s="5">
        <v>0</v>
      </c>
      <c r="AH568" s="246">
        <v>2021</v>
      </c>
      <c r="AI568" s="246">
        <v>2021</v>
      </c>
      <c r="AJ568" s="6">
        <v>2021</v>
      </c>
      <c r="AV568" s="2" t="e">
        <f t="shared" si="141"/>
        <v>#N/A</v>
      </c>
      <c r="CB568" s="236"/>
      <c r="CF568" s="2" t="e">
        <f t="shared" si="138"/>
        <v>#N/A</v>
      </c>
    </row>
    <row r="569" spans="1:262" ht="61.5" x14ac:dyDescent="0.85">
      <c r="A569" s="2">
        <v>1</v>
      </c>
      <c r="B569" s="18">
        <f>SUBTOTAL(103,$A$558:A569)</f>
        <v>12</v>
      </c>
      <c r="C569" s="3" t="s">
        <v>1441</v>
      </c>
      <c r="D569" s="5">
        <v>2739901.57</v>
      </c>
      <c r="E569" s="5">
        <f t="shared" si="119"/>
        <v>-59998.430000000168</v>
      </c>
      <c r="F569" s="5">
        <f t="shared" si="140"/>
        <v>2799900</v>
      </c>
      <c r="G569" s="5">
        <v>0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241">
        <v>0</v>
      </c>
      <c r="N569" s="5">
        <v>0</v>
      </c>
      <c r="O569" s="5">
        <v>635</v>
      </c>
      <c r="P569" s="5">
        <v>2660000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39900</v>
      </c>
      <c r="AF569" s="5">
        <v>100000</v>
      </c>
      <c r="AG569" s="5">
        <v>0</v>
      </c>
      <c r="AH569" s="246">
        <v>2021</v>
      </c>
      <c r="AI569" s="246">
        <v>2021</v>
      </c>
      <c r="AJ569" s="6">
        <v>2021</v>
      </c>
      <c r="AV569" s="2" t="e">
        <f t="shared" si="141"/>
        <v>#N/A</v>
      </c>
      <c r="CB569" s="236"/>
      <c r="CF569" s="2" t="e">
        <f t="shared" si="138"/>
        <v>#N/A</v>
      </c>
    </row>
    <row r="570" spans="1:262" ht="61.5" x14ac:dyDescent="0.85">
      <c r="A570" s="2">
        <v>1</v>
      </c>
      <c r="B570" s="18">
        <f>SUBTOTAL(103,$A$558:A570)</f>
        <v>13</v>
      </c>
      <c r="C570" s="3" t="s">
        <v>1442</v>
      </c>
      <c r="D570" s="5">
        <v>5019175</v>
      </c>
      <c r="E570" s="5">
        <f t="shared" si="119"/>
        <v>1825.0800000000745</v>
      </c>
      <c r="F570" s="5">
        <f t="shared" si="140"/>
        <v>5017349.92</v>
      </c>
      <c r="G570" s="5">
        <v>0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241">
        <v>0</v>
      </c>
      <c r="N570" s="5">
        <v>0</v>
      </c>
      <c r="O570" s="5">
        <v>960</v>
      </c>
      <c r="P570" s="5">
        <v>4943201.8899999997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74148.03</v>
      </c>
      <c r="AF570" s="5">
        <v>0</v>
      </c>
      <c r="AG570" s="5">
        <v>0</v>
      </c>
      <c r="AH570" s="246" t="s">
        <v>49</v>
      </c>
      <c r="AI570" s="246">
        <v>2021</v>
      </c>
      <c r="AJ570" s="6">
        <v>2021</v>
      </c>
      <c r="AV570" s="2" t="e">
        <f t="shared" si="141"/>
        <v>#N/A</v>
      </c>
      <c r="CB570" s="236"/>
      <c r="CF570" s="2" t="e">
        <f t="shared" si="138"/>
        <v>#N/A</v>
      </c>
    </row>
    <row r="571" spans="1:262" ht="61.5" x14ac:dyDescent="0.85">
      <c r="A571" s="2">
        <v>1</v>
      </c>
      <c r="B571" s="18">
        <f>SUBTOTAL(103,$A$558:A571)</f>
        <v>14</v>
      </c>
      <c r="C571" s="3" t="s">
        <v>1443</v>
      </c>
      <c r="D571" s="5">
        <v>4077255</v>
      </c>
      <c r="E571" s="5">
        <f t="shared" si="119"/>
        <v>345.71999999973923</v>
      </c>
      <c r="F571" s="5">
        <f t="shared" si="140"/>
        <v>4076909.2800000003</v>
      </c>
      <c r="G571" s="5">
        <v>0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241">
        <v>0</v>
      </c>
      <c r="N571" s="5">
        <v>0</v>
      </c>
      <c r="O571" s="5">
        <v>732.9</v>
      </c>
      <c r="P571" s="5">
        <v>4016659.39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60249.89</v>
      </c>
      <c r="AF571" s="5">
        <v>0</v>
      </c>
      <c r="AG571" s="5">
        <v>0</v>
      </c>
      <c r="AH571" s="246" t="s">
        <v>49</v>
      </c>
      <c r="AI571" s="246">
        <v>2021</v>
      </c>
      <c r="AJ571" s="6">
        <v>2021</v>
      </c>
      <c r="AV571" s="2" t="e">
        <f t="shared" si="141"/>
        <v>#N/A</v>
      </c>
      <c r="CB571" s="236"/>
      <c r="CF571" s="2" t="e">
        <f t="shared" si="138"/>
        <v>#N/A</v>
      </c>
    </row>
    <row r="572" spans="1:262" ht="61.5" x14ac:dyDescent="0.85">
      <c r="A572" s="2">
        <v>1</v>
      </c>
      <c r="B572" s="18">
        <f>SUBTOTAL(103,$A$558:A572)</f>
        <v>15</v>
      </c>
      <c r="C572" s="3" t="s">
        <v>1444</v>
      </c>
      <c r="D572" s="5">
        <v>5691105</v>
      </c>
      <c r="E572" s="5">
        <f t="shared" si="119"/>
        <v>6445.1699999999255</v>
      </c>
      <c r="F572" s="5">
        <f t="shared" si="140"/>
        <v>5684659.8300000001</v>
      </c>
      <c r="G572" s="5">
        <v>0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241">
        <v>0</v>
      </c>
      <c r="N572" s="5">
        <v>0</v>
      </c>
      <c r="O572" s="5">
        <v>1207.0999999999999</v>
      </c>
      <c r="P572" s="5">
        <v>5600650.0800000001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84009.75</v>
      </c>
      <c r="AF572" s="5">
        <v>0</v>
      </c>
      <c r="AG572" s="5">
        <v>0</v>
      </c>
      <c r="AH572" s="246" t="s">
        <v>49</v>
      </c>
      <c r="AI572" s="246">
        <v>2021</v>
      </c>
      <c r="AJ572" s="6">
        <v>2021</v>
      </c>
      <c r="CB572" s="236"/>
      <c r="CF572" s="2" t="e">
        <f t="shared" si="138"/>
        <v>#N/A</v>
      </c>
    </row>
    <row r="573" spans="1:262" ht="61.5" x14ac:dyDescent="0.85">
      <c r="A573" s="2">
        <v>1</v>
      </c>
      <c r="B573" s="18">
        <f>SUBTOTAL(103,$A$558:A573)</f>
        <v>16</v>
      </c>
      <c r="C573" s="3" t="s">
        <v>1445</v>
      </c>
      <c r="D573" s="5">
        <v>3110127.71</v>
      </c>
      <c r="E573" s="5">
        <f t="shared" si="119"/>
        <v>100000</v>
      </c>
      <c r="F573" s="5">
        <f t="shared" si="140"/>
        <v>3010127.71</v>
      </c>
      <c r="G573" s="5">
        <v>0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241">
        <v>0</v>
      </c>
      <c r="N573" s="5">
        <v>0</v>
      </c>
      <c r="O573" s="5">
        <v>700</v>
      </c>
      <c r="P573" s="5">
        <v>2867120.9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43006.81</v>
      </c>
      <c r="AF573" s="5">
        <v>100000</v>
      </c>
      <c r="AG573" s="5">
        <v>0</v>
      </c>
      <c r="AH573" s="246">
        <v>2021</v>
      </c>
      <c r="AI573" s="246">
        <v>2021</v>
      </c>
      <c r="AJ573" s="6">
        <v>2021</v>
      </c>
      <c r="AV573" s="2" t="e">
        <f t="shared" ref="AV573:AV581" si="142">VLOOKUP(C573,AY:AZ,2,FALSE)</f>
        <v>#N/A</v>
      </c>
      <c r="CB573" s="236"/>
      <c r="CF573" s="2" t="e">
        <f t="shared" si="138"/>
        <v>#N/A</v>
      </c>
    </row>
    <row r="574" spans="1:262" ht="61.5" x14ac:dyDescent="0.85">
      <c r="A574" s="2">
        <v>1</v>
      </c>
      <c r="B574" s="18">
        <f>SUBTOTAL(103,$A$558:A574)</f>
        <v>17</v>
      </c>
      <c r="C574" s="3" t="s">
        <v>1446</v>
      </c>
      <c r="D574" s="5">
        <v>1126135.8999999999</v>
      </c>
      <c r="E574" s="5">
        <f t="shared" ref="E574:E637" si="143">D574-F574</f>
        <v>0</v>
      </c>
      <c r="F574" s="5">
        <f t="shared" si="140"/>
        <v>1126135.8999999999</v>
      </c>
      <c r="G574" s="5">
        <v>0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241">
        <v>0</v>
      </c>
      <c r="N574" s="5">
        <v>0</v>
      </c>
      <c r="O574" s="5">
        <v>210</v>
      </c>
      <c r="P574" s="5">
        <v>996103.33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14941.55</v>
      </c>
      <c r="AF574" s="5">
        <v>115091.02</v>
      </c>
      <c r="AG574" s="5">
        <v>0</v>
      </c>
      <c r="AH574" s="246">
        <v>2021</v>
      </c>
      <c r="AI574" s="246">
        <v>2021</v>
      </c>
      <c r="AJ574" s="6">
        <v>2021</v>
      </c>
      <c r="AV574" s="2" t="e">
        <f t="shared" si="142"/>
        <v>#N/A</v>
      </c>
      <c r="CB574" s="236"/>
      <c r="CF574" s="2" t="e">
        <f t="shared" si="138"/>
        <v>#N/A</v>
      </c>
    </row>
    <row r="575" spans="1:262" s="239" customFormat="1" ht="61.5" x14ac:dyDescent="0.85">
      <c r="A575" s="239">
        <v>1</v>
      </c>
      <c r="B575" s="18">
        <f>SUBTOTAL(103,$A$558:A575)</f>
        <v>18</v>
      </c>
      <c r="C575" s="3" t="s">
        <v>1447</v>
      </c>
      <c r="D575" s="5">
        <v>5592560.8499999996</v>
      </c>
      <c r="E575" s="5">
        <f t="shared" si="143"/>
        <v>0</v>
      </c>
      <c r="F575" s="5">
        <f t="shared" si="140"/>
        <v>5592560.8499999996</v>
      </c>
      <c r="G575" s="5">
        <v>0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25">
        <v>0</v>
      </c>
      <c r="N575" s="5">
        <v>0</v>
      </c>
      <c r="O575" s="5">
        <v>1391</v>
      </c>
      <c r="P575" s="5">
        <v>5411390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81170.850000000006</v>
      </c>
      <c r="AF575" s="5">
        <v>100000</v>
      </c>
      <c r="AG575" s="5">
        <v>0</v>
      </c>
      <c r="AH575" s="246">
        <v>2021</v>
      </c>
      <c r="AI575" s="246">
        <v>2021</v>
      </c>
      <c r="AJ575" s="6">
        <v>2021</v>
      </c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 t="e">
        <f t="shared" si="142"/>
        <v>#N/A</v>
      </c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36"/>
      <c r="CC575" s="2"/>
      <c r="CD575" s="2"/>
      <c r="CE575" s="2"/>
      <c r="CF575" s="2" t="e">
        <f t="shared" si="138"/>
        <v>#N/A</v>
      </c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</row>
    <row r="576" spans="1:262" ht="61.5" x14ac:dyDescent="0.85">
      <c r="A576" s="2">
        <v>1</v>
      </c>
      <c r="B576" s="18">
        <f>SUBTOTAL(103,$A$558:A576)</f>
        <v>19</v>
      </c>
      <c r="C576" s="3" t="s">
        <v>1448</v>
      </c>
      <c r="D576" s="5">
        <v>4005106.45</v>
      </c>
      <c r="E576" s="5">
        <f t="shared" si="143"/>
        <v>0</v>
      </c>
      <c r="F576" s="5">
        <f t="shared" si="140"/>
        <v>4005106.45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241">
        <v>0</v>
      </c>
      <c r="N576" s="5">
        <v>0</v>
      </c>
      <c r="O576" s="5">
        <v>822</v>
      </c>
      <c r="P576" s="5">
        <v>3847395.52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57710.93</v>
      </c>
      <c r="AF576" s="5">
        <v>100000</v>
      </c>
      <c r="AG576" s="5">
        <v>0</v>
      </c>
      <c r="AH576" s="246">
        <v>2021</v>
      </c>
      <c r="AI576" s="246">
        <v>2021</v>
      </c>
      <c r="AJ576" s="6">
        <v>2021</v>
      </c>
      <c r="AV576" s="2" t="e">
        <f t="shared" si="142"/>
        <v>#N/A</v>
      </c>
      <c r="CB576" s="236"/>
      <c r="CF576" s="2" t="e">
        <f t="shared" si="138"/>
        <v>#N/A</v>
      </c>
    </row>
    <row r="577" spans="1:84" ht="61.5" x14ac:dyDescent="0.85">
      <c r="A577" s="2">
        <v>1</v>
      </c>
      <c r="B577" s="18">
        <f>SUBTOTAL(103,$A$558:A577)</f>
        <v>20</v>
      </c>
      <c r="C577" s="3" t="s">
        <v>1449</v>
      </c>
      <c r="D577" s="5">
        <v>2397304.5699999998</v>
      </c>
      <c r="E577" s="5">
        <f t="shared" si="143"/>
        <v>0</v>
      </c>
      <c r="F577" s="5">
        <f t="shared" si="140"/>
        <v>2397304.5699999998</v>
      </c>
      <c r="G577" s="5">
        <v>0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241">
        <v>0</v>
      </c>
      <c r="N577" s="5">
        <v>0</v>
      </c>
      <c r="O577" s="5">
        <v>485</v>
      </c>
      <c r="P577" s="5">
        <v>2263354.2599999998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33950.31</v>
      </c>
      <c r="AF577" s="5">
        <v>100000</v>
      </c>
      <c r="AG577" s="5">
        <v>0</v>
      </c>
      <c r="AH577" s="246">
        <v>2021</v>
      </c>
      <c r="AI577" s="246">
        <v>2021</v>
      </c>
      <c r="AJ577" s="6">
        <v>2021</v>
      </c>
      <c r="AV577" s="2" t="e">
        <f t="shared" si="142"/>
        <v>#N/A</v>
      </c>
      <c r="CB577" s="236"/>
      <c r="CF577" s="2" t="e">
        <f t="shared" si="138"/>
        <v>#N/A</v>
      </c>
    </row>
    <row r="578" spans="1:84" ht="61.5" x14ac:dyDescent="0.85">
      <c r="A578" s="2">
        <v>1</v>
      </c>
      <c r="B578" s="18">
        <f>SUBTOTAL(103,$A$558:A578)</f>
        <v>21</v>
      </c>
      <c r="C578" s="3" t="s">
        <v>1450</v>
      </c>
      <c r="D578" s="5">
        <v>2564514.5199999996</v>
      </c>
      <c r="E578" s="5">
        <f t="shared" si="143"/>
        <v>0</v>
      </c>
      <c r="F578" s="5">
        <f t="shared" si="140"/>
        <v>2564514.5199999996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241">
        <v>0</v>
      </c>
      <c r="N578" s="5">
        <v>0</v>
      </c>
      <c r="O578" s="5">
        <v>606</v>
      </c>
      <c r="P578" s="5">
        <v>2425477.84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36382.17</v>
      </c>
      <c r="AF578" s="5">
        <v>102654.51</v>
      </c>
      <c r="AG578" s="5">
        <v>0</v>
      </c>
      <c r="AH578" s="246">
        <v>2021</v>
      </c>
      <c r="AI578" s="246">
        <v>2021</v>
      </c>
      <c r="AJ578" s="6">
        <v>2021</v>
      </c>
      <c r="AV578" s="2" t="e">
        <f t="shared" si="142"/>
        <v>#N/A</v>
      </c>
      <c r="CB578" s="236"/>
      <c r="CF578" s="2" t="e">
        <f t="shared" si="138"/>
        <v>#N/A</v>
      </c>
    </row>
    <row r="579" spans="1:84" ht="61.5" x14ac:dyDescent="0.85">
      <c r="A579" s="2">
        <v>1</v>
      </c>
      <c r="B579" s="18">
        <f>SUBTOTAL(103,$A$558:A579)</f>
        <v>22</v>
      </c>
      <c r="C579" s="3" t="s">
        <v>1451</v>
      </c>
      <c r="D579" s="5">
        <v>2171781.17</v>
      </c>
      <c r="E579" s="5">
        <f t="shared" si="143"/>
        <v>-30000</v>
      </c>
      <c r="F579" s="5">
        <f t="shared" si="140"/>
        <v>2201781.17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241">
        <v>0</v>
      </c>
      <c r="N579" s="5">
        <v>0</v>
      </c>
      <c r="O579" s="5">
        <v>432.6</v>
      </c>
      <c r="P579" s="5">
        <v>2070720.36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31060.81</v>
      </c>
      <c r="AF579" s="5">
        <v>100000</v>
      </c>
      <c r="AG579" s="5">
        <v>0</v>
      </c>
      <c r="AH579" s="246">
        <v>2021</v>
      </c>
      <c r="AI579" s="246">
        <v>2021</v>
      </c>
      <c r="AJ579" s="6">
        <v>2021</v>
      </c>
      <c r="AV579" s="2" t="e">
        <f t="shared" si="142"/>
        <v>#N/A</v>
      </c>
      <c r="CB579" s="236"/>
      <c r="CF579" s="2" t="e">
        <f t="shared" si="138"/>
        <v>#N/A</v>
      </c>
    </row>
    <row r="580" spans="1:84" ht="61.5" x14ac:dyDescent="0.85">
      <c r="A580" s="2">
        <v>1</v>
      </c>
      <c r="B580" s="18">
        <f>SUBTOTAL(103,$A$558:A580)</f>
        <v>23</v>
      </c>
      <c r="C580" s="3" t="s">
        <v>1452</v>
      </c>
      <c r="D580" s="5">
        <v>763048.75</v>
      </c>
      <c r="E580" s="5">
        <f t="shared" si="143"/>
        <v>0</v>
      </c>
      <c r="F580" s="5">
        <f t="shared" si="140"/>
        <v>763048.75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241">
        <v>0</v>
      </c>
      <c r="N580" s="5">
        <v>0</v>
      </c>
      <c r="O580" s="5">
        <v>185.8</v>
      </c>
      <c r="P580" s="5">
        <v>653250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9798.75</v>
      </c>
      <c r="AF580" s="5">
        <v>100000</v>
      </c>
      <c r="AG580" s="5">
        <v>0</v>
      </c>
      <c r="AH580" s="246">
        <v>2021</v>
      </c>
      <c r="AI580" s="246">
        <v>2021</v>
      </c>
      <c r="AJ580" s="6">
        <v>2021</v>
      </c>
      <c r="AV580" s="2" t="e">
        <f t="shared" si="142"/>
        <v>#N/A</v>
      </c>
      <c r="CB580" s="236"/>
      <c r="CF580" s="2" t="e">
        <f t="shared" si="138"/>
        <v>#N/A</v>
      </c>
    </row>
    <row r="581" spans="1:84" ht="61.5" x14ac:dyDescent="0.85">
      <c r="A581" s="2">
        <v>1</v>
      </c>
      <c r="B581" s="18">
        <f>SUBTOTAL(103,$A$558:A581)</f>
        <v>24</v>
      </c>
      <c r="C581" s="3" t="s">
        <v>1453</v>
      </c>
      <c r="D581" s="5">
        <v>2794940.58</v>
      </c>
      <c r="E581" s="5">
        <f t="shared" si="143"/>
        <v>0</v>
      </c>
      <c r="F581" s="5">
        <f t="shared" si="140"/>
        <v>2794940.58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241">
        <v>0</v>
      </c>
      <c r="N581" s="5">
        <v>0</v>
      </c>
      <c r="O581" s="5">
        <v>642</v>
      </c>
      <c r="P581" s="5">
        <v>2655113.87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39826.71</v>
      </c>
      <c r="AF581" s="5">
        <v>100000</v>
      </c>
      <c r="AG581" s="5">
        <v>0</v>
      </c>
      <c r="AH581" s="246">
        <v>2021</v>
      </c>
      <c r="AI581" s="246">
        <v>2021</v>
      </c>
      <c r="AJ581" s="6">
        <v>2021</v>
      </c>
      <c r="AV581" s="2" t="e">
        <f t="shared" si="142"/>
        <v>#N/A</v>
      </c>
      <c r="CB581" s="236"/>
      <c r="CF581" s="2" t="e">
        <f t="shared" si="138"/>
        <v>#N/A</v>
      </c>
    </row>
    <row r="582" spans="1:84" ht="61.5" x14ac:dyDescent="0.85">
      <c r="A582" s="2">
        <v>1</v>
      </c>
      <c r="B582" s="18">
        <f>SUBTOTAL(103,$A$558:A582)</f>
        <v>25</v>
      </c>
      <c r="C582" s="3" t="s">
        <v>1454</v>
      </c>
      <c r="D582" s="5">
        <v>9602513.2699999996</v>
      </c>
      <c r="E582" s="5">
        <f t="shared" si="143"/>
        <v>0</v>
      </c>
      <c r="F582" s="5">
        <f t="shared" si="140"/>
        <v>9602513.2699999996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241">
        <v>0</v>
      </c>
      <c r="N582" s="5">
        <v>0</v>
      </c>
      <c r="O582" s="5">
        <v>2300</v>
      </c>
      <c r="P582" s="5">
        <v>9362082.0399999991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140431.23000000001</v>
      </c>
      <c r="AF582" s="5">
        <v>100000</v>
      </c>
      <c r="AG582" s="5">
        <v>0</v>
      </c>
      <c r="AH582" s="246">
        <v>2021</v>
      </c>
      <c r="AI582" s="246">
        <v>2021</v>
      </c>
      <c r="AJ582" s="6">
        <v>2021</v>
      </c>
      <c r="CB582" s="236"/>
      <c r="CF582" s="2" t="e">
        <f t="shared" si="138"/>
        <v>#N/A</v>
      </c>
    </row>
    <row r="583" spans="1:84" ht="61.5" x14ac:dyDescent="0.85">
      <c r="A583" s="2">
        <v>1</v>
      </c>
      <c r="B583" s="18">
        <f>SUBTOTAL(103,$A$558:A583)</f>
        <v>26</v>
      </c>
      <c r="C583" s="3" t="s">
        <v>1455</v>
      </c>
      <c r="D583" s="5">
        <v>5877399.3300000001</v>
      </c>
      <c r="E583" s="5">
        <f t="shared" si="143"/>
        <v>0</v>
      </c>
      <c r="F583" s="5">
        <f t="shared" si="140"/>
        <v>5877399.3300000001</v>
      </c>
      <c r="G583" s="5">
        <v>0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241">
        <v>0</v>
      </c>
      <c r="N583" s="5">
        <v>0</v>
      </c>
      <c r="O583" s="5">
        <v>1200</v>
      </c>
      <c r="P583" s="5">
        <v>5692019.04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85380.29</v>
      </c>
      <c r="AF583" s="5">
        <v>100000</v>
      </c>
      <c r="AG583" s="5">
        <v>0</v>
      </c>
      <c r="AH583" s="246">
        <v>2021</v>
      </c>
      <c r="AI583" s="246">
        <v>2021</v>
      </c>
      <c r="AJ583" s="6">
        <v>2021</v>
      </c>
      <c r="AV583" s="2" t="e">
        <f>VLOOKUP(C583,AY:AZ,2,FALSE)</f>
        <v>#N/A</v>
      </c>
      <c r="CB583" s="236"/>
      <c r="CF583" s="2" t="e">
        <f t="shared" si="138"/>
        <v>#N/A</v>
      </c>
    </row>
    <row r="584" spans="1:84" ht="61.5" x14ac:dyDescent="0.85">
      <c r="A584" s="2">
        <v>1</v>
      </c>
      <c r="B584" s="18">
        <f>SUBTOTAL(103,$A$558:A584)</f>
        <v>27</v>
      </c>
      <c r="C584" s="3" t="s">
        <v>1456</v>
      </c>
      <c r="D584" s="5">
        <v>2102735.67</v>
      </c>
      <c r="E584" s="5">
        <f t="shared" si="143"/>
        <v>0</v>
      </c>
      <c r="F584" s="5">
        <f t="shared" si="140"/>
        <v>2102735.67</v>
      </c>
      <c r="G584" s="5">
        <v>0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241">
        <v>0</v>
      </c>
      <c r="N584" s="5">
        <v>0</v>
      </c>
      <c r="O584" s="5">
        <v>483</v>
      </c>
      <c r="P584" s="5">
        <v>1973138.59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29597.08</v>
      </c>
      <c r="AF584" s="5">
        <v>100000</v>
      </c>
      <c r="AG584" s="5">
        <v>0</v>
      </c>
      <c r="AH584" s="246">
        <v>2021</v>
      </c>
      <c r="AI584" s="246">
        <v>2021</v>
      </c>
      <c r="AJ584" s="6">
        <v>2021</v>
      </c>
      <c r="AV584" s="2" t="e">
        <f>VLOOKUP(C584,AY:AZ,2,FALSE)</f>
        <v>#N/A</v>
      </c>
      <c r="CB584" s="236"/>
      <c r="CF584" s="2" t="e">
        <f t="shared" si="138"/>
        <v>#N/A</v>
      </c>
    </row>
    <row r="585" spans="1:84" ht="61.5" x14ac:dyDescent="0.85">
      <c r="A585" s="2">
        <v>1</v>
      </c>
      <c r="B585" s="18">
        <f>SUBTOTAL(103,$A$558:A585)</f>
        <v>28</v>
      </c>
      <c r="C585" s="3" t="s">
        <v>1457</v>
      </c>
      <c r="D585" s="5">
        <v>2323274.2000000002</v>
      </c>
      <c r="E585" s="5">
        <f t="shared" si="143"/>
        <v>0</v>
      </c>
      <c r="F585" s="5">
        <f t="shared" si="140"/>
        <v>2323274.2000000002</v>
      </c>
      <c r="G585" s="5">
        <v>0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241">
        <v>0</v>
      </c>
      <c r="N585" s="5">
        <v>0</v>
      </c>
      <c r="O585" s="5">
        <v>506.2</v>
      </c>
      <c r="P585" s="5">
        <v>2190417.9300000002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32856.269999999997</v>
      </c>
      <c r="AF585" s="5">
        <v>100000</v>
      </c>
      <c r="AG585" s="5">
        <v>0</v>
      </c>
      <c r="AH585" s="246">
        <v>2021</v>
      </c>
      <c r="AI585" s="246">
        <v>2021</v>
      </c>
      <c r="AJ585" s="6">
        <v>2021</v>
      </c>
      <c r="AV585" s="2" t="e">
        <f>VLOOKUP(C585,AY:AZ,2,FALSE)</f>
        <v>#N/A</v>
      </c>
      <c r="CB585" s="236"/>
      <c r="CF585" s="2" t="e">
        <f t="shared" si="138"/>
        <v>#N/A</v>
      </c>
    </row>
    <row r="586" spans="1:84" ht="61.5" x14ac:dyDescent="0.85">
      <c r="A586" s="2">
        <v>1</v>
      </c>
      <c r="B586" s="18">
        <f>SUBTOTAL(103,$A$558:A586)</f>
        <v>29</v>
      </c>
      <c r="C586" s="3" t="s">
        <v>1458</v>
      </c>
      <c r="D586" s="5">
        <v>4748603.68</v>
      </c>
      <c r="E586" s="5">
        <f t="shared" si="143"/>
        <v>0</v>
      </c>
      <c r="F586" s="5">
        <f t="shared" si="140"/>
        <v>4748603.68</v>
      </c>
      <c r="G586" s="5">
        <v>0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241">
        <v>0</v>
      </c>
      <c r="N586" s="5">
        <v>0</v>
      </c>
      <c r="O586" s="5">
        <v>960</v>
      </c>
      <c r="P586" s="5">
        <v>4579905.0999999996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68698.58</v>
      </c>
      <c r="AF586" s="5">
        <v>100000</v>
      </c>
      <c r="AG586" s="5">
        <v>0</v>
      </c>
      <c r="AH586" s="246">
        <v>2021</v>
      </c>
      <c r="AI586" s="246">
        <v>2021</v>
      </c>
      <c r="AJ586" s="6">
        <v>2021</v>
      </c>
      <c r="CB586" s="236"/>
      <c r="CF586" s="2" t="e">
        <f t="shared" si="138"/>
        <v>#N/A</v>
      </c>
    </row>
    <row r="587" spans="1:84" ht="61.5" x14ac:dyDescent="0.85">
      <c r="A587" s="2">
        <v>1</v>
      </c>
      <c r="B587" s="18">
        <f>SUBTOTAL(103,$A$558:A587)</f>
        <v>30</v>
      </c>
      <c r="C587" s="3" t="s">
        <v>1459</v>
      </c>
      <c r="D587" s="5">
        <v>3192730.04</v>
      </c>
      <c r="E587" s="5">
        <f t="shared" si="143"/>
        <v>-784805.46999999974</v>
      </c>
      <c r="F587" s="5">
        <f t="shared" si="140"/>
        <v>3977535.51</v>
      </c>
      <c r="G587" s="5">
        <v>0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241">
        <v>0</v>
      </c>
      <c r="N587" s="5">
        <v>0</v>
      </c>
      <c r="O587" s="5">
        <v>651</v>
      </c>
      <c r="P587" s="5">
        <v>3820232.32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f>57303.48-0.29</f>
        <v>57303.19</v>
      </c>
      <c r="AF587" s="5">
        <v>100000</v>
      </c>
      <c r="AG587" s="5">
        <v>0</v>
      </c>
      <c r="AH587" s="246">
        <v>2021</v>
      </c>
      <c r="AI587" s="246">
        <v>2021</v>
      </c>
      <c r="AJ587" s="6">
        <v>2021</v>
      </c>
      <c r="AV587" s="2" t="e">
        <f>VLOOKUP(C587,AY:AZ,2,FALSE)</f>
        <v>#N/A</v>
      </c>
      <c r="CB587" s="236"/>
      <c r="CF587" s="2" t="e">
        <f t="shared" si="138"/>
        <v>#N/A</v>
      </c>
    </row>
    <row r="588" spans="1:84" ht="61.5" x14ac:dyDescent="0.85">
      <c r="A588" s="2">
        <v>1</v>
      </c>
      <c r="B588" s="18">
        <f>SUBTOTAL(103,$A$558:A588)</f>
        <v>31</v>
      </c>
      <c r="C588" s="3" t="s">
        <v>1460</v>
      </c>
      <c r="D588" s="5">
        <v>1265842.2</v>
      </c>
      <c r="E588" s="5">
        <f t="shared" si="143"/>
        <v>0</v>
      </c>
      <c r="F588" s="5">
        <f t="shared" si="140"/>
        <v>1265842.2</v>
      </c>
      <c r="G588" s="5">
        <v>0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241">
        <v>0</v>
      </c>
      <c r="N588" s="5">
        <v>0</v>
      </c>
      <c r="O588" s="5">
        <v>287</v>
      </c>
      <c r="P588" s="5">
        <v>1148613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17229.2</v>
      </c>
      <c r="AF588" s="5">
        <v>100000</v>
      </c>
      <c r="AG588" s="5">
        <v>0</v>
      </c>
      <c r="AH588" s="246">
        <v>2021</v>
      </c>
      <c r="AI588" s="246">
        <v>2021</v>
      </c>
      <c r="AJ588" s="6">
        <v>2021</v>
      </c>
      <c r="AV588" s="2" t="e">
        <f>VLOOKUP(C588,AY:AZ,2,FALSE)</f>
        <v>#N/A</v>
      </c>
      <c r="CB588" s="236"/>
      <c r="CF588" s="2" t="e">
        <f t="shared" si="138"/>
        <v>#N/A</v>
      </c>
    </row>
    <row r="589" spans="1:84" ht="61.5" x14ac:dyDescent="0.85">
      <c r="A589" s="2">
        <v>1</v>
      </c>
      <c r="B589" s="18">
        <f>SUBTOTAL(103,$A$558:A589)</f>
        <v>32</v>
      </c>
      <c r="C589" s="3" t="s">
        <v>1461</v>
      </c>
      <c r="D589" s="5">
        <v>3576070.0900000003</v>
      </c>
      <c r="E589" s="5">
        <f t="shared" si="143"/>
        <v>0</v>
      </c>
      <c r="F589" s="5">
        <f t="shared" si="140"/>
        <v>3576070.0900000003</v>
      </c>
      <c r="G589" s="5">
        <v>0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241">
        <v>0</v>
      </c>
      <c r="N589" s="5">
        <v>0</v>
      </c>
      <c r="O589" s="5">
        <v>722</v>
      </c>
      <c r="P589" s="5">
        <v>3424699.6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51370.49</v>
      </c>
      <c r="AF589" s="5">
        <v>100000</v>
      </c>
      <c r="AG589" s="5">
        <v>0</v>
      </c>
      <c r="AH589" s="246">
        <v>2021</v>
      </c>
      <c r="AI589" s="246">
        <v>2021</v>
      </c>
      <c r="AJ589" s="6">
        <v>2021</v>
      </c>
      <c r="AV589" s="2" t="e">
        <f>VLOOKUP(C589,AY:AZ,2,FALSE)</f>
        <v>#N/A</v>
      </c>
      <c r="CB589" s="236"/>
      <c r="CF589" s="2" t="e">
        <f t="shared" si="138"/>
        <v>#N/A</v>
      </c>
    </row>
    <row r="590" spans="1:84" ht="61.5" x14ac:dyDescent="0.85">
      <c r="A590" s="2">
        <v>1</v>
      </c>
      <c r="B590" s="18">
        <f>SUBTOTAL(103,$A$558:A590)</f>
        <v>33</v>
      </c>
      <c r="C590" s="3" t="s">
        <v>1462</v>
      </c>
      <c r="D590" s="5">
        <v>8216874.9699999997</v>
      </c>
      <c r="E590" s="5">
        <f t="shared" si="143"/>
        <v>2776848.05</v>
      </c>
      <c r="F590" s="5">
        <f t="shared" si="140"/>
        <v>5440026.9199999999</v>
      </c>
      <c r="G590" s="5">
        <v>0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241">
        <v>0</v>
      </c>
      <c r="N590" s="5">
        <v>0</v>
      </c>
      <c r="O590" s="5">
        <v>1688</v>
      </c>
      <c r="P590" s="5">
        <v>5261110.2699999996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78916.649999999994</v>
      </c>
      <c r="AF590" s="5">
        <v>100000</v>
      </c>
      <c r="AG590" s="5">
        <v>0</v>
      </c>
      <c r="AH590" s="246">
        <v>2021</v>
      </c>
      <c r="AI590" s="246">
        <v>2021</v>
      </c>
      <c r="AJ590" s="6">
        <v>2021</v>
      </c>
      <c r="AV590" s="2" t="e">
        <f>VLOOKUP(C590,AY:AZ,2,FALSE)</f>
        <v>#N/A</v>
      </c>
      <c r="CB590" s="236"/>
      <c r="CF590" s="2" t="e">
        <f t="shared" si="138"/>
        <v>#N/A</v>
      </c>
    </row>
    <row r="591" spans="1:84" ht="61.5" x14ac:dyDescent="0.85">
      <c r="A591" s="2">
        <v>1</v>
      </c>
      <c r="B591" s="18">
        <f>SUBTOTAL(103,$A$558:A591)</f>
        <v>34</v>
      </c>
      <c r="C591" s="3" t="s">
        <v>1463</v>
      </c>
      <c r="D591" s="5">
        <v>5458332.7699999996</v>
      </c>
      <c r="E591" s="5">
        <f t="shared" si="143"/>
        <v>0</v>
      </c>
      <c r="F591" s="5">
        <f t="shared" si="140"/>
        <v>5458332.7699999996</v>
      </c>
      <c r="G591" s="5">
        <v>0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241">
        <v>0</v>
      </c>
      <c r="N591" s="5">
        <v>0</v>
      </c>
      <c r="O591" s="5">
        <v>1130</v>
      </c>
      <c r="P591" s="5">
        <v>5288997.8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79334.97</v>
      </c>
      <c r="AF591" s="5">
        <v>90000</v>
      </c>
      <c r="AG591" s="5">
        <v>0</v>
      </c>
      <c r="AH591" s="246">
        <v>2021</v>
      </c>
      <c r="AI591" s="246">
        <v>2021</v>
      </c>
      <c r="AJ591" s="6">
        <v>2021</v>
      </c>
      <c r="AV591" s="2" t="e">
        <f>VLOOKUP(C591,AY:AZ,2,FALSE)</f>
        <v>#N/A</v>
      </c>
      <c r="CB591" s="236"/>
      <c r="CF591" s="2" t="e">
        <f t="shared" si="138"/>
        <v>#N/A</v>
      </c>
    </row>
    <row r="592" spans="1:84" ht="61.5" x14ac:dyDescent="0.85">
      <c r="A592" s="2">
        <v>1</v>
      </c>
      <c r="B592" s="18">
        <f>SUBTOTAL(103,$A$558:A592)</f>
        <v>35</v>
      </c>
      <c r="C592" s="3" t="s">
        <v>1464</v>
      </c>
      <c r="D592" s="5">
        <v>4022975</v>
      </c>
      <c r="E592" s="5">
        <f t="shared" si="143"/>
        <v>0</v>
      </c>
      <c r="F592" s="5">
        <f t="shared" si="140"/>
        <v>4022975</v>
      </c>
      <c r="G592" s="5">
        <v>0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241">
        <v>0</v>
      </c>
      <c r="N592" s="5">
        <v>0</v>
      </c>
      <c r="O592" s="5">
        <v>756</v>
      </c>
      <c r="P592" s="5">
        <v>3865000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57975</v>
      </c>
      <c r="AF592" s="5">
        <v>100000</v>
      </c>
      <c r="AG592" s="5">
        <v>0</v>
      </c>
      <c r="AH592" s="246">
        <v>2021</v>
      </c>
      <c r="AI592" s="246">
        <v>2021</v>
      </c>
      <c r="AJ592" s="6">
        <v>2021</v>
      </c>
      <c r="CB592" s="236"/>
      <c r="CF592" s="2" t="e">
        <f t="shared" si="138"/>
        <v>#N/A</v>
      </c>
    </row>
    <row r="593" spans="1:84" ht="61.5" x14ac:dyDescent="0.85">
      <c r="A593" s="2">
        <v>1</v>
      </c>
      <c r="B593" s="18">
        <f>SUBTOTAL(103,$A$558:A593)</f>
        <v>36</v>
      </c>
      <c r="C593" s="3" t="s">
        <v>1465</v>
      </c>
      <c r="D593" s="5">
        <v>3214943.65</v>
      </c>
      <c r="E593" s="5">
        <f t="shared" si="143"/>
        <v>0</v>
      </c>
      <c r="F593" s="5">
        <f t="shared" si="140"/>
        <v>3214943.65</v>
      </c>
      <c r="G593" s="5">
        <v>0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241">
        <v>0</v>
      </c>
      <c r="N593" s="5">
        <v>0</v>
      </c>
      <c r="O593" s="5">
        <v>670</v>
      </c>
      <c r="P593" s="5">
        <v>3068910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46033.65</v>
      </c>
      <c r="AF593" s="5">
        <v>100000</v>
      </c>
      <c r="AG593" s="5">
        <v>0</v>
      </c>
      <c r="AH593" s="246">
        <v>2021</v>
      </c>
      <c r="AI593" s="246">
        <v>2021</v>
      </c>
      <c r="AJ593" s="6">
        <v>2021</v>
      </c>
      <c r="CB593" s="236"/>
      <c r="CF593" s="2" t="e">
        <f t="shared" si="138"/>
        <v>#N/A</v>
      </c>
    </row>
    <row r="594" spans="1:84" ht="61.5" x14ac:dyDescent="0.85">
      <c r="A594" s="2">
        <v>1</v>
      </c>
      <c r="B594" s="18">
        <f>SUBTOTAL(103,$A$558:A594)</f>
        <v>37</v>
      </c>
      <c r="C594" s="3" t="s">
        <v>1466</v>
      </c>
      <c r="D594" s="5">
        <v>1335035.1000000001</v>
      </c>
      <c r="E594" s="5">
        <f t="shared" si="143"/>
        <v>0</v>
      </c>
      <c r="F594" s="5">
        <f t="shared" si="140"/>
        <v>1335035.1000000001</v>
      </c>
      <c r="G594" s="5">
        <v>0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241">
        <v>0</v>
      </c>
      <c r="N594" s="5">
        <v>0</v>
      </c>
      <c r="O594" s="5">
        <v>272.05</v>
      </c>
      <c r="P594" s="5">
        <v>1246340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18695.099999999999</v>
      </c>
      <c r="AF594" s="5">
        <v>70000</v>
      </c>
      <c r="AG594" s="5">
        <v>0</v>
      </c>
      <c r="AH594" s="246">
        <v>2021</v>
      </c>
      <c r="AI594" s="246">
        <v>2021</v>
      </c>
      <c r="AJ594" s="6">
        <v>2021</v>
      </c>
      <c r="CB594" s="236"/>
      <c r="CF594" s="2" t="e">
        <f t="shared" si="138"/>
        <v>#N/A</v>
      </c>
    </row>
    <row r="595" spans="1:84" ht="61.5" x14ac:dyDescent="0.85">
      <c r="A595" s="2">
        <v>1</v>
      </c>
      <c r="B595" s="18">
        <f>SUBTOTAL(103,$A$558:A595)</f>
        <v>38</v>
      </c>
      <c r="C595" s="3" t="s">
        <v>1467</v>
      </c>
      <c r="D595" s="5">
        <v>4219164.3499999996</v>
      </c>
      <c r="E595" s="5">
        <f t="shared" si="143"/>
        <v>0</v>
      </c>
      <c r="F595" s="5">
        <f t="shared" si="140"/>
        <v>4219164.3499999996</v>
      </c>
      <c r="G595" s="5">
        <v>0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241">
        <v>0</v>
      </c>
      <c r="N595" s="5">
        <v>0</v>
      </c>
      <c r="O595" s="5">
        <v>886</v>
      </c>
      <c r="P595" s="5">
        <v>4058290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60874.35</v>
      </c>
      <c r="AF595" s="5">
        <v>100000</v>
      </c>
      <c r="AG595" s="5">
        <v>0</v>
      </c>
      <c r="AH595" s="246">
        <v>2021</v>
      </c>
      <c r="AI595" s="246">
        <v>2021</v>
      </c>
      <c r="AJ595" s="6">
        <v>2021</v>
      </c>
      <c r="CB595" s="236"/>
      <c r="CF595" s="2" t="e">
        <f t="shared" si="138"/>
        <v>#N/A</v>
      </c>
    </row>
    <row r="596" spans="1:84" ht="61.5" x14ac:dyDescent="0.85">
      <c r="A596" s="2">
        <v>1</v>
      </c>
      <c r="B596" s="18">
        <f>SUBTOTAL(103,$A$558:A596)</f>
        <v>39</v>
      </c>
      <c r="C596" s="3" t="s">
        <v>1468</v>
      </c>
      <c r="D596" s="5">
        <v>3434742.09</v>
      </c>
      <c r="E596" s="5">
        <f t="shared" si="143"/>
        <v>0</v>
      </c>
      <c r="F596" s="5">
        <f t="shared" si="140"/>
        <v>3434742.09</v>
      </c>
      <c r="G596" s="5">
        <v>0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241">
        <v>0</v>
      </c>
      <c r="N596" s="5">
        <v>0</v>
      </c>
      <c r="O596" s="5">
        <v>630</v>
      </c>
      <c r="P596" s="5">
        <v>3285460.19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49281.9</v>
      </c>
      <c r="AF596" s="5">
        <v>100000</v>
      </c>
      <c r="AG596" s="5">
        <v>0</v>
      </c>
      <c r="AH596" s="246">
        <v>2021</v>
      </c>
      <c r="AI596" s="246">
        <v>2021</v>
      </c>
      <c r="AJ596" s="6">
        <v>2021</v>
      </c>
      <c r="CB596" s="236"/>
      <c r="CF596" s="2" t="e">
        <f t="shared" si="138"/>
        <v>#N/A</v>
      </c>
    </row>
    <row r="597" spans="1:84" ht="61.5" x14ac:dyDescent="0.85">
      <c r="A597" s="2">
        <v>1</v>
      </c>
      <c r="B597" s="18">
        <f>SUBTOTAL(103,$A$558:A597)</f>
        <v>40</v>
      </c>
      <c r="C597" s="3" t="s">
        <v>1087</v>
      </c>
      <c r="D597" s="5">
        <v>5829375</v>
      </c>
      <c r="E597" s="5">
        <f t="shared" si="143"/>
        <v>120000</v>
      </c>
      <c r="F597" s="5">
        <f t="shared" si="140"/>
        <v>5709375</v>
      </c>
      <c r="G597" s="5">
        <v>0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241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2002</v>
      </c>
      <c r="T597" s="5">
        <v>5625000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84375</v>
      </c>
      <c r="AF597" s="5">
        <v>0</v>
      </c>
      <c r="AG597" s="5">
        <v>0</v>
      </c>
      <c r="AH597" s="246" t="s">
        <v>49</v>
      </c>
      <c r="AI597" s="246">
        <v>2021</v>
      </c>
      <c r="AJ597" s="6">
        <v>2021</v>
      </c>
      <c r="CB597" s="236"/>
      <c r="CF597" s="2" t="e">
        <f t="shared" si="138"/>
        <v>#N/A</v>
      </c>
    </row>
    <row r="598" spans="1:84" ht="61.5" x14ac:dyDescent="0.85">
      <c r="A598" s="2">
        <v>1</v>
      </c>
      <c r="B598" s="18">
        <f>SUBTOTAL(103,$A$558:A598)</f>
        <v>41</v>
      </c>
      <c r="C598" s="3" t="s">
        <v>1088</v>
      </c>
      <c r="D598" s="5">
        <v>2856740</v>
      </c>
      <c r="E598" s="5">
        <f t="shared" si="143"/>
        <v>73321.189999999944</v>
      </c>
      <c r="F598" s="5">
        <f t="shared" si="140"/>
        <v>2783418.81</v>
      </c>
      <c r="G598" s="5">
        <v>0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241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860</v>
      </c>
      <c r="T598" s="5">
        <v>2742284.54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41134.269999999997</v>
      </c>
      <c r="AF598" s="5">
        <v>0</v>
      </c>
      <c r="AG598" s="5">
        <v>0</v>
      </c>
      <c r="AH598" s="246" t="s">
        <v>49</v>
      </c>
      <c r="AI598" s="246">
        <v>2021</v>
      </c>
      <c r="AJ598" s="6">
        <v>2021</v>
      </c>
      <c r="CB598" s="236"/>
      <c r="CF598" s="2" t="e">
        <f t="shared" si="138"/>
        <v>#N/A</v>
      </c>
    </row>
    <row r="599" spans="1:84" ht="61.5" x14ac:dyDescent="0.85">
      <c r="A599" s="2">
        <v>1</v>
      </c>
      <c r="B599" s="18">
        <f>SUBTOTAL(103,$A$558:A599)</f>
        <v>42</v>
      </c>
      <c r="C599" s="3" t="s">
        <v>1089</v>
      </c>
      <c r="D599" s="5">
        <v>4012975</v>
      </c>
      <c r="E599" s="5">
        <f t="shared" si="143"/>
        <v>149328.68999999994</v>
      </c>
      <c r="F599" s="5">
        <f t="shared" si="140"/>
        <v>3863646.31</v>
      </c>
      <c r="G599" s="5">
        <v>0</v>
      </c>
      <c r="H599" s="5">
        <v>0</v>
      </c>
      <c r="I599" s="5">
        <v>0</v>
      </c>
      <c r="J599" s="5">
        <v>0</v>
      </c>
      <c r="K599" s="5">
        <v>0</v>
      </c>
      <c r="L599" s="5">
        <v>0</v>
      </c>
      <c r="M599" s="241">
        <v>0</v>
      </c>
      <c r="N599" s="5">
        <v>0</v>
      </c>
      <c r="O599" s="5">
        <v>931.14</v>
      </c>
      <c r="P599" s="5">
        <v>3806548.09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57098.22</v>
      </c>
      <c r="AF599" s="5">
        <v>0</v>
      </c>
      <c r="AG599" s="5">
        <v>0</v>
      </c>
      <c r="AH599" s="246" t="s">
        <v>49</v>
      </c>
      <c r="AI599" s="246">
        <v>2021</v>
      </c>
      <c r="AJ599" s="6">
        <v>2021</v>
      </c>
      <c r="CB599" s="236"/>
      <c r="CF599" s="2" t="e">
        <f t="shared" si="138"/>
        <v>#N/A</v>
      </c>
    </row>
    <row r="600" spans="1:84" ht="61.5" x14ac:dyDescent="0.85">
      <c r="A600" s="2">
        <v>1</v>
      </c>
      <c r="B600" s="18">
        <f>SUBTOTAL(103,$A$558:A600)</f>
        <v>43</v>
      </c>
      <c r="C600" s="3" t="s">
        <v>1090</v>
      </c>
      <c r="D600" s="5">
        <v>2248303</v>
      </c>
      <c r="E600" s="5">
        <f t="shared" si="143"/>
        <v>1207349.22</v>
      </c>
      <c r="F600" s="5">
        <f t="shared" si="140"/>
        <v>1040953.78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241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554</v>
      </c>
      <c r="T600" s="5">
        <v>1025570.23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15383.55</v>
      </c>
      <c r="AF600" s="5">
        <v>0</v>
      </c>
      <c r="AG600" s="5">
        <v>0</v>
      </c>
      <c r="AH600" s="246" t="s">
        <v>49</v>
      </c>
      <c r="AI600" s="246">
        <v>2021</v>
      </c>
      <c r="AJ600" s="6">
        <v>2021</v>
      </c>
      <c r="CB600" s="236"/>
      <c r="CF600" s="2" t="e">
        <f t="shared" si="138"/>
        <v>#N/A</v>
      </c>
    </row>
    <row r="601" spans="1:84" ht="61.5" x14ac:dyDescent="0.85">
      <c r="A601" s="2">
        <v>1</v>
      </c>
      <c r="B601" s="18">
        <f>SUBTOTAL(103,$A$558:A601)</f>
        <v>44</v>
      </c>
      <c r="C601" s="3" t="s">
        <v>1469</v>
      </c>
      <c r="D601" s="5">
        <v>1338055.4100000001</v>
      </c>
      <c r="E601" s="5">
        <f t="shared" si="143"/>
        <v>0</v>
      </c>
      <c r="F601" s="5">
        <f t="shared" si="140"/>
        <v>1338055.4100000001</v>
      </c>
      <c r="G601" s="5">
        <v>0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241">
        <v>0</v>
      </c>
      <c r="N601" s="5">
        <v>0</v>
      </c>
      <c r="O601" s="5">
        <v>0</v>
      </c>
      <c r="P601" s="5">
        <v>0</v>
      </c>
      <c r="Q601" s="5">
        <v>278</v>
      </c>
      <c r="R601" s="5">
        <v>1318378.6100000001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19676.8</v>
      </c>
      <c r="AF601" s="5">
        <v>0</v>
      </c>
      <c r="AG601" s="5">
        <v>0</v>
      </c>
      <c r="AH601" s="246" t="s">
        <v>49</v>
      </c>
      <c r="AI601" s="246">
        <v>2021</v>
      </c>
      <c r="AJ601" s="6">
        <v>2021</v>
      </c>
      <c r="CB601" s="236"/>
      <c r="CF601" s="2" t="e">
        <f t="shared" si="138"/>
        <v>#N/A</v>
      </c>
    </row>
    <row r="602" spans="1:84" ht="61.5" x14ac:dyDescent="0.85">
      <c r="A602" s="2">
        <v>1</v>
      </c>
      <c r="B602" s="18">
        <f>SUBTOTAL(103,$A$558:A602)</f>
        <v>45</v>
      </c>
      <c r="C602" s="3" t="s">
        <v>1470</v>
      </c>
      <c r="D602" s="5">
        <v>221655.15999999997</v>
      </c>
      <c r="E602" s="5">
        <f t="shared" si="143"/>
        <v>0</v>
      </c>
      <c r="F602" s="5">
        <f t="shared" si="140"/>
        <v>221655.15999999997</v>
      </c>
      <c r="G602" s="5">
        <v>102509.44</v>
      </c>
      <c r="H602" s="5">
        <v>0</v>
      </c>
      <c r="I602" s="5">
        <v>0</v>
      </c>
      <c r="J602" s="5">
        <v>115886.17</v>
      </c>
      <c r="K602" s="5">
        <v>0</v>
      </c>
      <c r="L602" s="5">
        <v>0</v>
      </c>
      <c r="M602" s="241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3259.55</v>
      </c>
      <c r="AF602" s="5">
        <v>0</v>
      </c>
      <c r="AG602" s="5">
        <v>0</v>
      </c>
      <c r="AH602" s="246" t="s">
        <v>49</v>
      </c>
      <c r="AI602" s="246">
        <v>2021</v>
      </c>
      <c r="AJ602" s="6">
        <v>2021</v>
      </c>
      <c r="CB602" s="236"/>
      <c r="CF602" s="2" t="e">
        <f t="shared" si="138"/>
        <v>#N/A</v>
      </c>
    </row>
    <row r="603" spans="1:84" ht="61.5" x14ac:dyDescent="0.85">
      <c r="A603" s="2">
        <v>1</v>
      </c>
      <c r="B603" s="18">
        <f>SUBTOTAL(103,$A$558:A603)</f>
        <v>46</v>
      </c>
      <c r="C603" s="3" t="s">
        <v>1147</v>
      </c>
      <c r="D603" s="5">
        <v>2696648.14</v>
      </c>
      <c r="E603" s="5">
        <f t="shared" si="143"/>
        <v>-143298.4299999997</v>
      </c>
      <c r="F603" s="5">
        <f t="shared" si="140"/>
        <v>2839946.57</v>
      </c>
      <c r="G603" s="5">
        <v>0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241">
        <v>0</v>
      </c>
      <c r="N603" s="5">
        <v>0</v>
      </c>
      <c r="O603" s="5">
        <v>453.4</v>
      </c>
      <c r="P603" s="5">
        <v>2797976.92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41969.65</v>
      </c>
      <c r="AF603" s="5">
        <v>0</v>
      </c>
      <c r="AG603" s="5">
        <v>0</v>
      </c>
      <c r="AH603" s="246" t="s">
        <v>49</v>
      </c>
      <c r="AI603" s="246">
        <v>2021</v>
      </c>
      <c r="AJ603" s="6">
        <v>2021</v>
      </c>
      <c r="CB603" s="236"/>
      <c r="CF603" s="2">
        <f t="shared" si="138"/>
        <v>453.4</v>
      </c>
    </row>
    <row r="604" spans="1:84" ht="61.5" x14ac:dyDescent="0.85">
      <c r="A604" s="2">
        <v>1</v>
      </c>
      <c r="B604" s="18">
        <f>SUBTOTAL(103,$A$558:A604)</f>
        <v>47</v>
      </c>
      <c r="C604" s="3" t="s">
        <v>983</v>
      </c>
      <c r="D604" s="5">
        <v>3246745.9499999997</v>
      </c>
      <c r="E604" s="5">
        <f t="shared" si="143"/>
        <v>0</v>
      </c>
      <c r="F604" s="5">
        <f t="shared" si="140"/>
        <v>3246745.9499999997</v>
      </c>
      <c r="G604" s="5">
        <v>0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241">
        <v>0</v>
      </c>
      <c r="N604" s="5">
        <v>0</v>
      </c>
      <c r="O604" s="5">
        <v>1093</v>
      </c>
      <c r="P604" s="5">
        <v>3199000.86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47745.09</v>
      </c>
      <c r="AF604" s="5">
        <v>0</v>
      </c>
      <c r="AG604" s="5">
        <v>0</v>
      </c>
      <c r="AH604" s="246" t="s">
        <v>49</v>
      </c>
      <c r="AI604" s="246">
        <v>2021</v>
      </c>
      <c r="AJ604" s="6">
        <v>2021</v>
      </c>
      <c r="CB604" s="236"/>
      <c r="CF604" s="2">
        <f t="shared" si="138"/>
        <v>1093</v>
      </c>
    </row>
    <row r="605" spans="1:84" ht="61.5" x14ac:dyDescent="0.85">
      <c r="A605" s="2">
        <v>1</v>
      </c>
      <c r="B605" s="18">
        <f>SUBTOTAL(103,$A$558:A605)</f>
        <v>48</v>
      </c>
      <c r="C605" s="3" t="s">
        <v>1084</v>
      </c>
      <c r="D605" s="5">
        <v>2364441.7000000002</v>
      </c>
      <c r="E605" s="5">
        <f t="shared" si="143"/>
        <v>-125630.39999999991</v>
      </c>
      <c r="F605" s="5">
        <f t="shared" si="140"/>
        <v>2490072.1</v>
      </c>
      <c r="G605" s="5">
        <v>0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241">
        <v>0</v>
      </c>
      <c r="N605" s="5">
        <v>0</v>
      </c>
      <c r="O605" s="5">
        <v>543.4</v>
      </c>
      <c r="P605" s="5">
        <v>2453273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36799.1</v>
      </c>
      <c r="AF605" s="5">
        <v>0</v>
      </c>
      <c r="AG605" s="5">
        <v>0</v>
      </c>
      <c r="AH605" s="246" t="s">
        <v>49</v>
      </c>
      <c r="AI605" s="246">
        <v>2021</v>
      </c>
      <c r="AJ605" s="6">
        <v>2021</v>
      </c>
      <c r="CB605" s="236"/>
      <c r="CF605" s="2" t="e">
        <f t="shared" si="138"/>
        <v>#N/A</v>
      </c>
    </row>
    <row r="606" spans="1:84" ht="61.5" x14ac:dyDescent="0.85">
      <c r="A606" s="2">
        <v>1</v>
      </c>
      <c r="B606" s="18">
        <f>SUBTOTAL(103,$A$558:A606)</f>
        <v>49</v>
      </c>
      <c r="C606" s="3" t="s">
        <v>1086</v>
      </c>
      <c r="D606" s="5">
        <v>2747544.12</v>
      </c>
      <c r="E606" s="5">
        <f t="shared" si="143"/>
        <v>-128381.23999999976</v>
      </c>
      <c r="F606" s="5">
        <f t="shared" si="140"/>
        <v>2875925.36</v>
      </c>
      <c r="G606" s="5">
        <v>0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241">
        <v>0</v>
      </c>
      <c r="N606" s="5">
        <v>0</v>
      </c>
      <c r="O606" s="5">
        <v>665</v>
      </c>
      <c r="P606" s="5">
        <v>2833424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42501.36</v>
      </c>
      <c r="AF606" s="5">
        <v>0</v>
      </c>
      <c r="AG606" s="5">
        <v>0</v>
      </c>
      <c r="AH606" s="246" t="s">
        <v>49</v>
      </c>
      <c r="AI606" s="246">
        <v>2021</v>
      </c>
      <c r="AJ606" s="6">
        <v>2021</v>
      </c>
      <c r="CB606" s="236"/>
      <c r="CF606" s="2" t="e">
        <f t="shared" si="138"/>
        <v>#N/A</v>
      </c>
    </row>
    <row r="607" spans="1:84" ht="61.5" x14ac:dyDescent="0.85">
      <c r="A607" s="2">
        <v>1</v>
      </c>
      <c r="B607" s="18">
        <f>SUBTOTAL(103,$A$558:A607)</f>
        <v>50</v>
      </c>
      <c r="C607" s="3" t="s">
        <v>1471</v>
      </c>
      <c r="D607" s="5">
        <v>3926550</v>
      </c>
      <c r="E607" s="5">
        <f t="shared" si="143"/>
        <v>0</v>
      </c>
      <c r="F607" s="5">
        <f t="shared" si="140"/>
        <v>3926550</v>
      </c>
      <c r="G607" s="5">
        <v>0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241">
        <v>0</v>
      </c>
      <c r="N607" s="5">
        <v>0</v>
      </c>
      <c r="O607" s="5">
        <v>900</v>
      </c>
      <c r="P607" s="5">
        <v>3770000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56550</v>
      </c>
      <c r="AF607" s="5">
        <v>100000</v>
      </c>
      <c r="AG607" s="5">
        <v>0</v>
      </c>
      <c r="AH607" s="246">
        <v>2021</v>
      </c>
      <c r="AI607" s="246">
        <v>2021</v>
      </c>
      <c r="AJ607" s="6">
        <v>2021</v>
      </c>
      <c r="CB607" s="236"/>
      <c r="CF607" s="2" t="e">
        <f t="shared" si="138"/>
        <v>#N/A</v>
      </c>
    </row>
    <row r="608" spans="1:84" ht="61.5" x14ac:dyDescent="0.85">
      <c r="A608" s="2">
        <v>1</v>
      </c>
      <c r="B608" s="18">
        <f>SUBTOTAL(103,$A$558:A608)</f>
        <v>51</v>
      </c>
      <c r="C608" s="3" t="s">
        <v>1472</v>
      </c>
      <c r="D608" s="5">
        <v>3058283.01</v>
      </c>
      <c r="E608" s="5">
        <f t="shared" si="143"/>
        <v>-100000</v>
      </c>
      <c r="F608" s="5">
        <f t="shared" si="140"/>
        <v>3158283.01</v>
      </c>
      <c r="G608" s="5">
        <v>0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241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1343.2</v>
      </c>
      <c r="T608" s="5">
        <v>3013086.71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45196.3</v>
      </c>
      <c r="AF608" s="5">
        <v>100000</v>
      </c>
      <c r="AG608" s="5">
        <v>0</v>
      </c>
      <c r="AH608" s="246">
        <v>2021</v>
      </c>
      <c r="AI608" s="246">
        <v>2021</v>
      </c>
      <c r="AJ608" s="6">
        <v>2021</v>
      </c>
      <c r="CB608" s="236"/>
      <c r="CF608" s="2" t="e">
        <f t="shared" si="138"/>
        <v>#N/A</v>
      </c>
    </row>
    <row r="609" spans="1:262" s="243" customFormat="1" ht="61.5" x14ac:dyDescent="0.85">
      <c r="A609" s="243">
        <v>1</v>
      </c>
      <c r="B609" s="18">
        <f>SUBTOTAL(103,$A$558:A609)</f>
        <v>52</v>
      </c>
      <c r="C609" s="3" t="s">
        <v>1091</v>
      </c>
      <c r="D609" s="5">
        <v>4115178</v>
      </c>
      <c r="E609" s="5">
        <f t="shared" si="143"/>
        <v>1180943.5</v>
      </c>
      <c r="F609" s="5">
        <f t="shared" si="140"/>
        <v>2934234.5</v>
      </c>
      <c r="G609" s="5">
        <v>0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241">
        <v>2</v>
      </c>
      <c r="N609" s="5">
        <v>2934234.5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246" t="s">
        <v>49</v>
      </c>
      <c r="AI609" s="246">
        <v>2021</v>
      </c>
      <c r="AJ609" s="6" t="s">
        <v>49</v>
      </c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36"/>
      <c r="CC609" s="2"/>
      <c r="CD609" s="2"/>
      <c r="CE609" s="2"/>
      <c r="CF609" s="2" t="e">
        <f t="shared" si="138"/>
        <v>#N/A</v>
      </c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</row>
    <row r="610" spans="1:262" ht="61.5" x14ac:dyDescent="0.85">
      <c r="A610" s="2">
        <v>1</v>
      </c>
      <c r="B610" s="18">
        <f>SUBTOTAL(103,$A$558:A610)</f>
        <v>53</v>
      </c>
      <c r="C610" s="3" t="s">
        <v>1473</v>
      </c>
      <c r="D610" s="5">
        <v>3545096.7899999996</v>
      </c>
      <c r="E610" s="5">
        <f t="shared" si="143"/>
        <v>-505777.35000000009</v>
      </c>
      <c r="F610" s="5">
        <f t="shared" si="140"/>
        <v>4050874.1399999997</v>
      </c>
      <c r="G610" s="5">
        <v>0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241">
        <v>0</v>
      </c>
      <c r="N610" s="5">
        <v>0</v>
      </c>
      <c r="O610" s="5">
        <v>600</v>
      </c>
      <c r="P610" s="5">
        <v>3892486.84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58387.3</v>
      </c>
      <c r="AF610" s="5">
        <v>100000</v>
      </c>
      <c r="AG610" s="5">
        <v>0</v>
      </c>
      <c r="AH610" s="246">
        <v>2021</v>
      </c>
      <c r="AI610" s="246">
        <v>2021</v>
      </c>
      <c r="AJ610" s="246">
        <v>2021</v>
      </c>
      <c r="AV610" s="2" t="e">
        <f>VLOOKUP(C610,AY:AZ,2,FALSE)</f>
        <v>#N/A</v>
      </c>
      <c r="AY610" s="2" t="s">
        <v>1365</v>
      </c>
      <c r="AZ610" s="2">
        <v>1</v>
      </c>
      <c r="CB610" s="236"/>
      <c r="CF610" s="2" t="e">
        <f t="shared" si="138"/>
        <v>#N/A</v>
      </c>
      <c r="CG610" s="242" t="s">
        <v>984</v>
      </c>
      <c r="CH610" s="242">
        <v>1603.24</v>
      </c>
    </row>
    <row r="611" spans="1:262" ht="61.5" x14ac:dyDescent="0.85">
      <c r="A611" s="2">
        <v>1</v>
      </c>
      <c r="B611" s="18">
        <f>SUBTOTAL(103,$A$558:A611)</f>
        <v>54</v>
      </c>
      <c r="C611" s="3" t="s">
        <v>1474</v>
      </c>
      <c r="D611" s="5">
        <v>1987488.72</v>
      </c>
      <c r="E611" s="5">
        <f t="shared" si="143"/>
        <v>0</v>
      </c>
      <c r="F611" s="5">
        <f t="shared" si="140"/>
        <v>1987488.72</v>
      </c>
      <c r="G611" s="5">
        <v>0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241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541.86</v>
      </c>
      <c r="T611" s="5">
        <v>1958116.97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29371.75</v>
      </c>
      <c r="AF611" s="5">
        <v>0</v>
      </c>
      <c r="AG611" s="5">
        <v>0</v>
      </c>
      <c r="AH611" s="246" t="s">
        <v>49</v>
      </c>
      <c r="AI611" s="246">
        <v>2021</v>
      </c>
      <c r="AJ611" s="246">
        <v>2021</v>
      </c>
      <c r="AV611" s="2" t="e">
        <f>VLOOKUP(C611,AY:AZ,2,FALSE)</f>
        <v>#N/A</v>
      </c>
      <c r="AY611" s="2" t="s">
        <v>1475</v>
      </c>
      <c r="AZ611" s="2">
        <v>1</v>
      </c>
      <c r="CB611" s="236"/>
      <c r="CF611" s="2" t="e">
        <f t="shared" si="138"/>
        <v>#N/A</v>
      </c>
      <c r="CG611" s="242" t="s">
        <v>1279</v>
      </c>
      <c r="CH611" s="242">
        <v>900</v>
      </c>
    </row>
    <row r="612" spans="1:262" ht="61.5" x14ac:dyDescent="0.85">
      <c r="A612" s="2">
        <v>1</v>
      </c>
      <c r="B612" s="18">
        <f>SUBTOTAL(103,$A$558:A612)</f>
        <v>55</v>
      </c>
      <c r="C612" s="3" t="s">
        <v>1476</v>
      </c>
      <c r="D612" s="5">
        <v>2420775</v>
      </c>
      <c r="E612" s="5">
        <f t="shared" si="143"/>
        <v>406.37999999988824</v>
      </c>
      <c r="F612" s="5">
        <f t="shared" si="140"/>
        <v>2420368.62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241">
        <v>0</v>
      </c>
      <c r="N612" s="5">
        <v>0</v>
      </c>
      <c r="O612" s="5">
        <v>1020</v>
      </c>
      <c r="P612" s="5">
        <v>2384599.63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35768.99</v>
      </c>
      <c r="AF612" s="5">
        <v>0</v>
      </c>
      <c r="AG612" s="5">
        <v>0</v>
      </c>
      <c r="AH612" s="246" t="s">
        <v>49</v>
      </c>
      <c r="AI612" s="246">
        <v>2021</v>
      </c>
      <c r="AJ612" s="246">
        <v>2021</v>
      </c>
      <c r="AV612" s="2" t="e">
        <f>VLOOKUP(C612,AY:AZ,2,FALSE)</f>
        <v>#N/A</v>
      </c>
      <c r="CB612" s="236"/>
      <c r="CF612" s="2" t="e">
        <f t="shared" si="138"/>
        <v>#N/A</v>
      </c>
      <c r="CG612" s="242" t="s">
        <v>1327</v>
      </c>
      <c r="CH612" s="242">
        <v>412.82</v>
      </c>
    </row>
    <row r="613" spans="1:262" ht="61.5" x14ac:dyDescent="0.85">
      <c r="A613" s="2">
        <v>1</v>
      </c>
      <c r="B613" s="18">
        <f>SUBTOTAL(103,$A$558:A613)</f>
        <v>56</v>
      </c>
      <c r="C613" s="3" t="s">
        <v>1477</v>
      </c>
      <c r="D613" s="5">
        <v>1273825</v>
      </c>
      <c r="E613" s="5">
        <f t="shared" si="143"/>
        <v>802.62000000011176</v>
      </c>
      <c r="F613" s="5">
        <f t="shared" si="140"/>
        <v>1273022.3799999999</v>
      </c>
      <c r="G613" s="5">
        <v>0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241">
        <v>0</v>
      </c>
      <c r="N613" s="5">
        <v>0</v>
      </c>
      <c r="O613" s="5">
        <v>350</v>
      </c>
      <c r="P613" s="5">
        <v>1254209.24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18813.14</v>
      </c>
      <c r="AF613" s="5">
        <v>0</v>
      </c>
      <c r="AG613" s="5">
        <v>0</v>
      </c>
      <c r="AH613" s="246" t="s">
        <v>49</v>
      </c>
      <c r="AI613" s="246">
        <v>2021</v>
      </c>
      <c r="AJ613" s="246">
        <v>2021</v>
      </c>
      <c r="AV613" s="2" t="e">
        <f>VLOOKUP(C613,AY:AZ,2,FALSE)</f>
        <v>#N/A</v>
      </c>
      <c r="CB613" s="236"/>
      <c r="CF613" s="2" t="e">
        <f t="shared" si="138"/>
        <v>#N/A</v>
      </c>
      <c r="CG613" s="242" t="s">
        <v>1370</v>
      </c>
      <c r="CH613" s="242">
        <v>735</v>
      </c>
    </row>
    <row r="614" spans="1:262" ht="61.5" x14ac:dyDescent="0.85">
      <c r="A614" s="2">
        <v>1</v>
      </c>
      <c r="B614" s="18">
        <f>SUBTOTAL(103,$A$558:A614)</f>
        <v>57</v>
      </c>
      <c r="C614" s="3" t="s">
        <v>957</v>
      </c>
      <c r="D614" s="5">
        <v>2536990.1700000004</v>
      </c>
      <c r="E614" s="5">
        <f t="shared" si="143"/>
        <v>0</v>
      </c>
      <c r="F614" s="5">
        <f t="shared" si="140"/>
        <v>2536990.1700000004</v>
      </c>
      <c r="G614" s="5">
        <v>0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241">
        <v>0</v>
      </c>
      <c r="N614" s="5">
        <v>0</v>
      </c>
      <c r="O614" s="5">
        <v>489</v>
      </c>
      <c r="P614" s="5">
        <v>2499497.7000000002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37492.47</v>
      </c>
      <c r="AF614" s="5">
        <v>0</v>
      </c>
      <c r="AG614" s="5">
        <v>0</v>
      </c>
      <c r="AH614" s="246" t="s">
        <v>49</v>
      </c>
      <c r="AI614" s="246">
        <v>2021</v>
      </c>
      <c r="AJ614" s="246">
        <v>2021</v>
      </c>
      <c r="AV614" s="2" t="e">
        <f>VLOOKUP(C614,AY:AZ,2,FALSE)</f>
        <v>#N/A</v>
      </c>
      <c r="CB614" s="236"/>
      <c r="CF614" s="2" t="e">
        <f t="shared" si="138"/>
        <v>#N/A</v>
      </c>
      <c r="CG614" s="242" t="s">
        <v>958</v>
      </c>
      <c r="CH614" s="242">
        <v>777.1</v>
      </c>
    </row>
    <row r="615" spans="1:262" ht="61.5" x14ac:dyDescent="0.85">
      <c r="A615" s="2">
        <v>1</v>
      </c>
      <c r="B615" s="18">
        <f>SUBTOTAL(103,$A$558:A615)</f>
        <v>58</v>
      </c>
      <c r="C615" s="3" t="s">
        <v>1478</v>
      </c>
      <c r="D615" s="5">
        <v>2380804.91</v>
      </c>
      <c r="E615" s="5">
        <f t="shared" si="143"/>
        <v>0</v>
      </c>
      <c r="F615" s="5">
        <f t="shared" si="140"/>
        <v>2380804.91</v>
      </c>
      <c r="G615" s="5">
        <v>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241">
        <v>0</v>
      </c>
      <c r="N615" s="5">
        <v>0</v>
      </c>
      <c r="O615" s="5">
        <v>573</v>
      </c>
      <c r="P615" s="5">
        <v>2345620.6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35184.31</v>
      </c>
      <c r="AF615" s="5">
        <v>0</v>
      </c>
      <c r="AG615" s="5">
        <v>0</v>
      </c>
      <c r="AH615" s="246" t="s">
        <v>49</v>
      </c>
      <c r="AI615" s="246">
        <v>2021</v>
      </c>
      <c r="AJ615" s="246">
        <v>2021</v>
      </c>
      <c r="CB615" s="236"/>
      <c r="CF615" s="2" t="e">
        <f t="shared" si="138"/>
        <v>#N/A</v>
      </c>
      <c r="CG615" s="242" t="s">
        <v>1362</v>
      </c>
      <c r="CH615" s="242">
        <v>747.3</v>
      </c>
    </row>
    <row r="616" spans="1:262" ht="61.5" x14ac:dyDescent="0.85">
      <c r="A616" s="2">
        <v>1</v>
      </c>
      <c r="B616" s="18">
        <f>SUBTOTAL(103,$A$558:A616)</f>
        <v>59</v>
      </c>
      <c r="C616" s="3" t="s">
        <v>1479</v>
      </c>
      <c r="D616" s="5">
        <v>8993212</v>
      </c>
      <c r="E616" s="5">
        <f t="shared" si="143"/>
        <v>0</v>
      </c>
      <c r="F616" s="5">
        <f t="shared" si="140"/>
        <v>8993212</v>
      </c>
      <c r="G616" s="5">
        <v>0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241">
        <v>4</v>
      </c>
      <c r="N616" s="5">
        <v>8843212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150000</v>
      </c>
      <c r="AG616" s="5">
        <v>0</v>
      </c>
      <c r="AH616" s="246">
        <v>2021</v>
      </c>
      <c r="AI616" s="246">
        <v>2021</v>
      </c>
      <c r="AJ616" s="6" t="s">
        <v>49</v>
      </c>
      <c r="CB616" s="236"/>
      <c r="CF616" s="2" t="e">
        <f t="shared" si="138"/>
        <v>#N/A</v>
      </c>
    </row>
    <row r="617" spans="1:262" ht="61.5" x14ac:dyDescent="0.85">
      <c r="A617" s="2">
        <v>1</v>
      </c>
      <c r="B617" s="18">
        <f>SUBTOTAL(103,$A$558:A617)</f>
        <v>60</v>
      </c>
      <c r="C617" s="3" t="s">
        <v>1480</v>
      </c>
      <c r="D617" s="5">
        <v>4622702.9800000004</v>
      </c>
      <c r="E617" s="5">
        <f t="shared" si="143"/>
        <v>0</v>
      </c>
      <c r="F617" s="5">
        <f t="shared" si="140"/>
        <v>4622702.9800000004</v>
      </c>
      <c r="G617" s="5">
        <v>0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241">
        <v>0</v>
      </c>
      <c r="N617" s="5">
        <v>0</v>
      </c>
      <c r="O617" s="5">
        <v>952</v>
      </c>
      <c r="P617" s="5">
        <v>4455865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66837.98</v>
      </c>
      <c r="AF617" s="5">
        <v>100000</v>
      </c>
      <c r="AG617" s="5">
        <v>0</v>
      </c>
      <c r="AH617" s="246">
        <v>2021</v>
      </c>
      <c r="AI617" s="246">
        <v>2021</v>
      </c>
      <c r="AJ617" s="246">
        <v>2021</v>
      </c>
      <c r="CB617" s="236"/>
      <c r="CF617" s="2" t="e">
        <f t="shared" si="138"/>
        <v>#N/A</v>
      </c>
    </row>
    <row r="618" spans="1:262" ht="61.5" x14ac:dyDescent="0.85">
      <c r="A618" s="2">
        <v>1</v>
      </c>
      <c r="B618" s="18">
        <f>SUBTOTAL(103,$A$558:A618)</f>
        <v>61</v>
      </c>
      <c r="C618" s="3" t="s">
        <v>1481</v>
      </c>
      <c r="D618" s="5">
        <v>2182080.86</v>
      </c>
      <c r="E618" s="5">
        <f t="shared" si="143"/>
        <v>-547500</v>
      </c>
      <c r="F618" s="5">
        <f t="shared" si="140"/>
        <v>2729580.86</v>
      </c>
      <c r="G618" s="5">
        <v>0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241">
        <v>0</v>
      </c>
      <c r="N618" s="5">
        <v>0</v>
      </c>
      <c r="O618" s="5">
        <v>598</v>
      </c>
      <c r="P618" s="5">
        <v>2590720.06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38860.800000000003</v>
      </c>
      <c r="AF618" s="5">
        <v>100000</v>
      </c>
      <c r="AG618" s="5">
        <v>0</v>
      </c>
      <c r="AH618" s="246">
        <v>2021</v>
      </c>
      <c r="AI618" s="246">
        <v>2021</v>
      </c>
      <c r="AJ618" s="246">
        <v>2021</v>
      </c>
      <c r="CB618" s="236"/>
      <c r="CF618" s="2" t="e">
        <f t="shared" si="138"/>
        <v>#N/A</v>
      </c>
    </row>
    <row r="619" spans="1:262" ht="61.5" x14ac:dyDescent="0.85">
      <c r="A619" s="2">
        <v>1</v>
      </c>
      <c r="B619" s="18">
        <f>SUBTOTAL(103,$A$558:A619)</f>
        <v>62</v>
      </c>
      <c r="C619" s="3" t="s">
        <v>1482</v>
      </c>
      <c r="D619" s="5"/>
      <c r="E619" s="5">
        <f t="shared" si="143"/>
        <v>-4574650</v>
      </c>
      <c r="F619" s="5">
        <f t="shared" si="140"/>
        <v>4574650</v>
      </c>
      <c r="G619" s="5">
        <v>0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241">
        <v>0</v>
      </c>
      <c r="N619" s="5">
        <v>0</v>
      </c>
      <c r="O619" s="5">
        <v>960</v>
      </c>
      <c r="P619" s="5">
        <v>4310000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64650</v>
      </c>
      <c r="AF619" s="5">
        <v>200000</v>
      </c>
      <c r="AG619" s="5">
        <v>0</v>
      </c>
      <c r="AH619" s="246">
        <v>2021</v>
      </c>
      <c r="AI619" s="246">
        <v>2021</v>
      </c>
      <c r="AJ619" s="246">
        <v>2021</v>
      </c>
      <c r="CB619" s="236"/>
      <c r="CF619" s="2" t="e">
        <f t="shared" si="138"/>
        <v>#N/A</v>
      </c>
    </row>
    <row r="620" spans="1:262" ht="61.5" x14ac:dyDescent="0.85">
      <c r="A620" s="2">
        <v>1</v>
      </c>
      <c r="B620" s="18">
        <f>SUBTOTAL(103,$A$558:A620)</f>
        <v>63</v>
      </c>
      <c r="C620" s="3" t="s">
        <v>1483</v>
      </c>
      <c r="D620" s="5"/>
      <c r="E620" s="5">
        <f t="shared" si="143"/>
        <v>-4363000</v>
      </c>
      <c r="F620" s="5">
        <f t="shared" si="140"/>
        <v>4363000</v>
      </c>
      <c r="G620" s="5">
        <v>0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241">
        <v>0</v>
      </c>
      <c r="N620" s="5">
        <v>0</v>
      </c>
      <c r="O620" s="5">
        <v>855</v>
      </c>
      <c r="P620" s="5">
        <v>4200000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63000</v>
      </c>
      <c r="AF620" s="5">
        <v>100000</v>
      </c>
      <c r="AG620" s="5">
        <v>0</v>
      </c>
      <c r="AH620" s="246">
        <v>2021</v>
      </c>
      <c r="AI620" s="246">
        <v>2021</v>
      </c>
      <c r="AJ620" s="246">
        <v>2021</v>
      </c>
      <c r="CB620" s="236"/>
      <c r="CF620" s="2" t="e">
        <f t="shared" ref="CF620:CF626" si="144">VLOOKUP(C620,CG:CH,2,FALSE)</f>
        <v>#N/A</v>
      </c>
    </row>
    <row r="621" spans="1:262" ht="61.5" x14ac:dyDescent="0.85">
      <c r="A621" s="2">
        <v>1</v>
      </c>
      <c r="B621" s="18">
        <f>SUBTOTAL(103,$A$558:A621)</f>
        <v>64</v>
      </c>
      <c r="C621" s="3" t="s">
        <v>1484</v>
      </c>
      <c r="D621" s="5"/>
      <c r="E621" s="5">
        <f t="shared" si="143"/>
        <v>-4363000</v>
      </c>
      <c r="F621" s="5">
        <f t="shared" si="140"/>
        <v>4363000</v>
      </c>
      <c r="G621" s="5">
        <v>0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241">
        <v>0</v>
      </c>
      <c r="N621" s="5">
        <v>0</v>
      </c>
      <c r="O621" s="5">
        <v>855</v>
      </c>
      <c r="P621" s="5">
        <v>4200000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63000</v>
      </c>
      <c r="AF621" s="5">
        <v>100000</v>
      </c>
      <c r="AG621" s="5">
        <v>0</v>
      </c>
      <c r="AH621" s="246">
        <v>2021</v>
      </c>
      <c r="AI621" s="246">
        <v>2021</v>
      </c>
      <c r="AJ621" s="246">
        <v>2021</v>
      </c>
      <c r="CB621" s="236"/>
      <c r="CF621" s="2" t="e">
        <f t="shared" si="144"/>
        <v>#N/A</v>
      </c>
    </row>
    <row r="622" spans="1:262" ht="61.5" x14ac:dyDescent="0.85">
      <c r="A622" s="2">
        <v>1</v>
      </c>
      <c r="B622" s="18">
        <f>SUBTOTAL(103,$A$558:A622)</f>
        <v>65</v>
      </c>
      <c r="C622" s="3" t="s">
        <v>1485</v>
      </c>
      <c r="D622" s="5"/>
      <c r="E622" s="5">
        <f t="shared" si="143"/>
        <v>-5178754.45</v>
      </c>
      <c r="F622" s="5">
        <f t="shared" si="140"/>
        <v>5178754.45</v>
      </c>
      <c r="G622" s="5">
        <v>0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241">
        <v>0</v>
      </c>
      <c r="N622" s="5">
        <v>0</v>
      </c>
      <c r="O622" s="5">
        <v>1036</v>
      </c>
      <c r="P622" s="5">
        <v>5000000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75000</v>
      </c>
      <c r="AF622" s="5">
        <v>103754.45</v>
      </c>
      <c r="AG622" s="5">
        <v>0</v>
      </c>
      <c r="AH622" s="246">
        <v>2021</v>
      </c>
      <c r="AI622" s="246">
        <v>2021</v>
      </c>
      <c r="AJ622" s="246">
        <v>2021</v>
      </c>
      <c r="CB622" s="236"/>
      <c r="CF622" s="2" t="e">
        <f t="shared" si="144"/>
        <v>#N/A</v>
      </c>
    </row>
    <row r="623" spans="1:262" s="239" customFormat="1" ht="61.5" x14ac:dyDescent="0.85">
      <c r="A623" s="239">
        <v>1</v>
      </c>
      <c r="B623" s="18">
        <f>SUBTOTAL(103,$A$558:A623)</f>
        <v>66</v>
      </c>
      <c r="C623" s="3" t="s">
        <v>916</v>
      </c>
      <c r="D623" s="5">
        <v>2182367.5499999998</v>
      </c>
      <c r="E623" s="5">
        <f t="shared" si="143"/>
        <v>69778.549999999814</v>
      </c>
      <c r="F623" s="5">
        <f t="shared" si="140"/>
        <v>2112589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25">
        <v>0</v>
      </c>
      <c r="N623" s="5">
        <v>0</v>
      </c>
      <c r="O623" s="5">
        <v>500</v>
      </c>
      <c r="P623" s="5">
        <v>2081368.47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31220.53</v>
      </c>
      <c r="AF623" s="5">
        <v>0</v>
      </c>
      <c r="AG623" s="5">
        <v>0</v>
      </c>
      <c r="AH623" s="246" t="s">
        <v>49</v>
      </c>
      <c r="AI623" s="246">
        <v>2021</v>
      </c>
      <c r="AJ623" s="246">
        <v>2021</v>
      </c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 t="e">
        <f>VLOOKUP(C623,AY:AZ,2,FALSE)</f>
        <v>#N/A</v>
      </c>
      <c r="AW623" s="2"/>
      <c r="AX623" s="2"/>
      <c r="AY623" s="2" t="s">
        <v>917</v>
      </c>
      <c r="AZ623" s="2">
        <v>1</v>
      </c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36"/>
      <c r="CC623" s="2"/>
      <c r="CD623" s="2"/>
      <c r="CE623" s="2"/>
      <c r="CF623" s="2" t="e">
        <f t="shared" si="144"/>
        <v>#N/A</v>
      </c>
      <c r="CG623" s="242" t="s">
        <v>918</v>
      </c>
      <c r="CH623" s="242">
        <v>761.5</v>
      </c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</row>
    <row r="624" spans="1:262" s="239" customFormat="1" ht="61.5" x14ac:dyDescent="0.85">
      <c r="A624" s="239">
        <v>1</v>
      </c>
      <c r="B624" s="18">
        <f>SUBTOTAL(103,$A$558:A624)</f>
        <v>67</v>
      </c>
      <c r="C624" s="3" t="s">
        <v>936</v>
      </c>
      <c r="D624" s="5">
        <v>2712409.97</v>
      </c>
      <c r="E624" s="5">
        <f t="shared" si="143"/>
        <v>155879.23999999976</v>
      </c>
      <c r="F624" s="5">
        <f t="shared" si="140"/>
        <v>2556530.7300000004</v>
      </c>
      <c r="G624" s="5">
        <v>0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25">
        <v>0</v>
      </c>
      <c r="N624" s="5">
        <v>0</v>
      </c>
      <c r="O624" s="7">
        <v>693</v>
      </c>
      <c r="P624" s="5">
        <v>2518749.4900000002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37781.24</v>
      </c>
      <c r="AF624" s="5">
        <v>0</v>
      </c>
      <c r="AG624" s="5">
        <v>0</v>
      </c>
      <c r="AH624" s="246" t="s">
        <v>49</v>
      </c>
      <c r="AI624" s="246">
        <v>2021</v>
      </c>
      <c r="AJ624" s="246">
        <v>2021</v>
      </c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 t="e">
        <f>VLOOKUP(C624,AY:AZ,2,FALSE)</f>
        <v>#N/A</v>
      </c>
      <c r="AW624" s="2"/>
      <c r="AX624" s="2"/>
      <c r="AY624" s="2" t="s">
        <v>937</v>
      </c>
      <c r="AZ624" s="2">
        <v>1</v>
      </c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36"/>
      <c r="CC624" s="2"/>
      <c r="CD624" s="2"/>
      <c r="CE624" s="2"/>
      <c r="CF624" s="2" t="e">
        <f t="shared" si="144"/>
        <v>#N/A</v>
      </c>
      <c r="CG624" s="242" t="s">
        <v>938</v>
      </c>
      <c r="CH624" s="242">
        <v>865.12</v>
      </c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</row>
    <row r="625" spans="1:262" s="239" customFormat="1" ht="61.5" x14ac:dyDescent="0.85">
      <c r="A625" s="239">
        <v>1</v>
      </c>
      <c r="B625" s="18">
        <f>SUBTOTAL(103,$A$558:A625)</f>
        <v>68</v>
      </c>
      <c r="C625" s="3" t="s">
        <v>968</v>
      </c>
      <c r="D625" s="5">
        <v>2637141.0299999998</v>
      </c>
      <c r="E625" s="5">
        <f t="shared" si="143"/>
        <v>374952.35999999987</v>
      </c>
      <c r="F625" s="5">
        <f t="shared" si="140"/>
        <v>2262188.67</v>
      </c>
      <c r="G625" s="5">
        <v>0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25">
        <v>0</v>
      </c>
      <c r="N625" s="5">
        <v>0</v>
      </c>
      <c r="O625" s="7">
        <v>1224</v>
      </c>
      <c r="P625" s="5">
        <v>2228922.0099999998</v>
      </c>
      <c r="Q625" s="5">
        <v>0</v>
      </c>
      <c r="R625" s="5">
        <v>0</v>
      </c>
      <c r="S625" s="5"/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33266.660000000003</v>
      </c>
      <c r="AF625" s="5">
        <v>0</v>
      </c>
      <c r="AG625" s="5">
        <v>0</v>
      </c>
      <c r="AH625" s="246" t="s">
        <v>49</v>
      </c>
      <c r="AI625" s="246">
        <v>2021</v>
      </c>
      <c r="AJ625" s="246">
        <v>2021</v>
      </c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36"/>
      <c r="CC625" s="2"/>
      <c r="CD625" s="2"/>
      <c r="CE625" s="2"/>
      <c r="CF625" s="2">
        <f t="shared" si="144"/>
        <v>1147.7</v>
      </c>
      <c r="CG625" s="242" t="s">
        <v>1243</v>
      </c>
      <c r="CH625" s="242">
        <v>1906.5</v>
      </c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</row>
    <row r="626" spans="1:262" s="239" customFormat="1" ht="61.5" x14ac:dyDescent="0.85">
      <c r="A626" s="239">
        <v>1</v>
      </c>
      <c r="B626" s="18">
        <f>SUBTOTAL(103,$A$558:A626)</f>
        <v>69</v>
      </c>
      <c r="C626" s="3" t="s">
        <v>1067</v>
      </c>
      <c r="D626" s="5">
        <v>4640895.0699999994</v>
      </c>
      <c r="E626" s="5">
        <f t="shared" si="143"/>
        <v>98219.330000000075</v>
      </c>
      <c r="F626" s="5">
        <f t="shared" si="140"/>
        <v>4542675.7399999993</v>
      </c>
      <c r="G626" s="5">
        <v>0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25">
        <v>0</v>
      </c>
      <c r="N626" s="5">
        <v>0</v>
      </c>
      <c r="O626" s="5">
        <v>1119</v>
      </c>
      <c r="P626" s="5">
        <v>4475542.5999999996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67133.14</v>
      </c>
      <c r="AF626" s="5">
        <v>0</v>
      </c>
      <c r="AG626" s="5">
        <v>0</v>
      </c>
      <c r="AH626" s="246" t="s">
        <v>49</v>
      </c>
      <c r="AI626" s="246">
        <v>2021</v>
      </c>
      <c r="AJ626" s="246">
        <v>2021</v>
      </c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36"/>
      <c r="CC626" s="2"/>
      <c r="CD626" s="2"/>
      <c r="CE626" s="2"/>
      <c r="CF626" s="2" t="e">
        <f t="shared" si="144"/>
        <v>#N/A</v>
      </c>
      <c r="CG626" s="242" t="s">
        <v>1068</v>
      </c>
      <c r="CH626" s="242">
        <v>901.42</v>
      </c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</row>
    <row r="627" spans="1:262" s="239" customFormat="1" ht="61.5" x14ac:dyDescent="0.85">
      <c r="A627" s="239">
        <v>1</v>
      </c>
      <c r="B627" s="18">
        <f>SUBTOTAL(103,$A$558:A627)</f>
        <v>70</v>
      </c>
      <c r="C627" s="3" t="s">
        <v>1486</v>
      </c>
      <c r="D627" s="5">
        <v>2298975</v>
      </c>
      <c r="E627" s="5">
        <f t="shared" si="143"/>
        <v>332743.62000000011</v>
      </c>
      <c r="F627" s="5">
        <f t="shared" si="140"/>
        <v>1966231.38</v>
      </c>
      <c r="G627" s="5">
        <v>0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25">
        <v>0</v>
      </c>
      <c r="N627" s="5">
        <v>0</v>
      </c>
      <c r="O627" s="5">
        <v>917.7</v>
      </c>
      <c r="P627" s="5">
        <v>1939466.75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26764.63</v>
      </c>
      <c r="AF627" s="5">
        <v>0</v>
      </c>
      <c r="AG627" s="5">
        <v>0</v>
      </c>
      <c r="AH627" s="246" t="s">
        <v>49</v>
      </c>
      <c r="AI627" s="246">
        <v>2021</v>
      </c>
      <c r="AJ627" s="246">
        <v>2021</v>
      </c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 t="e">
        <f>VLOOKUP(C627,AY:AZ,2,FALSE)</f>
        <v>#N/A</v>
      </c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36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</row>
    <row r="628" spans="1:262" s="239" customFormat="1" ht="61.5" x14ac:dyDescent="0.85">
      <c r="A628" s="239">
        <v>1</v>
      </c>
      <c r="B628" s="18">
        <f>SUBTOTAL(103,$A$558:A628)</f>
        <v>71</v>
      </c>
      <c r="C628" s="3" t="s">
        <v>1487</v>
      </c>
      <c r="D628" s="5">
        <v>2739411.65</v>
      </c>
      <c r="E628" s="5">
        <f t="shared" si="143"/>
        <v>0</v>
      </c>
      <c r="F628" s="5">
        <f t="shared" si="140"/>
        <v>2739411.65</v>
      </c>
      <c r="G628" s="5">
        <v>0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2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1314</v>
      </c>
      <c r="T628" s="5">
        <v>2698927.73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40483.919999999998</v>
      </c>
      <c r="AF628" s="5">
        <v>0</v>
      </c>
      <c r="AG628" s="5">
        <v>0</v>
      </c>
      <c r="AH628" s="246" t="s">
        <v>49</v>
      </c>
      <c r="AI628" s="246">
        <v>2021</v>
      </c>
      <c r="AJ628" s="246">
        <v>2021</v>
      </c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36"/>
      <c r="CC628" s="2"/>
      <c r="CD628" s="2"/>
      <c r="CE628" s="2"/>
      <c r="CF628" s="2" t="e">
        <f t="shared" ref="CF628:CF641" si="145">VLOOKUP(C628,CG:CH,2,FALSE)</f>
        <v>#N/A</v>
      </c>
      <c r="CG628" s="242" t="s">
        <v>1359</v>
      </c>
      <c r="CH628" s="242">
        <v>631</v>
      </c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</row>
    <row r="629" spans="1:262" s="239" customFormat="1" ht="61.5" x14ac:dyDescent="0.85">
      <c r="A629" s="239">
        <v>1</v>
      </c>
      <c r="B629" s="18">
        <f>SUBTOTAL(103,$A$558:A629)</f>
        <v>72</v>
      </c>
      <c r="C629" s="3" t="s">
        <v>1488</v>
      </c>
      <c r="D629" s="5">
        <v>4074712.4</v>
      </c>
      <c r="E629" s="5">
        <f t="shared" si="143"/>
        <v>0</v>
      </c>
      <c r="F629" s="5">
        <f t="shared" si="140"/>
        <v>4074712.4</v>
      </c>
      <c r="G629" s="5">
        <v>0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25">
        <v>0</v>
      </c>
      <c r="N629" s="5">
        <v>0</v>
      </c>
      <c r="O629" s="5">
        <v>800</v>
      </c>
      <c r="P629" s="5">
        <v>4014495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60217.4</v>
      </c>
      <c r="AF629" s="5">
        <v>0</v>
      </c>
      <c r="AG629" s="5">
        <v>0</v>
      </c>
      <c r="AH629" s="246" t="s">
        <v>49</v>
      </c>
      <c r="AI629" s="246">
        <v>2021</v>
      </c>
      <c r="AJ629" s="246">
        <v>2021</v>
      </c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 t="e">
        <f>VLOOKUP(C629,AY:AZ,2,FALSE)</f>
        <v>#N/A</v>
      </c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36"/>
      <c r="CC629" s="2"/>
      <c r="CD629" s="2"/>
      <c r="CE629" s="2"/>
      <c r="CF629" s="2" t="e">
        <f t="shared" si="145"/>
        <v>#N/A</v>
      </c>
      <c r="CG629" s="242" t="s">
        <v>1383</v>
      </c>
      <c r="CH629" s="242">
        <v>833.9</v>
      </c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</row>
    <row r="630" spans="1:262" s="239" customFormat="1" ht="61.5" x14ac:dyDescent="0.85">
      <c r="A630" s="239">
        <v>1</v>
      </c>
      <c r="B630" s="18">
        <f>SUBTOTAL(103,$A$558:A630)</f>
        <v>73</v>
      </c>
      <c r="C630" s="3" t="s">
        <v>1069</v>
      </c>
      <c r="D630" s="5">
        <v>3080924.7199999997</v>
      </c>
      <c r="E630" s="5">
        <f t="shared" si="143"/>
        <v>79924.819999999832</v>
      </c>
      <c r="F630" s="5">
        <f>G630+H630+I630+J630+K630+L630+N630+P630+R630+T630+V630+W630+X630+Y630+Z630+AA630+AB630+AC630+AD630+AE630+AF630+AG630</f>
        <v>3000999.9</v>
      </c>
      <c r="G630" s="5">
        <v>0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25">
        <v>0</v>
      </c>
      <c r="N630" s="5">
        <v>0</v>
      </c>
      <c r="O630" s="5">
        <v>707</v>
      </c>
      <c r="P630" s="5">
        <v>2956650.15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44349.75</v>
      </c>
      <c r="AF630" s="5">
        <v>0</v>
      </c>
      <c r="AG630" s="5">
        <v>0</v>
      </c>
      <c r="AH630" s="246" t="s">
        <v>49</v>
      </c>
      <c r="AI630" s="246">
        <v>2021</v>
      </c>
      <c r="AJ630" s="246">
        <v>2021</v>
      </c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36"/>
      <c r="CC630" s="2"/>
      <c r="CD630" s="2"/>
      <c r="CE630" s="2"/>
      <c r="CF630" s="2" t="e">
        <f t="shared" si="145"/>
        <v>#N/A</v>
      </c>
      <c r="CG630" s="242" t="s">
        <v>1070</v>
      </c>
      <c r="CH630" s="242">
        <v>566</v>
      </c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</row>
    <row r="631" spans="1:262" s="239" customFormat="1" ht="61.5" x14ac:dyDescent="0.85">
      <c r="A631" s="239">
        <v>1</v>
      </c>
      <c r="B631" s="18">
        <f>SUBTOTAL(103,$A$558:A631)</f>
        <v>74</v>
      </c>
      <c r="C631" s="3" t="s">
        <v>1489</v>
      </c>
      <c r="D631" s="5">
        <v>609000</v>
      </c>
      <c r="E631" s="5">
        <f t="shared" si="143"/>
        <v>-100000</v>
      </c>
      <c r="F631" s="5">
        <f t="shared" si="140"/>
        <v>709000</v>
      </c>
      <c r="G631" s="5">
        <v>0</v>
      </c>
      <c r="H631" s="5">
        <v>0</v>
      </c>
      <c r="I631" s="5">
        <v>600000</v>
      </c>
      <c r="J631" s="5">
        <v>0</v>
      </c>
      <c r="K631" s="5">
        <v>0</v>
      </c>
      <c r="L631" s="5">
        <v>0</v>
      </c>
      <c r="M631" s="2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9000</v>
      </c>
      <c r="AF631" s="5">
        <v>100000</v>
      </c>
      <c r="AG631" s="5">
        <v>0</v>
      </c>
      <c r="AH631" s="246">
        <v>2021</v>
      </c>
      <c r="AI631" s="246">
        <v>2021</v>
      </c>
      <c r="AJ631" s="246">
        <v>2021</v>
      </c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 t="e">
        <f>VLOOKUP(C631,AY:AZ,2,FALSE)</f>
        <v>#N/A</v>
      </c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36"/>
      <c r="CC631" s="2"/>
      <c r="CD631" s="2"/>
      <c r="CE631" s="2"/>
      <c r="CF631" s="2" t="e">
        <f t="shared" si="145"/>
        <v>#N/A</v>
      </c>
      <c r="CG631" s="242" t="s">
        <v>980</v>
      </c>
      <c r="CH631" s="242">
        <v>702.2</v>
      </c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</row>
    <row r="632" spans="1:262" s="239" customFormat="1" ht="61.5" x14ac:dyDescent="0.85">
      <c r="A632" s="239">
        <v>1</v>
      </c>
      <c r="B632" s="18">
        <f>SUBTOTAL(103,$A$558:A632)</f>
        <v>75</v>
      </c>
      <c r="C632" s="3" t="s">
        <v>959</v>
      </c>
      <c r="D632" s="5">
        <v>2626564.2799999998</v>
      </c>
      <c r="E632" s="5">
        <f t="shared" si="143"/>
        <v>137353.4299999997</v>
      </c>
      <c r="F632" s="5">
        <f>G632+H632+I632+J632+K632+L632+N632+P632+R632+T632+V632+W632+X632+Y632+Z632+AA632+AB632+AC632+AD632+AE632+AF632+AG632</f>
        <v>2489210.85</v>
      </c>
      <c r="G632" s="5">
        <v>0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25">
        <v>0</v>
      </c>
      <c r="N632" s="5">
        <v>0</v>
      </c>
      <c r="O632" s="5">
        <v>605</v>
      </c>
      <c r="P632" s="5">
        <v>2452424.48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36786.370000000003</v>
      </c>
      <c r="AF632" s="5">
        <v>0</v>
      </c>
      <c r="AG632" s="5">
        <v>0</v>
      </c>
      <c r="AH632" s="246" t="s">
        <v>49</v>
      </c>
      <c r="AI632" s="246">
        <v>2021</v>
      </c>
      <c r="AJ632" s="246">
        <v>2021</v>
      </c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 t="e">
        <f>VLOOKUP(C632,AY:AZ,2,FALSE)</f>
        <v>#N/A</v>
      </c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36"/>
      <c r="CC632" s="2"/>
      <c r="CD632" s="2"/>
      <c r="CE632" s="2"/>
      <c r="CF632" s="2" t="e">
        <f t="shared" si="145"/>
        <v>#N/A</v>
      </c>
      <c r="CG632" s="242" t="s">
        <v>960</v>
      </c>
      <c r="CH632" s="242">
        <v>1000</v>
      </c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</row>
    <row r="633" spans="1:262" s="239" customFormat="1" ht="61.5" x14ac:dyDescent="0.85">
      <c r="A633" s="239">
        <v>1</v>
      </c>
      <c r="B633" s="18">
        <f>SUBTOTAL(103,$A$558:A633)</f>
        <v>76</v>
      </c>
      <c r="C633" s="3" t="s">
        <v>998</v>
      </c>
      <c r="D633" s="5">
        <v>2347677.0299999998</v>
      </c>
      <c r="E633" s="5">
        <f t="shared" si="143"/>
        <v>69186.35999999987</v>
      </c>
      <c r="F633" s="5">
        <f t="shared" ref="F633" si="146">G633+H633+I633+J633+K633+L633+N633+P633+R633+T633+V633+W633+X633+Y633+Z633+AA633+AB633+AC633+AD633+AE633+AF633+AG633</f>
        <v>2278490.67</v>
      </c>
      <c r="G633" s="5">
        <v>0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25">
        <v>0</v>
      </c>
      <c r="N633" s="5">
        <v>0</v>
      </c>
      <c r="O633" s="5">
        <v>565</v>
      </c>
      <c r="P633" s="5">
        <v>2244818.39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33672.28</v>
      </c>
      <c r="AF633" s="5">
        <v>0</v>
      </c>
      <c r="AG633" s="5">
        <v>0</v>
      </c>
      <c r="AH633" s="246" t="s">
        <v>49</v>
      </c>
      <c r="AI633" s="246">
        <v>2021</v>
      </c>
      <c r="AJ633" s="246">
        <v>2021</v>
      </c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 t="e">
        <f>VLOOKUP(C633,AY:AZ,2,FALSE)</f>
        <v>#N/A</v>
      </c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36"/>
      <c r="CC633" s="2"/>
      <c r="CD633" s="2"/>
      <c r="CE633" s="2"/>
      <c r="CF633" s="2" t="e">
        <f t="shared" si="145"/>
        <v>#N/A</v>
      </c>
      <c r="CG633" s="242" t="s">
        <v>999</v>
      </c>
      <c r="CH633" s="242">
        <v>1206.22</v>
      </c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</row>
    <row r="634" spans="1:262" s="239" customFormat="1" ht="61.5" x14ac:dyDescent="0.85">
      <c r="A634" s="239">
        <v>1</v>
      </c>
      <c r="B634" s="18">
        <f>SUBTOTAL(103,$A$558:A634)</f>
        <v>77</v>
      </c>
      <c r="C634" s="3" t="s">
        <v>1490</v>
      </c>
      <c r="D634" s="5">
        <v>2200520</v>
      </c>
      <c r="E634" s="5">
        <f t="shared" si="143"/>
        <v>16.990000000223517</v>
      </c>
      <c r="F634" s="5">
        <f t="shared" si="140"/>
        <v>2200503.0099999998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2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7">
        <v>736</v>
      </c>
      <c r="T634" s="5">
        <v>2167983.2599999998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32519.75</v>
      </c>
      <c r="AF634" s="5">
        <v>0</v>
      </c>
      <c r="AG634" s="5">
        <v>0</v>
      </c>
      <c r="AH634" s="246" t="s">
        <v>49</v>
      </c>
      <c r="AI634" s="246">
        <v>2021</v>
      </c>
      <c r="AJ634" s="246">
        <v>2021</v>
      </c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36"/>
      <c r="CC634" s="2"/>
      <c r="CD634" s="2"/>
      <c r="CE634" s="2"/>
      <c r="CF634" s="2" t="e">
        <f t="shared" si="145"/>
        <v>#N/A</v>
      </c>
      <c r="CG634" s="242" t="s">
        <v>1240</v>
      </c>
      <c r="CH634" s="242">
        <v>563.1</v>
      </c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</row>
    <row r="635" spans="1:262" s="239" customFormat="1" ht="61.5" x14ac:dyDescent="0.85">
      <c r="A635" s="239">
        <v>1</v>
      </c>
      <c r="B635" s="18">
        <f>SUBTOTAL(103,$A$558:A635)</f>
        <v>78</v>
      </c>
      <c r="C635" s="3" t="s">
        <v>1491</v>
      </c>
      <c r="D635" s="5">
        <v>3897600</v>
      </c>
      <c r="E635" s="5">
        <f t="shared" si="143"/>
        <v>1394.4399999999441</v>
      </c>
      <c r="F635" s="5">
        <f>G635+H635+I635+J635+K635+L635+N635+P635+R635+T635+V635+W635+X635+Y635+Z635+AA635+AB635+AC635+AD635+AE635+AF635+AG635</f>
        <v>3896205.56</v>
      </c>
      <c r="G635" s="5">
        <v>0</v>
      </c>
      <c r="H635" s="5">
        <v>0</v>
      </c>
      <c r="I635" s="5">
        <v>0</v>
      </c>
      <c r="J635" s="5">
        <v>0</v>
      </c>
      <c r="K635" s="5">
        <v>0</v>
      </c>
      <c r="L635" s="5">
        <v>0</v>
      </c>
      <c r="M635" s="25">
        <v>0</v>
      </c>
      <c r="N635" s="5">
        <v>0</v>
      </c>
      <c r="O635" s="5">
        <v>878</v>
      </c>
      <c r="P635" s="5">
        <v>3838626.17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57579.39</v>
      </c>
      <c r="AF635" s="5">
        <v>0</v>
      </c>
      <c r="AG635" s="5">
        <v>0</v>
      </c>
      <c r="AH635" s="246" t="s">
        <v>49</v>
      </c>
      <c r="AI635" s="246">
        <v>2021</v>
      </c>
      <c r="AJ635" s="246">
        <v>2021</v>
      </c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36"/>
      <c r="CC635" s="2"/>
      <c r="CD635" s="2"/>
      <c r="CE635" s="2"/>
      <c r="CF635" s="2" t="e">
        <f t="shared" si="145"/>
        <v>#N/A</v>
      </c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</row>
    <row r="636" spans="1:262" ht="61.5" x14ac:dyDescent="0.85">
      <c r="A636" s="2">
        <v>1</v>
      </c>
      <c r="B636" s="18">
        <f>SUBTOTAL(103,$A$558:A636)</f>
        <v>79</v>
      </c>
      <c r="C636" s="3" t="s">
        <v>1492</v>
      </c>
      <c r="D636" s="5">
        <v>1023224.5700000001</v>
      </c>
      <c r="E636" s="5">
        <f t="shared" si="143"/>
        <v>-100000</v>
      </c>
      <c r="F636" s="5">
        <f t="shared" ref="F636" si="147">G636+H636+I636+J636+K636+L636+N636+P636+R636+T636+V636+W636+X636+Y636+Z636+AA636+AB636+AC636+AD636+AE636+AF636+AG636</f>
        <v>1123224.57</v>
      </c>
      <c r="G636" s="5">
        <v>0</v>
      </c>
      <c r="H636" s="5">
        <v>0</v>
      </c>
      <c r="I636" s="5">
        <v>0</v>
      </c>
      <c r="J636" s="5">
        <v>0</v>
      </c>
      <c r="K636" s="5">
        <v>0</v>
      </c>
      <c r="L636" s="5">
        <v>0</v>
      </c>
      <c r="M636" s="25">
        <v>0</v>
      </c>
      <c r="N636" s="5">
        <v>0</v>
      </c>
      <c r="O636" s="5">
        <v>230</v>
      </c>
      <c r="P636" s="5">
        <v>1008103.02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15121.55</v>
      </c>
      <c r="AF636" s="5">
        <v>100000</v>
      </c>
      <c r="AG636" s="5">
        <v>0</v>
      </c>
      <c r="AH636" s="246">
        <v>2021</v>
      </c>
      <c r="AI636" s="246">
        <v>2021</v>
      </c>
      <c r="AJ636" s="246">
        <v>2021</v>
      </c>
      <c r="CB636" s="236"/>
      <c r="CF636" s="2" t="e">
        <f t="shared" si="145"/>
        <v>#N/A</v>
      </c>
    </row>
    <row r="637" spans="1:262" ht="61.5" x14ac:dyDescent="0.85">
      <c r="A637" s="2">
        <v>1</v>
      </c>
      <c r="B637" s="18">
        <f>SUBTOTAL(103,$A$558:A637)</f>
        <v>80</v>
      </c>
      <c r="C637" s="3" t="s">
        <v>942</v>
      </c>
      <c r="D637" s="5">
        <v>3977663.1999999997</v>
      </c>
      <c r="E637" s="5">
        <f t="shared" si="143"/>
        <v>89397.799999999814</v>
      </c>
      <c r="F637" s="5">
        <f t="shared" si="140"/>
        <v>3888265.4</v>
      </c>
      <c r="G637" s="5">
        <v>0</v>
      </c>
      <c r="H637" s="5">
        <v>0</v>
      </c>
      <c r="I637" s="5">
        <v>0</v>
      </c>
      <c r="J637" s="5">
        <v>0</v>
      </c>
      <c r="K637" s="5">
        <v>0</v>
      </c>
      <c r="L637" s="5">
        <v>0</v>
      </c>
      <c r="M637" s="241">
        <v>0</v>
      </c>
      <c r="N637" s="5">
        <v>0</v>
      </c>
      <c r="O637" s="5">
        <v>947.4</v>
      </c>
      <c r="P637" s="5">
        <v>3830803.35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57462.05</v>
      </c>
      <c r="AF637" s="5">
        <v>0</v>
      </c>
      <c r="AG637" s="5">
        <v>0</v>
      </c>
      <c r="AH637" s="246" t="s">
        <v>49</v>
      </c>
      <c r="AI637" s="246">
        <v>2021</v>
      </c>
      <c r="AJ637" s="246">
        <v>2021</v>
      </c>
      <c r="AV637" s="2" t="e">
        <f>VLOOKUP(C637,AY:AZ,2,FALSE)</f>
        <v>#N/A</v>
      </c>
      <c r="AY637" s="2" t="s">
        <v>943</v>
      </c>
      <c r="AZ637" s="2">
        <v>1</v>
      </c>
      <c r="CB637" s="236"/>
      <c r="CF637" s="2" t="e">
        <f t="shared" si="145"/>
        <v>#N/A</v>
      </c>
      <c r="CG637" s="242" t="s">
        <v>944</v>
      </c>
      <c r="CH637" s="242">
        <v>1319.27</v>
      </c>
    </row>
    <row r="638" spans="1:262" s="239" customFormat="1" ht="61.5" x14ac:dyDescent="0.85">
      <c r="A638" s="239">
        <v>1</v>
      </c>
      <c r="B638" s="18">
        <f>SUBTOTAL(103,$A$558:A638)</f>
        <v>81</v>
      </c>
      <c r="C638" s="3" t="s">
        <v>1493</v>
      </c>
      <c r="D638" s="5">
        <v>4301356.74</v>
      </c>
      <c r="E638" s="5">
        <f t="shared" ref="E638:E701" si="148">D638-F638</f>
        <v>0</v>
      </c>
      <c r="F638" s="5">
        <f t="shared" si="140"/>
        <v>4301356.74</v>
      </c>
      <c r="G638" s="5">
        <v>0</v>
      </c>
      <c r="H638" s="5">
        <v>0</v>
      </c>
      <c r="I638" s="5">
        <v>0</v>
      </c>
      <c r="J638" s="5">
        <v>0</v>
      </c>
      <c r="K638" s="5">
        <v>0</v>
      </c>
      <c r="L638" s="5">
        <v>0</v>
      </c>
      <c r="M638" s="25">
        <v>0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1131.4000000000001</v>
      </c>
      <c r="T638" s="5">
        <v>4238103.05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63253.69</v>
      </c>
      <c r="AF638" s="5">
        <v>0</v>
      </c>
      <c r="AG638" s="5">
        <v>0</v>
      </c>
      <c r="AH638" s="246" t="s">
        <v>49</v>
      </c>
      <c r="AI638" s="246">
        <v>2021</v>
      </c>
      <c r="AJ638" s="246">
        <v>2021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36"/>
      <c r="CC638" s="2"/>
      <c r="CD638" s="2"/>
      <c r="CE638" s="2"/>
      <c r="CF638" s="2" t="e">
        <f t="shared" si="145"/>
        <v>#N/A</v>
      </c>
      <c r="CG638" s="242" t="s">
        <v>1245</v>
      </c>
      <c r="CH638" s="242">
        <v>2073.9</v>
      </c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</row>
    <row r="639" spans="1:262" s="239" customFormat="1" ht="61.5" x14ac:dyDescent="0.85">
      <c r="A639" s="239">
        <v>1</v>
      </c>
      <c r="B639" s="18">
        <f>SUBTOTAL(103,$A$558:A639)</f>
        <v>82</v>
      </c>
      <c r="C639" s="3" t="s">
        <v>1494</v>
      </c>
      <c r="D639" s="5">
        <v>1057247.3700000001</v>
      </c>
      <c r="E639" s="5">
        <f t="shared" si="148"/>
        <v>0</v>
      </c>
      <c r="F639" s="5">
        <f t="shared" si="140"/>
        <v>1057247.3700000001</v>
      </c>
      <c r="G639" s="5">
        <v>0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25">
        <v>0</v>
      </c>
      <c r="N639" s="5">
        <v>0</v>
      </c>
      <c r="O639" s="5">
        <v>0</v>
      </c>
      <c r="P639" s="5">
        <v>0</v>
      </c>
      <c r="Q639" s="5">
        <v>780</v>
      </c>
      <c r="R639" s="5">
        <v>1041700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15547.37</v>
      </c>
      <c r="AF639" s="5">
        <v>0</v>
      </c>
      <c r="AG639" s="5">
        <v>0</v>
      </c>
      <c r="AH639" s="246" t="s">
        <v>49</v>
      </c>
      <c r="AI639" s="246">
        <v>2021</v>
      </c>
      <c r="AJ639" s="246">
        <v>2021</v>
      </c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36"/>
      <c r="CC639" s="2"/>
      <c r="CD639" s="2"/>
      <c r="CE639" s="2"/>
      <c r="CF639" s="2" t="e">
        <f t="shared" si="145"/>
        <v>#N/A</v>
      </c>
      <c r="CG639" s="242" t="s">
        <v>1304</v>
      </c>
      <c r="CH639" s="242">
        <v>722.14</v>
      </c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</row>
    <row r="640" spans="1:262" s="239" customFormat="1" ht="61.5" x14ac:dyDescent="0.85">
      <c r="A640" s="239">
        <v>1</v>
      </c>
      <c r="B640" s="18">
        <f>SUBTOTAL(103,$A$558:A640)</f>
        <v>83</v>
      </c>
      <c r="C640" s="3" t="s">
        <v>1495</v>
      </c>
      <c r="D640" s="5">
        <v>1584967.92</v>
      </c>
      <c r="E640" s="5">
        <f t="shared" si="148"/>
        <v>0</v>
      </c>
      <c r="F640" s="5">
        <f>G640+H640+I640+J640+K640+L640+N640+P640+R640+T640+V640+W640+X640+Y640+Z640+AA640+AB640+AC640+AD640+AE640+AF640+AG640</f>
        <v>1584967.92</v>
      </c>
      <c r="G640" s="5">
        <v>0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25">
        <v>0</v>
      </c>
      <c r="N640" s="5">
        <v>0</v>
      </c>
      <c r="O640" s="5">
        <v>307</v>
      </c>
      <c r="P640" s="5">
        <f>1492579.23+70000</f>
        <v>1562579.23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22388.69</v>
      </c>
      <c r="AF640" s="5">
        <v>0</v>
      </c>
      <c r="AG640" s="5">
        <v>0</v>
      </c>
      <c r="AH640" s="246" t="s">
        <v>49</v>
      </c>
      <c r="AI640" s="246">
        <v>2021</v>
      </c>
      <c r="AJ640" s="246">
        <v>2021</v>
      </c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 t="e">
        <f>VLOOKUP(C640,AY:AZ,2,FALSE)</f>
        <v>#N/A</v>
      </c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36"/>
      <c r="CC640" s="2"/>
      <c r="CD640" s="2"/>
      <c r="CE640" s="2"/>
      <c r="CF640" s="2" t="e">
        <f t="shared" si="145"/>
        <v>#N/A</v>
      </c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</row>
    <row r="641" spans="1:262" s="239" customFormat="1" ht="61.5" x14ac:dyDescent="0.85">
      <c r="A641" s="239">
        <v>1</v>
      </c>
      <c r="B641" s="18">
        <f>SUBTOTAL(103,$A$558:A641)</f>
        <v>84</v>
      </c>
      <c r="C641" s="3" t="s">
        <v>995</v>
      </c>
      <c r="D641" s="5">
        <v>4032402</v>
      </c>
      <c r="E641" s="5">
        <f t="shared" si="148"/>
        <v>82721.549999999814</v>
      </c>
      <c r="F641" s="5">
        <f t="shared" ref="F641" si="149">G641+H641+I641+J641+K641+L641+N641+P641+R641+T641+V641+W641+X641+Y641+Z641+AA641+AB641+AC641+AD641+AE641+AF641+AG641</f>
        <v>3949680.45</v>
      </c>
      <c r="G641" s="5">
        <v>0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25">
        <v>0</v>
      </c>
      <c r="N641" s="5">
        <v>0</v>
      </c>
      <c r="O641" s="5">
        <v>904</v>
      </c>
      <c r="P641" s="5">
        <v>3891310.79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58369.66</v>
      </c>
      <c r="AF641" s="5">
        <v>0</v>
      </c>
      <c r="AG641" s="5">
        <v>0</v>
      </c>
      <c r="AH641" s="246" t="s">
        <v>49</v>
      </c>
      <c r="AI641" s="246">
        <v>2021</v>
      </c>
      <c r="AJ641" s="246">
        <v>2021</v>
      </c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 t="e">
        <f>VLOOKUP(C641,AY:AZ,2,FALSE)</f>
        <v>#N/A</v>
      </c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36"/>
      <c r="CC641" s="2"/>
      <c r="CD641" s="2"/>
      <c r="CE641" s="2"/>
      <c r="CF641" s="2">
        <f t="shared" si="145"/>
        <v>904</v>
      </c>
      <c r="CG641" s="242" t="s">
        <v>996</v>
      </c>
      <c r="CH641" s="242">
        <v>1674.7</v>
      </c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</row>
    <row r="642" spans="1:262" s="239" customFormat="1" ht="61.5" x14ac:dyDescent="0.85">
      <c r="A642" s="239">
        <v>1</v>
      </c>
      <c r="B642" s="18">
        <f>SUBTOTAL(103,$A$558:A642)</f>
        <v>85</v>
      </c>
      <c r="C642" s="3" t="s">
        <v>1496</v>
      </c>
      <c r="D642" s="5">
        <v>2547497.35</v>
      </c>
      <c r="E642" s="5">
        <f t="shared" si="148"/>
        <v>-100000</v>
      </c>
      <c r="F642" s="5">
        <f>G642+H642+I642+J642+K642+L642+N642+P642+R642+T642+V642+W642+X642+Y642+Z642+AA642+AB642+AC642+AD642+AE642+AF642+AG642</f>
        <v>2647497.35</v>
      </c>
      <c r="G642" s="5">
        <v>0</v>
      </c>
      <c r="H642" s="5">
        <v>0</v>
      </c>
      <c r="I642" s="5">
        <v>0</v>
      </c>
      <c r="J642" s="5">
        <v>0</v>
      </c>
      <c r="K642" s="5">
        <v>0</v>
      </c>
      <c r="L642" s="5">
        <v>0</v>
      </c>
      <c r="M642" s="25">
        <v>0</v>
      </c>
      <c r="N642" s="5">
        <v>0</v>
      </c>
      <c r="O642" s="5">
        <v>557</v>
      </c>
      <c r="P642" s="5">
        <v>2509849.61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37647.74</v>
      </c>
      <c r="AF642" s="5">
        <v>100000</v>
      </c>
      <c r="AG642" s="5">
        <v>0</v>
      </c>
      <c r="AH642" s="246">
        <v>2021</v>
      </c>
      <c r="AI642" s="246">
        <v>2021</v>
      </c>
      <c r="AJ642" s="246">
        <v>2021</v>
      </c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 t="e">
        <f>VLOOKUP(C642,AY:AZ,2,FALSE)</f>
        <v>#N/A</v>
      </c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36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</row>
    <row r="643" spans="1:262" s="239" customFormat="1" ht="61.5" x14ac:dyDescent="0.85">
      <c r="A643" s="239">
        <v>1</v>
      </c>
      <c r="B643" s="18">
        <f>SUBTOTAL(103,$A$558:A643)</f>
        <v>86</v>
      </c>
      <c r="C643" s="3" t="s">
        <v>1497</v>
      </c>
      <c r="D643" s="5">
        <v>2834067.58</v>
      </c>
      <c r="E643" s="5">
        <f t="shared" si="148"/>
        <v>-100000</v>
      </c>
      <c r="F643" s="5">
        <f t="shared" ref="F643:F646" si="150">G643+H643+I643+J643+K643+L643+N643+P643+R643+T643+V643+W643+X643+Y643+Z643+AA643+AB643+AC643+AD643+AE643+AF643+AG643</f>
        <v>2934067.58</v>
      </c>
      <c r="G643" s="5">
        <v>0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25">
        <v>0</v>
      </c>
      <c r="N643" s="5">
        <v>0</v>
      </c>
      <c r="O643" s="5">
        <v>621.5</v>
      </c>
      <c r="P643" s="5">
        <v>2792184.81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41882.769999999997</v>
      </c>
      <c r="AF643" s="5">
        <v>100000</v>
      </c>
      <c r="AG643" s="5">
        <v>0</v>
      </c>
      <c r="AH643" s="246">
        <v>2021</v>
      </c>
      <c r="AI643" s="246">
        <v>2021</v>
      </c>
      <c r="AJ643" s="246">
        <v>2021</v>
      </c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 t="e">
        <f>VLOOKUP(C643,AY:AZ,2,FALSE)</f>
        <v>#N/A</v>
      </c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36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</row>
    <row r="644" spans="1:262" s="239" customFormat="1" ht="61.5" x14ac:dyDescent="0.85">
      <c r="A644" s="239">
        <v>1</v>
      </c>
      <c r="B644" s="18">
        <f>SUBTOTAL(103,$A$558:A644)</f>
        <v>87</v>
      </c>
      <c r="C644" s="3" t="s">
        <v>1498</v>
      </c>
      <c r="D644" s="5">
        <v>2571262.73</v>
      </c>
      <c r="E644" s="5">
        <f t="shared" si="148"/>
        <v>-100000</v>
      </c>
      <c r="F644" s="5">
        <f t="shared" si="150"/>
        <v>2671262.73</v>
      </c>
      <c r="G644" s="5">
        <v>0</v>
      </c>
      <c r="H644" s="5">
        <v>0</v>
      </c>
      <c r="I644" s="5">
        <v>0</v>
      </c>
      <c r="J644" s="5">
        <v>0</v>
      </c>
      <c r="K644" s="5">
        <v>0</v>
      </c>
      <c r="L644" s="5">
        <v>0</v>
      </c>
      <c r="M644" s="25">
        <v>0</v>
      </c>
      <c r="N644" s="5">
        <v>0</v>
      </c>
      <c r="O644" s="5">
        <v>562</v>
      </c>
      <c r="P644" s="5">
        <v>2533263.77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37998.959999999999</v>
      </c>
      <c r="AF644" s="5">
        <v>100000</v>
      </c>
      <c r="AG644" s="5">
        <v>0</v>
      </c>
      <c r="AH644" s="246">
        <v>2021</v>
      </c>
      <c r="AI644" s="246">
        <v>2021</v>
      </c>
      <c r="AJ644" s="246">
        <v>2021</v>
      </c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 t="e">
        <f>VLOOKUP(C644,AY:AZ,2,FALSE)</f>
        <v>#N/A</v>
      </c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36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</row>
    <row r="645" spans="1:262" s="239" customFormat="1" ht="61.5" x14ac:dyDescent="0.85">
      <c r="A645" s="239">
        <v>1</v>
      </c>
      <c r="B645" s="18">
        <f>SUBTOTAL(103,$A$558:A645)</f>
        <v>88</v>
      </c>
      <c r="C645" s="3" t="s">
        <v>1499</v>
      </c>
      <c r="D645" s="5">
        <v>2840502.02</v>
      </c>
      <c r="E645" s="5">
        <f t="shared" si="148"/>
        <v>-100000</v>
      </c>
      <c r="F645" s="5">
        <f t="shared" si="150"/>
        <v>2940502.02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25">
        <v>0</v>
      </c>
      <c r="N645" s="5">
        <v>0</v>
      </c>
      <c r="O645" s="5">
        <v>587</v>
      </c>
      <c r="P645" s="5">
        <v>2798524.16</v>
      </c>
      <c r="Q645" s="5">
        <v>0</v>
      </c>
      <c r="R645" s="5">
        <v>0</v>
      </c>
      <c r="S645" s="5">
        <v>0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41977.86</v>
      </c>
      <c r="AF645" s="5">
        <v>100000</v>
      </c>
      <c r="AG645" s="5">
        <v>0</v>
      </c>
      <c r="AH645" s="246">
        <v>2021</v>
      </c>
      <c r="AI645" s="246">
        <v>2021</v>
      </c>
      <c r="AJ645" s="246">
        <v>2021</v>
      </c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36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</row>
    <row r="646" spans="1:262" s="239" customFormat="1" ht="61.5" x14ac:dyDescent="0.85">
      <c r="A646" s="239">
        <v>1</v>
      </c>
      <c r="B646" s="18">
        <f>SUBTOTAL(103,$A$558:A646)</f>
        <v>89</v>
      </c>
      <c r="C646" s="3" t="s">
        <v>1500</v>
      </c>
      <c r="D646" s="5">
        <v>4404985.5199999996</v>
      </c>
      <c r="E646" s="5">
        <f t="shared" si="148"/>
        <v>-100000</v>
      </c>
      <c r="F646" s="5">
        <f t="shared" si="150"/>
        <v>4504985.5199999996</v>
      </c>
      <c r="G646" s="5">
        <v>0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25">
        <v>0</v>
      </c>
      <c r="N646" s="5">
        <v>0</v>
      </c>
      <c r="O646" s="5">
        <v>952</v>
      </c>
      <c r="P646" s="5">
        <v>4339887.21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65098.31</v>
      </c>
      <c r="AF646" s="5">
        <v>100000</v>
      </c>
      <c r="AG646" s="5">
        <v>0</v>
      </c>
      <c r="AH646" s="246">
        <v>2021</v>
      </c>
      <c r="AI646" s="246">
        <v>2021</v>
      </c>
      <c r="AJ646" s="246">
        <v>2021</v>
      </c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 t="e">
        <f t="shared" ref="AV646:AV659" si="151">VLOOKUP(C646,AY:AZ,2,FALSE)</f>
        <v>#N/A</v>
      </c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36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</row>
    <row r="647" spans="1:262" ht="61.5" x14ac:dyDescent="0.85">
      <c r="B647" s="3" t="s">
        <v>1092</v>
      </c>
      <c r="C647" s="442"/>
      <c r="D647" s="244">
        <v>71633775.410000011</v>
      </c>
      <c r="E647" s="233">
        <f t="shared" si="148"/>
        <v>-26485250.969999999</v>
      </c>
      <c r="F647" s="244">
        <f t="shared" ref="F647:AG647" si="152">SUM(F648:F677)</f>
        <v>98119026.38000001</v>
      </c>
      <c r="G647" s="5">
        <f t="shared" si="152"/>
        <v>215356.42</v>
      </c>
      <c r="H647" s="5">
        <f t="shared" si="152"/>
        <v>0</v>
      </c>
      <c r="I647" s="5">
        <f t="shared" si="152"/>
        <v>10409909.83</v>
      </c>
      <c r="J647" s="5">
        <f t="shared" si="152"/>
        <v>0</v>
      </c>
      <c r="K647" s="5">
        <f t="shared" si="152"/>
        <v>2829323.7</v>
      </c>
      <c r="L647" s="5">
        <f t="shared" si="152"/>
        <v>0</v>
      </c>
      <c r="M647" s="241">
        <f t="shared" si="152"/>
        <v>0</v>
      </c>
      <c r="N647" s="5">
        <f t="shared" si="152"/>
        <v>0</v>
      </c>
      <c r="O647" s="5">
        <f t="shared" si="152"/>
        <v>13846.68</v>
      </c>
      <c r="P647" s="5">
        <f t="shared" si="152"/>
        <v>65949786.280000001</v>
      </c>
      <c r="Q647" s="5">
        <f t="shared" si="152"/>
        <v>0</v>
      </c>
      <c r="R647" s="5">
        <f t="shared" si="152"/>
        <v>0</v>
      </c>
      <c r="S647" s="5">
        <f t="shared" si="152"/>
        <v>3932.58</v>
      </c>
      <c r="T647" s="5">
        <f t="shared" si="152"/>
        <v>14643924.140000001</v>
      </c>
      <c r="U647" s="5">
        <f t="shared" si="152"/>
        <v>0</v>
      </c>
      <c r="V647" s="5">
        <f t="shared" si="152"/>
        <v>0</v>
      </c>
      <c r="W647" s="5">
        <f t="shared" si="152"/>
        <v>0</v>
      </c>
      <c r="X647" s="5">
        <f t="shared" si="152"/>
        <v>0</v>
      </c>
      <c r="Y647" s="5">
        <f t="shared" si="152"/>
        <v>0</v>
      </c>
      <c r="Z647" s="5">
        <f t="shared" si="152"/>
        <v>0</v>
      </c>
      <c r="AA647" s="5">
        <f t="shared" si="152"/>
        <v>0</v>
      </c>
      <c r="AB647" s="5">
        <f t="shared" si="152"/>
        <v>0</v>
      </c>
      <c r="AC647" s="5">
        <f t="shared" si="152"/>
        <v>0</v>
      </c>
      <c r="AD647" s="5">
        <f t="shared" si="152"/>
        <v>0</v>
      </c>
      <c r="AE647" s="5">
        <f t="shared" si="152"/>
        <v>1410724.51</v>
      </c>
      <c r="AF647" s="5">
        <f t="shared" si="152"/>
        <v>2540001.5</v>
      </c>
      <c r="AG647" s="5">
        <f t="shared" si="152"/>
        <v>120000</v>
      </c>
      <c r="AH647" s="23" t="s">
        <v>90</v>
      </c>
      <c r="AI647" s="23" t="s">
        <v>90</v>
      </c>
      <c r="AJ647" s="27" t="s">
        <v>90</v>
      </c>
      <c r="AV647" s="2" t="e">
        <f t="shared" si="151"/>
        <v>#N/A</v>
      </c>
      <c r="CB647" s="236">
        <v>53022412.590000004</v>
      </c>
      <c r="CD647" s="236">
        <f>CB647-F647</f>
        <v>-45096613.790000007</v>
      </c>
      <c r="CF647" s="2" t="e">
        <f t="shared" ref="CF647:CF663" si="153">VLOOKUP(C647,CG:CH,2,FALSE)</f>
        <v>#N/A</v>
      </c>
    </row>
    <row r="648" spans="1:262" ht="61.5" x14ac:dyDescent="0.85">
      <c r="A648" s="2">
        <v>1</v>
      </c>
      <c r="B648" s="18">
        <f>SUBTOTAL(103,$A$558:A648)</f>
        <v>90</v>
      </c>
      <c r="C648" s="3" t="s">
        <v>1501</v>
      </c>
      <c r="D648" s="5">
        <v>3616357.54</v>
      </c>
      <c r="E648" s="5">
        <f t="shared" si="148"/>
        <v>0</v>
      </c>
      <c r="F648" s="5">
        <f t="shared" ref="F648:F668" si="154">G648+H648+I648+J648+K648+L648+N648+P648+R648+T648+V648+W648+X648+Y648+Z648+AA648+AB648+AC648+AD648+AE648+AF648+AG648</f>
        <v>3616357.54</v>
      </c>
      <c r="G648" s="5">
        <v>0</v>
      </c>
      <c r="H648" s="5">
        <v>0</v>
      </c>
      <c r="I648" s="5">
        <v>0</v>
      </c>
      <c r="J648" s="5">
        <v>0</v>
      </c>
      <c r="K648" s="5">
        <v>0</v>
      </c>
      <c r="L648" s="5">
        <v>0</v>
      </c>
      <c r="M648" s="241">
        <v>0</v>
      </c>
      <c r="N648" s="5">
        <v>0</v>
      </c>
      <c r="O648" s="5">
        <v>620.9</v>
      </c>
      <c r="P648" s="5">
        <v>3415130.58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f>ROUND(P648*1.5%,2)</f>
        <v>51226.96</v>
      </c>
      <c r="AF648" s="5">
        <v>150000</v>
      </c>
      <c r="AG648" s="5">
        <v>0</v>
      </c>
      <c r="AH648" s="246">
        <v>2021</v>
      </c>
      <c r="AI648" s="246">
        <v>2021</v>
      </c>
      <c r="AJ648" s="6">
        <v>2021</v>
      </c>
      <c r="AV648" s="2" t="e">
        <f t="shared" si="151"/>
        <v>#N/A</v>
      </c>
      <c r="CB648" s="236"/>
      <c r="CF648" s="2" t="e">
        <f t="shared" si="153"/>
        <v>#N/A</v>
      </c>
    </row>
    <row r="649" spans="1:262" ht="61.5" x14ac:dyDescent="0.85">
      <c r="A649" s="2">
        <v>1</v>
      </c>
      <c r="B649" s="18">
        <f>SUBTOTAL(103,$A$558:A649)</f>
        <v>91</v>
      </c>
      <c r="C649" s="3" t="s">
        <v>1502</v>
      </c>
      <c r="D649" s="5">
        <v>1638422.64</v>
      </c>
      <c r="E649" s="5">
        <f t="shared" si="148"/>
        <v>0</v>
      </c>
      <c r="F649" s="5">
        <f t="shared" si="154"/>
        <v>1638422.64</v>
      </c>
      <c r="G649" s="5">
        <v>0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241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439.04</v>
      </c>
      <c r="T649" s="5">
        <v>1486130.68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f>ROUND(T649*1.5%,2)</f>
        <v>22291.96</v>
      </c>
      <c r="AF649" s="5">
        <v>130000</v>
      </c>
      <c r="AG649" s="5">
        <v>0</v>
      </c>
      <c r="AH649" s="246">
        <v>2021</v>
      </c>
      <c r="AI649" s="246">
        <v>2021</v>
      </c>
      <c r="AJ649" s="6">
        <v>2021</v>
      </c>
      <c r="AV649" s="2" t="e">
        <f t="shared" si="151"/>
        <v>#N/A</v>
      </c>
      <c r="CB649" s="236"/>
      <c r="CF649" s="2" t="e">
        <f t="shared" si="153"/>
        <v>#N/A</v>
      </c>
    </row>
    <row r="650" spans="1:262" ht="61.5" x14ac:dyDescent="0.85">
      <c r="A650" s="2">
        <v>1</v>
      </c>
      <c r="B650" s="18">
        <f>SUBTOTAL(103,$A$558:A650)</f>
        <v>92</v>
      </c>
      <c r="C650" s="3" t="s">
        <v>1503</v>
      </c>
      <c r="D650" s="5">
        <v>4857938</v>
      </c>
      <c r="E650" s="5">
        <f t="shared" si="148"/>
        <v>0</v>
      </c>
      <c r="F650" s="5">
        <f t="shared" si="154"/>
        <v>4857938</v>
      </c>
      <c r="G650" s="5">
        <v>0</v>
      </c>
      <c r="H650" s="5">
        <v>0</v>
      </c>
      <c r="I650" s="5">
        <v>0</v>
      </c>
      <c r="J650" s="5">
        <v>0</v>
      </c>
      <c r="K650" s="5">
        <v>0</v>
      </c>
      <c r="L650" s="5">
        <v>0</v>
      </c>
      <c r="M650" s="241">
        <v>0</v>
      </c>
      <c r="N650" s="5">
        <v>0</v>
      </c>
      <c r="O650" s="5">
        <v>886</v>
      </c>
      <c r="P650" s="5">
        <v>4638362.5599999996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f>ROUND(P650*1.5%,2)</f>
        <v>69575.44</v>
      </c>
      <c r="AF650" s="5">
        <v>150000</v>
      </c>
      <c r="AG650" s="5">
        <v>0</v>
      </c>
      <c r="AH650" s="246">
        <v>2021</v>
      </c>
      <c r="AI650" s="246">
        <v>2021</v>
      </c>
      <c r="AJ650" s="6">
        <v>2021</v>
      </c>
      <c r="AV650" s="2" t="e">
        <f t="shared" si="151"/>
        <v>#N/A</v>
      </c>
      <c r="CB650" s="236"/>
      <c r="CF650" s="2" t="e">
        <f t="shared" si="153"/>
        <v>#N/A</v>
      </c>
    </row>
    <row r="651" spans="1:262" ht="61.5" x14ac:dyDescent="0.85">
      <c r="A651" s="2">
        <v>1</v>
      </c>
      <c r="B651" s="18">
        <f>SUBTOTAL(103,$A$558:A651)</f>
        <v>93</v>
      </c>
      <c r="C651" s="3" t="s">
        <v>1504</v>
      </c>
      <c r="D651" s="5">
        <v>3345121.12</v>
      </c>
      <c r="E651" s="5">
        <f t="shared" si="148"/>
        <v>0</v>
      </c>
      <c r="F651" s="5">
        <f t="shared" si="154"/>
        <v>3345121.12</v>
      </c>
      <c r="G651" s="5">
        <v>0</v>
      </c>
      <c r="H651" s="5">
        <v>0</v>
      </c>
      <c r="I651" s="5">
        <v>0</v>
      </c>
      <c r="J651" s="5">
        <v>0</v>
      </c>
      <c r="K651" s="5">
        <v>0</v>
      </c>
      <c r="L651" s="5">
        <v>0</v>
      </c>
      <c r="M651" s="241">
        <v>0</v>
      </c>
      <c r="N651" s="5">
        <v>0</v>
      </c>
      <c r="O651" s="5">
        <v>604</v>
      </c>
      <c r="P651" s="5">
        <v>3147902.58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f>ROUND(P651*1.5%,2)</f>
        <v>47218.54</v>
      </c>
      <c r="AF651" s="5">
        <v>150000</v>
      </c>
      <c r="AG651" s="5">
        <v>0</v>
      </c>
      <c r="AH651" s="246">
        <v>2021</v>
      </c>
      <c r="AI651" s="246">
        <v>2021</v>
      </c>
      <c r="AJ651" s="6">
        <v>2021</v>
      </c>
      <c r="AV651" s="2" t="e">
        <f t="shared" si="151"/>
        <v>#N/A</v>
      </c>
      <c r="CB651" s="236"/>
      <c r="CF651" s="2" t="e">
        <f t="shared" si="153"/>
        <v>#N/A</v>
      </c>
    </row>
    <row r="652" spans="1:262" ht="61.5" x14ac:dyDescent="0.85">
      <c r="A652" s="2">
        <v>1</v>
      </c>
      <c r="B652" s="18">
        <f>SUBTOTAL(103,$A$558:A652)</f>
        <v>94</v>
      </c>
      <c r="C652" s="3" t="s">
        <v>1505</v>
      </c>
      <c r="D652" s="5">
        <v>3345121.12</v>
      </c>
      <c r="E652" s="5">
        <f t="shared" si="148"/>
        <v>0</v>
      </c>
      <c r="F652" s="5">
        <f t="shared" si="154"/>
        <v>3345121.12</v>
      </c>
      <c r="G652" s="5">
        <v>0</v>
      </c>
      <c r="H652" s="5">
        <v>0</v>
      </c>
      <c r="I652" s="5">
        <v>0</v>
      </c>
      <c r="J652" s="5">
        <v>0</v>
      </c>
      <c r="K652" s="5">
        <v>0</v>
      </c>
      <c r="L652" s="5">
        <v>0</v>
      </c>
      <c r="M652" s="241">
        <v>0</v>
      </c>
      <c r="N652" s="5">
        <v>0</v>
      </c>
      <c r="O652" s="5">
        <v>604</v>
      </c>
      <c r="P652" s="5">
        <v>3147902.58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f>ROUND(P652*1.5%,2)</f>
        <v>47218.54</v>
      </c>
      <c r="AF652" s="5">
        <v>150000</v>
      </c>
      <c r="AG652" s="5">
        <v>0</v>
      </c>
      <c r="AH652" s="246">
        <v>2021</v>
      </c>
      <c r="AI652" s="246">
        <v>2021</v>
      </c>
      <c r="AJ652" s="6">
        <v>2021</v>
      </c>
      <c r="AV652" s="2" t="e">
        <f t="shared" si="151"/>
        <v>#N/A</v>
      </c>
      <c r="CB652" s="236"/>
      <c r="CF652" s="2" t="e">
        <f t="shared" si="153"/>
        <v>#N/A</v>
      </c>
    </row>
    <row r="653" spans="1:262" ht="61.5" x14ac:dyDescent="0.85">
      <c r="A653" s="2">
        <v>1</v>
      </c>
      <c r="B653" s="18">
        <f>SUBTOTAL(103,$A$558:A653)</f>
        <v>95</v>
      </c>
      <c r="C653" s="3" t="s">
        <v>1506</v>
      </c>
      <c r="D653" s="5">
        <v>3589208.68</v>
      </c>
      <c r="E653" s="5">
        <f t="shared" si="148"/>
        <v>0</v>
      </c>
      <c r="F653" s="5">
        <f t="shared" si="154"/>
        <v>3589208.68</v>
      </c>
      <c r="G653" s="5">
        <v>0</v>
      </c>
      <c r="H653" s="5">
        <v>0</v>
      </c>
      <c r="I653" s="5">
        <v>0</v>
      </c>
      <c r="J653" s="5">
        <v>0</v>
      </c>
      <c r="K653" s="5">
        <v>0</v>
      </c>
      <c r="L653" s="5">
        <v>0</v>
      </c>
      <c r="M653" s="241">
        <v>0</v>
      </c>
      <c r="N653" s="5">
        <v>0</v>
      </c>
      <c r="O653" s="5">
        <v>723.24</v>
      </c>
      <c r="P653" s="5">
        <v>3388382.94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f>ROUND(P653*1.5%,2)</f>
        <v>50825.74</v>
      </c>
      <c r="AF653" s="5">
        <v>150000</v>
      </c>
      <c r="AG653" s="5">
        <v>0</v>
      </c>
      <c r="AH653" s="246">
        <v>2021</v>
      </c>
      <c r="AI653" s="246">
        <v>2021</v>
      </c>
      <c r="AJ653" s="6">
        <v>2021</v>
      </c>
      <c r="AV653" s="2" t="e">
        <f t="shared" si="151"/>
        <v>#N/A</v>
      </c>
      <c r="CB653" s="236"/>
      <c r="CF653" s="2" t="e">
        <f t="shared" si="153"/>
        <v>#N/A</v>
      </c>
    </row>
    <row r="654" spans="1:262" ht="61.5" x14ac:dyDescent="0.85">
      <c r="A654" s="2">
        <v>1</v>
      </c>
      <c r="B654" s="18">
        <f>SUBTOTAL(103,$A$558:A654)</f>
        <v>96</v>
      </c>
      <c r="C654" s="3" t="s">
        <v>1507</v>
      </c>
      <c r="D654" s="5">
        <v>998954.77999999991</v>
      </c>
      <c r="E654" s="5">
        <f t="shared" si="148"/>
        <v>0</v>
      </c>
      <c r="F654" s="5">
        <f t="shared" si="154"/>
        <v>998954.77999999991</v>
      </c>
      <c r="G654" s="5">
        <v>0</v>
      </c>
      <c r="H654" s="5">
        <v>0</v>
      </c>
      <c r="I654" s="5">
        <v>0</v>
      </c>
      <c r="J654" s="5">
        <v>0</v>
      </c>
      <c r="K654" s="5">
        <v>0</v>
      </c>
      <c r="L654" s="5">
        <v>0</v>
      </c>
      <c r="M654" s="241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409.5</v>
      </c>
      <c r="T654" s="5">
        <v>856113.08</v>
      </c>
      <c r="U654" s="5">
        <v>0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f>ROUND(T654*1.5%,2)</f>
        <v>12841.7</v>
      </c>
      <c r="AF654" s="5">
        <v>130000</v>
      </c>
      <c r="AG654" s="5">
        <v>0</v>
      </c>
      <c r="AH654" s="246">
        <v>2021</v>
      </c>
      <c r="AI654" s="246">
        <v>2021</v>
      </c>
      <c r="AJ654" s="6">
        <v>2021</v>
      </c>
      <c r="AV654" s="2" t="e">
        <f t="shared" si="151"/>
        <v>#N/A</v>
      </c>
      <c r="CB654" s="236"/>
      <c r="CF654" s="2" t="e">
        <f t="shared" si="153"/>
        <v>#N/A</v>
      </c>
    </row>
    <row r="655" spans="1:262" ht="61.5" x14ac:dyDescent="0.85">
      <c r="A655" s="2">
        <v>1</v>
      </c>
      <c r="B655" s="18">
        <f>SUBTOTAL(103,$A$558:A655)</f>
        <v>97</v>
      </c>
      <c r="C655" s="3" t="s">
        <v>1508</v>
      </c>
      <c r="D655" s="5">
        <v>3504528.03</v>
      </c>
      <c r="E655" s="5">
        <f t="shared" si="148"/>
        <v>0</v>
      </c>
      <c r="F655" s="5">
        <f t="shared" si="154"/>
        <v>3504528.03</v>
      </c>
      <c r="G655" s="5">
        <f>177249.6+38106.82</f>
        <v>215356.42</v>
      </c>
      <c r="H655" s="5">
        <v>0</v>
      </c>
      <c r="I655" s="5">
        <v>2456692.4499999997</v>
      </c>
      <c r="J655" s="5">
        <v>0</v>
      </c>
      <c r="K655" s="5">
        <v>485121.6</v>
      </c>
      <c r="L655" s="5">
        <v>0</v>
      </c>
      <c r="M655" s="241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f>ROUND((G655+H655+I655+J655+K655+L655)*1.5%,2)</f>
        <v>47357.56</v>
      </c>
      <c r="AF655" s="5">
        <v>300000</v>
      </c>
      <c r="AG655" s="5">
        <v>0</v>
      </c>
      <c r="AH655" s="246">
        <v>2021</v>
      </c>
      <c r="AI655" s="246">
        <v>2021</v>
      </c>
      <c r="AJ655" s="6">
        <v>2021</v>
      </c>
      <c r="AV655" s="2" t="e">
        <f t="shared" si="151"/>
        <v>#N/A</v>
      </c>
      <c r="CB655" s="236"/>
      <c r="CF655" s="2" t="e">
        <f t="shared" si="153"/>
        <v>#N/A</v>
      </c>
    </row>
    <row r="656" spans="1:262" ht="61.5" x14ac:dyDescent="0.85">
      <c r="A656" s="2">
        <v>1</v>
      </c>
      <c r="B656" s="18">
        <f>SUBTOTAL(103,$A$558:A656)</f>
        <v>98</v>
      </c>
      <c r="C656" s="3" t="s">
        <v>1509</v>
      </c>
      <c r="D656" s="5">
        <v>7806669.5300000003</v>
      </c>
      <c r="E656" s="5">
        <f t="shared" si="148"/>
        <v>0</v>
      </c>
      <c r="F656" s="5">
        <f t="shared" si="154"/>
        <v>7806669.5300000003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241">
        <v>0</v>
      </c>
      <c r="N656" s="5">
        <v>0</v>
      </c>
      <c r="O656" s="5">
        <v>3073.45</v>
      </c>
      <c r="P656" s="5">
        <v>7513960.1299999999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f t="shared" ref="AE656:AE664" si="155">ROUND(P656*1.5%,2)</f>
        <v>112709.4</v>
      </c>
      <c r="AF656" s="5">
        <v>180000</v>
      </c>
      <c r="AG656" s="5">
        <v>0</v>
      </c>
      <c r="AH656" s="246">
        <v>2021</v>
      </c>
      <c r="AI656" s="246">
        <v>2021</v>
      </c>
      <c r="AJ656" s="6">
        <v>2021</v>
      </c>
      <c r="AV656" s="2" t="e">
        <f t="shared" si="151"/>
        <v>#N/A</v>
      </c>
      <c r="CB656" s="236"/>
      <c r="CF656" s="2" t="e">
        <f t="shared" si="153"/>
        <v>#N/A</v>
      </c>
    </row>
    <row r="657" spans="1:86" ht="61.5" x14ac:dyDescent="0.85">
      <c r="A657" s="2">
        <v>1</v>
      </c>
      <c r="B657" s="18">
        <f>SUBTOTAL(103,$A$558:A657)</f>
        <v>99</v>
      </c>
      <c r="C657" s="3" t="s">
        <v>1100</v>
      </c>
      <c r="D657" s="5">
        <v>4800723</v>
      </c>
      <c r="E657" s="5">
        <f t="shared" si="148"/>
        <v>0</v>
      </c>
      <c r="F657" s="5">
        <f t="shared" si="154"/>
        <v>4800723</v>
      </c>
      <c r="G657" s="5">
        <v>0</v>
      </c>
      <c r="H657" s="5">
        <v>0</v>
      </c>
      <c r="I657" s="5">
        <v>0</v>
      </c>
      <c r="J657" s="5">
        <v>0</v>
      </c>
      <c r="K657" s="5">
        <v>0</v>
      </c>
      <c r="L657" s="5">
        <v>0</v>
      </c>
      <c r="M657" s="241">
        <v>0</v>
      </c>
      <c r="N657" s="5">
        <v>0</v>
      </c>
      <c r="O657" s="5">
        <v>850</v>
      </c>
      <c r="P657" s="5">
        <v>4729776.3499999996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f t="shared" si="155"/>
        <v>70946.649999999994</v>
      </c>
      <c r="AF657" s="5">
        <v>0</v>
      </c>
      <c r="AG657" s="5">
        <v>0</v>
      </c>
      <c r="AH657" s="246" t="s">
        <v>49</v>
      </c>
      <c r="AI657" s="246">
        <v>2021</v>
      </c>
      <c r="AJ657" s="6">
        <v>2021</v>
      </c>
      <c r="AV657" s="2" t="e">
        <f t="shared" si="151"/>
        <v>#N/A</v>
      </c>
      <c r="CB657" s="236"/>
      <c r="CF657" s="2" t="e">
        <f t="shared" si="153"/>
        <v>#N/A</v>
      </c>
    </row>
    <row r="658" spans="1:86" ht="61.5" x14ac:dyDescent="0.85">
      <c r="A658" s="2">
        <v>1</v>
      </c>
      <c r="B658" s="18">
        <f>SUBTOTAL(103,$A$558:A658)</f>
        <v>100</v>
      </c>
      <c r="C658" s="3" t="s">
        <v>1510</v>
      </c>
      <c r="D658" s="5">
        <v>3973949.34</v>
      </c>
      <c r="E658" s="5">
        <f t="shared" si="148"/>
        <v>0</v>
      </c>
      <c r="F658" s="5">
        <f t="shared" si="154"/>
        <v>3973949.34</v>
      </c>
      <c r="G658" s="5">
        <v>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241">
        <v>0</v>
      </c>
      <c r="N658" s="5">
        <v>0</v>
      </c>
      <c r="O658" s="5">
        <v>716.68</v>
      </c>
      <c r="P658" s="5">
        <v>3767437.77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f t="shared" si="155"/>
        <v>56511.57</v>
      </c>
      <c r="AF658" s="5">
        <v>150000</v>
      </c>
      <c r="AG658" s="5">
        <v>0</v>
      </c>
      <c r="AH658" s="246">
        <v>2021</v>
      </c>
      <c r="AI658" s="246">
        <v>2021</v>
      </c>
      <c r="AJ658" s="6">
        <v>2021</v>
      </c>
      <c r="AV658" s="2" t="e">
        <f t="shared" si="151"/>
        <v>#N/A</v>
      </c>
      <c r="CB658" s="236"/>
      <c r="CF658" s="2" t="e">
        <f t="shared" si="153"/>
        <v>#N/A</v>
      </c>
    </row>
    <row r="659" spans="1:86" ht="61.5" x14ac:dyDescent="0.85">
      <c r="A659" s="2">
        <v>1</v>
      </c>
      <c r="B659" s="18">
        <f>SUBTOTAL(103,$A$558:A659)</f>
        <v>101</v>
      </c>
      <c r="C659" s="3" t="s">
        <v>1511</v>
      </c>
      <c r="D659" s="5">
        <v>3793636.92</v>
      </c>
      <c r="E659" s="5">
        <f t="shared" si="148"/>
        <v>0</v>
      </c>
      <c r="F659" s="5">
        <f t="shared" si="154"/>
        <v>3793636.92</v>
      </c>
      <c r="G659" s="5">
        <v>0</v>
      </c>
      <c r="H659" s="5">
        <v>0</v>
      </c>
      <c r="I659" s="5">
        <v>0</v>
      </c>
      <c r="J659" s="5">
        <v>0</v>
      </c>
      <c r="K659" s="5">
        <v>0</v>
      </c>
      <c r="L659" s="5">
        <v>0</v>
      </c>
      <c r="M659" s="241">
        <v>0</v>
      </c>
      <c r="N659" s="5">
        <v>0</v>
      </c>
      <c r="O659" s="5">
        <v>724</v>
      </c>
      <c r="P659" s="5">
        <v>3589790.07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f t="shared" si="155"/>
        <v>53846.85</v>
      </c>
      <c r="AF659" s="5">
        <v>150000</v>
      </c>
      <c r="AG659" s="5">
        <v>0</v>
      </c>
      <c r="AH659" s="246">
        <v>2021</v>
      </c>
      <c r="AI659" s="246">
        <v>2021</v>
      </c>
      <c r="AJ659" s="6">
        <v>2021</v>
      </c>
      <c r="AV659" s="2" t="e">
        <f t="shared" si="151"/>
        <v>#N/A</v>
      </c>
      <c r="CB659" s="236"/>
      <c r="CF659" s="2" t="e">
        <f t="shared" si="153"/>
        <v>#N/A</v>
      </c>
    </row>
    <row r="660" spans="1:86" ht="61.5" x14ac:dyDescent="0.85">
      <c r="A660" s="2">
        <v>1</v>
      </c>
      <c r="B660" s="18">
        <f>SUBTOTAL(103,$A$558:A660)</f>
        <v>102</v>
      </c>
      <c r="C660" s="3" t="s">
        <v>1512</v>
      </c>
      <c r="D660" s="5">
        <v>3607695.84</v>
      </c>
      <c r="E660" s="5">
        <f t="shared" si="148"/>
        <v>0</v>
      </c>
      <c r="F660" s="5">
        <f t="shared" si="154"/>
        <v>3607695.84</v>
      </c>
      <c r="G660" s="5">
        <v>0</v>
      </c>
      <c r="H660" s="5">
        <v>0</v>
      </c>
      <c r="I660" s="5">
        <v>0</v>
      </c>
      <c r="J660" s="5">
        <v>0</v>
      </c>
      <c r="K660" s="5">
        <v>0</v>
      </c>
      <c r="L660" s="5">
        <v>0</v>
      </c>
      <c r="M660" s="241">
        <v>0</v>
      </c>
      <c r="N660" s="5">
        <v>0</v>
      </c>
      <c r="O660" s="5">
        <v>627.6</v>
      </c>
      <c r="P660" s="5">
        <v>3436153.54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f t="shared" si="155"/>
        <v>51542.3</v>
      </c>
      <c r="AF660" s="5">
        <v>120000</v>
      </c>
      <c r="AG660" s="5">
        <v>0</v>
      </c>
      <c r="AH660" s="246">
        <v>2021</v>
      </c>
      <c r="AI660" s="246">
        <v>2021</v>
      </c>
      <c r="AJ660" s="6">
        <v>2021</v>
      </c>
      <c r="CB660" s="236"/>
      <c r="CF660" s="2" t="e">
        <f t="shared" si="153"/>
        <v>#N/A</v>
      </c>
    </row>
    <row r="661" spans="1:86" ht="61.5" x14ac:dyDescent="0.85">
      <c r="A661" s="2">
        <v>1</v>
      </c>
      <c r="B661" s="18">
        <f>SUBTOTAL(103,$A$558:A661)</f>
        <v>103</v>
      </c>
      <c r="C661" s="3" t="s">
        <v>1513</v>
      </c>
      <c r="D661" s="5">
        <v>1597480.36</v>
      </c>
      <c r="E661" s="5">
        <f t="shared" si="148"/>
        <v>0</v>
      </c>
      <c r="F661" s="5">
        <f t="shared" si="154"/>
        <v>1597480.36</v>
      </c>
      <c r="G661" s="5">
        <v>0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241">
        <v>0</v>
      </c>
      <c r="N661" s="5">
        <v>0</v>
      </c>
      <c r="O661" s="5">
        <v>277.89999999999998</v>
      </c>
      <c r="P661" s="5">
        <v>1495054.54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f t="shared" si="155"/>
        <v>22425.82</v>
      </c>
      <c r="AF661" s="5">
        <v>80000</v>
      </c>
      <c r="AG661" s="5">
        <v>0</v>
      </c>
      <c r="AH661" s="246">
        <v>2021</v>
      </c>
      <c r="AI661" s="246">
        <v>2021</v>
      </c>
      <c r="AJ661" s="6">
        <v>2021</v>
      </c>
      <c r="CB661" s="236"/>
      <c r="CF661" s="2" t="e">
        <f t="shared" si="153"/>
        <v>#N/A</v>
      </c>
    </row>
    <row r="662" spans="1:86" ht="61.5" x14ac:dyDescent="0.85">
      <c r="A662" s="2">
        <v>1</v>
      </c>
      <c r="B662" s="18">
        <f>SUBTOTAL(103,$A$558:A662)</f>
        <v>104</v>
      </c>
      <c r="C662" s="3" t="s">
        <v>1514</v>
      </c>
      <c r="D662" s="5">
        <v>3132303.1599999997</v>
      </c>
      <c r="E662" s="5">
        <f t="shared" si="148"/>
        <v>0</v>
      </c>
      <c r="F662" s="5">
        <f t="shared" si="154"/>
        <v>3132303.1599999997</v>
      </c>
      <c r="G662" s="5">
        <v>0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241">
        <v>0</v>
      </c>
      <c r="N662" s="5">
        <v>0</v>
      </c>
      <c r="O662" s="5">
        <v>544.9</v>
      </c>
      <c r="P662" s="5">
        <v>2987490.8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f t="shared" si="155"/>
        <v>44812.36</v>
      </c>
      <c r="AF662" s="5">
        <v>100000</v>
      </c>
      <c r="AG662" s="5">
        <v>0</v>
      </c>
      <c r="AH662" s="246">
        <v>2021</v>
      </c>
      <c r="AI662" s="246">
        <v>2021</v>
      </c>
      <c r="AJ662" s="6">
        <v>2021</v>
      </c>
      <c r="CB662" s="236"/>
      <c r="CF662" s="2" t="e">
        <f t="shared" si="153"/>
        <v>#N/A</v>
      </c>
    </row>
    <row r="663" spans="1:86" ht="61.5" x14ac:dyDescent="0.85">
      <c r="A663" s="2">
        <v>1</v>
      </c>
      <c r="B663" s="18">
        <f>SUBTOTAL(103,$A$558:A663)</f>
        <v>105</v>
      </c>
      <c r="C663" s="3" t="s">
        <v>1515</v>
      </c>
      <c r="D663" s="5">
        <v>1937212.2999999998</v>
      </c>
      <c r="E663" s="5">
        <f t="shared" si="148"/>
        <v>0</v>
      </c>
      <c r="F663" s="5">
        <f t="shared" si="154"/>
        <v>1937212.2999999998</v>
      </c>
      <c r="G663" s="5">
        <v>0</v>
      </c>
      <c r="H663" s="5">
        <v>0</v>
      </c>
      <c r="I663" s="5">
        <v>0</v>
      </c>
      <c r="J663" s="5">
        <v>0</v>
      </c>
      <c r="K663" s="5">
        <v>0</v>
      </c>
      <c r="L663" s="5">
        <v>0</v>
      </c>
      <c r="M663" s="241">
        <v>0</v>
      </c>
      <c r="N663" s="5">
        <v>0</v>
      </c>
      <c r="O663" s="5">
        <v>337</v>
      </c>
      <c r="P663" s="5">
        <v>1810059.9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f t="shared" si="155"/>
        <v>27150.9</v>
      </c>
      <c r="AF663" s="5">
        <f>100000+1.5</f>
        <v>100001.5</v>
      </c>
      <c r="AG663" s="5">
        <v>0</v>
      </c>
      <c r="AH663" s="246">
        <v>2021</v>
      </c>
      <c r="AI663" s="246">
        <v>2021</v>
      </c>
      <c r="AJ663" s="6">
        <v>2021</v>
      </c>
      <c r="CB663" s="236"/>
      <c r="CF663" s="2" t="e">
        <f t="shared" si="153"/>
        <v>#N/A</v>
      </c>
    </row>
    <row r="664" spans="1:86" ht="61.5" x14ac:dyDescent="0.85">
      <c r="A664" s="2">
        <v>1</v>
      </c>
      <c r="B664" s="18">
        <f>SUBTOTAL(103,$A$558:A664)</f>
        <v>106</v>
      </c>
      <c r="C664" s="3" t="s">
        <v>1516</v>
      </c>
      <c r="D664" s="5">
        <v>2847699.39</v>
      </c>
      <c r="E664" s="5">
        <f t="shared" si="148"/>
        <v>0</v>
      </c>
      <c r="F664" s="5">
        <f t="shared" si="154"/>
        <v>2847699.39</v>
      </c>
      <c r="G664" s="234">
        <v>0</v>
      </c>
      <c r="H664" s="255">
        <v>0</v>
      </c>
      <c r="I664" s="234">
        <v>0</v>
      </c>
      <c r="J664" s="255">
        <v>0</v>
      </c>
      <c r="K664" s="255">
        <v>0</v>
      </c>
      <c r="L664" s="255">
        <v>0</v>
      </c>
      <c r="M664" s="256">
        <v>0</v>
      </c>
      <c r="N664" s="255">
        <v>0</v>
      </c>
      <c r="O664" s="5">
        <v>510</v>
      </c>
      <c r="P664" s="5">
        <f>2425465.71+232366.2</f>
        <v>2657831.91</v>
      </c>
      <c r="Q664" s="255">
        <v>0</v>
      </c>
      <c r="R664" s="255">
        <v>0</v>
      </c>
      <c r="S664" s="255">
        <v>0</v>
      </c>
      <c r="T664" s="255">
        <v>0</v>
      </c>
      <c r="U664" s="255">
        <v>0</v>
      </c>
      <c r="V664" s="255">
        <v>0</v>
      </c>
      <c r="W664" s="255">
        <v>0</v>
      </c>
      <c r="X664" s="255">
        <v>0</v>
      </c>
      <c r="Y664" s="255">
        <v>0</v>
      </c>
      <c r="Z664" s="255">
        <v>0</v>
      </c>
      <c r="AA664" s="255">
        <v>0</v>
      </c>
      <c r="AB664" s="255">
        <v>0</v>
      </c>
      <c r="AC664" s="5">
        <v>0</v>
      </c>
      <c r="AD664" s="5">
        <v>0</v>
      </c>
      <c r="AE664" s="5">
        <f t="shared" si="155"/>
        <v>39867.480000000003</v>
      </c>
      <c r="AF664" s="5">
        <v>150000</v>
      </c>
      <c r="AG664" s="5">
        <v>0</v>
      </c>
      <c r="AH664" s="246">
        <v>2021</v>
      </c>
      <c r="AI664" s="246">
        <v>2021</v>
      </c>
      <c r="AJ664" s="6">
        <v>2021</v>
      </c>
      <c r="AV664" s="2" t="e">
        <f>VLOOKUP(C664,AY:AZ,2,FALSE)</f>
        <v>#N/A</v>
      </c>
      <c r="CB664" s="236"/>
    </row>
    <row r="665" spans="1:86" ht="61.5" x14ac:dyDescent="0.85">
      <c r="A665" s="2">
        <v>1</v>
      </c>
      <c r="B665" s="18">
        <f>SUBTOTAL(103,$A$558:A665)</f>
        <v>107</v>
      </c>
      <c r="C665" s="3" t="s">
        <v>1116</v>
      </c>
      <c r="D665" s="5">
        <v>2152387.4200000004</v>
      </c>
      <c r="E665" s="5">
        <f t="shared" si="148"/>
        <v>0</v>
      </c>
      <c r="F665" s="5">
        <f t="shared" si="154"/>
        <v>2152387.4200000004</v>
      </c>
      <c r="G665" s="5">
        <v>0</v>
      </c>
      <c r="H665" s="5">
        <v>0</v>
      </c>
      <c r="I665" s="245">
        <f>1920578.74+200000</f>
        <v>2120578.7400000002</v>
      </c>
      <c r="J665" s="5">
        <v>0</v>
      </c>
      <c r="K665" s="5">
        <v>0</v>
      </c>
      <c r="L665" s="5">
        <v>0</v>
      </c>
      <c r="M665" s="25">
        <v>0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f>ROUND((G665+H665+I665+J665+K665+L665)*1.5%,2)</f>
        <v>31808.68</v>
      </c>
      <c r="AF665" s="5">
        <v>0</v>
      </c>
      <c r="AG665" s="5">
        <v>0</v>
      </c>
      <c r="AH665" s="246" t="s">
        <v>49</v>
      </c>
      <c r="AI665" s="246">
        <v>2021</v>
      </c>
      <c r="AJ665" s="6">
        <v>2021</v>
      </c>
      <c r="CB665" s="236"/>
      <c r="CF665" s="2" t="e">
        <f t="shared" ref="CF665:CF701" si="156">VLOOKUP(C665,CG:CH,2,FALSE)</f>
        <v>#N/A</v>
      </c>
      <c r="CG665" s="242" t="s">
        <v>1117</v>
      </c>
      <c r="CH665" s="242">
        <v>1028.5999999999999</v>
      </c>
    </row>
    <row r="666" spans="1:86" ht="61.5" x14ac:dyDescent="0.85">
      <c r="A666" s="2">
        <v>1</v>
      </c>
      <c r="B666" s="18">
        <f>SUBTOTAL(103,$A$558:A666)</f>
        <v>108</v>
      </c>
      <c r="C666" s="3" t="s">
        <v>1124</v>
      </c>
      <c r="D666" s="5">
        <v>534516.64</v>
      </c>
      <c r="E666" s="5">
        <f t="shared" si="148"/>
        <v>0</v>
      </c>
      <c r="F666" s="5">
        <f t="shared" si="154"/>
        <v>534516.64</v>
      </c>
      <c r="G666" s="5">
        <v>0</v>
      </c>
      <c r="H666" s="5">
        <v>0</v>
      </c>
      <c r="I666" s="5">
        <f>326617.38+200000</f>
        <v>526617.38</v>
      </c>
      <c r="J666" s="5">
        <v>0</v>
      </c>
      <c r="K666" s="5">
        <v>0</v>
      </c>
      <c r="L666" s="5">
        <v>0</v>
      </c>
      <c r="M666" s="2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f>ROUND((G666+H666+I666+J666+K666+L666)*1.5%,2)</f>
        <v>7899.26</v>
      </c>
      <c r="AF666" s="5">
        <v>0</v>
      </c>
      <c r="AG666" s="5">
        <v>0</v>
      </c>
      <c r="AH666" s="246" t="s">
        <v>49</v>
      </c>
      <c r="AI666" s="246">
        <v>2021</v>
      </c>
      <c r="AJ666" s="6">
        <v>2021</v>
      </c>
      <c r="CB666" s="236"/>
      <c r="CF666" s="2" t="e">
        <f t="shared" si="156"/>
        <v>#N/A</v>
      </c>
      <c r="CG666" s="242" t="s">
        <v>1125</v>
      </c>
      <c r="CH666" s="242">
        <v>289.86</v>
      </c>
    </row>
    <row r="667" spans="1:86" ht="61.5" x14ac:dyDescent="0.85">
      <c r="A667" s="2">
        <v>1</v>
      </c>
      <c r="B667" s="18">
        <f>SUBTOTAL(103,$A$558:A667)</f>
        <v>109</v>
      </c>
      <c r="C667" s="3" t="s">
        <v>1130</v>
      </c>
      <c r="D667" s="5">
        <v>1370144.55</v>
      </c>
      <c r="E667" s="5">
        <f t="shared" si="148"/>
        <v>0</v>
      </c>
      <c r="F667" s="5">
        <f t="shared" si="154"/>
        <v>1370144.55</v>
      </c>
      <c r="G667" s="234">
        <v>0</v>
      </c>
      <c r="H667" s="5">
        <v>0</v>
      </c>
      <c r="I667" s="5">
        <v>1349896.11</v>
      </c>
      <c r="J667" s="234">
        <v>0</v>
      </c>
      <c r="K667" s="5">
        <v>0</v>
      </c>
      <c r="L667" s="5">
        <v>0</v>
      </c>
      <c r="M667" s="2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f>ROUND((G667+H667+I667+J667+K667+L667)*1.5%,2)</f>
        <v>20248.439999999999</v>
      </c>
      <c r="AF667" s="5">
        <v>0</v>
      </c>
      <c r="AG667" s="5">
        <v>0</v>
      </c>
      <c r="AH667" s="246" t="s">
        <v>49</v>
      </c>
      <c r="AI667" s="246">
        <v>2021</v>
      </c>
      <c r="AJ667" s="6">
        <v>2021</v>
      </c>
      <c r="CB667" s="236"/>
      <c r="CF667" s="2" t="e">
        <f t="shared" si="156"/>
        <v>#N/A</v>
      </c>
      <c r="CG667" s="242" t="s">
        <v>1131</v>
      </c>
      <c r="CH667" s="242">
        <v>384.56</v>
      </c>
    </row>
    <row r="668" spans="1:86" ht="61.5" x14ac:dyDescent="0.85">
      <c r="A668" s="2">
        <v>1</v>
      </c>
      <c r="B668" s="18">
        <f>SUBTOTAL(103,$A$558:A668)</f>
        <v>110</v>
      </c>
      <c r="C668" s="3" t="s">
        <v>1134</v>
      </c>
      <c r="D668" s="5">
        <v>4854047.7300000004</v>
      </c>
      <c r="E668" s="5">
        <f t="shared" si="148"/>
        <v>0</v>
      </c>
      <c r="F668" s="5">
        <f t="shared" si="154"/>
        <v>4854047.7300000004</v>
      </c>
      <c r="G668" s="5">
        <v>0</v>
      </c>
      <c r="H668" s="5">
        <v>0</v>
      </c>
      <c r="I668" s="245">
        <f>2238110.93+200000</f>
        <v>2438110.9300000002</v>
      </c>
      <c r="J668" s="234">
        <v>0</v>
      </c>
      <c r="K668" s="5">
        <v>2344202.1</v>
      </c>
      <c r="L668" s="5">
        <v>0</v>
      </c>
      <c r="M668" s="2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f>ROUND((G668+H668+I668+J668+K668+L668)*1.5%,2)</f>
        <v>71734.7</v>
      </c>
      <c r="AF668" s="5">
        <v>0</v>
      </c>
      <c r="AG668" s="5">
        <v>0</v>
      </c>
      <c r="AH668" s="246" t="s">
        <v>49</v>
      </c>
      <c r="AI668" s="246">
        <v>2021</v>
      </c>
      <c r="AJ668" s="6">
        <v>2021</v>
      </c>
      <c r="CB668" s="236"/>
      <c r="CF668" s="2" t="e">
        <f t="shared" si="156"/>
        <v>#N/A</v>
      </c>
      <c r="CG668" s="242" t="s">
        <v>1022</v>
      </c>
      <c r="CH668" s="242">
        <v>946</v>
      </c>
    </row>
    <row r="669" spans="1:86" ht="61.5" x14ac:dyDescent="0.85">
      <c r="A669" s="2">
        <v>1</v>
      </c>
      <c r="B669" s="18">
        <f>SUBTOTAL(103,$A$558:A669)</f>
        <v>111</v>
      </c>
      <c r="C669" s="3" t="s">
        <v>1517</v>
      </c>
      <c r="D669" s="5">
        <v>1971369.43</v>
      </c>
      <c r="E669" s="5">
        <f t="shared" si="148"/>
        <v>0</v>
      </c>
      <c r="F669" s="5">
        <f>G669+H669+I669+J669+K669+L669+N669+P669+R669+T669+V669+W669+X669+Y669+Z669+AA669+AB669+AC669+AD669+AE669+AF669+AG669</f>
        <v>1971369.43</v>
      </c>
      <c r="G669" s="5">
        <v>0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2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450.1</v>
      </c>
      <c r="T669" s="5">
        <v>1824009.29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f>ROUND(T669*1.5%,2)</f>
        <v>27360.14</v>
      </c>
      <c r="AF669" s="5">
        <v>0</v>
      </c>
      <c r="AG669" s="5">
        <v>120000</v>
      </c>
      <c r="AH669" s="246" t="s">
        <v>49</v>
      </c>
      <c r="AI669" s="246">
        <v>2021</v>
      </c>
      <c r="AJ669" s="6">
        <v>2021</v>
      </c>
      <c r="CB669" s="236"/>
      <c r="CF669" s="2" t="e">
        <f t="shared" si="156"/>
        <v>#N/A</v>
      </c>
      <c r="CG669" s="242" t="s">
        <v>1096</v>
      </c>
      <c r="CH669" s="242">
        <v>592.20000000000005</v>
      </c>
    </row>
    <row r="670" spans="1:86" ht="61.5" x14ac:dyDescent="0.85">
      <c r="A670" s="2">
        <v>1</v>
      </c>
      <c r="B670" s="18">
        <f>SUBTOTAL(103,$A$558:A670)</f>
        <v>112</v>
      </c>
      <c r="C670" s="3" t="s">
        <v>1112</v>
      </c>
      <c r="D670" s="5">
        <v>2358287.8899999997</v>
      </c>
      <c r="E670" s="5">
        <f t="shared" si="148"/>
        <v>0</v>
      </c>
      <c r="F670" s="5">
        <f t="shared" ref="F670:F677" si="157">G670+H670+I670+J670+K670+L670+N670+P670+R670+T670+V670+W670+X670+Y670+Z670+AA670+AB670+AC670+AD670+AE670+AF670+AG670</f>
        <v>2358287.8899999997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2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538.6</v>
      </c>
      <c r="T670" s="5">
        <v>2323436.34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f>ROUND(T670*1.5%,2)</f>
        <v>34851.550000000003</v>
      </c>
      <c r="AF670" s="5">
        <v>0</v>
      </c>
      <c r="AG670" s="5">
        <v>0</v>
      </c>
      <c r="AH670" s="246" t="s">
        <v>49</v>
      </c>
      <c r="AI670" s="246">
        <v>2021</v>
      </c>
      <c r="AJ670" s="6">
        <v>2021</v>
      </c>
      <c r="AV670" s="2" t="e">
        <f>VLOOKUP(C670,AY:AZ,2,FALSE)</f>
        <v>#N/A</v>
      </c>
      <c r="CB670" s="236"/>
      <c r="CF670" s="2" t="e">
        <f t="shared" si="156"/>
        <v>#N/A</v>
      </c>
      <c r="CG670" s="242" t="s">
        <v>1113</v>
      </c>
      <c r="CH670" s="242">
        <v>437.4</v>
      </c>
    </row>
    <row r="671" spans="1:86" ht="61.5" x14ac:dyDescent="0.85">
      <c r="A671" s="2">
        <v>1</v>
      </c>
      <c r="B671" s="18">
        <f>SUBTOTAL(103,$A$558:A671)</f>
        <v>113</v>
      </c>
      <c r="C671" s="3" t="s">
        <v>1518</v>
      </c>
      <c r="D671" s="5">
        <v>2333192.16</v>
      </c>
      <c r="E671" s="5">
        <f t="shared" si="148"/>
        <v>0</v>
      </c>
      <c r="F671" s="5">
        <f t="shared" si="157"/>
        <v>2333192.16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25">
        <v>0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741.84</v>
      </c>
      <c r="T671" s="5">
        <f>1798711.49+500000</f>
        <v>2298711.4900000002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f>ROUND(T671*1.5%,2)</f>
        <v>34480.67</v>
      </c>
      <c r="AF671" s="5">
        <v>0</v>
      </c>
      <c r="AG671" s="5">
        <v>0</v>
      </c>
      <c r="AH671" s="246" t="s">
        <v>49</v>
      </c>
      <c r="AI671" s="246">
        <v>2021</v>
      </c>
      <c r="AJ671" s="6">
        <v>2021</v>
      </c>
      <c r="CB671" s="236"/>
      <c r="CF671" s="2" t="e">
        <f t="shared" si="156"/>
        <v>#N/A</v>
      </c>
      <c r="CG671" s="242" t="s">
        <v>1409</v>
      </c>
      <c r="CH671" s="242">
        <v>578.4</v>
      </c>
    </row>
    <row r="672" spans="1:86" ht="61.5" x14ac:dyDescent="0.85">
      <c r="A672" s="2">
        <v>1</v>
      </c>
      <c r="B672" s="18">
        <f>SUBTOTAL(103,$A$558:A672)</f>
        <v>114</v>
      </c>
      <c r="C672" s="3" t="s">
        <v>1132</v>
      </c>
      <c r="D672" s="5">
        <v>3155480.78</v>
      </c>
      <c r="E672" s="5">
        <f t="shared" si="148"/>
        <v>1614696.3499999999</v>
      </c>
      <c r="F672" s="5">
        <f t="shared" si="157"/>
        <v>1540784.43</v>
      </c>
      <c r="G672" s="5">
        <v>0</v>
      </c>
      <c r="H672" s="5">
        <v>0</v>
      </c>
      <c r="I672" s="5">
        <f>1318014.22+200000</f>
        <v>1518014.22</v>
      </c>
      <c r="J672" s="5">
        <v>0</v>
      </c>
      <c r="K672" s="5">
        <v>0</v>
      </c>
      <c r="L672" s="5">
        <v>0</v>
      </c>
      <c r="M672" s="25">
        <v>0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f>ROUND((G672+H672+I672+J672+K672+L672)*1.5%,2)</f>
        <v>22770.21</v>
      </c>
      <c r="AF672" s="5">
        <v>0</v>
      </c>
      <c r="AG672" s="5">
        <v>0</v>
      </c>
      <c r="AH672" s="246" t="s">
        <v>49</v>
      </c>
      <c r="AI672" s="246">
        <v>2021</v>
      </c>
      <c r="AJ672" s="6">
        <v>2021</v>
      </c>
      <c r="CB672" s="236"/>
      <c r="CF672" s="2" t="e">
        <f t="shared" si="156"/>
        <v>#N/A</v>
      </c>
      <c r="CG672" s="242" t="s">
        <v>1133</v>
      </c>
      <c r="CH672" s="242">
        <v>500</v>
      </c>
    </row>
    <row r="673" spans="1:262" ht="61.5" x14ac:dyDescent="0.85">
      <c r="A673" s="2">
        <v>1</v>
      </c>
      <c r="B673" s="18">
        <f>SUBTOTAL(103,$A$558:A673)</f>
        <v>115</v>
      </c>
      <c r="C673" s="3" t="s">
        <v>1135</v>
      </c>
      <c r="D673" s="5">
        <v>4291269.42</v>
      </c>
      <c r="E673" s="5">
        <f t="shared" si="148"/>
        <v>52567.679999999702</v>
      </c>
      <c r="F673" s="5">
        <f t="shared" si="157"/>
        <v>4238701.74</v>
      </c>
      <c r="G673" s="5">
        <v>0</v>
      </c>
      <c r="H673" s="5">
        <v>0</v>
      </c>
      <c r="I673" s="5">
        <v>0</v>
      </c>
      <c r="J673" s="5">
        <v>0</v>
      </c>
      <c r="K673" s="5">
        <v>0</v>
      </c>
      <c r="L673" s="5">
        <v>0</v>
      </c>
      <c r="M673" s="25">
        <v>0</v>
      </c>
      <c r="N673" s="5">
        <v>0</v>
      </c>
      <c r="O673" s="5">
        <v>625.1</v>
      </c>
      <c r="P673" s="5">
        <v>4176060.83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f>ROUND(P673*1.5%,2)</f>
        <v>62640.91</v>
      </c>
      <c r="AF673" s="5">
        <v>0</v>
      </c>
      <c r="AG673" s="5">
        <v>0</v>
      </c>
      <c r="AH673" s="246" t="s">
        <v>49</v>
      </c>
      <c r="AI673" s="246">
        <v>2021</v>
      </c>
      <c r="AJ673" s="6">
        <v>2021</v>
      </c>
      <c r="CB673" s="236"/>
      <c r="CF673" s="2" t="e">
        <f t="shared" si="156"/>
        <v>#N/A</v>
      </c>
      <c r="CG673" s="242" t="s">
        <v>1094</v>
      </c>
      <c r="CH673" s="242">
        <v>598</v>
      </c>
    </row>
    <row r="674" spans="1:262" ht="61.5" x14ac:dyDescent="0.85">
      <c r="A674" s="2">
        <v>1</v>
      </c>
      <c r="B674" s="18">
        <f>SUBTOTAL(103,$A$558:A674)</f>
        <v>116</v>
      </c>
      <c r="C674" s="3" t="s">
        <v>1136</v>
      </c>
      <c r="D674" s="5">
        <v>2983424.5999999996</v>
      </c>
      <c r="E674" s="5">
        <f t="shared" si="148"/>
        <v>61131.35999999987</v>
      </c>
      <c r="F674" s="5">
        <f t="shared" si="157"/>
        <v>2922293.2399999998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2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718.9</v>
      </c>
      <c r="T674" s="5">
        <v>2879106.6399999997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f>ROUND(T674*1.5%,2)</f>
        <v>43186.6</v>
      </c>
      <c r="AF674" s="5">
        <v>0</v>
      </c>
      <c r="AG674" s="5">
        <v>0</v>
      </c>
      <c r="AH674" s="246" t="s">
        <v>49</v>
      </c>
      <c r="AI674" s="246">
        <v>2021</v>
      </c>
      <c r="AJ674" s="6">
        <v>2021</v>
      </c>
      <c r="CB674" s="236"/>
      <c r="CF674" s="2" t="e">
        <f t="shared" si="156"/>
        <v>#N/A</v>
      </c>
      <c r="CG674" s="242" t="s">
        <v>1137</v>
      </c>
      <c r="CH674" s="242">
        <v>486.27</v>
      </c>
    </row>
    <row r="675" spans="1:262" ht="61.5" x14ac:dyDescent="0.85">
      <c r="A675" s="2">
        <v>1</v>
      </c>
      <c r="B675" s="18">
        <f>SUBTOTAL(103,$A$558:A675)</f>
        <v>117</v>
      </c>
      <c r="C675" s="3" t="s">
        <v>1138</v>
      </c>
      <c r="D675" s="5">
        <v>3147456.93</v>
      </c>
      <c r="E675" s="5">
        <f t="shared" si="148"/>
        <v>126394.06000000006</v>
      </c>
      <c r="F675" s="5">
        <f t="shared" si="157"/>
        <v>3021062.87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25">
        <v>0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634.6</v>
      </c>
      <c r="T675" s="5">
        <f>2776416.62+200000</f>
        <v>2976416.62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f>ROUND(T675*1.5%,2)</f>
        <v>44646.25</v>
      </c>
      <c r="AF675" s="5">
        <v>0</v>
      </c>
      <c r="AG675" s="5">
        <v>0</v>
      </c>
      <c r="AH675" s="246" t="s">
        <v>49</v>
      </c>
      <c r="AI675" s="246">
        <v>2021</v>
      </c>
      <c r="AJ675" s="6">
        <v>2021</v>
      </c>
      <c r="CB675" s="236"/>
      <c r="CF675" s="2" t="e">
        <f t="shared" si="156"/>
        <v>#N/A</v>
      </c>
      <c r="CG675" s="242" t="s">
        <v>1139</v>
      </c>
      <c r="CH675" s="242">
        <v>1151</v>
      </c>
    </row>
    <row r="676" spans="1:262" s="239" customFormat="1" ht="61.5" x14ac:dyDescent="0.85">
      <c r="A676" s="239">
        <v>1</v>
      </c>
      <c r="B676" s="18">
        <f>SUBTOTAL(103,$A$558:A676)</f>
        <v>118</v>
      </c>
      <c r="C676" s="3" t="s">
        <v>941</v>
      </c>
      <c r="D676" s="5">
        <v>4498593.59</v>
      </c>
      <c r="E676" s="5">
        <f t="shared" si="148"/>
        <v>91764.429999999702</v>
      </c>
      <c r="F676" s="5">
        <f t="shared" si="157"/>
        <v>4406829.16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25">
        <v>0</v>
      </c>
      <c r="N676" s="5">
        <v>0</v>
      </c>
      <c r="O676" s="5">
        <v>860.91</v>
      </c>
      <c r="P676" s="5">
        <v>4341703.6100000003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f t="shared" ref="AE676" si="158">ROUND(P676*1.5%,2)</f>
        <v>65125.55</v>
      </c>
      <c r="AF676" s="5">
        <v>0</v>
      </c>
      <c r="AG676" s="5">
        <v>0</v>
      </c>
      <c r="AH676" s="246" t="s">
        <v>49</v>
      </c>
      <c r="AI676" s="246">
        <v>2021</v>
      </c>
      <c r="AJ676" s="6">
        <v>2021</v>
      </c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 t="e">
        <f>VLOOKUP(C676,AY:AZ,2,FALSE)</f>
        <v>#N/A</v>
      </c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36"/>
      <c r="CC676" s="2"/>
      <c r="CD676" s="2"/>
      <c r="CE676" s="2"/>
      <c r="CF676" s="2">
        <f t="shared" si="156"/>
        <v>860.91</v>
      </c>
      <c r="CG676" s="242" t="s">
        <v>1111</v>
      </c>
      <c r="CH676" s="242">
        <v>949</v>
      </c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</row>
    <row r="677" spans="1:262" ht="61.5" x14ac:dyDescent="0.85">
      <c r="A677" s="2">
        <v>1</v>
      </c>
      <c r="B677" s="18">
        <f>SUBTOTAL(103,$A$558:A677)</f>
        <v>119</v>
      </c>
      <c r="C677" s="3" t="s">
        <v>1519</v>
      </c>
      <c r="D677" s="5"/>
      <c r="E677" s="5">
        <f t="shared" si="148"/>
        <v>-8022387.3700000001</v>
      </c>
      <c r="F677" s="5">
        <f t="shared" si="157"/>
        <v>8022387.3700000001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25">
        <v>0</v>
      </c>
      <c r="N677" s="5">
        <v>0</v>
      </c>
      <c r="O677" s="5">
        <v>1261</v>
      </c>
      <c r="P677" s="5">
        <v>7706785.5899999999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f>ROUND(P677*1.5%,2)</f>
        <v>115601.78</v>
      </c>
      <c r="AF677" s="5">
        <v>200000</v>
      </c>
      <c r="AG677" s="5">
        <v>0</v>
      </c>
      <c r="AH677" s="246">
        <v>2021</v>
      </c>
      <c r="AI677" s="246">
        <v>2021</v>
      </c>
      <c r="AJ677" s="6">
        <v>2021</v>
      </c>
      <c r="CB677" s="236"/>
      <c r="CF677" s="2" t="e">
        <f t="shared" si="156"/>
        <v>#N/A</v>
      </c>
      <c r="CG677" s="242" t="s">
        <v>1139</v>
      </c>
      <c r="CH677" s="242">
        <v>1151</v>
      </c>
    </row>
    <row r="678" spans="1:262" ht="61.5" x14ac:dyDescent="0.85">
      <c r="B678" s="3" t="s">
        <v>1140</v>
      </c>
      <c r="C678" s="442"/>
      <c r="D678" s="244">
        <v>140871458.16</v>
      </c>
      <c r="E678" s="233">
        <f t="shared" si="148"/>
        <v>2169163.1200000048</v>
      </c>
      <c r="F678" s="244">
        <f t="shared" ref="F678:AG678" si="159">SUM(F679:F717)</f>
        <v>138702295.03999999</v>
      </c>
      <c r="G678" s="5">
        <f t="shared" si="159"/>
        <v>0</v>
      </c>
      <c r="H678" s="5">
        <f t="shared" si="159"/>
        <v>0</v>
      </c>
      <c r="I678" s="5">
        <f t="shared" si="159"/>
        <v>0</v>
      </c>
      <c r="J678" s="5">
        <f t="shared" si="159"/>
        <v>150356.32999999999</v>
      </c>
      <c r="K678" s="5">
        <f t="shared" si="159"/>
        <v>5740425.9099999992</v>
      </c>
      <c r="L678" s="5">
        <f t="shared" si="159"/>
        <v>0</v>
      </c>
      <c r="M678" s="241">
        <f t="shared" si="159"/>
        <v>2</v>
      </c>
      <c r="N678" s="5">
        <f t="shared" si="159"/>
        <v>4331631.53</v>
      </c>
      <c r="O678" s="5">
        <f t="shared" si="159"/>
        <v>16733</v>
      </c>
      <c r="P678" s="5">
        <f t="shared" si="159"/>
        <v>85818867.580000013</v>
      </c>
      <c r="Q678" s="5">
        <f t="shared" si="159"/>
        <v>0</v>
      </c>
      <c r="R678" s="5">
        <f t="shared" si="159"/>
        <v>0</v>
      </c>
      <c r="S678" s="5">
        <f t="shared" si="159"/>
        <v>5116.95</v>
      </c>
      <c r="T678" s="5">
        <f t="shared" si="159"/>
        <v>19803600.309999999</v>
      </c>
      <c r="U678" s="5">
        <f t="shared" si="159"/>
        <v>375</v>
      </c>
      <c r="V678" s="5">
        <f t="shared" si="159"/>
        <v>6900000</v>
      </c>
      <c r="W678" s="5">
        <f t="shared" si="159"/>
        <v>10293307.390000001</v>
      </c>
      <c r="X678" s="5">
        <f t="shared" si="159"/>
        <v>0</v>
      </c>
      <c r="Y678" s="5">
        <f t="shared" si="159"/>
        <v>0</v>
      </c>
      <c r="Z678" s="5">
        <f t="shared" si="159"/>
        <v>0</v>
      </c>
      <c r="AA678" s="5">
        <f t="shared" si="159"/>
        <v>0</v>
      </c>
      <c r="AB678" s="5">
        <f t="shared" si="159"/>
        <v>0</v>
      </c>
      <c r="AC678" s="5">
        <f t="shared" si="159"/>
        <v>0</v>
      </c>
      <c r="AD678" s="5">
        <f t="shared" si="159"/>
        <v>0</v>
      </c>
      <c r="AE678" s="5">
        <f t="shared" si="159"/>
        <v>1930598.37</v>
      </c>
      <c r="AF678" s="5">
        <f t="shared" si="159"/>
        <v>3613507.62</v>
      </c>
      <c r="AG678" s="5">
        <f t="shared" si="159"/>
        <v>120000</v>
      </c>
      <c r="AH678" s="23" t="s">
        <v>90</v>
      </c>
      <c r="AI678" s="23" t="s">
        <v>90</v>
      </c>
      <c r="AJ678" s="27" t="s">
        <v>90</v>
      </c>
      <c r="AV678" s="2" t="e">
        <f t="shared" ref="AV678:AV705" si="160">VLOOKUP(C678,AY:AZ,2,FALSE)</f>
        <v>#N/A</v>
      </c>
      <c r="CB678" s="236">
        <v>95396897.950000003</v>
      </c>
      <c r="CD678" s="236">
        <f>CB678-F678</f>
        <v>-43305397.089999989</v>
      </c>
      <c r="CF678" s="2" t="e">
        <f t="shared" si="156"/>
        <v>#N/A</v>
      </c>
    </row>
    <row r="679" spans="1:262" ht="61.5" x14ac:dyDescent="0.85">
      <c r="A679" s="2">
        <v>1</v>
      </c>
      <c r="B679" s="18">
        <f>SUBTOTAL(103,$A$558:A679)</f>
        <v>120</v>
      </c>
      <c r="C679" s="3" t="s">
        <v>1520</v>
      </c>
      <c r="D679" s="5">
        <v>6231804.3600000003</v>
      </c>
      <c r="E679" s="5">
        <f t="shared" si="148"/>
        <v>0</v>
      </c>
      <c r="F679" s="5">
        <f t="shared" ref="F679:F708" si="161">G679+H679+I679+J679+K679+L679+N679+P679+R679+T679+V679+W679+X679+Y679+Z679+AA679+AB679+AC679+AD679+AE679+AF679+AG679</f>
        <v>6231804.3600000003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241">
        <v>0</v>
      </c>
      <c r="N679" s="5">
        <v>0</v>
      </c>
      <c r="O679" s="5">
        <v>1170</v>
      </c>
      <c r="P679" s="5">
        <v>5962368.8300000001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f>ROUND(P679*1.5%,2)</f>
        <v>89435.53</v>
      </c>
      <c r="AF679" s="5">
        <v>180000</v>
      </c>
      <c r="AG679" s="5">
        <v>0</v>
      </c>
      <c r="AH679" s="246">
        <v>2021</v>
      </c>
      <c r="AI679" s="246">
        <v>2021</v>
      </c>
      <c r="AJ679" s="6">
        <v>2021</v>
      </c>
      <c r="AV679" s="2" t="e">
        <f t="shared" si="160"/>
        <v>#N/A</v>
      </c>
      <c r="CB679" s="236"/>
      <c r="CF679" s="2" t="e">
        <f t="shared" si="156"/>
        <v>#N/A</v>
      </c>
    </row>
    <row r="680" spans="1:262" ht="61.5" x14ac:dyDescent="0.85">
      <c r="A680" s="2">
        <v>1</v>
      </c>
      <c r="B680" s="18">
        <f>SUBTOTAL(103,$A$558:A680)</f>
        <v>121</v>
      </c>
      <c r="C680" s="3" t="s">
        <v>1521</v>
      </c>
      <c r="D680" s="5">
        <v>4914920.1100000003</v>
      </c>
      <c r="E680" s="5">
        <f t="shared" si="148"/>
        <v>0</v>
      </c>
      <c r="F680" s="5">
        <f t="shared" si="161"/>
        <v>4914920.1100000003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241">
        <v>0</v>
      </c>
      <c r="N680" s="5">
        <v>0</v>
      </c>
      <c r="O680" s="5">
        <v>880</v>
      </c>
      <c r="P680" s="5">
        <v>4694502.57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f>ROUND(P680*1.5%,2)</f>
        <v>70417.539999999994</v>
      </c>
      <c r="AF680" s="5">
        <v>150000</v>
      </c>
      <c r="AG680" s="5">
        <v>0</v>
      </c>
      <c r="AH680" s="246">
        <v>2021</v>
      </c>
      <c r="AI680" s="246">
        <v>2021</v>
      </c>
      <c r="AJ680" s="6">
        <v>2021</v>
      </c>
      <c r="AV680" s="2" t="e">
        <f t="shared" si="160"/>
        <v>#N/A</v>
      </c>
      <c r="CB680" s="236"/>
      <c r="CF680" s="2" t="e">
        <f t="shared" si="156"/>
        <v>#N/A</v>
      </c>
    </row>
    <row r="681" spans="1:262" ht="61.5" x14ac:dyDescent="0.85">
      <c r="A681" s="2">
        <v>1</v>
      </c>
      <c r="B681" s="18">
        <f>SUBTOTAL(103,$A$558:A681)</f>
        <v>122</v>
      </c>
      <c r="C681" s="3" t="s">
        <v>1522</v>
      </c>
      <c r="D681" s="5">
        <v>3567125.84</v>
      </c>
      <c r="E681" s="5">
        <f t="shared" si="148"/>
        <v>0</v>
      </c>
      <c r="F681" s="5">
        <f t="shared" si="161"/>
        <v>3567125.84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241">
        <v>0</v>
      </c>
      <c r="N681" s="5">
        <v>0</v>
      </c>
      <c r="O681" s="5">
        <v>650</v>
      </c>
      <c r="P681" s="5">
        <v>3366626.44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f>ROUND(P681*1.5%,2)</f>
        <v>50499.4</v>
      </c>
      <c r="AF681" s="5">
        <v>150000</v>
      </c>
      <c r="AG681" s="5">
        <v>0</v>
      </c>
      <c r="AH681" s="246">
        <v>2021</v>
      </c>
      <c r="AI681" s="246">
        <v>2021</v>
      </c>
      <c r="AJ681" s="6">
        <v>2021</v>
      </c>
      <c r="AV681" s="2" t="e">
        <f t="shared" si="160"/>
        <v>#N/A</v>
      </c>
      <c r="CB681" s="236"/>
      <c r="CF681" s="2" t="e">
        <f t="shared" si="156"/>
        <v>#N/A</v>
      </c>
    </row>
    <row r="682" spans="1:262" ht="61.5" x14ac:dyDescent="0.85">
      <c r="A682" s="2">
        <v>1</v>
      </c>
      <c r="B682" s="18">
        <f>SUBTOTAL(103,$A$558:A682)</f>
        <v>123</v>
      </c>
      <c r="C682" s="3" t="s">
        <v>1523</v>
      </c>
      <c r="D682" s="5">
        <v>3399322.55</v>
      </c>
      <c r="E682" s="5">
        <f t="shared" si="148"/>
        <v>0</v>
      </c>
      <c r="F682" s="5">
        <f t="shared" si="161"/>
        <v>3399322.55</v>
      </c>
      <c r="G682" s="5">
        <v>0</v>
      </c>
      <c r="H682" s="5">
        <v>0</v>
      </c>
      <c r="I682" s="5">
        <v>0</v>
      </c>
      <c r="J682" s="5">
        <v>0</v>
      </c>
      <c r="K682" s="5">
        <v>0</v>
      </c>
      <c r="L682" s="5">
        <v>0</v>
      </c>
      <c r="M682" s="241">
        <v>0</v>
      </c>
      <c r="N682" s="5">
        <v>0</v>
      </c>
      <c r="O682" s="5">
        <v>620</v>
      </c>
      <c r="P682" s="5">
        <v>3201303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f>ROUND(P682*1.5%,2)</f>
        <v>48019.55</v>
      </c>
      <c r="AF682" s="5">
        <v>150000</v>
      </c>
      <c r="AG682" s="5">
        <v>0</v>
      </c>
      <c r="AH682" s="246">
        <v>2021</v>
      </c>
      <c r="AI682" s="246">
        <v>2021</v>
      </c>
      <c r="AJ682" s="6">
        <v>2021</v>
      </c>
      <c r="AV682" s="2" t="e">
        <f t="shared" si="160"/>
        <v>#N/A</v>
      </c>
      <c r="CB682" s="236"/>
      <c r="CF682" s="2" t="e">
        <f t="shared" si="156"/>
        <v>#N/A</v>
      </c>
    </row>
    <row r="683" spans="1:262" ht="61.5" x14ac:dyDescent="0.85">
      <c r="A683" s="2">
        <v>1</v>
      </c>
      <c r="B683" s="18">
        <f>SUBTOTAL(103,$A$558:A683)</f>
        <v>124</v>
      </c>
      <c r="C683" s="3" t="s">
        <v>1192</v>
      </c>
      <c r="D683" s="5">
        <v>3553347.11</v>
      </c>
      <c r="E683" s="5">
        <f t="shared" si="148"/>
        <v>92719.180000000168</v>
      </c>
      <c r="F683" s="5">
        <f t="shared" si="161"/>
        <v>3460627.9299999997</v>
      </c>
      <c r="G683" s="5">
        <v>0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241">
        <v>0</v>
      </c>
      <c r="N683" s="5">
        <v>0</v>
      </c>
      <c r="O683" s="5">
        <v>640</v>
      </c>
      <c r="P683" s="5">
        <f>3353051.34+56434.31</f>
        <v>3409485.65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f>ROUND(P683*1.5%,2)</f>
        <v>51142.28</v>
      </c>
      <c r="AF683" s="5">
        <v>0</v>
      </c>
      <c r="AG683" s="5">
        <v>0</v>
      </c>
      <c r="AH683" s="246" t="s">
        <v>49</v>
      </c>
      <c r="AI683" s="246">
        <v>2021</v>
      </c>
      <c r="AJ683" s="6">
        <v>2021</v>
      </c>
      <c r="AV683" s="2" t="e">
        <f t="shared" si="160"/>
        <v>#N/A</v>
      </c>
      <c r="CB683" s="236"/>
      <c r="CF683" s="2" t="e">
        <f t="shared" si="156"/>
        <v>#N/A</v>
      </c>
    </row>
    <row r="684" spans="1:262" ht="61.5" x14ac:dyDescent="0.85">
      <c r="A684" s="2">
        <v>1</v>
      </c>
      <c r="B684" s="18">
        <f>SUBTOTAL(103,$A$558:A684)</f>
        <v>125</v>
      </c>
      <c r="C684" s="3" t="s">
        <v>1524</v>
      </c>
      <c r="D684" s="5">
        <v>686139</v>
      </c>
      <c r="E684" s="5">
        <f t="shared" si="148"/>
        <v>0</v>
      </c>
      <c r="F684" s="5">
        <f t="shared" si="161"/>
        <v>686139</v>
      </c>
      <c r="G684" s="5">
        <v>0</v>
      </c>
      <c r="H684" s="5">
        <v>0</v>
      </c>
      <c r="I684" s="5">
        <v>0</v>
      </c>
      <c r="J684" s="5">
        <v>150356.32999999999</v>
      </c>
      <c r="K684" s="5">
        <v>456677.17</v>
      </c>
      <c r="L684" s="5">
        <v>0</v>
      </c>
      <c r="M684" s="241">
        <v>0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f>ROUND((G684+H684+I684+J684+K684+L684)*1.5%,2)</f>
        <v>9105.5</v>
      </c>
      <c r="AF684" s="5">
        <v>70000</v>
      </c>
      <c r="AG684" s="5">
        <v>0</v>
      </c>
      <c r="AH684" s="246">
        <v>2021</v>
      </c>
      <c r="AI684" s="246">
        <v>2021</v>
      </c>
      <c r="AJ684" s="6">
        <v>2021</v>
      </c>
      <c r="AV684" s="2" t="e">
        <f t="shared" si="160"/>
        <v>#N/A</v>
      </c>
      <c r="CB684" s="236"/>
      <c r="CF684" s="2" t="e">
        <f t="shared" si="156"/>
        <v>#N/A</v>
      </c>
    </row>
    <row r="685" spans="1:262" ht="61.5" x14ac:dyDescent="0.85">
      <c r="A685" s="2">
        <v>1</v>
      </c>
      <c r="B685" s="18">
        <f>SUBTOTAL(103,$A$558:A685)</f>
        <v>126</v>
      </c>
      <c r="C685" s="3" t="s">
        <v>1525</v>
      </c>
      <c r="D685" s="5">
        <v>783943</v>
      </c>
      <c r="E685" s="5">
        <f t="shared" si="148"/>
        <v>0</v>
      </c>
      <c r="F685" s="5">
        <f t="shared" si="161"/>
        <v>783943</v>
      </c>
      <c r="G685" s="5">
        <v>0</v>
      </c>
      <c r="H685" s="5">
        <v>0</v>
      </c>
      <c r="I685" s="5">
        <v>0</v>
      </c>
      <c r="J685" s="5">
        <v>0</v>
      </c>
      <c r="K685" s="5">
        <v>703392.12</v>
      </c>
      <c r="L685" s="5">
        <v>0</v>
      </c>
      <c r="M685" s="241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f>ROUND((G685+H685+I685+J685+K685+L685)*1.5%,2)</f>
        <v>10550.88</v>
      </c>
      <c r="AF685" s="5">
        <v>70000</v>
      </c>
      <c r="AG685" s="5">
        <v>0</v>
      </c>
      <c r="AH685" s="246">
        <v>2021</v>
      </c>
      <c r="AI685" s="246">
        <v>2021</v>
      </c>
      <c r="AJ685" s="6">
        <v>2021</v>
      </c>
      <c r="AV685" s="2" t="e">
        <f t="shared" si="160"/>
        <v>#N/A</v>
      </c>
      <c r="CB685" s="236"/>
      <c r="CF685" s="2" t="e">
        <f t="shared" si="156"/>
        <v>#N/A</v>
      </c>
    </row>
    <row r="686" spans="1:262" ht="61.5" x14ac:dyDescent="0.85">
      <c r="A686" s="2">
        <v>1</v>
      </c>
      <c r="B686" s="18">
        <f>SUBTOTAL(103,$A$558:A686)</f>
        <v>127</v>
      </c>
      <c r="C686" s="3" t="s">
        <v>1526</v>
      </c>
      <c r="D686" s="5">
        <v>776127.96</v>
      </c>
      <c r="E686" s="5">
        <f t="shared" si="148"/>
        <v>0</v>
      </c>
      <c r="F686" s="5">
        <f t="shared" si="161"/>
        <v>776127.96</v>
      </c>
      <c r="G686" s="5">
        <v>0</v>
      </c>
      <c r="H686" s="5">
        <v>0</v>
      </c>
      <c r="I686" s="5">
        <v>0</v>
      </c>
      <c r="J686" s="5">
        <v>0</v>
      </c>
      <c r="K686" s="5">
        <v>695692.57</v>
      </c>
      <c r="L686" s="5">
        <v>0</v>
      </c>
      <c r="M686" s="241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f>ROUND((G686+H686+I686+J686+K686+L686)*1.5%,2)</f>
        <v>10435.39</v>
      </c>
      <c r="AF686" s="5">
        <v>70000</v>
      </c>
      <c r="AG686" s="5">
        <v>0</v>
      </c>
      <c r="AH686" s="246">
        <v>2021</v>
      </c>
      <c r="AI686" s="246">
        <v>2021</v>
      </c>
      <c r="AJ686" s="6">
        <v>2021</v>
      </c>
      <c r="AV686" s="2" t="e">
        <f t="shared" si="160"/>
        <v>#N/A</v>
      </c>
      <c r="CB686" s="236"/>
      <c r="CF686" s="2" t="e">
        <f t="shared" si="156"/>
        <v>#N/A</v>
      </c>
    </row>
    <row r="687" spans="1:262" ht="61.5" x14ac:dyDescent="0.85">
      <c r="A687" s="2">
        <v>1</v>
      </c>
      <c r="B687" s="18">
        <f>SUBTOTAL(103,$A$558:A687)</f>
        <v>128</v>
      </c>
      <c r="C687" s="3" t="s">
        <v>1193</v>
      </c>
      <c r="D687" s="5">
        <v>2623352.2800000003</v>
      </c>
      <c r="E687" s="5">
        <f t="shared" si="148"/>
        <v>73434.980000000447</v>
      </c>
      <c r="F687" s="5">
        <f t="shared" si="161"/>
        <v>2549917.2999999998</v>
      </c>
      <c r="G687" s="5">
        <v>0</v>
      </c>
      <c r="H687" s="5">
        <v>0</v>
      </c>
      <c r="I687" s="5">
        <v>0</v>
      </c>
      <c r="J687" s="5">
        <v>0</v>
      </c>
      <c r="K687" s="5">
        <v>0</v>
      </c>
      <c r="L687" s="5">
        <v>0</v>
      </c>
      <c r="M687" s="241">
        <v>0</v>
      </c>
      <c r="N687" s="5">
        <v>0</v>
      </c>
      <c r="O687" s="5">
        <v>477</v>
      </c>
      <c r="P687" s="5">
        <f>2466356.93+45876.86</f>
        <v>2512233.79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f t="shared" ref="AE687:AE701" si="162">ROUND(P687*1.5%,2)</f>
        <v>37683.51</v>
      </c>
      <c r="AF687" s="5">
        <v>0</v>
      </c>
      <c r="AG687" s="5">
        <v>0</v>
      </c>
      <c r="AH687" s="246" t="s">
        <v>49</v>
      </c>
      <c r="AI687" s="246">
        <v>2021</v>
      </c>
      <c r="AJ687" s="6">
        <v>2021</v>
      </c>
      <c r="AV687" s="2" t="e">
        <f t="shared" si="160"/>
        <v>#N/A</v>
      </c>
      <c r="CB687" s="236"/>
      <c r="CF687" s="2" t="e">
        <f t="shared" si="156"/>
        <v>#N/A</v>
      </c>
    </row>
    <row r="688" spans="1:262" ht="61.5" x14ac:dyDescent="0.85">
      <c r="A688" s="2">
        <v>1</v>
      </c>
      <c r="B688" s="18">
        <f>SUBTOTAL(103,$A$558:A688)</f>
        <v>129</v>
      </c>
      <c r="C688" s="3" t="s">
        <v>1194</v>
      </c>
      <c r="D688" s="5">
        <v>2633042.44</v>
      </c>
      <c r="E688" s="5">
        <f t="shared" si="148"/>
        <v>73079.5</v>
      </c>
      <c r="F688" s="5">
        <f t="shared" si="161"/>
        <v>2559962.94</v>
      </c>
      <c r="G688" s="5">
        <v>0</v>
      </c>
      <c r="H688" s="5">
        <v>0</v>
      </c>
      <c r="I688" s="5">
        <v>0</v>
      </c>
      <c r="J688" s="5">
        <v>0</v>
      </c>
      <c r="K688" s="5">
        <v>0</v>
      </c>
      <c r="L688" s="5">
        <v>0</v>
      </c>
      <c r="M688" s="241">
        <v>0</v>
      </c>
      <c r="N688" s="5">
        <v>0</v>
      </c>
      <c r="O688" s="5">
        <v>472</v>
      </c>
      <c r="P688" s="5">
        <f>2475903.88+46227.1</f>
        <v>2522130.98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f t="shared" si="162"/>
        <v>37831.96</v>
      </c>
      <c r="AF688" s="5">
        <v>0</v>
      </c>
      <c r="AG688" s="5">
        <v>0</v>
      </c>
      <c r="AH688" s="246" t="s">
        <v>49</v>
      </c>
      <c r="AI688" s="246">
        <v>2021</v>
      </c>
      <c r="AJ688" s="6">
        <v>2021</v>
      </c>
      <c r="AV688" s="2" t="e">
        <f t="shared" si="160"/>
        <v>#N/A</v>
      </c>
      <c r="CB688" s="236"/>
      <c r="CF688" s="2" t="e">
        <f t="shared" si="156"/>
        <v>#N/A</v>
      </c>
    </row>
    <row r="689" spans="1:262" ht="61.5" x14ac:dyDescent="0.85">
      <c r="A689" s="2">
        <v>1</v>
      </c>
      <c r="B689" s="18">
        <f>SUBTOTAL(103,$A$558:A689)</f>
        <v>130</v>
      </c>
      <c r="C689" s="3" t="s">
        <v>1527</v>
      </c>
      <c r="D689" s="5">
        <v>2456912.8200000003</v>
      </c>
      <c r="E689" s="5">
        <f t="shared" si="148"/>
        <v>0</v>
      </c>
      <c r="F689" s="5">
        <f t="shared" si="161"/>
        <v>2456912.8200000003</v>
      </c>
      <c r="G689" s="5">
        <v>0</v>
      </c>
      <c r="H689" s="5">
        <v>0</v>
      </c>
      <c r="I689" s="5">
        <v>0</v>
      </c>
      <c r="J689" s="5">
        <v>0</v>
      </c>
      <c r="K689" s="5">
        <v>0</v>
      </c>
      <c r="L689" s="5">
        <v>0</v>
      </c>
      <c r="M689" s="241">
        <v>0</v>
      </c>
      <c r="N689" s="5">
        <v>0</v>
      </c>
      <c r="O689" s="5">
        <v>440</v>
      </c>
      <c r="P689" s="5">
        <v>2302377.16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f t="shared" si="162"/>
        <v>34535.660000000003</v>
      </c>
      <c r="AF689" s="5">
        <v>120000</v>
      </c>
      <c r="AG689" s="5">
        <v>0</v>
      </c>
      <c r="AH689" s="246">
        <v>2021</v>
      </c>
      <c r="AI689" s="246">
        <v>2021</v>
      </c>
      <c r="AJ689" s="6">
        <v>2021</v>
      </c>
      <c r="AV689" s="2" t="e">
        <f t="shared" si="160"/>
        <v>#N/A</v>
      </c>
      <c r="CB689" s="236"/>
      <c r="CF689" s="2" t="e">
        <f t="shared" si="156"/>
        <v>#N/A</v>
      </c>
    </row>
    <row r="690" spans="1:262" ht="61.5" x14ac:dyDescent="0.85">
      <c r="A690" s="2">
        <v>1</v>
      </c>
      <c r="B690" s="18">
        <f>SUBTOTAL(103,$A$558:A690)</f>
        <v>131</v>
      </c>
      <c r="C690" s="3" t="s">
        <v>1528</v>
      </c>
      <c r="D690" s="5">
        <v>3762569.57</v>
      </c>
      <c r="E690" s="5">
        <f t="shared" si="148"/>
        <v>0</v>
      </c>
      <c r="F690" s="5">
        <f t="shared" si="161"/>
        <v>3762569.57</v>
      </c>
      <c r="G690" s="5">
        <v>0</v>
      </c>
      <c r="H690" s="5">
        <v>0</v>
      </c>
      <c r="I690" s="5">
        <v>0</v>
      </c>
      <c r="J690" s="5">
        <v>0</v>
      </c>
      <c r="K690" s="5">
        <v>0</v>
      </c>
      <c r="L690" s="5">
        <v>0</v>
      </c>
      <c r="M690" s="241">
        <v>0</v>
      </c>
      <c r="N690" s="5">
        <v>0</v>
      </c>
      <c r="O690" s="5">
        <v>658</v>
      </c>
      <c r="P690" s="5">
        <v>3529625.19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f t="shared" si="162"/>
        <v>52944.38</v>
      </c>
      <c r="AF690" s="5">
        <v>180000</v>
      </c>
      <c r="AG690" s="5">
        <v>0</v>
      </c>
      <c r="AH690" s="246">
        <v>2021</v>
      </c>
      <c r="AI690" s="246">
        <v>2021</v>
      </c>
      <c r="AJ690" s="6">
        <v>2021</v>
      </c>
      <c r="AV690" s="2" t="e">
        <f t="shared" si="160"/>
        <v>#N/A</v>
      </c>
      <c r="CB690" s="236"/>
      <c r="CF690" s="2" t="e">
        <f t="shared" si="156"/>
        <v>#N/A</v>
      </c>
    </row>
    <row r="691" spans="1:262" ht="61.5" x14ac:dyDescent="0.85">
      <c r="A691" s="2">
        <v>1</v>
      </c>
      <c r="B691" s="18">
        <f>SUBTOTAL(103,$A$558:A691)</f>
        <v>132</v>
      </c>
      <c r="C691" s="3" t="s">
        <v>1529</v>
      </c>
      <c r="D691" s="5">
        <v>5669999.9900000002</v>
      </c>
      <c r="E691" s="5">
        <f t="shared" si="148"/>
        <v>0</v>
      </c>
      <c r="F691" s="5">
        <f t="shared" si="161"/>
        <v>5669999.9900000002</v>
      </c>
      <c r="G691" s="5">
        <v>0</v>
      </c>
      <c r="H691" s="5">
        <v>0</v>
      </c>
      <c r="I691" s="5">
        <v>0</v>
      </c>
      <c r="J691" s="5">
        <v>0</v>
      </c>
      <c r="K691" s="5">
        <v>0</v>
      </c>
      <c r="L691" s="5">
        <v>0</v>
      </c>
      <c r="M691" s="241">
        <v>0</v>
      </c>
      <c r="N691" s="5">
        <v>0</v>
      </c>
      <c r="O691" s="5">
        <v>1134</v>
      </c>
      <c r="P691" s="5">
        <v>5408866.9900000002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f t="shared" si="162"/>
        <v>81133</v>
      </c>
      <c r="AF691" s="5">
        <v>180000</v>
      </c>
      <c r="AG691" s="5">
        <v>0</v>
      </c>
      <c r="AH691" s="246">
        <v>2021</v>
      </c>
      <c r="AI691" s="246">
        <v>2021</v>
      </c>
      <c r="AJ691" s="6">
        <v>2021</v>
      </c>
      <c r="AV691" s="2" t="e">
        <f t="shared" si="160"/>
        <v>#N/A</v>
      </c>
      <c r="CB691" s="236"/>
      <c r="CF691" s="2" t="e">
        <f t="shared" si="156"/>
        <v>#N/A</v>
      </c>
    </row>
    <row r="692" spans="1:262" ht="61.5" x14ac:dyDescent="0.85">
      <c r="A692" s="2">
        <v>1</v>
      </c>
      <c r="B692" s="18">
        <f>SUBTOTAL(103,$A$558:A692)</f>
        <v>133</v>
      </c>
      <c r="C692" s="3" t="s">
        <v>1530</v>
      </c>
      <c r="D692" s="5">
        <v>2895000</v>
      </c>
      <c r="E692" s="5">
        <f t="shared" si="148"/>
        <v>0</v>
      </c>
      <c r="F692" s="5">
        <f t="shared" si="161"/>
        <v>2895000</v>
      </c>
      <c r="G692" s="5">
        <v>0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241">
        <v>0</v>
      </c>
      <c r="N692" s="5">
        <v>0</v>
      </c>
      <c r="O692" s="5">
        <v>579</v>
      </c>
      <c r="P692" s="5">
        <v>2704433.5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f t="shared" si="162"/>
        <v>40566.5</v>
      </c>
      <c r="AF692" s="5">
        <v>150000</v>
      </c>
      <c r="AG692" s="5">
        <v>0</v>
      </c>
      <c r="AH692" s="246">
        <v>2021</v>
      </c>
      <c r="AI692" s="246">
        <v>2021</v>
      </c>
      <c r="AJ692" s="6">
        <v>2021</v>
      </c>
      <c r="AV692" s="2" t="e">
        <f t="shared" si="160"/>
        <v>#N/A</v>
      </c>
      <c r="CB692" s="236"/>
      <c r="CF692" s="2" t="e">
        <f t="shared" si="156"/>
        <v>#N/A</v>
      </c>
    </row>
    <row r="693" spans="1:262" ht="61.5" x14ac:dyDescent="0.85">
      <c r="A693" s="2">
        <v>1</v>
      </c>
      <c r="B693" s="18">
        <f>SUBTOTAL(103,$A$558:A693)</f>
        <v>134</v>
      </c>
      <c r="C693" s="3" t="s">
        <v>1195</v>
      </c>
      <c r="D693" s="5">
        <v>3066649.62</v>
      </c>
      <c r="E693" s="5">
        <f t="shared" si="148"/>
        <v>78212.149999999907</v>
      </c>
      <c r="F693" s="5">
        <f t="shared" si="161"/>
        <v>2988437.47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241">
        <v>0</v>
      </c>
      <c r="N693" s="5">
        <v>0</v>
      </c>
      <c r="O693" s="5">
        <v>570</v>
      </c>
      <c r="P693" s="5">
        <f>2873546.42+70726.95</f>
        <v>2944273.37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f t="shared" si="162"/>
        <v>44164.1</v>
      </c>
      <c r="AF693" s="5">
        <v>0</v>
      </c>
      <c r="AG693" s="5">
        <v>0</v>
      </c>
      <c r="AH693" s="246" t="s">
        <v>49</v>
      </c>
      <c r="AI693" s="246">
        <v>2021</v>
      </c>
      <c r="AJ693" s="6">
        <v>2021</v>
      </c>
      <c r="AV693" s="2" t="e">
        <f t="shared" si="160"/>
        <v>#N/A</v>
      </c>
      <c r="CB693" s="236"/>
      <c r="CF693" s="2" t="e">
        <f t="shared" si="156"/>
        <v>#N/A</v>
      </c>
    </row>
    <row r="694" spans="1:262" ht="61.5" x14ac:dyDescent="0.85">
      <c r="A694" s="2">
        <v>1</v>
      </c>
      <c r="B694" s="18">
        <f>SUBTOTAL(103,$A$558:A694)</f>
        <v>135</v>
      </c>
      <c r="C694" s="3" t="s">
        <v>1196</v>
      </c>
      <c r="D694" s="5">
        <v>1488737.43</v>
      </c>
      <c r="E694" s="5">
        <f t="shared" si="148"/>
        <v>55647.310000000056</v>
      </c>
      <c r="F694" s="5">
        <f t="shared" si="161"/>
        <v>1433090.1199999999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241">
        <v>0</v>
      </c>
      <c r="N694" s="5">
        <v>0</v>
      </c>
      <c r="O694" s="5">
        <v>266</v>
      </c>
      <c r="P694" s="5">
        <f>1348509.78+63401.67</f>
        <v>1411911.45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f t="shared" si="162"/>
        <v>21178.67</v>
      </c>
      <c r="AF694" s="5">
        <v>0</v>
      </c>
      <c r="AG694" s="5">
        <v>0</v>
      </c>
      <c r="AH694" s="246" t="s">
        <v>49</v>
      </c>
      <c r="AI694" s="246">
        <v>2021</v>
      </c>
      <c r="AJ694" s="6">
        <v>2021</v>
      </c>
      <c r="AV694" s="2" t="e">
        <f t="shared" si="160"/>
        <v>#N/A</v>
      </c>
      <c r="CB694" s="236"/>
      <c r="CF694" s="2" t="e">
        <f t="shared" si="156"/>
        <v>#N/A</v>
      </c>
    </row>
    <row r="695" spans="1:262" ht="61.5" x14ac:dyDescent="0.85">
      <c r="A695" s="2">
        <v>1</v>
      </c>
      <c r="B695" s="18">
        <f>SUBTOTAL(103,$A$558:A695)</f>
        <v>136</v>
      </c>
      <c r="C695" s="3" t="s">
        <v>1531</v>
      </c>
      <c r="D695" s="5">
        <v>8150000</v>
      </c>
      <c r="E695" s="5">
        <f t="shared" si="148"/>
        <v>0</v>
      </c>
      <c r="F695" s="5">
        <f t="shared" si="161"/>
        <v>8150000</v>
      </c>
      <c r="G695" s="5">
        <v>0</v>
      </c>
      <c r="H695" s="5">
        <v>0</v>
      </c>
      <c r="I695" s="5">
        <v>0</v>
      </c>
      <c r="J695" s="5">
        <v>0</v>
      </c>
      <c r="K695" s="5">
        <v>0</v>
      </c>
      <c r="L695" s="5">
        <v>0</v>
      </c>
      <c r="M695" s="241">
        <v>0</v>
      </c>
      <c r="N695" s="5">
        <v>0</v>
      </c>
      <c r="O695" s="5">
        <v>1630</v>
      </c>
      <c r="P695" s="5">
        <v>7852216.75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f t="shared" si="162"/>
        <v>117783.25</v>
      </c>
      <c r="AF695" s="5">
        <v>180000</v>
      </c>
      <c r="AG695" s="5">
        <v>0</v>
      </c>
      <c r="AH695" s="246">
        <v>2021</v>
      </c>
      <c r="AI695" s="246">
        <v>2021</v>
      </c>
      <c r="AJ695" s="6">
        <v>2021</v>
      </c>
      <c r="AV695" s="2" t="e">
        <f t="shared" si="160"/>
        <v>#N/A</v>
      </c>
      <c r="CB695" s="236"/>
      <c r="CF695" s="2" t="e">
        <f t="shared" si="156"/>
        <v>#N/A</v>
      </c>
    </row>
    <row r="696" spans="1:262" ht="61.5" x14ac:dyDescent="0.85">
      <c r="A696" s="2">
        <v>1</v>
      </c>
      <c r="B696" s="18">
        <f>SUBTOTAL(103,$A$558:A696)</f>
        <v>137</v>
      </c>
      <c r="C696" s="3" t="s">
        <v>1532</v>
      </c>
      <c r="D696" s="5">
        <v>2837751.8</v>
      </c>
      <c r="E696" s="5">
        <f t="shared" si="148"/>
        <v>0</v>
      </c>
      <c r="F696" s="5">
        <f t="shared" si="161"/>
        <v>2837751.8</v>
      </c>
      <c r="G696" s="5">
        <v>0</v>
      </c>
      <c r="H696" s="5">
        <v>0</v>
      </c>
      <c r="I696" s="5">
        <v>0</v>
      </c>
      <c r="J696" s="5">
        <v>0</v>
      </c>
      <c r="K696" s="5">
        <v>0</v>
      </c>
      <c r="L696" s="5">
        <v>0</v>
      </c>
      <c r="M696" s="241">
        <v>0</v>
      </c>
      <c r="N696" s="5">
        <v>0</v>
      </c>
      <c r="O696" s="5">
        <v>500</v>
      </c>
      <c r="P696" s="5">
        <v>2677587.98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f t="shared" si="162"/>
        <v>40163.82</v>
      </c>
      <c r="AF696" s="5">
        <v>120000</v>
      </c>
      <c r="AG696" s="5">
        <v>0</v>
      </c>
      <c r="AH696" s="246">
        <v>2021</v>
      </c>
      <c r="AI696" s="246">
        <v>2021</v>
      </c>
      <c r="AJ696" s="6">
        <v>2021</v>
      </c>
      <c r="AV696" s="2" t="e">
        <f t="shared" si="160"/>
        <v>#N/A</v>
      </c>
      <c r="CB696" s="236"/>
      <c r="CF696" s="2" t="e">
        <f t="shared" si="156"/>
        <v>#N/A</v>
      </c>
    </row>
    <row r="697" spans="1:262" ht="61.5" x14ac:dyDescent="0.85">
      <c r="A697" s="2">
        <v>1</v>
      </c>
      <c r="B697" s="18">
        <f>SUBTOTAL(103,$A$558:A697)</f>
        <v>138</v>
      </c>
      <c r="C697" s="3" t="s">
        <v>1533</v>
      </c>
      <c r="D697" s="5">
        <v>2479122.38</v>
      </c>
      <c r="E697" s="5">
        <f t="shared" si="148"/>
        <v>0</v>
      </c>
      <c r="F697" s="5">
        <f t="shared" si="161"/>
        <v>2479122.38</v>
      </c>
      <c r="G697" s="5">
        <v>0</v>
      </c>
      <c r="H697" s="5">
        <v>0</v>
      </c>
      <c r="I697" s="5">
        <v>0</v>
      </c>
      <c r="J697" s="5">
        <v>0</v>
      </c>
      <c r="K697" s="5">
        <v>0</v>
      </c>
      <c r="L697" s="5">
        <v>0</v>
      </c>
      <c r="M697" s="241">
        <v>0</v>
      </c>
      <c r="N697" s="5">
        <v>0</v>
      </c>
      <c r="O697" s="5">
        <v>420</v>
      </c>
      <c r="P697" s="5">
        <v>2324258.5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f t="shared" si="162"/>
        <v>34863.879999999997</v>
      </c>
      <c r="AF697" s="5">
        <v>120000</v>
      </c>
      <c r="AG697" s="5">
        <v>0</v>
      </c>
      <c r="AH697" s="246">
        <v>2021</v>
      </c>
      <c r="AI697" s="246">
        <v>2021</v>
      </c>
      <c r="AJ697" s="6">
        <v>2021</v>
      </c>
      <c r="AV697" s="2" t="e">
        <f t="shared" si="160"/>
        <v>#N/A</v>
      </c>
      <c r="CB697" s="236"/>
      <c r="CF697" s="2" t="e">
        <f t="shared" si="156"/>
        <v>#N/A</v>
      </c>
    </row>
    <row r="698" spans="1:262" ht="61.5" x14ac:dyDescent="0.85">
      <c r="A698" s="2">
        <v>1</v>
      </c>
      <c r="B698" s="18">
        <f>SUBTOTAL(103,$A$558:A698)</f>
        <v>139</v>
      </c>
      <c r="C698" s="3" t="s">
        <v>1534</v>
      </c>
      <c r="D698" s="5">
        <v>3697950</v>
      </c>
      <c r="E698" s="5">
        <f t="shared" si="148"/>
        <v>0</v>
      </c>
      <c r="F698" s="5">
        <f t="shared" si="161"/>
        <v>3697950</v>
      </c>
      <c r="G698" s="5">
        <v>0</v>
      </c>
      <c r="H698" s="5">
        <v>0</v>
      </c>
      <c r="I698" s="5">
        <v>0</v>
      </c>
      <c r="J698" s="5">
        <v>0</v>
      </c>
      <c r="K698" s="5">
        <v>0</v>
      </c>
      <c r="L698" s="5">
        <v>0</v>
      </c>
      <c r="M698" s="241">
        <v>0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3495517.24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f>ROUND(W698*1.5%,2)</f>
        <v>52432.76</v>
      </c>
      <c r="AF698" s="5">
        <v>150000</v>
      </c>
      <c r="AG698" s="5">
        <v>0</v>
      </c>
      <c r="AH698" s="246">
        <v>2021</v>
      </c>
      <c r="AI698" s="246">
        <v>2021</v>
      </c>
      <c r="AJ698" s="6">
        <v>2021</v>
      </c>
      <c r="AV698" s="2" t="e">
        <f t="shared" si="160"/>
        <v>#N/A</v>
      </c>
      <c r="CB698" s="236"/>
      <c r="CF698" s="2" t="e">
        <f t="shared" si="156"/>
        <v>#N/A</v>
      </c>
    </row>
    <row r="699" spans="1:262" ht="61.5" x14ac:dyDescent="0.85">
      <c r="A699" s="2">
        <v>1</v>
      </c>
      <c r="B699" s="18">
        <f>SUBTOTAL(103,$A$558:A699)</f>
        <v>140</v>
      </c>
      <c r="C699" s="3" t="s">
        <v>1535</v>
      </c>
      <c r="D699" s="5">
        <v>3680000</v>
      </c>
      <c r="E699" s="5">
        <f t="shared" si="148"/>
        <v>0</v>
      </c>
      <c r="F699" s="5">
        <f t="shared" si="161"/>
        <v>3680000</v>
      </c>
      <c r="G699" s="5">
        <v>0</v>
      </c>
      <c r="H699" s="5">
        <v>0</v>
      </c>
      <c r="I699" s="5">
        <v>0</v>
      </c>
      <c r="J699" s="5">
        <v>0</v>
      </c>
      <c r="K699" s="5">
        <v>0</v>
      </c>
      <c r="L699" s="5">
        <v>0</v>
      </c>
      <c r="M699" s="241">
        <v>0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3477832.51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f>ROUND(W699*1.5%,2)</f>
        <v>52167.49</v>
      </c>
      <c r="AF699" s="5">
        <v>150000</v>
      </c>
      <c r="AG699" s="5">
        <v>0</v>
      </c>
      <c r="AH699" s="246">
        <v>2021</v>
      </c>
      <c r="AI699" s="246">
        <v>2021</v>
      </c>
      <c r="AJ699" s="6">
        <v>2021</v>
      </c>
      <c r="AV699" s="2" t="e">
        <f t="shared" si="160"/>
        <v>#N/A</v>
      </c>
      <c r="CB699" s="236"/>
      <c r="CF699" s="2" t="e">
        <f t="shared" si="156"/>
        <v>#N/A</v>
      </c>
    </row>
    <row r="700" spans="1:262" ht="61.5" x14ac:dyDescent="0.85">
      <c r="A700" s="2">
        <v>1</v>
      </c>
      <c r="B700" s="18">
        <f>SUBTOTAL(103,$A$558:A700)</f>
        <v>141</v>
      </c>
      <c r="C700" s="3" t="s">
        <v>1536</v>
      </c>
      <c r="D700" s="5">
        <v>3519757</v>
      </c>
      <c r="E700" s="5">
        <f t="shared" si="148"/>
        <v>0</v>
      </c>
      <c r="F700" s="5">
        <f t="shared" si="161"/>
        <v>3519757</v>
      </c>
      <c r="G700" s="5">
        <v>0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241">
        <v>0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3319957.64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f>ROUND(W700*1.5%,2)</f>
        <v>49799.360000000001</v>
      </c>
      <c r="AF700" s="5">
        <v>150000</v>
      </c>
      <c r="AG700" s="5">
        <v>0</v>
      </c>
      <c r="AH700" s="246">
        <v>2021</v>
      </c>
      <c r="AI700" s="246">
        <v>2021</v>
      </c>
      <c r="AJ700" s="6">
        <v>2021</v>
      </c>
      <c r="AV700" s="2" t="e">
        <f t="shared" si="160"/>
        <v>#N/A</v>
      </c>
      <c r="CB700" s="236"/>
      <c r="CF700" s="2" t="e">
        <f t="shared" si="156"/>
        <v>#N/A</v>
      </c>
    </row>
    <row r="701" spans="1:262" ht="61.5" x14ac:dyDescent="0.85">
      <c r="A701" s="2">
        <v>1</v>
      </c>
      <c r="B701" s="18">
        <f>SUBTOTAL(103,$A$558:A701)</f>
        <v>142</v>
      </c>
      <c r="C701" s="3" t="s">
        <v>1537</v>
      </c>
      <c r="D701" s="5">
        <v>4335791.2699999996</v>
      </c>
      <c r="E701" s="5">
        <f t="shared" si="148"/>
        <v>0</v>
      </c>
      <c r="F701" s="5">
        <f t="shared" si="161"/>
        <v>4335791.2699999996</v>
      </c>
      <c r="G701" s="5">
        <v>0</v>
      </c>
      <c r="H701" s="5">
        <v>0</v>
      </c>
      <c r="I701" s="5">
        <v>0</v>
      </c>
      <c r="J701" s="5">
        <v>0</v>
      </c>
      <c r="K701" s="5">
        <v>0</v>
      </c>
      <c r="L701" s="5">
        <v>0</v>
      </c>
      <c r="M701" s="241">
        <v>0</v>
      </c>
      <c r="N701" s="5">
        <v>0</v>
      </c>
      <c r="O701" s="5">
        <v>776</v>
      </c>
      <c r="P701" s="5">
        <v>4123932.29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f t="shared" si="162"/>
        <v>61858.98</v>
      </c>
      <c r="AF701" s="5">
        <v>150000</v>
      </c>
      <c r="AG701" s="5">
        <v>0</v>
      </c>
      <c r="AH701" s="246">
        <v>2021</v>
      </c>
      <c r="AI701" s="246">
        <v>2021</v>
      </c>
      <c r="AJ701" s="6">
        <v>2021</v>
      </c>
      <c r="AV701" s="2" t="e">
        <f t="shared" si="160"/>
        <v>#N/A</v>
      </c>
      <c r="CB701" s="236"/>
      <c r="CF701" s="2" t="e">
        <f t="shared" si="156"/>
        <v>#N/A</v>
      </c>
    </row>
    <row r="702" spans="1:262" s="239" customFormat="1" ht="61.5" x14ac:dyDescent="0.85">
      <c r="A702" s="239">
        <v>1</v>
      </c>
      <c r="B702" s="18">
        <f>SUBTOTAL(103,$A$558:A702)</f>
        <v>143</v>
      </c>
      <c r="C702" s="3" t="s">
        <v>1538</v>
      </c>
      <c r="D702" s="5">
        <v>3391530.1000000006</v>
      </c>
      <c r="E702" s="5">
        <f t="shared" ref="E702:E765" si="163">D702-F702</f>
        <v>-150000</v>
      </c>
      <c r="F702" s="5">
        <f t="shared" si="161"/>
        <v>3541530.1000000006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25">
        <v>0</v>
      </c>
      <c r="N702" s="5">
        <v>0</v>
      </c>
      <c r="O702" s="5">
        <v>734</v>
      </c>
      <c r="P702" s="5">
        <f>3341408.97-118226.61</f>
        <v>3223182.3600000003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f>ROUND(P702*1.5%,2)</f>
        <v>48347.74</v>
      </c>
      <c r="AF702" s="5">
        <v>150000</v>
      </c>
      <c r="AG702" s="5">
        <v>120000</v>
      </c>
      <c r="AH702" s="246">
        <v>2021</v>
      </c>
      <c r="AI702" s="246">
        <v>2021</v>
      </c>
      <c r="AJ702" s="6">
        <v>2021</v>
      </c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 t="e">
        <f t="shared" si="160"/>
        <v>#N/A</v>
      </c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36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</row>
    <row r="703" spans="1:262" ht="61.5" x14ac:dyDescent="0.85">
      <c r="A703" s="2">
        <v>1</v>
      </c>
      <c r="B703" s="18">
        <f>SUBTOTAL(103,$A$558:A703)</f>
        <v>144</v>
      </c>
      <c r="C703" s="3" t="s">
        <v>1539</v>
      </c>
      <c r="D703" s="5">
        <v>4900000</v>
      </c>
      <c r="E703" s="5">
        <f t="shared" si="163"/>
        <v>0</v>
      </c>
      <c r="F703" s="5">
        <f t="shared" si="161"/>
        <v>4900000</v>
      </c>
      <c r="G703" s="5">
        <v>0</v>
      </c>
      <c r="H703" s="5">
        <v>0</v>
      </c>
      <c r="I703" s="5">
        <v>0</v>
      </c>
      <c r="J703" s="5">
        <v>0</v>
      </c>
      <c r="K703" s="5">
        <v>0</v>
      </c>
      <c r="L703" s="5">
        <v>0</v>
      </c>
      <c r="M703" s="241">
        <v>0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947</v>
      </c>
      <c r="T703" s="5">
        <v>4699507.3899999997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f>ROUND(T703*1.5%,2)</f>
        <v>70492.61</v>
      </c>
      <c r="AF703" s="5">
        <v>130000</v>
      </c>
      <c r="AG703" s="5">
        <v>0</v>
      </c>
      <c r="AH703" s="246">
        <v>2021</v>
      </c>
      <c r="AI703" s="246">
        <v>2021</v>
      </c>
      <c r="AJ703" s="6">
        <v>2021</v>
      </c>
      <c r="AV703" s="2" t="e">
        <f t="shared" si="160"/>
        <v>#N/A</v>
      </c>
      <c r="CB703" s="236"/>
      <c r="CF703" s="2" t="e">
        <f t="shared" ref="CF703:CF766" si="164">VLOOKUP(C703,CG:CH,2,FALSE)</f>
        <v>#N/A</v>
      </c>
    </row>
    <row r="704" spans="1:262" ht="61.5" x14ac:dyDescent="0.85">
      <c r="A704" s="2">
        <v>1</v>
      </c>
      <c r="B704" s="18">
        <f>SUBTOTAL(103,$A$558:A704)</f>
        <v>145</v>
      </c>
      <c r="C704" s="3" t="s">
        <v>1540</v>
      </c>
      <c r="D704" s="5">
        <v>3393815.22</v>
      </c>
      <c r="E704" s="5">
        <f t="shared" si="163"/>
        <v>0</v>
      </c>
      <c r="F704" s="5">
        <f t="shared" si="161"/>
        <v>3393815.22</v>
      </c>
      <c r="G704" s="5">
        <v>0</v>
      </c>
      <c r="H704" s="5">
        <v>0</v>
      </c>
      <c r="I704" s="5">
        <v>0</v>
      </c>
      <c r="J704" s="5">
        <v>0</v>
      </c>
      <c r="K704" s="5">
        <v>0</v>
      </c>
      <c r="L704" s="5">
        <v>0</v>
      </c>
      <c r="M704" s="241">
        <v>0</v>
      </c>
      <c r="N704" s="5">
        <v>0</v>
      </c>
      <c r="O704" s="5">
        <v>600</v>
      </c>
      <c r="P704" s="5">
        <v>3195877.06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f t="shared" ref="AE704:AE708" si="165">ROUND(P704*1.5%,2)</f>
        <v>47938.16</v>
      </c>
      <c r="AF704" s="5">
        <v>150000</v>
      </c>
      <c r="AG704" s="5">
        <v>0</v>
      </c>
      <c r="AH704" s="246">
        <v>2021</v>
      </c>
      <c r="AI704" s="246">
        <v>2021</v>
      </c>
      <c r="AJ704" s="6">
        <v>2021</v>
      </c>
      <c r="AV704" s="2" t="e">
        <f t="shared" si="160"/>
        <v>#N/A</v>
      </c>
      <c r="CB704" s="236"/>
      <c r="CF704" s="2" t="e">
        <f t="shared" si="164"/>
        <v>#N/A</v>
      </c>
    </row>
    <row r="705" spans="1:86" ht="61.5" x14ac:dyDescent="0.85">
      <c r="A705" s="2">
        <v>1</v>
      </c>
      <c r="B705" s="18">
        <f>SUBTOTAL(103,$A$558:A705)</f>
        <v>146</v>
      </c>
      <c r="C705" s="3" t="s">
        <v>1197</v>
      </c>
      <c r="D705" s="5">
        <v>2699117.1599999997</v>
      </c>
      <c r="E705" s="5">
        <f t="shared" si="163"/>
        <v>74945.879999999888</v>
      </c>
      <c r="F705" s="5">
        <f t="shared" si="161"/>
        <v>2624171.2799999998</v>
      </c>
      <c r="G705" s="5">
        <v>0</v>
      </c>
      <c r="H705" s="5">
        <v>0</v>
      </c>
      <c r="I705" s="5">
        <v>0</v>
      </c>
      <c r="J705" s="5">
        <v>0</v>
      </c>
      <c r="K705" s="5">
        <v>0</v>
      </c>
      <c r="L705" s="5">
        <v>0</v>
      </c>
      <c r="M705" s="241">
        <v>0</v>
      </c>
      <c r="N705" s="5">
        <v>0</v>
      </c>
      <c r="O705" s="5">
        <v>486</v>
      </c>
      <c r="P705" s="5">
        <f>2541002.13+44388.29</f>
        <v>2585390.42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f t="shared" si="165"/>
        <v>38780.86</v>
      </c>
      <c r="AF705" s="5">
        <v>0</v>
      </c>
      <c r="AG705" s="5">
        <v>0</v>
      </c>
      <c r="AH705" s="246" t="s">
        <v>49</v>
      </c>
      <c r="AI705" s="246">
        <v>2021</v>
      </c>
      <c r="AJ705" s="6">
        <v>2021</v>
      </c>
      <c r="AV705" s="2" t="e">
        <f t="shared" si="160"/>
        <v>#N/A</v>
      </c>
      <c r="CB705" s="236"/>
      <c r="CF705" s="2" t="e">
        <f t="shared" si="164"/>
        <v>#N/A</v>
      </c>
    </row>
    <row r="706" spans="1:86" ht="61.5" x14ac:dyDescent="0.85">
      <c r="A706" s="2">
        <v>1</v>
      </c>
      <c r="B706" s="18">
        <f>SUBTOTAL(103,$A$558:A706)</f>
        <v>147</v>
      </c>
      <c r="C706" s="3" t="s">
        <v>1541</v>
      </c>
      <c r="D706" s="5">
        <v>5101600</v>
      </c>
      <c r="E706" s="5">
        <f t="shared" si="163"/>
        <v>0</v>
      </c>
      <c r="F706" s="5">
        <f t="shared" si="161"/>
        <v>5101600</v>
      </c>
      <c r="G706" s="5">
        <v>0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241">
        <v>0</v>
      </c>
      <c r="N706" s="5">
        <v>0</v>
      </c>
      <c r="O706" s="5">
        <v>911</v>
      </c>
      <c r="P706" s="5">
        <v>4878423.6500000004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f t="shared" si="165"/>
        <v>73176.350000000006</v>
      </c>
      <c r="AF706" s="5">
        <v>150000</v>
      </c>
      <c r="AG706" s="5">
        <v>0</v>
      </c>
      <c r="AH706" s="246">
        <v>2021</v>
      </c>
      <c r="AI706" s="246">
        <v>2021</v>
      </c>
      <c r="AJ706" s="6">
        <v>2021</v>
      </c>
      <c r="CB706" s="236"/>
      <c r="CF706" s="2" t="e">
        <f t="shared" si="164"/>
        <v>#N/A</v>
      </c>
    </row>
    <row r="707" spans="1:86" ht="61.5" x14ac:dyDescent="0.85">
      <c r="A707" s="2">
        <v>1</v>
      </c>
      <c r="B707" s="18">
        <f>SUBTOTAL(103,$A$558:A707)</f>
        <v>148</v>
      </c>
      <c r="C707" s="3" t="s">
        <v>1542</v>
      </c>
      <c r="D707" s="5">
        <v>2638742.77</v>
      </c>
      <c r="E707" s="5">
        <f t="shared" si="163"/>
        <v>0</v>
      </c>
      <c r="F707" s="5">
        <f t="shared" si="161"/>
        <v>2638742.77</v>
      </c>
      <c r="G707" s="5">
        <v>0</v>
      </c>
      <c r="H707" s="5">
        <v>0</v>
      </c>
      <c r="I707" s="5">
        <v>0</v>
      </c>
      <c r="J707" s="5">
        <v>0</v>
      </c>
      <c r="K707" s="5">
        <v>0</v>
      </c>
      <c r="L707" s="5">
        <v>0</v>
      </c>
      <c r="M707" s="241">
        <v>0</v>
      </c>
      <c r="N707" s="5">
        <v>0</v>
      </c>
      <c r="O707" s="5">
        <v>480</v>
      </c>
      <c r="P707" s="5">
        <v>2451963.3199999998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f t="shared" si="165"/>
        <v>36779.449999999997</v>
      </c>
      <c r="AF707" s="5">
        <v>150000</v>
      </c>
      <c r="AG707" s="5">
        <v>0</v>
      </c>
      <c r="AH707" s="246">
        <v>2021</v>
      </c>
      <c r="AI707" s="246">
        <v>2021</v>
      </c>
      <c r="AJ707" s="6">
        <v>2021</v>
      </c>
      <c r="CB707" s="236"/>
      <c r="CF707" s="2" t="e">
        <f t="shared" si="164"/>
        <v>#N/A</v>
      </c>
    </row>
    <row r="708" spans="1:86" ht="61.5" x14ac:dyDescent="0.85">
      <c r="A708" s="2">
        <v>1</v>
      </c>
      <c r="B708" s="18">
        <f>SUBTOTAL(103,$A$558:A708)</f>
        <v>149</v>
      </c>
      <c r="C708" s="3" t="s">
        <v>1543</v>
      </c>
      <c r="D708" s="5">
        <v>3267279.28</v>
      </c>
      <c r="E708" s="5">
        <f t="shared" si="163"/>
        <v>0</v>
      </c>
      <c r="F708" s="5">
        <f t="shared" si="161"/>
        <v>3267279.28</v>
      </c>
      <c r="G708" s="5">
        <v>0</v>
      </c>
      <c r="H708" s="5">
        <v>0</v>
      </c>
      <c r="I708" s="5">
        <v>0</v>
      </c>
      <c r="J708" s="5">
        <v>0</v>
      </c>
      <c r="K708" s="5">
        <v>0</v>
      </c>
      <c r="L708" s="5">
        <v>0</v>
      </c>
      <c r="M708" s="241">
        <v>0</v>
      </c>
      <c r="N708" s="5">
        <v>0</v>
      </c>
      <c r="O708" s="5">
        <v>600</v>
      </c>
      <c r="P708" s="5">
        <v>3100767.76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f t="shared" si="165"/>
        <v>46511.519999999997</v>
      </c>
      <c r="AF708" s="5">
        <v>120000</v>
      </c>
      <c r="AG708" s="5">
        <v>0</v>
      </c>
      <c r="AH708" s="246">
        <v>2021</v>
      </c>
      <c r="AI708" s="246">
        <v>2021</v>
      </c>
      <c r="AJ708" s="6">
        <v>2021</v>
      </c>
      <c r="CB708" s="236"/>
      <c r="CF708" s="2" t="e">
        <f t="shared" si="164"/>
        <v>#N/A</v>
      </c>
    </row>
    <row r="709" spans="1:86" ht="61.5" x14ac:dyDescent="0.85">
      <c r="A709" s="2">
        <v>1</v>
      </c>
      <c r="B709" s="18">
        <f>SUBTOTAL(103,$A$558:A709)</f>
        <v>150</v>
      </c>
      <c r="C709" s="3" t="s">
        <v>1191</v>
      </c>
      <c r="D709" s="5">
        <v>4331631.53</v>
      </c>
      <c r="E709" s="5">
        <f t="shared" si="163"/>
        <v>0</v>
      </c>
      <c r="F709" s="5">
        <f>G709+H709+I709+J709+K709+L709+N709+P709+R709+T709+V709+W709+X709+Y709+Z709+AA709+AB709+AC709+AD709+AE709+AF709+AG709</f>
        <v>4331631.53</v>
      </c>
      <c r="G709" s="5">
        <v>0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241">
        <v>2</v>
      </c>
      <c r="N709" s="5">
        <v>4331631.53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f>ROUND(P709*1.5%,2)</f>
        <v>0</v>
      </c>
      <c r="AF709" s="5">
        <v>0</v>
      </c>
      <c r="AG709" s="5">
        <v>0</v>
      </c>
      <c r="AH709" s="6" t="s">
        <v>49</v>
      </c>
      <c r="AI709" s="246">
        <v>2021</v>
      </c>
      <c r="AJ709" s="6" t="s">
        <v>49</v>
      </c>
      <c r="CB709" s="236"/>
      <c r="CF709" s="2" t="e">
        <f t="shared" si="164"/>
        <v>#N/A</v>
      </c>
    </row>
    <row r="710" spans="1:86" ht="61.5" x14ac:dyDescent="0.85">
      <c r="A710" s="2">
        <v>1</v>
      </c>
      <c r="B710" s="18">
        <f>SUBTOTAL(103,$A$558:A710)</f>
        <v>151</v>
      </c>
      <c r="C710" s="3" t="s">
        <v>1544</v>
      </c>
      <c r="D710" s="5">
        <v>3267843.12</v>
      </c>
      <c r="E710" s="5">
        <f t="shared" si="163"/>
        <v>0</v>
      </c>
      <c r="F710" s="5">
        <f>G710+H710+I710+J710+K710+L710+N710+P710+R710+T710+V710+W710+X710+Y710+Z710+AA710+AB710+AC710+AD710+AE710+AF710+AG710</f>
        <v>3267843.12</v>
      </c>
      <c r="G710" s="5">
        <v>0</v>
      </c>
      <c r="H710" s="5">
        <v>0</v>
      </c>
      <c r="I710" s="5">
        <v>0</v>
      </c>
      <c r="J710" s="5">
        <v>0</v>
      </c>
      <c r="K710" s="5">
        <v>0</v>
      </c>
      <c r="L710" s="5">
        <v>0</v>
      </c>
      <c r="M710" s="241">
        <v>0</v>
      </c>
      <c r="N710" s="5">
        <v>0</v>
      </c>
      <c r="O710" s="5">
        <v>600</v>
      </c>
      <c r="P710" s="5">
        <f>3120000+2620.93-1593.23</f>
        <v>3121027.7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f>ROUND(P710*1.5%,2)</f>
        <v>46815.42</v>
      </c>
      <c r="AF710" s="5">
        <v>100000</v>
      </c>
      <c r="AG710" s="5">
        <v>0</v>
      </c>
      <c r="AH710" s="246">
        <v>2021</v>
      </c>
      <c r="AI710" s="246">
        <v>2021</v>
      </c>
      <c r="AJ710" s="6">
        <v>2021</v>
      </c>
      <c r="CB710" s="236"/>
      <c r="CF710" s="2" t="e">
        <f t="shared" si="164"/>
        <v>#N/A</v>
      </c>
    </row>
    <row r="711" spans="1:86" ht="61.5" x14ac:dyDescent="0.85">
      <c r="A711" s="2">
        <v>1</v>
      </c>
      <c r="B711" s="18">
        <f>SUBTOTAL(103,$A$558:A711)</f>
        <v>152</v>
      </c>
      <c r="C711" s="3" t="s">
        <v>1545</v>
      </c>
      <c r="D711" s="5">
        <v>2422320</v>
      </c>
      <c r="E711" s="5">
        <f t="shared" si="163"/>
        <v>0</v>
      </c>
      <c r="F711" s="5">
        <f>G711+H711+I711+J711+K711+L711+N711+P711+R711+T711+V711+W711+X711+Y711+Z711+AA711+AB711+AC711+AD711+AE711+AF711+AG711</f>
        <v>2422320</v>
      </c>
      <c r="G711" s="5">
        <v>0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241">
        <v>0</v>
      </c>
      <c r="N711" s="5">
        <v>0</v>
      </c>
      <c r="O711" s="5">
        <v>440</v>
      </c>
      <c r="P711" s="5">
        <f>2288000+26100.87</f>
        <v>2314100.87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f>ROUND(P711*1.5%,2)</f>
        <v>34711.51</v>
      </c>
      <c r="AF711" s="5">
        <v>73507.62</v>
      </c>
      <c r="AG711" s="5">
        <v>0</v>
      </c>
      <c r="AH711" s="246">
        <v>2021</v>
      </c>
      <c r="AI711" s="246">
        <v>2021</v>
      </c>
      <c r="AJ711" s="6">
        <v>2021</v>
      </c>
      <c r="CB711" s="236"/>
      <c r="CF711" s="2" t="e">
        <f t="shared" si="164"/>
        <v>#N/A</v>
      </c>
    </row>
    <row r="712" spans="1:86" ht="61.5" x14ac:dyDescent="0.85">
      <c r="A712" s="2">
        <v>1</v>
      </c>
      <c r="B712" s="18">
        <f>SUBTOTAL(103,$A$558:A712)</f>
        <v>153</v>
      </c>
      <c r="C712" s="3" t="s">
        <v>1546</v>
      </c>
      <c r="D712" s="5">
        <v>2050106.0299999998</v>
      </c>
      <c r="E712" s="5">
        <f t="shared" si="163"/>
        <v>0</v>
      </c>
      <c r="F712" s="5">
        <f>G712+H712+I712+J712+K712+L712+N712+P712+R712+T712+V712+W712+X712+Y712+Z712+AA712+AB712+AC712+AD712+AE712+AF712+AG712</f>
        <v>2050106.0299999998</v>
      </c>
      <c r="G712" s="5">
        <v>0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241">
        <v>0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1645.95</v>
      </c>
      <c r="T712" s="5">
        <v>2019808.9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f>ROUND(T712*1.5%,2)</f>
        <v>30297.13</v>
      </c>
      <c r="AF712" s="5">
        <v>0</v>
      </c>
      <c r="AG712" s="5">
        <v>0</v>
      </c>
      <c r="AH712" s="246" t="s">
        <v>49</v>
      </c>
      <c r="AI712" s="246">
        <v>2021</v>
      </c>
      <c r="AJ712" s="6">
        <v>2021</v>
      </c>
      <c r="CB712" s="236"/>
      <c r="CF712" s="2" t="e">
        <f t="shared" si="164"/>
        <v>#N/A</v>
      </c>
      <c r="CG712" s="242" t="s">
        <v>1332</v>
      </c>
      <c r="CH712" s="242">
        <v>542.66</v>
      </c>
    </row>
    <row r="713" spans="1:86" ht="61.5" x14ac:dyDescent="0.85">
      <c r="A713" s="2">
        <v>1</v>
      </c>
      <c r="B713" s="18">
        <f>SUBTOTAL(103,$A$558:A713)</f>
        <v>154</v>
      </c>
      <c r="C713" s="3" t="s">
        <v>1183</v>
      </c>
      <c r="D713" s="5">
        <v>13280548.279999999</v>
      </c>
      <c r="E713" s="5">
        <f t="shared" si="163"/>
        <v>0</v>
      </c>
      <c r="F713" s="5">
        <f t="shared" ref="F713:F717" si="166">G713+H713+I713+J713+K713+L713+N713+P713+R713+T713+V713+W713+X713+Y713+Z713+AA713+AB713+AC713+AD713+AE713+AF713+AG713</f>
        <v>13280548.279999999</v>
      </c>
      <c r="G713" s="5">
        <v>0</v>
      </c>
      <c r="H713" s="5">
        <v>0</v>
      </c>
      <c r="I713" s="5">
        <v>0</v>
      </c>
      <c r="J713" s="5">
        <v>0</v>
      </c>
      <c r="K713" s="5">
        <v>0</v>
      </c>
      <c r="L713" s="5">
        <v>0</v>
      </c>
      <c r="M713" s="241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2524</v>
      </c>
      <c r="T713" s="5">
        <v>13084284.02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f>ROUND(T713*1.5%,2)</f>
        <v>196264.26</v>
      </c>
      <c r="AF713" s="7">
        <v>0</v>
      </c>
      <c r="AG713" s="5">
        <v>0</v>
      </c>
      <c r="AH713" s="246" t="s">
        <v>49</v>
      </c>
      <c r="AI713" s="246">
        <v>2021</v>
      </c>
      <c r="AJ713" s="6">
        <v>2021</v>
      </c>
      <c r="AK713" s="246">
        <v>2020</v>
      </c>
      <c r="AL713" s="246">
        <v>2020</v>
      </c>
      <c r="AM713" s="246">
        <v>2020</v>
      </c>
      <c r="AN713" s="246">
        <v>2020</v>
      </c>
      <c r="AO713" s="246">
        <v>2020</v>
      </c>
      <c r="AP713" s="246">
        <v>2020</v>
      </c>
      <c r="AQ713" s="246">
        <v>2020</v>
      </c>
      <c r="AR713" s="246">
        <v>2020</v>
      </c>
      <c r="AS713" s="246">
        <v>2020</v>
      </c>
      <c r="AT713" s="246">
        <v>2020</v>
      </c>
      <c r="AU713" s="246">
        <v>2020</v>
      </c>
      <c r="AV713" s="246">
        <v>2020</v>
      </c>
      <c r="AW713" s="246">
        <v>2020</v>
      </c>
      <c r="AX713" s="246">
        <v>2020</v>
      </c>
      <c r="AY713" s="246">
        <v>2020</v>
      </c>
      <c r="AZ713" s="246">
        <v>2020</v>
      </c>
      <c r="BA713" s="246">
        <v>2020</v>
      </c>
      <c r="BB713" s="246">
        <v>2020</v>
      </c>
      <c r="BC713" s="246">
        <v>2020</v>
      </c>
      <c r="BD713" s="246">
        <v>2020</v>
      </c>
      <c r="BE713" s="246">
        <v>2020</v>
      </c>
      <c r="BF713" s="246">
        <v>2020</v>
      </c>
      <c r="BG713" s="246">
        <v>2020</v>
      </c>
      <c r="BH713" s="246">
        <v>2020</v>
      </c>
      <c r="BI713" s="246">
        <v>2020</v>
      </c>
      <c r="BJ713" s="246">
        <v>2020</v>
      </c>
      <c r="BK713" s="246">
        <v>2020</v>
      </c>
      <c r="BL713" s="246">
        <v>2020</v>
      </c>
      <c r="BM713" s="246">
        <v>2020</v>
      </c>
      <c r="BN713" s="246">
        <v>2020</v>
      </c>
      <c r="BO713" s="246">
        <v>2020</v>
      </c>
      <c r="BP713" s="246">
        <v>2020</v>
      </c>
      <c r="BQ713" s="246">
        <v>2020</v>
      </c>
      <c r="BR713" s="246">
        <v>2020</v>
      </c>
      <c r="BS713" s="246">
        <v>2020</v>
      </c>
      <c r="BT713" s="246">
        <v>2020</v>
      </c>
      <c r="BU713" s="246">
        <v>2020</v>
      </c>
      <c r="BV713" s="246">
        <v>2020</v>
      </c>
      <c r="BW713" s="246">
        <v>2020</v>
      </c>
      <c r="BX713" s="246">
        <v>2020</v>
      </c>
      <c r="BY713" s="246">
        <v>2020</v>
      </c>
      <c r="CB713" s="236"/>
      <c r="CF713" s="2" t="e">
        <f t="shared" si="164"/>
        <v>#N/A</v>
      </c>
    </row>
    <row r="714" spans="1:86" ht="61.5" x14ac:dyDescent="0.85">
      <c r="A714" s="2">
        <v>1</v>
      </c>
      <c r="B714" s="18">
        <f>SUBTOTAL(103,$A$558:A714)</f>
        <v>155</v>
      </c>
      <c r="C714" s="3" t="s">
        <v>1190</v>
      </c>
      <c r="D714" s="5">
        <v>7003500</v>
      </c>
      <c r="E714" s="5">
        <f t="shared" si="163"/>
        <v>0</v>
      </c>
      <c r="F714" s="5">
        <f t="shared" si="166"/>
        <v>7003500</v>
      </c>
      <c r="G714" s="5">
        <v>0</v>
      </c>
      <c r="H714" s="5">
        <v>0</v>
      </c>
      <c r="I714" s="5">
        <v>0</v>
      </c>
      <c r="J714" s="5">
        <v>0</v>
      </c>
      <c r="K714" s="5">
        <v>0</v>
      </c>
      <c r="L714" s="5">
        <v>0</v>
      </c>
      <c r="M714" s="241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375</v>
      </c>
      <c r="V714" s="5">
        <f>6900000</f>
        <v>6900000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f>ROUND((P714+V714)*1.5%,2)</f>
        <v>103500</v>
      </c>
      <c r="AF714" s="7">
        <v>0</v>
      </c>
      <c r="AG714" s="5">
        <v>0</v>
      </c>
      <c r="AH714" s="246" t="s">
        <v>49</v>
      </c>
      <c r="AI714" s="246">
        <v>2021</v>
      </c>
      <c r="AJ714" s="6">
        <v>2021</v>
      </c>
      <c r="CB714" s="236"/>
      <c r="CF714" s="2" t="e">
        <f t="shared" si="164"/>
        <v>#N/A</v>
      </c>
    </row>
    <row r="715" spans="1:86" ht="61.5" x14ac:dyDescent="0.85">
      <c r="A715" s="2">
        <v>1</v>
      </c>
      <c r="B715" s="18">
        <f>SUBTOTAL(103,$A$558:A715)</f>
        <v>156</v>
      </c>
      <c r="C715" s="3" t="s">
        <v>1547</v>
      </c>
      <c r="D715" s="5">
        <v>3380273.29</v>
      </c>
      <c r="E715" s="5">
        <f t="shared" si="163"/>
        <v>0</v>
      </c>
      <c r="F715" s="5">
        <f t="shared" si="166"/>
        <v>3380273.29</v>
      </c>
      <c r="G715" s="5">
        <v>0</v>
      </c>
      <c r="H715" s="5">
        <v>0</v>
      </c>
      <c r="I715" s="5">
        <v>0</v>
      </c>
      <c r="J715" s="5">
        <v>0</v>
      </c>
      <c r="K715" s="5">
        <v>3231796.34</v>
      </c>
      <c r="L715" s="5">
        <v>0</v>
      </c>
      <c r="M715" s="241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f>ROUND((G715+H715+I715+J715+K715+L715)*1.5%,2)</f>
        <v>48476.95</v>
      </c>
      <c r="AF715" s="5">
        <v>100000</v>
      </c>
      <c r="AG715" s="5">
        <v>0</v>
      </c>
      <c r="AH715" s="246">
        <v>2021</v>
      </c>
      <c r="AI715" s="246">
        <v>2021</v>
      </c>
      <c r="AJ715" s="6">
        <v>2021</v>
      </c>
      <c r="CB715" s="236"/>
      <c r="CF715" s="2" t="e">
        <f t="shared" si="164"/>
        <v>#N/A</v>
      </c>
    </row>
    <row r="716" spans="1:86" ht="61.5" x14ac:dyDescent="0.85">
      <c r="A716" s="2">
        <v>1</v>
      </c>
      <c r="B716" s="18">
        <f>SUBTOTAL(103,$A$558:A716)</f>
        <v>157</v>
      </c>
      <c r="C716" s="3" t="s">
        <v>1548</v>
      </c>
      <c r="D716" s="5">
        <v>464475.87</v>
      </c>
      <c r="E716" s="5">
        <f t="shared" si="163"/>
        <v>0</v>
      </c>
      <c r="F716" s="5">
        <f t="shared" si="166"/>
        <v>464475.87</v>
      </c>
      <c r="G716" s="5">
        <v>0</v>
      </c>
      <c r="H716" s="5">
        <v>0</v>
      </c>
      <c r="I716" s="5">
        <v>0</v>
      </c>
      <c r="J716" s="5">
        <v>0</v>
      </c>
      <c r="K716" s="5">
        <v>457611.69</v>
      </c>
      <c r="L716" s="5">
        <v>0</v>
      </c>
      <c r="M716" s="241">
        <v>0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f>ROUND((G716+H716+I716+J716+K716+L716)*1.5%,2)</f>
        <v>6864.18</v>
      </c>
      <c r="AF716" s="5">
        <v>0</v>
      </c>
      <c r="AG716" s="5">
        <v>0</v>
      </c>
      <c r="AH716" s="246" t="s">
        <v>49</v>
      </c>
      <c r="AI716" s="246">
        <v>2021</v>
      </c>
      <c r="AJ716" s="246">
        <v>2021</v>
      </c>
      <c r="CB716" s="236"/>
      <c r="CF716" s="2" t="e">
        <f t="shared" si="164"/>
        <v>#N/A</v>
      </c>
      <c r="CG716" s="242" t="s">
        <v>1109</v>
      </c>
      <c r="CH716" s="242">
        <v>556.79999999999995</v>
      </c>
    </row>
    <row r="717" spans="1:86" ht="61.5" x14ac:dyDescent="0.85">
      <c r="A717" s="2">
        <v>1</v>
      </c>
      <c r="B717" s="18">
        <f>SUBTOTAL(103,$A$558:A717)</f>
        <v>158</v>
      </c>
      <c r="C717" s="3" t="s">
        <v>1549</v>
      </c>
      <c r="D717" s="5">
        <v>198184.86</v>
      </c>
      <c r="E717" s="5">
        <f t="shared" si="163"/>
        <v>0</v>
      </c>
      <c r="F717" s="5">
        <f t="shared" si="166"/>
        <v>198184.86</v>
      </c>
      <c r="G717" s="5">
        <v>0</v>
      </c>
      <c r="H717" s="5">
        <v>0</v>
      </c>
      <c r="I717" s="5">
        <v>0</v>
      </c>
      <c r="J717" s="5">
        <v>0</v>
      </c>
      <c r="K717" s="5">
        <v>195256.02</v>
      </c>
      <c r="L717" s="5">
        <v>0</v>
      </c>
      <c r="M717" s="241">
        <v>0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f>ROUND((G717+H717+I717+J717+K717+L717)*1.5%,2)</f>
        <v>2928.84</v>
      </c>
      <c r="AF717" s="5">
        <v>0</v>
      </c>
      <c r="AG717" s="5">
        <v>0</v>
      </c>
      <c r="AH717" s="246" t="s">
        <v>49</v>
      </c>
      <c r="AI717" s="246">
        <v>2021</v>
      </c>
      <c r="AJ717" s="246">
        <v>2021</v>
      </c>
      <c r="CB717" s="236"/>
      <c r="CF717" s="2" t="e">
        <f t="shared" si="164"/>
        <v>#N/A</v>
      </c>
      <c r="CG717" s="242" t="s">
        <v>1263</v>
      </c>
      <c r="CH717" s="242">
        <v>243.96</v>
      </c>
    </row>
    <row r="718" spans="1:86" ht="61.5" x14ac:dyDescent="0.85">
      <c r="B718" s="3" t="s">
        <v>91</v>
      </c>
      <c r="C718" s="3"/>
      <c r="D718" s="244">
        <v>50116095.18</v>
      </c>
      <c r="E718" s="233">
        <f t="shared" si="163"/>
        <v>-38074201.539999999</v>
      </c>
      <c r="F718" s="244">
        <f t="shared" ref="F718:AG718" si="167">SUM(F719:F736)</f>
        <v>88190296.719999999</v>
      </c>
      <c r="G718" s="5">
        <f t="shared" si="167"/>
        <v>845974.22</v>
      </c>
      <c r="H718" s="5">
        <f t="shared" si="167"/>
        <v>0</v>
      </c>
      <c r="I718" s="5">
        <f t="shared" si="167"/>
        <v>7605779.9500000011</v>
      </c>
      <c r="J718" s="5">
        <f t="shared" si="167"/>
        <v>1536697.15</v>
      </c>
      <c r="K718" s="5">
        <f t="shared" si="167"/>
        <v>3646652.83</v>
      </c>
      <c r="L718" s="5">
        <f t="shared" si="167"/>
        <v>0</v>
      </c>
      <c r="M718" s="241">
        <f t="shared" si="167"/>
        <v>8</v>
      </c>
      <c r="N718" s="5">
        <f t="shared" si="167"/>
        <v>15847834.77</v>
      </c>
      <c r="O718" s="5">
        <f t="shared" si="167"/>
        <v>9427.9600000000009</v>
      </c>
      <c r="P718" s="5">
        <f t="shared" si="167"/>
        <v>44677848.160000004</v>
      </c>
      <c r="Q718" s="5">
        <f t="shared" si="167"/>
        <v>0</v>
      </c>
      <c r="R718" s="5">
        <f t="shared" si="167"/>
        <v>0</v>
      </c>
      <c r="S718" s="5">
        <f t="shared" si="167"/>
        <v>3460.1</v>
      </c>
      <c r="T718" s="5">
        <f t="shared" si="167"/>
        <v>11567065.35</v>
      </c>
      <c r="U718" s="5">
        <f t="shared" si="167"/>
        <v>0</v>
      </c>
      <c r="V718" s="5">
        <f t="shared" si="167"/>
        <v>0</v>
      </c>
      <c r="W718" s="5">
        <f t="shared" si="167"/>
        <v>0</v>
      </c>
      <c r="X718" s="5">
        <f t="shared" si="167"/>
        <v>210000</v>
      </c>
      <c r="Y718" s="5">
        <f t="shared" si="167"/>
        <v>0</v>
      </c>
      <c r="Z718" s="5">
        <f t="shared" si="167"/>
        <v>0</v>
      </c>
      <c r="AA718" s="5">
        <f t="shared" si="167"/>
        <v>0</v>
      </c>
      <c r="AB718" s="5">
        <f t="shared" si="167"/>
        <v>0</v>
      </c>
      <c r="AC718" s="5">
        <f t="shared" si="167"/>
        <v>0</v>
      </c>
      <c r="AD718" s="5">
        <f t="shared" si="167"/>
        <v>0</v>
      </c>
      <c r="AE718" s="5">
        <f t="shared" si="167"/>
        <v>1002444.29</v>
      </c>
      <c r="AF718" s="5">
        <f t="shared" si="167"/>
        <v>770000</v>
      </c>
      <c r="AG718" s="5">
        <f t="shared" si="167"/>
        <v>480000</v>
      </c>
      <c r="AH718" s="23" t="s">
        <v>90</v>
      </c>
      <c r="AI718" s="23" t="s">
        <v>90</v>
      </c>
      <c r="AJ718" s="27" t="s">
        <v>90</v>
      </c>
      <c r="AV718" s="2" t="e">
        <f>VLOOKUP(C718,AY:AZ,2,FALSE)</f>
        <v>#N/A</v>
      </c>
      <c r="CB718" s="236">
        <v>43029746.93</v>
      </c>
      <c r="CF718" s="2" t="e">
        <f t="shared" si="164"/>
        <v>#N/A</v>
      </c>
    </row>
    <row r="719" spans="1:86" ht="61.5" x14ac:dyDescent="0.85">
      <c r="A719" s="2">
        <v>1</v>
      </c>
      <c r="B719" s="18">
        <f>SUBTOTAL(103,$A$558:A719)</f>
        <v>159</v>
      </c>
      <c r="C719" s="3" t="s">
        <v>1550</v>
      </c>
      <c r="D719" s="5">
        <v>3593042</v>
      </c>
      <c r="E719" s="5">
        <f t="shared" si="163"/>
        <v>0</v>
      </c>
      <c r="F719" s="5">
        <f t="shared" ref="F719:F736" si="168">G719+H719+I719+J719+K719+L719+N719+P719+R719+T719+V719+W719+X719+Y719+Z719+AA719+AB719+AC719+AD719+AE719+AF719+AG719</f>
        <v>3593042</v>
      </c>
      <c r="G719" s="5">
        <v>0</v>
      </c>
      <c r="H719" s="5">
        <v>0</v>
      </c>
      <c r="I719" s="5">
        <v>0</v>
      </c>
      <c r="J719" s="5">
        <v>0</v>
      </c>
      <c r="K719" s="5">
        <v>0</v>
      </c>
      <c r="L719" s="5">
        <v>0</v>
      </c>
      <c r="M719" s="241">
        <v>0</v>
      </c>
      <c r="N719" s="5">
        <v>0</v>
      </c>
      <c r="O719" s="5">
        <v>690</v>
      </c>
      <c r="P719" s="5">
        <v>3431568.47</v>
      </c>
      <c r="Q719" s="5">
        <v>0</v>
      </c>
      <c r="R719" s="5">
        <v>0</v>
      </c>
      <c r="S719" s="5">
        <v>0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f>ROUND(P719*1.5%,2)</f>
        <v>51473.53</v>
      </c>
      <c r="AF719" s="5">
        <v>110000</v>
      </c>
      <c r="AG719" s="5">
        <v>0</v>
      </c>
      <c r="AH719" s="246">
        <v>2021</v>
      </c>
      <c r="AI719" s="246">
        <v>2021</v>
      </c>
      <c r="AJ719" s="6">
        <v>2021</v>
      </c>
      <c r="AV719" s="2" t="e">
        <f>VLOOKUP(C719,AY:AZ,2,FALSE)</f>
        <v>#N/A</v>
      </c>
      <c r="CB719" s="236"/>
      <c r="CF719" s="2" t="e">
        <f t="shared" si="164"/>
        <v>#N/A</v>
      </c>
    </row>
    <row r="720" spans="1:86" ht="61.5" x14ac:dyDescent="0.85">
      <c r="A720" s="2">
        <v>1</v>
      </c>
      <c r="B720" s="18">
        <f>SUBTOTAL(103,$A$558:A720)</f>
        <v>160</v>
      </c>
      <c r="C720" s="3" t="s">
        <v>1228</v>
      </c>
      <c r="D720" s="5">
        <v>8449445.7300000004</v>
      </c>
      <c r="E720" s="5">
        <f t="shared" si="163"/>
        <v>0</v>
      </c>
      <c r="F720" s="5">
        <f t="shared" si="168"/>
        <v>8449445.7300000004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241">
        <v>4</v>
      </c>
      <c r="N720" s="5">
        <f>8442796.06+6649.67</f>
        <v>8449445.7300000004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37">
        <v>0</v>
      </c>
      <c r="AG720" s="5">
        <v>0</v>
      </c>
      <c r="AH720" s="6" t="s">
        <v>49</v>
      </c>
      <c r="AI720" s="246">
        <v>2021</v>
      </c>
      <c r="AJ720" s="6" t="s">
        <v>49</v>
      </c>
      <c r="AV720" s="2" t="e">
        <f>VLOOKUP(C720,AY:AZ,2,FALSE)</f>
        <v>#N/A</v>
      </c>
      <c r="CB720" s="236"/>
      <c r="CF720" s="2" t="e">
        <f t="shared" si="164"/>
        <v>#N/A</v>
      </c>
    </row>
    <row r="721" spans="1:262" ht="61.5" x14ac:dyDescent="0.85">
      <c r="A721" s="2">
        <v>1</v>
      </c>
      <c r="B721" s="18">
        <f>SUBTOTAL(103,$A$558:A721)</f>
        <v>161</v>
      </c>
      <c r="C721" s="3" t="s">
        <v>1551</v>
      </c>
      <c r="D721" s="5">
        <v>2932000</v>
      </c>
      <c r="E721" s="5">
        <f t="shared" si="163"/>
        <v>0</v>
      </c>
      <c r="F721" s="5">
        <f t="shared" si="168"/>
        <v>2932000</v>
      </c>
      <c r="G721" s="5">
        <v>0</v>
      </c>
      <c r="H721" s="5">
        <v>0</v>
      </c>
      <c r="I721" s="5">
        <v>0</v>
      </c>
      <c r="J721" s="5">
        <v>0</v>
      </c>
      <c r="K721" s="5">
        <v>0</v>
      </c>
      <c r="L721" s="5">
        <v>0</v>
      </c>
      <c r="M721" s="241">
        <v>0</v>
      </c>
      <c r="N721" s="5">
        <v>0</v>
      </c>
      <c r="O721" s="5">
        <v>590</v>
      </c>
      <c r="P721" s="5">
        <v>2790147.78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f>ROUND(P721*1.5%,2)</f>
        <v>41852.22</v>
      </c>
      <c r="AF721" s="5">
        <v>100000</v>
      </c>
      <c r="AG721" s="5">
        <v>0</v>
      </c>
      <c r="AH721" s="246">
        <v>2021</v>
      </c>
      <c r="AI721" s="246">
        <v>2021</v>
      </c>
      <c r="AJ721" s="6">
        <v>2021</v>
      </c>
      <c r="AV721" s="2" t="e">
        <f>VLOOKUP(C721,AY:AZ,2,FALSE)</f>
        <v>#N/A</v>
      </c>
      <c r="CB721" s="236"/>
      <c r="CF721" s="2" t="e">
        <f t="shared" si="164"/>
        <v>#N/A</v>
      </c>
    </row>
    <row r="722" spans="1:262" ht="61.5" x14ac:dyDescent="0.85">
      <c r="A722" s="2">
        <v>1</v>
      </c>
      <c r="B722" s="18">
        <f>SUBTOTAL(103,$A$558:A722)</f>
        <v>162</v>
      </c>
      <c r="C722" s="3" t="s">
        <v>1552</v>
      </c>
      <c r="D722" s="5">
        <v>5501631.04</v>
      </c>
      <c r="E722" s="5">
        <f t="shared" si="163"/>
        <v>0</v>
      </c>
      <c r="F722" s="5">
        <f t="shared" si="168"/>
        <v>5501631.04</v>
      </c>
      <c r="G722" s="5">
        <v>0</v>
      </c>
      <c r="H722" s="5">
        <v>0</v>
      </c>
      <c r="I722" s="5">
        <v>0</v>
      </c>
      <c r="J722" s="5">
        <v>0</v>
      </c>
      <c r="K722" s="5">
        <v>0</v>
      </c>
      <c r="L722" s="5">
        <v>0</v>
      </c>
      <c r="M722" s="241">
        <v>0</v>
      </c>
      <c r="N722" s="5">
        <v>0</v>
      </c>
      <c r="O722" s="5">
        <v>1154</v>
      </c>
      <c r="P722" s="5">
        <f>5798972.61-516577.5</f>
        <v>5282395.1100000003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f>ROUND(P722*1.5%,2)</f>
        <v>79235.929999999993</v>
      </c>
      <c r="AF722" s="5">
        <v>140000</v>
      </c>
      <c r="AG722" s="5">
        <v>0</v>
      </c>
      <c r="AH722" s="246">
        <v>2021</v>
      </c>
      <c r="AI722" s="246">
        <v>2021</v>
      </c>
      <c r="AJ722" s="6">
        <v>2021</v>
      </c>
      <c r="AV722" s="2" t="e">
        <f>VLOOKUP(C722,AY:AZ,2,FALSE)</f>
        <v>#N/A</v>
      </c>
      <c r="CB722" s="236"/>
      <c r="CF722" s="2" t="e">
        <f t="shared" si="164"/>
        <v>#N/A</v>
      </c>
    </row>
    <row r="723" spans="1:262" ht="61.5" x14ac:dyDescent="0.85">
      <c r="A723" s="2">
        <v>1</v>
      </c>
      <c r="B723" s="18">
        <f>SUBTOTAL(103,$A$558:A723)</f>
        <v>163</v>
      </c>
      <c r="C723" s="3" t="s">
        <v>1553</v>
      </c>
      <c r="D723" s="5">
        <v>3890000</v>
      </c>
      <c r="E723" s="5">
        <f t="shared" si="163"/>
        <v>0</v>
      </c>
      <c r="F723" s="5">
        <f t="shared" si="168"/>
        <v>3890000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241">
        <v>0</v>
      </c>
      <c r="N723" s="5">
        <v>0</v>
      </c>
      <c r="O723" s="5">
        <v>778</v>
      </c>
      <c r="P723" s="5">
        <v>3714285.71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f>ROUND(P723*1.5%,2)</f>
        <v>55714.29</v>
      </c>
      <c r="AF723" s="5">
        <v>120000</v>
      </c>
      <c r="AG723" s="5">
        <v>0</v>
      </c>
      <c r="AH723" s="246">
        <v>2021</v>
      </c>
      <c r="AI723" s="246">
        <v>2021</v>
      </c>
      <c r="AJ723" s="6">
        <v>2021</v>
      </c>
      <c r="CB723" s="236"/>
      <c r="CF723" s="2" t="e">
        <f t="shared" si="164"/>
        <v>#N/A</v>
      </c>
    </row>
    <row r="724" spans="1:262" ht="61.5" x14ac:dyDescent="0.85">
      <c r="A724" s="2">
        <v>1</v>
      </c>
      <c r="B724" s="18">
        <f>SUBTOTAL(103,$A$558:A724)</f>
        <v>164</v>
      </c>
      <c r="C724" s="3" t="s">
        <v>1231</v>
      </c>
      <c r="D724" s="5">
        <v>7503621.0100000007</v>
      </c>
      <c r="E724" s="5">
        <f t="shared" si="163"/>
        <v>210000</v>
      </c>
      <c r="F724" s="5">
        <f t="shared" si="168"/>
        <v>7293621.0100000007</v>
      </c>
      <c r="G724" s="5">
        <v>0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241">
        <v>0</v>
      </c>
      <c r="N724" s="5">
        <v>0</v>
      </c>
      <c r="O724" s="5">
        <v>627</v>
      </c>
      <c r="P724" s="5">
        <f>O724*5200</f>
        <v>3260400</v>
      </c>
      <c r="Q724" s="5">
        <v>0</v>
      </c>
      <c r="R724" s="5">
        <v>0</v>
      </c>
      <c r="S724" s="5">
        <v>2058.1</v>
      </c>
      <c r="T724" s="5">
        <v>3737163.56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  <c r="AE724" s="5">
        <f>ROUND(T724*1.5%,2)</f>
        <v>56057.45</v>
      </c>
      <c r="AF724" s="5">
        <v>0</v>
      </c>
      <c r="AG724" s="5">
        <v>240000</v>
      </c>
      <c r="AH724" s="246" t="s">
        <v>49</v>
      </c>
      <c r="AI724" s="246">
        <v>2021</v>
      </c>
      <c r="AJ724" s="6">
        <v>2021</v>
      </c>
      <c r="CB724" s="236"/>
      <c r="CF724" s="2" t="e">
        <f t="shared" si="164"/>
        <v>#N/A</v>
      </c>
    </row>
    <row r="725" spans="1:262" ht="61.5" x14ac:dyDescent="0.85">
      <c r="A725" s="2">
        <v>1</v>
      </c>
      <c r="B725" s="18">
        <f>SUBTOTAL(103,$A$558:A725)</f>
        <v>165</v>
      </c>
      <c r="C725" s="3" t="s">
        <v>944</v>
      </c>
      <c r="D725" s="5">
        <v>7930053</v>
      </c>
      <c r="E725" s="5">
        <f t="shared" si="163"/>
        <v>0</v>
      </c>
      <c r="F725" s="5">
        <f t="shared" si="168"/>
        <v>7930053</v>
      </c>
      <c r="G725" s="5">
        <v>0</v>
      </c>
      <c r="H725" s="5">
        <v>0</v>
      </c>
      <c r="I725" s="5">
        <v>0</v>
      </c>
      <c r="J725" s="5">
        <v>0</v>
      </c>
      <c r="K725" s="5">
        <v>0</v>
      </c>
      <c r="L725" s="5">
        <v>0</v>
      </c>
      <c r="M725" s="241">
        <v>0</v>
      </c>
      <c r="N725" s="5">
        <v>0</v>
      </c>
      <c r="O725" s="5">
        <v>1319.27</v>
      </c>
      <c r="P725" s="5">
        <v>7812860.0999999996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f>ROUND(P725*1.5%,2)</f>
        <v>117192.9</v>
      </c>
      <c r="AF725" s="5">
        <v>0</v>
      </c>
      <c r="AG725" s="5">
        <v>0</v>
      </c>
      <c r="AH725" s="246" t="s">
        <v>49</v>
      </c>
      <c r="AI725" s="246">
        <v>2021</v>
      </c>
      <c r="AJ725" s="6">
        <v>2021</v>
      </c>
      <c r="AV725" s="2" t="e">
        <f>VLOOKUP(C725,AY:AZ,2,FALSE)</f>
        <v>#N/A</v>
      </c>
      <c r="CB725" s="236"/>
      <c r="CF725" s="2">
        <f t="shared" si="164"/>
        <v>1319.27</v>
      </c>
    </row>
    <row r="726" spans="1:262" ht="61.5" x14ac:dyDescent="0.85">
      <c r="A726" s="2">
        <v>1</v>
      </c>
      <c r="B726" s="18">
        <f>SUBTOTAL(103,$A$558:A726)</f>
        <v>166</v>
      </c>
      <c r="C726" s="3" t="s">
        <v>1209</v>
      </c>
      <c r="D726" s="5">
        <v>2332950.83</v>
      </c>
      <c r="E726" s="5">
        <f t="shared" si="163"/>
        <v>0</v>
      </c>
      <c r="F726" s="5">
        <f t="shared" si="168"/>
        <v>2332950.83</v>
      </c>
      <c r="G726" s="5">
        <v>96377</v>
      </c>
      <c r="H726" s="5">
        <v>0</v>
      </c>
      <c r="I726" s="5">
        <v>2023822.85</v>
      </c>
      <c r="J726" s="5">
        <v>178273.87</v>
      </c>
      <c r="K726" s="48">
        <v>0</v>
      </c>
      <c r="L726" s="5">
        <v>0</v>
      </c>
      <c r="M726" s="241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f>ROUND((G726+H726+I726+J726+K726+L726)*1.5%,2)</f>
        <v>34477.11</v>
      </c>
      <c r="AF726" s="5">
        <v>0</v>
      </c>
      <c r="AG726" s="5">
        <v>0</v>
      </c>
      <c r="AH726" s="246" t="s">
        <v>49</v>
      </c>
      <c r="AI726" s="246">
        <v>2021</v>
      </c>
      <c r="AJ726" s="6">
        <v>2021</v>
      </c>
      <c r="CB726" s="236"/>
      <c r="CF726" s="2" t="e">
        <f t="shared" si="164"/>
        <v>#N/A</v>
      </c>
    </row>
    <row r="727" spans="1:262" ht="61.5" x14ac:dyDescent="0.85">
      <c r="A727" s="2">
        <v>1</v>
      </c>
      <c r="B727" s="18">
        <f>SUBTOTAL(103,$A$558:A727)</f>
        <v>167</v>
      </c>
      <c r="C727" s="3" t="s">
        <v>1198</v>
      </c>
      <c r="D727" s="5">
        <v>8096493.6899999995</v>
      </c>
      <c r="E727" s="5">
        <f t="shared" si="163"/>
        <v>149143.37000000011</v>
      </c>
      <c r="F727" s="5">
        <f t="shared" si="168"/>
        <v>7947350.3199999994</v>
      </c>
      <c r="G727" s="5">
        <v>0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241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1402</v>
      </c>
      <c r="T727" s="5">
        <v>7829901.7899999991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f>ROUND(T727*1.5%,2)</f>
        <v>117448.53</v>
      </c>
      <c r="AF727" s="5">
        <v>0</v>
      </c>
      <c r="AG727" s="5">
        <v>0</v>
      </c>
      <c r="AH727" s="246" t="s">
        <v>49</v>
      </c>
      <c r="AI727" s="246">
        <v>2021</v>
      </c>
      <c r="AJ727" s="6">
        <v>2021</v>
      </c>
      <c r="AV727" s="2" t="e">
        <f>VLOOKUP(C727,AY:AZ,2,FALSE)</f>
        <v>#N/A</v>
      </c>
      <c r="CB727" s="236"/>
      <c r="CF727" s="2" t="e">
        <f t="shared" si="164"/>
        <v>#N/A</v>
      </c>
    </row>
    <row r="728" spans="1:262" ht="61.5" x14ac:dyDescent="0.85">
      <c r="A728" s="2">
        <v>1</v>
      </c>
      <c r="B728" s="18">
        <f>SUBTOTAL(103,$A$558:A728)</f>
        <v>168</v>
      </c>
      <c r="C728" s="3" t="s">
        <v>1200</v>
      </c>
      <c r="D728" s="5">
        <v>1220001.9200000002</v>
      </c>
      <c r="E728" s="5">
        <f t="shared" si="163"/>
        <v>62023.070000000065</v>
      </c>
      <c r="F728" s="5">
        <f t="shared" si="168"/>
        <v>1157978.8500000001</v>
      </c>
      <c r="G728" s="5">
        <v>0</v>
      </c>
      <c r="H728" s="5">
        <v>0</v>
      </c>
      <c r="I728" s="5">
        <v>0</v>
      </c>
      <c r="J728" s="5">
        <v>0</v>
      </c>
      <c r="K728" s="5">
        <v>0</v>
      </c>
      <c r="L728" s="5">
        <v>0</v>
      </c>
      <c r="M728" s="241">
        <v>0</v>
      </c>
      <c r="N728" s="5">
        <v>0</v>
      </c>
      <c r="O728" s="5">
        <v>265</v>
      </c>
      <c r="P728" s="5">
        <v>1140865.8600000001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f>ROUND(P728*1.5%,2)</f>
        <v>17112.990000000002</v>
      </c>
      <c r="AF728" s="5">
        <v>0</v>
      </c>
      <c r="AG728" s="5">
        <v>0</v>
      </c>
      <c r="AH728" s="246" t="s">
        <v>49</v>
      </c>
      <c r="AI728" s="246">
        <v>2021</v>
      </c>
      <c r="AJ728" s="6">
        <v>2021</v>
      </c>
      <c r="AV728" s="2" t="e">
        <f>VLOOKUP(C728,AY:AZ,2,FALSE)</f>
        <v>#N/A</v>
      </c>
      <c r="CB728" s="236"/>
      <c r="CF728" s="2" t="e">
        <f t="shared" si="164"/>
        <v>#N/A</v>
      </c>
    </row>
    <row r="729" spans="1:262" ht="61.5" x14ac:dyDescent="0.85">
      <c r="A729" s="2">
        <v>1</v>
      </c>
      <c r="B729" s="18">
        <f>SUBTOTAL(103,$A$558:A729)</f>
        <v>169</v>
      </c>
      <c r="C729" s="3" t="s">
        <v>1205</v>
      </c>
      <c r="D729" s="5">
        <v>9310459.7000000011</v>
      </c>
      <c r="E729" s="5">
        <f t="shared" si="163"/>
        <v>249196.3599999994</v>
      </c>
      <c r="F729" s="5">
        <f t="shared" si="168"/>
        <v>9061263.3400000017</v>
      </c>
      <c r="G729" s="5">
        <v>749597.22</v>
      </c>
      <c r="H729" s="5">
        <v>0</v>
      </c>
      <c r="I729" s="5">
        <f>6632817.44-1050860.34</f>
        <v>5581957.1000000006</v>
      </c>
      <c r="J729" s="5">
        <v>900908.28</v>
      </c>
      <c r="K729" s="5">
        <v>1694890.44</v>
      </c>
      <c r="L729" s="5">
        <v>0</v>
      </c>
      <c r="M729" s="241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f>ROUND((G729+H729+I729+J729+K729+L729)*1.5%,2)</f>
        <v>133910.29999999999</v>
      </c>
      <c r="AF729" s="5">
        <v>0</v>
      </c>
      <c r="AG729" s="5">
        <v>0</v>
      </c>
      <c r="AH729" s="246" t="s">
        <v>49</v>
      </c>
      <c r="AI729" s="246">
        <v>2021</v>
      </c>
      <c r="AJ729" s="6">
        <v>2021</v>
      </c>
      <c r="AV729" s="2" t="e">
        <f>VLOOKUP(C729,AY:AZ,2,FALSE)</f>
        <v>#N/A</v>
      </c>
      <c r="CB729" s="236"/>
      <c r="CF729" s="2" t="e">
        <f t="shared" si="164"/>
        <v>#N/A</v>
      </c>
    </row>
    <row r="730" spans="1:262" ht="61.5" x14ac:dyDescent="0.85">
      <c r="A730" s="2">
        <v>1</v>
      </c>
      <c r="B730" s="18">
        <f>SUBTOTAL(103,$A$558:A730)</f>
        <v>170</v>
      </c>
      <c r="C730" s="3" t="s">
        <v>1207</v>
      </c>
      <c r="D730" s="5">
        <v>5123354.76</v>
      </c>
      <c r="E730" s="5">
        <f t="shared" si="163"/>
        <v>136497.55999999959</v>
      </c>
      <c r="F730" s="5">
        <f t="shared" si="168"/>
        <v>4986857.2</v>
      </c>
      <c r="G730" s="5">
        <v>0</v>
      </c>
      <c r="H730" s="5">
        <v>0</v>
      </c>
      <c r="I730" s="5">
        <v>0</v>
      </c>
      <c r="J730" s="5">
        <v>0</v>
      </c>
      <c r="K730" s="5">
        <v>0</v>
      </c>
      <c r="L730" s="5">
        <v>0</v>
      </c>
      <c r="M730" s="241">
        <v>0</v>
      </c>
      <c r="N730" s="5">
        <v>0</v>
      </c>
      <c r="O730" s="5">
        <v>1080</v>
      </c>
      <c r="P730" s="5">
        <v>4913159.8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f>ROUND(P730*1.5%,2)</f>
        <v>73697.399999999994</v>
      </c>
      <c r="AF730" s="5">
        <v>0</v>
      </c>
      <c r="AG730" s="5">
        <v>0</v>
      </c>
      <c r="AH730" s="246" t="s">
        <v>49</v>
      </c>
      <c r="AI730" s="246">
        <v>2021</v>
      </c>
      <c r="AJ730" s="6">
        <v>2021</v>
      </c>
      <c r="AV730" s="2" t="e">
        <f>VLOOKUP(C730,AY:AZ,2,FALSE)</f>
        <v>#N/A</v>
      </c>
      <c r="CB730" s="236"/>
      <c r="CF730" s="2" t="e">
        <f t="shared" si="164"/>
        <v>#N/A</v>
      </c>
    </row>
    <row r="731" spans="1:262" ht="61.5" x14ac:dyDescent="0.85">
      <c r="A731" s="2">
        <v>1</v>
      </c>
      <c r="B731" s="18">
        <f>SUBTOTAL(103,$A$558:A731)</f>
        <v>171</v>
      </c>
      <c r="C731" s="3" t="s">
        <v>1554</v>
      </c>
      <c r="D731" s="5">
        <v>958906.03</v>
      </c>
      <c r="E731" s="5">
        <f t="shared" si="163"/>
        <v>0</v>
      </c>
      <c r="F731" s="5">
        <f t="shared" si="168"/>
        <v>958906.03</v>
      </c>
      <c r="G731" s="5">
        <v>0</v>
      </c>
      <c r="H731" s="5">
        <v>0</v>
      </c>
      <c r="I731" s="5">
        <v>0</v>
      </c>
      <c r="J731" s="5">
        <v>457515</v>
      </c>
      <c r="K731" s="5">
        <v>487220</v>
      </c>
      <c r="L731" s="5">
        <v>0</v>
      </c>
      <c r="M731" s="241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f>ROUND((G731+H731+I731+J731+K731+L731)*1.5%,2)</f>
        <v>14171.03</v>
      </c>
      <c r="AF731" s="5">
        <v>0</v>
      </c>
      <c r="AG731" s="5">
        <v>0</v>
      </c>
      <c r="AH731" s="246" t="s">
        <v>49</v>
      </c>
      <c r="AI731" s="246">
        <v>2021</v>
      </c>
      <c r="AJ731" s="6">
        <v>2021</v>
      </c>
      <c r="CB731" s="236"/>
      <c r="CF731" s="2" t="e">
        <f t="shared" si="164"/>
        <v>#N/A</v>
      </c>
    </row>
    <row r="732" spans="1:262" ht="61.5" x14ac:dyDescent="0.85">
      <c r="A732" s="2">
        <v>1</v>
      </c>
      <c r="B732" s="18">
        <f>SUBTOTAL(103,$A$558:A732)</f>
        <v>172</v>
      </c>
      <c r="C732" s="3" t="s">
        <v>1215</v>
      </c>
      <c r="D732" s="5">
        <v>6395339.7400000002</v>
      </c>
      <c r="E732" s="5">
        <f t="shared" si="163"/>
        <v>172775.04000000004</v>
      </c>
      <c r="F732" s="5">
        <f t="shared" si="168"/>
        <v>6222564.7000000002</v>
      </c>
      <c r="G732" s="5">
        <v>0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241">
        <v>0</v>
      </c>
      <c r="N732" s="5">
        <v>0</v>
      </c>
      <c r="O732" s="5">
        <v>1548.79</v>
      </c>
      <c r="P732" s="5">
        <f>6669512.32+1022599.21-1561505.91</f>
        <v>6130605.6200000001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f>ROUND(P732*1.5%,2)</f>
        <v>91959.08</v>
      </c>
      <c r="AF732" s="5">
        <v>0</v>
      </c>
      <c r="AG732" s="5">
        <v>0</v>
      </c>
      <c r="AH732" s="246" t="s">
        <v>49</v>
      </c>
      <c r="AI732" s="246">
        <v>2021</v>
      </c>
      <c r="AJ732" s="6">
        <v>2021</v>
      </c>
      <c r="CB732" s="236"/>
      <c r="CF732" s="2" t="e">
        <f t="shared" si="164"/>
        <v>#N/A</v>
      </c>
    </row>
    <row r="733" spans="1:262" ht="61.5" x14ac:dyDescent="0.85">
      <c r="A733" s="2">
        <v>1</v>
      </c>
      <c r="B733" s="18">
        <f>SUBTOTAL(103,$A$558:A733)</f>
        <v>173</v>
      </c>
      <c r="C733" s="3" t="s">
        <v>1555</v>
      </c>
      <c r="D733" s="5">
        <v>213150</v>
      </c>
      <c r="E733" s="5">
        <f t="shared" si="163"/>
        <v>0</v>
      </c>
      <c r="F733" s="5">
        <f t="shared" si="168"/>
        <v>213150</v>
      </c>
      <c r="G733" s="5">
        <v>0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241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210000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f>ROUND(X733*1.5%,2)</f>
        <v>3150</v>
      </c>
      <c r="AF733" s="5">
        <v>0</v>
      </c>
      <c r="AG733" s="5">
        <v>0</v>
      </c>
      <c r="AH733" s="246" t="s">
        <v>49</v>
      </c>
      <c r="AI733" s="246">
        <v>2021</v>
      </c>
      <c r="AJ733" s="6">
        <v>2021</v>
      </c>
      <c r="CB733" s="236"/>
      <c r="CF733" s="2" t="e">
        <f t="shared" si="164"/>
        <v>#N/A</v>
      </c>
    </row>
    <row r="734" spans="1:262" s="239" customFormat="1" ht="61.5" x14ac:dyDescent="0.85">
      <c r="A734" s="239">
        <v>1</v>
      </c>
      <c r="B734" s="18">
        <f>SUBTOTAL(103,$A$558:A734)</f>
        <v>174</v>
      </c>
      <c r="C734" s="3" t="s">
        <v>997</v>
      </c>
      <c r="D734" s="5">
        <v>8021093.6299999999</v>
      </c>
      <c r="E734" s="5">
        <f t="shared" si="163"/>
        <v>0</v>
      </c>
      <c r="F734" s="5">
        <f t="shared" si="168"/>
        <v>8021093.6299999999</v>
      </c>
      <c r="G734" s="5">
        <v>0</v>
      </c>
      <c r="H734" s="5">
        <v>0</v>
      </c>
      <c r="I734" s="5">
        <v>0</v>
      </c>
      <c r="J734" s="5">
        <v>0</v>
      </c>
      <c r="K734" s="5">
        <v>1464542.39</v>
      </c>
      <c r="L734" s="5">
        <v>0</v>
      </c>
      <c r="M734" s="25">
        <v>0</v>
      </c>
      <c r="N734" s="5">
        <v>0</v>
      </c>
      <c r="O734" s="5">
        <v>1375.9</v>
      </c>
      <c r="P734" s="5">
        <f>6051559.71+150000</f>
        <v>6201559.71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f>ROUND((P734+K734)*1.5%,2)</f>
        <v>114991.53</v>
      </c>
      <c r="AF734" s="5">
        <v>0</v>
      </c>
      <c r="AG734" s="5">
        <v>240000</v>
      </c>
      <c r="AH734" s="246" t="s">
        <v>49</v>
      </c>
      <c r="AI734" s="246">
        <v>2021</v>
      </c>
      <c r="AJ734" s="6">
        <v>2021</v>
      </c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 t="e">
        <f>VLOOKUP(C734,AY:AZ,2,FALSE)</f>
        <v>#N/A</v>
      </c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36"/>
      <c r="CC734" s="2"/>
      <c r="CD734" s="2"/>
      <c r="CE734" s="2"/>
      <c r="CF734" s="2">
        <f t="shared" si="164"/>
        <v>1375.9</v>
      </c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</row>
    <row r="735" spans="1:262" ht="61.5" x14ac:dyDescent="0.85">
      <c r="A735" s="2">
        <v>1</v>
      </c>
      <c r="B735" s="18">
        <f>SUBTOTAL(103,$A$558:A735)</f>
        <v>175</v>
      </c>
      <c r="C735" s="3" t="s">
        <v>579</v>
      </c>
      <c r="D735" s="5"/>
      <c r="E735" s="5">
        <f t="shared" si="163"/>
        <v>-3849194.52</v>
      </c>
      <c r="F735" s="5">
        <f t="shared" si="168"/>
        <v>3849194.52</v>
      </c>
      <c r="G735" s="5">
        <v>0</v>
      </c>
      <c r="H735" s="5">
        <v>0</v>
      </c>
      <c r="I735" s="5">
        <v>0</v>
      </c>
      <c r="J735" s="5">
        <v>0</v>
      </c>
      <c r="K735" s="5">
        <v>0</v>
      </c>
      <c r="L735" s="5">
        <v>0</v>
      </c>
      <c r="M735" s="241">
        <v>2</v>
      </c>
      <c r="N735" s="5">
        <v>3699194.52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150000</v>
      </c>
      <c r="AG735" s="5">
        <v>0</v>
      </c>
      <c r="AH735" s="246">
        <v>2021</v>
      </c>
      <c r="AI735" s="246">
        <v>2021</v>
      </c>
      <c r="AJ735" s="6" t="s">
        <v>49</v>
      </c>
      <c r="CB735" s="236"/>
      <c r="CF735" s="2" t="e">
        <f t="shared" si="164"/>
        <v>#N/A</v>
      </c>
    </row>
    <row r="736" spans="1:262" ht="61.5" x14ac:dyDescent="0.85">
      <c r="A736" s="2">
        <v>1</v>
      </c>
      <c r="B736" s="18">
        <f>SUBTOTAL(103,$A$558:A736)</f>
        <v>176</v>
      </c>
      <c r="C736" s="3" t="s">
        <v>1556</v>
      </c>
      <c r="D736" s="5"/>
      <c r="E736" s="5">
        <f t="shared" si="163"/>
        <v>-3849194.52</v>
      </c>
      <c r="F736" s="5">
        <f t="shared" si="168"/>
        <v>3849194.52</v>
      </c>
      <c r="G736" s="5">
        <v>0</v>
      </c>
      <c r="H736" s="5">
        <v>0</v>
      </c>
      <c r="I736" s="5">
        <v>0</v>
      </c>
      <c r="J736" s="5">
        <v>0</v>
      </c>
      <c r="K736" s="5">
        <v>0</v>
      </c>
      <c r="L736" s="5">
        <v>0</v>
      </c>
      <c r="M736" s="241">
        <v>2</v>
      </c>
      <c r="N736" s="5">
        <v>3699194.52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150000</v>
      </c>
      <c r="AG736" s="5">
        <v>0</v>
      </c>
      <c r="AH736" s="246">
        <v>2021</v>
      </c>
      <c r="AI736" s="246">
        <v>2021</v>
      </c>
      <c r="AJ736" s="6" t="s">
        <v>49</v>
      </c>
      <c r="CB736" s="236"/>
      <c r="CF736" s="2" t="e">
        <f t="shared" si="164"/>
        <v>#N/A</v>
      </c>
    </row>
    <row r="737" spans="1:84" ht="61.5" x14ac:dyDescent="0.85">
      <c r="B737" s="3" t="s">
        <v>1232</v>
      </c>
      <c r="C737" s="442"/>
      <c r="D737" s="244">
        <v>47943565.089999996</v>
      </c>
      <c r="E737" s="233">
        <f t="shared" si="163"/>
        <v>-15027269.149999999</v>
      </c>
      <c r="F737" s="244">
        <f t="shared" ref="F737:AG737" si="169">SUM(F738:F744)</f>
        <v>62970834.239999995</v>
      </c>
      <c r="G737" s="5">
        <f t="shared" si="169"/>
        <v>1687981.85</v>
      </c>
      <c r="H737" s="5">
        <f t="shared" si="169"/>
        <v>3794416.2800000003</v>
      </c>
      <c r="I737" s="5">
        <f t="shared" si="169"/>
        <v>8172581.8799999999</v>
      </c>
      <c r="J737" s="5">
        <f t="shared" si="169"/>
        <v>3136482.6500000004</v>
      </c>
      <c r="K737" s="5">
        <f t="shared" si="169"/>
        <v>6112887.9399999995</v>
      </c>
      <c r="L737" s="5">
        <f t="shared" si="169"/>
        <v>0</v>
      </c>
      <c r="M737" s="241">
        <f t="shared" si="169"/>
        <v>6</v>
      </c>
      <c r="N737" s="5">
        <f t="shared" si="169"/>
        <v>13433212</v>
      </c>
      <c r="O737" s="5">
        <f t="shared" si="169"/>
        <v>0</v>
      </c>
      <c r="P737" s="5">
        <f t="shared" si="169"/>
        <v>0</v>
      </c>
      <c r="Q737" s="5">
        <f t="shared" si="169"/>
        <v>0</v>
      </c>
      <c r="R737" s="5">
        <f t="shared" si="169"/>
        <v>0</v>
      </c>
      <c r="S737" s="5">
        <f t="shared" si="169"/>
        <v>13569.8</v>
      </c>
      <c r="T737" s="5">
        <f t="shared" si="169"/>
        <v>25211533.380000003</v>
      </c>
      <c r="U737" s="5">
        <f t="shared" si="169"/>
        <v>0</v>
      </c>
      <c r="V737" s="5">
        <f t="shared" si="169"/>
        <v>0</v>
      </c>
      <c r="W737" s="5">
        <f t="shared" si="169"/>
        <v>0</v>
      </c>
      <c r="X737" s="5">
        <f t="shared" si="169"/>
        <v>0</v>
      </c>
      <c r="Y737" s="5">
        <f t="shared" si="169"/>
        <v>0</v>
      </c>
      <c r="Z737" s="5">
        <f t="shared" si="169"/>
        <v>0</v>
      </c>
      <c r="AA737" s="5">
        <f t="shared" si="169"/>
        <v>0</v>
      </c>
      <c r="AB737" s="5">
        <f t="shared" si="169"/>
        <v>0</v>
      </c>
      <c r="AC737" s="5">
        <f t="shared" si="169"/>
        <v>0</v>
      </c>
      <c r="AD737" s="5">
        <f t="shared" si="169"/>
        <v>0</v>
      </c>
      <c r="AE737" s="5">
        <f t="shared" si="169"/>
        <v>721738.26</v>
      </c>
      <c r="AF737" s="5">
        <f t="shared" si="169"/>
        <v>700000</v>
      </c>
      <c r="AG737" s="5">
        <f t="shared" si="169"/>
        <v>0</v>
      </c>
      <c r="AH737" s="23" t="s">
        <v>90</v>
      </c>
      <c r="AI737" s="23" t="s">
        <v>90</v>
      </c>
      <c r="AJ737" s="27" t="s">
        <v>90</v>
      </c>
      <c r="AV737" s="2" t="e">
        <f>VLOOKUP(C737,AY:AZ,2,FALSE)</f>
        <v>#N/A</v>
      </c>
      <c r="CB737" s="236">
        <v>21856214.649999999</v>
      </c>
      <c r="CD737" s="236">
        <f>CB737-F737</f>
        <v>-41114619.589999996</v>
      </c>
      <c r="CF737" s="2" t="e">
        <f t="shared" si="164"/>
        <v>#N/A</v>
      </c>
    </row>
    <row r="738" spans="1:84" ht="61.5" x14ac:dyDescent="0.85">
      <c r="A738" s="2">
        <v>1</v>
      </c>
      <c r="B738" s="18">
        <f>SUBTOTAL(103,$A$558:A738)</f>
        <v>177</v>
      </c>
      <c r="C738" s="3" t="s">
        <v>81</v>
      </c>
      <c r="D738" s="5">
        <v>8993212</v>
      </c>
      <c r="E738" s="5">
        <f t="shared" si="163"/>
        <v>130000</v>
      </c>
      <c r="F738" s="5">
        <f>G738+H738+I738+J738+K738+L738+N738+P738+R738+T738+V738+W738+X738+Y738+Z738+AA738+AB738+AC738+AD738+AE738+AF738+AG738</f>
        <v>8863212</v>
      </c>
      <c r="G738" s="5">
        <v>0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241">
        <v>4</v>
      </c>
      <c r="N738" s="5">
        <v>8863212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246" t="s">
        <v>49</v>
      </c>
      <c r="AI738" s="246">
        <v>2021</v>
      </c>
      <c r="AJ738" s="6" t="s">
        <v>49</v>
      </c>
      <c r="AV738" s="2" t="e">
        <f>VLOOKUP(C738,AY:AZ,2,FALSE)</f>
        <v>#N/A</v>
      </c>
      <c r="CB738" s="236"/>
      <c r="CF738" s="2" t="e">
        <f t="shared" si="164"/>
        <v>#N/A</v>
      </c>
    </row>
    <row r="739" spans="1:84" ht="61.5" x14ac:dyDescent="0.85">
      <c r="A739" s="2">
        <v>1</v>
      </c>
      <c r="B739" s="18">
        <f>SUBTOTAL(103,$A$558:A739)</f>
        <v>178</v>
      </c>
      <c r="C739" s="3" t="s">
        <v>1557</v>
      </c>
      <c r="D739" s="5">
        <v>7201018.8100000005</v>
      </c>
      <c r="E739" s="5">
        <f t="shared" si="163"/>
        <v>0</v>
      </c>
      <c r="F739" s="5">
        <f>G739+H739+I739+J739+K739+L739+N739+P739+R739+T739+V739+W739+X739+Y739+Z739+AA739+AB739+AC739+AD739+AE739+AF739+AG739</f>
        <v>7201018.8100000005</v>
      </c>
      <c r="G739" s="5">
        <v>601798.30000000005</v>
      </c>
      <c r="H739" s="5">
        <v>1360064.57</v>
      </c>
      <c r="I739" s="5">
        <v>2159210.9500000002</v>
      </c>
      <c r="J739" s="5">
        <v>1072260.3</v>
      </c>
      <c r="K739" s="5">
        <v>1605699.19</v>
      </c>
      <c r="L739" s="5">
        <v>0</v>
      </c>
      <c r="M739" s="241">
        <v>0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f>ROUND((G739+H739+I739+J739+K739+L739)*1.5%,2)</f>
        <v>101985.5</v>
      </c>
      <c r="AF739" s="5">
        <v>300000</v>
      </c>
      <c r="AG739" s="5">
        <v>0</v>
      </c>
      <c r="AH739" s="246">
        <v>2021</v>
      </c>
      <c r="AI739" s="246">
        <v>2021</v>
      </c>
      <c r="AJ739" s="6">
        <v>2021</v>
      </c>
      <c r="AV739" s="2" t="e">
        <f>VLOOKUP(C739,AY:AZ,2,FALSE)</f>
        <v>#N/A</v>
      </c>
      <c r="CB739" s="236"/>
      <c r="CF739" s="2" t="e">
        <f t="shared" si="164"/>
        <v>#N/A</v>
      </c>
    </row>
    <row r="740" spans="1:84" ht="61.5" x14ac:dyDescent="0.85">
      <c r="A740" s="2">
        <v>1</v>
      </c>
      <c r="B740" s="18">
        <f>SUBTOTAL(103,$A$558:A740)</f>
        <v>179</v>
      </c>
      <c r="C740" s="3" t="s">
        <v>1558</v>
      </c>
      <c r="D740" s="5">
        <v>5661983.8399999999</v>
      </c>
      <c r="E740" s="5">
        <f t="shared" si="163"/>
        <v>0</v>
      </c>
      <c r="F740" s="5">
        <f>G740+H740+I740+J740+K740+L740+N740+P740+R740+T740+V740+W740+X740+Y740+Z740+AA740+AB740+AC740+AD740+AE740+AF740+AG740</f>
        <v>5661983.8399999999</v>
      </c>
      <c r="G740" s="5">
        <v>0</v>
      </c>
      <c r="H740" s="5">
        <v>0</v>
      </c>
      <c r="I740" s="5">
        <v>0</v>
      </c>
      <c r="J740" s="5">
        <v>0</v>
      </c>
      <c r="K740" s="5">
        <v>0</v>
      </c>
      <c r="L740" s="5">
        <v>0</v>
      </c>
      <c r="M740" s="241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2476.9</v>
      </c>
      <c r="T740" s="5">
        <v>5381264.8700000001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f>ROUND(T740*1.5%,2)</f>
        <v>80718.97</v>
      </c>
      <c r="AF740" s="5">
        <v>200000</v>
      </c>
      <c r="AG740" s="5">
        <v>0</v>
      </c>
      <c r="AH740" s="246">
        <v>2021</v>
      </c>
      <c r="AI740" s="246">
        <v>2021</v>
      </c>
      <c r="AJ740" s="6">
        <v>2021</v>
      </c>
      <c r="AV740" s="2" t="e">
        <f>VLOOKUP(C740,AY:AZ,2,FALSE)</f>
        <v>#N/A</v>
      </c>
      <c r="CB740" s="236"/>
      <c r="CF740" s="2" t="e">
        <f t="shared" si="164"/>
        <v>#N/A</v>
      </c>
    </row>
    <row r="741" spans="1:84" ht="61.5" x14ac:dyDescent="0.85">
      <c r="A741" s="2">
        <v>1</v>
      </c>
      <c r="B741" s="18">
        <f>SUBTOTAL(103,$A$558:A741)</f>
        <v>180</v>
      </c>
      <c r="C741" s="3" t="s">
        <v>1559</v>
      </c>
      <c r="D741" s="5">
        <v>11772100.469999999</v>
      </c>
      <c r="E741" s="5">
        <f t="shared" si="163"/>
        <v>-4574796.58</v>
      </c>
      <c r="F741" s="5">
        <f t="shared" ref="F741:F744" si="170">G741+H741+I741+J741+K741+L741+N741+P741+R741+T741+V741+W741+X741+Y741+Z741+AA741+AB741+AC741+AD741+AE741+AF741+AG741</f>
        <v>16346897.049999999</v>
      </c>
      <c r="G741" s="5">
        <v>1086183.55</v>
      </c>
      <c r="H741" s="5">
        <v>2434351.71</v>
      </c>
      <c r="I741" s="5">
        <f>5505401.14+507969.79</f>
        <v>6013370.9299999997</v>
      </c>
      <c r="J741" s="5">
        <v>2064222.35</v>
      </c>
      <c r="K741" s="5">
        <v>4507188.75</v>
      </c>
      <c r="L741" s="5">
        <v>0</v>
      </c>
      <c r="M741" s="241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f>ROUND((G741+H741+I741+J741+K741+L741)*1.5%,2)</f>
        <v>241579.76</v>
      </c>
      <c r="AF741" s="5">
        <v>0</v>
      </c>
      <c r="AG741" s="5">
        <v>0</v>
      </c>
      <c r="AH741" s="6" t="s">
        <v>49</v>
      </c>
      <c r="AI741" s="246">
        <v>2021</v>
      </c>
      <c r="AJ741" s="6">
        <v>2021</v>
      </c>
      <c r="CB741" s="236"/>
      <c r="CF741" s="2" t="e">
        <f t="shared" si="164"/>
        <v>#N/A</v>
      </c>
    </row>
    <row r="742" spans="1:84" ht="61.5" x14ac:dyDescent="0.85">
      <c r="A742" s="2">
        <v>1</v>
      </c>
      <c r="B742" s="18">
        <f>SUBTOTAL(103,$A$558:A742)</f>
        <v>181</v>
      </c>
      <c r="C742" s="3" t="s">
        <v>1234</v>
      </c>
      <c r="D742" s="5">
        <v>14315249.970000001</v>
      </c>
      <c r="E742" s="5">
        <f t="shared" si="163"/>
        <v>0</v>
      </c>
      <c r="F742" s="5">
        <f t="shared" si="170"/>
        <v>14315249.970000001</v>
      </c>
      <c r="G742" s="5">
        <v>0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241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8596</v>
      </c>
      <c r="T742" s="5">
        <v>14103694.550000001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f>ROUND(T742*1.5%,2)</f>
        <v>211555.42</v>
      </c>
      <c r="AF742" s="48">
        <v>0</v>
      </c>
      <c r="AG742" s="5">
        <v>0</v>
      </c>
      <c r="AH742" s="6" t="s">
        <v>49</v>
      </c>
      <c r="AI742" s="246">
        <v>2021</v>
      </c>
      <c r="AJ742" s="6">
        <v>2021</v>
      </c>
      <c r="AV742" s="2" t="e">
        <f>VLOOKUP(C742,AY:AZ,2,FALSE)</f>
        <v>#N/A</v>
      </c>
      <c r="CB742" s="236"/>
      <c r="CF742" s="2" t="e">
        <f t="shared" si="164"/>
        <v>#N/A</v>
      </c>
    </row>
    <row r="743" spans="1:84" ht="61.5" x14ac:dyDescent="0.85">
      <c r="A743" s="2">
        <v>1</v>
      </c>
      <c r="B743" s="18">
        <f>SUBTOTAL(103,$A$558:A743)</f>
        <v>182</v>
      </c>
      <c r="C743" s="3" t="s">
        <v>1560</v>
      </c>
      <c r="D743" s="5">
        <v>4570000</v>
      </c>
      <c r="E743" s="5">
        <f t="shared" si="163"/>
        <v>0</v>
      </c>
      <c r="F743" s="5">
        <f t="shared" si="170"/>
        <v>4570000</v>
      </c>
      <c r="G743" s="5">
        <v>0</v>
      </c>
      <c r="H743" s="5">
        <v>0</v>
      </c>
      <c r="I743" s="5">
        <v>0</v>
      </c>
      <c r="J743" s="5">
        <v>0</v>
      </c>
      <c r="K743" s="5">
        <v>0</v>
      </c>
      <c r="L743" s="5">
        <v>0</v>
      </c>
      <c r="M743" s="241">
        <v>2</v>
      </c>
      <c r="N743" s="5">
        <v>4570000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6" t="s">
        <v>49</v>
      </c>
      <c r="AI743" s="246">
        <v>2021</v>
      </c>
      <c r="AJ743" s="6" t="s">
        <v>49</v>
      </c>
      <c r="CB743" s="236"/>
      <c r="CF743" s="2" t="e">
        <f t="shared" si="164"/>
        <v>#N/A</v>
      </c>
    </row>
    <row r="744" spans="1:84" ht="61.5" x14ac:dyDescent="0.85">
      <c r="A744" s="2">
        <v>1</v>
      </c>
      <c r="B744" s="18">
        <f>SUBTOTAL(103,$A$558:A744)</f>
        <v>183</v>
      </c>
      <c r="C744" s="3" t="s">
        <v>1561</v>
      </c>
      <c r="D744" s="5"/>
      <c r="E744" s="5">
        <f t="shared" si="163"/>
        <v>-6012472.5700000003</v>
      </c>
      <c r="F744" s="5">
        <f t="shared" si="170"/>
        <v>6012472.5700000003</v>
      </c>
      <c r="G744" s="247">
        <v>0</v>
      </c>
      <c r="H744" s="247">
        <v>0</v>
      </c>
      <c r="I744" s="247">
        <v>0</v>
      </c>
      <c r="J744" s="247">
        <v>0</v>
      </c>
      <c r="K744" s="247">
        <v>0</v>
      </c>
      <c r="L744" s="247">
        <v>0</v>
      </c>
      <c r="M744" s="241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2496.9</v>
      </c>
      <c r="T744" s="5">
        <v>5726573.96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f>ROUND(T744*1.5%,2)</f>
        <v>85898.61</v>
      </c>
      <c r="AF744" s="5">
        <v>200000</v>
      </c>
      <c r="AG744" s="5">
        <v>0</v>
      </c>
      <c r="AH744" s="246">
        <v>2021</v>
      </c>
      <c r="AI744" s="246">
        <v>2021</v>
      </c>
      <c r="AJ744" s="6">
        <v>2021</v>
      </c>
      <c r="AV744" s="2" t="e">
        <f t="shared" ref="AV744:AV757" si="171">VLOOKUP(C744,AY:AZ,2,FALSE)</f>
        <v>#N/A</v>
      </c>
      <c r="CB744" s="236"/>
      <c r="CF744" s="2" t="e">
        <f t="shared" si="164"/>
        <v>#N/A</v>
      </c>
    </row>
    <row r="745" spans="1:84" ht="61.5" x14ac:dyDescent="0.85">
      <c r="B745" s="3" t="s">
        <v>96</v>
      </c>
      <c r="C745" s="442"/>
      <c r="D745" s="244">
        <v>84154449.210000008</v>
      </c>
      <c r="E745" s="233">
        <f t="shared" si="163"/>
        <v>-22213686.950000003</v>
      </c>
      <c r="F745" s="244">
        <f t="shared" ref="F745:AG745" si="172">SUM(F746:F770)</f>
        <v>106368136.16000001</v>
      </c>
      <c r="G745" s="5">
        <f t="shared" si="172"/>
        <v>0</v>
      </c>
      <c r="H745" s="5">
        <f t="shared" si="172"/>
        <v>0</v>
      </c>
      <c r="I745" s="5">
        <f t="shared" si="172"/>
        <v>667639.41</v>
      </c>
      <c r="J745" s="5">
        <f t="shared" si="172"/>
        <v>153564.57</v>
      </c>
      <c r="K745" s="5">
        <f t="shared" si="172"/>
        <v>0</v>
      </c>
      <c r="L745" s="5">
        <f t="shared" si="172"/>
        <v>0</v>
      </c>
      <c r="M745" s="26">
        <f t="shared" si="172"/>
        <v>1</v>
      </c>
      <c r="N745" s="5">
        <f t="shared" si="172"/>
        <v>1806134.26</v>
      </c>
      <c r="O745" s="5">
        <f t="shared" si="172"/>
        <v>14778.56</v>
      </c>
      <c r="P745" s="5">
        <f t="shared" si="172"/>
        <v>73989063.680000022</v>
      </c>
      <c r="Q745" s="5">
        <f t="shared" si="172"/>
        <v>0</v>
      </c>
      <c r="R745" s="5">
        <f t="shared" si="172"/>
        <v>0</v>
      </c>
      <c r="S745" s="5">
        <f t="shared" si="172"/>
        <v>2448</v>
      </c>
      <c r="T745" s="5">
        <f t="shared" si="172"/>
        <v>12099320.48</v>
      </c>
      <c r="U745" s="5">
        <f t="shared" si="172"/>
        <v>365.8</v>
      </c>
      <c r="V745" s="5">
        <f t="shared" si="172"/>
        <v>5931913.29</v>
      </c>
      <c r="W745" s="5">
        <f t="shared" si="172"/>
        <v>8019245.6799999997</v>
      </c>
      <c r="X745" s="5">
        <f t="shared" si="172"/>
        <v>0</v>
      </c>
      <c r="Y745" s="5">
        <f t="shared" si="172"/>
        <v>0</v>
      </c>
      <c r="Z745" s="5">
        <f t="shared" si="172"/>
        <v>0</v>
      </c>
      <c r="AA745" s="5">
        <f t="shared" si="172"/>
        <v>0</v>
      </c>
      <c r="AB745" s="5">
        <f t="shared" si="172"/>
        <v>0</v>
      </c>
      <c r="AC745" s="5">
        <f t="shared" si="172"/>
        <v>0</v>
      </c>
      <c r="AD745" s="5">
        <f t="shared" si="172"/>
        <v>0</v>
      </c>
      <c r="AE745" s="5">
        <f t="shared" si="172"/>
        <v>1512911.2100000002</v>
      </c>
      <c r="AF745" s="5">
        <f t="shared" si="172"/>
        <v>2068343.58</v>
      </c>
      <c r="AG745" s="5">
        <f t="shared" si="172"/>
        <v>120000</v>
      </c>
      <c r="AH745" s="23" t="s">
        <v>90</v>
      </c>
      <c r="AI745" s="23" t="s">
        <v>90</v>
      </c>
      <c r="AJ745" s="27" t="s">
        <v>90</v>
      </c>
      <c r="AV745" s="2" t="e">
        <f t="shared" si="171"/>
        <v>#N/A</v>
      </c>
      <c r="CB745" s="236">
        <v>55019080.369999997</v>
      </c>
      <c r="CD745" s="236">
        <f>CB745-F745</f>
        <v>-51349055.790000014</v>
      </c>
      <c r="CF745" s="2" t="e">
        <f t="shared" si="164"/>
        <v>#N/A</v>
      </c>
    </row>
    <row r="746" spans="1:84" ht="61.5" x14ac:dyDescent="0.85">
      <c r="A746" s="2">
        <v>1</v>
      </c>
      <c r="B746" s="18">
        <f>SUBTOTAL(103,$A$558:A746)</f>
        <v>184</v>
      </c>
      <c r="C746" s="3" t="s">
        <v>1562</v>
      </c>
      <c r="D746" s="5">
        <v>4335833</v>
      </c>
      <c r="E746" s="5">
        <f t="shared" si="163"/>
        <v>30210.480000000447</v>
      </c>
      <c r="F746" s="5">
        <f t="shared" ref="F746:F770" si="173">G746+H746+I746+J746+K746+L746+N746+P746+R746+T746+V746+W746+X746+Y746+Z746+AA746+AB746+AC746+AD746+AE746+AF746+AG746</f>
        <v>4305622.5199999996</v>
      </c>
      <c r="G746" s="247">
        <v>0</v>
      </c>
      <c r="H746" s="247">
        <v>0</v>
      </c>
      <c r="I746" s="247">
        <v>0</v>
      </c>
      <c r="J746" s="247">
        <v>0</v>
      </c>
      <c r="K746" s="247">
        <v>0</v>
      </c>
      <c r="L746" s="247">
        <v>0</v>
      </c>
      <c r="M746" s="241">
        <v>0</v>
      </c>
      <c r="N746" s="5">
        <v>0</v>
      </c>
      <c r="O746" s="5">
        <v>773</v>
      </c>
      <c r="P746" s="5">
        <v>4123973.4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f t="shared" ref="AE746:AE754" si="174">ROUND(P746*1.5%,2)</f>
        <v>61859.6</v>
      </c>
      <c r="AF746" s="36">
        <v>119789.52</v>
      </c>
      <c r="AG746" s="5">
        <v>0</v>
      </c>
      <c r="AH746" s="246">
        <v>2021</v>
      </c>
      <c r="AI746" s="246">
        <v>2021</v>
      </c>
      <c r="AJ746" s="6">
        <v>2021</v>
      </c>
      <c r="AV746" s="2" t="e">
        <f t="shared" si="171"/>
        <v>#N/A</v>
      </c>
      <c r="CB746" s="236"/>
      <c r="CF746" s="2" t="e">
        <f t="shared" si="164"/>
        <v>#N/A</v>
      </c>
    </row>
    <row r="747" spans="1:84" ht="61.5" x14ac:dyDescent="0.85">
      <c r="A747" s="2">
        <v>1</v>
      </c>
      <c r="B747" s="18">
        <f>SUBTOTAL(103,$A$558:A747)</f>
        <v>185</v>
      </c>
      <c r="C747" s="3" t="s">
        <v>1563</v>
      </c>
      <c r="D747" s="5">
        <v>5909484.1499999994</v>
      </c>
      <c r="E747" s="5">
        <f t="shared" si="163"/>
        <v>60164.580000000075</v>
      </c>
      <c r="F747" s="5">
        <f t="shared" si="173"/>
        <v>5849319.5699999994</v>
      </c>
      <c r="G747" s="247">
        <v>0</v>
      </c>
      <c r="H747" s="247">
        <v>0</v>
      </c>
      <c r="I747" s="247">
        <v>0</v>
      </c>
      <c r="J747" s="247">
        <v>0</v>
      </c>
      <c r="K747" s="247">
        <v>0</v>
      </c>
      <c r="L747" s="247">
        <v>0</v>
      </c>
      <c r="M747" s="241">
        <v>0</v>
      </c>
      <c r="N747" s="5">
        <v>0</v>
      </c>
      <c r="O747" s="5">
        <v>1050</v>
      </c>
      <c r="P747" s="5">
        <v>5644811.9699999997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f t="shared" si="174"/>
        <v>84672.18</v>
      </c>
      <c r="AF747" s="36">
        <v>119835.42</v>
      </c>
      <c r="AG747" s="5">
        <v>0</v>
      </c>
      <c r="AH747" s="246">
        <v>2021</v>
      </c>
      <c r="AI747" s="246">
        <v>2021</v>
      </c>
      <c r="AJ747" s="6">
        <v>2021</v>
      </c>
      <c r="AV747" s="2" t="e">
        <f t="shared" si="171"/>
        <v>#N/A</v>
      </c>
      <c r="CB747" s="236"/>
      <c r="CF747" s="2" t="e">
        <f t="shared" si="164"/>
        <v>#N/A</v>
      </c>
    </row>
    <row r="748" spans="1:84" ht="61.5" x14ac:dyDescent="0.85">
      <c r="A748" s="2">
        <v>1</v>
      </c>
      <c r="B748" s="18">
        <f>SUBTOTAL(103,$A$558:A748)</f>
        <v>186</v>
      </c>
      <c r="C748" s="3" t="s">
        <v>1564</v>
      </c>
      <c r="D748" s="5">
        <v>4721220</v>
      </c>
      <c r="E748" s="5">
        <f t="shared" si="163"/>
        <v>30180.44000000041</v>
      </c>
      <c r="F748" s="5">
        <f t="shared" si="173"/>
        <v>4691039.5599999996</v>
      </c>
      <c r="G748" s="247">
        <v>0</v>
      </c>
      <c r="H748" s="247">
        <v>0</v>
      </c>
      <c r="I748" s="247">
        <v>0</v>
      </c>
      <c r="J748" s="247">
        <v>0</v>
      </c>
      <c r="K748" s="247">
        <v>0</v>
      </c>
      <c r="L748" s="247">
        <v>0</v>
      </c>
      <c r="M748" s="241">
        <v>0</v>
      </c>
      <c r="N748" s="5">
        <v>0</v>
      </c>
      <c r="O748" s="5">
        <v>945</v>
      </c>
      <c r="P748" s="5">
        <v>4503665.0199999996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f t="shared" si="174"/>
        <v>67554.98</v>
      </c>
      <c r="AF748" s="36">
        <v>119819.56</v>
      </c>
      <c r="AG748" s="5">
        <v>0</v>
      </c>
      <c r="AH748" s="246">
        <v>2021</v>
      </c>
      <c r="AI748" s="246">
        <v>2021</v>
      </c>
      <c r="AJ748" s="6">
        <v>2021</v>
      </c>
      <c r="AV748" s="2" t="e">
        <f t="shared" si="171"/>
        <v>#N/A</v>
      </c>
      <c r="CB748" s="236"/>
      <c r="CF748" s="2" t="e">
        <f t="shared" si="164"/>
        <v>#N/A</v>
      </c>
    </row>
    <row r="749" spans="1:84" ht="61.5" x14ac:dyDescent="0.85">
      <c r="A749" s="2">
        <v>1</v>
      </c>
      <c r="B749" s="18">
        <f>SUBTOTAL(103,$A$558:A749)</f>
        <v>187</v>
      </c>
      <c r="C749" s="3" t="s">
        <v>926</v>
      </c>
      <c r="D749" s="5">
        <v>3393650</v>
      </c>
      <c r="E749" s="5">
        <f t="shared" si="163"/>
        <v>85713.220000000205</v>
      </c>
      <c r="F749" s="5">
        <f t="shared" si="173"/>
        <v>3307936.78</v>
      </c>
      <c r="G749" s="247">
        <v>0</v>
      </c>
      <c r="H749" s="247">
        <v>0</v>
      </c>
      <c r="I749" s="247">
        <v>0</v>
      </c>
      <c r="J749" s="247">
        <v>0</v>
      </c>
      <c r="K749" s="247">
        <v>0</v>
      </c>
      <c r="L749" s="247">
        <v>0</v>
      </c>
      <c r="M749" s="241">
        <v>0</v>
      </c>
      <c r="N749" s="5">
        <v>0</v>
      </c>
      <c r="O749" s="5">
        <v>650</v>
      </c>
      <c r="P749" s="5">
        <v>3195714.29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f t="shared" si="174"/>
        <v>47935.71</v>
      </c>
      <c r="AF749" s="36">
        <v>64286.78</v>
      </c>
      <c r="AG749" s="5">
        <v>0</v>
      </c>
      <c r="AH749" s="246">
        <v>2021</v>
      </c>
      <c r="AI749" s="246">
        <v>2021</v>
      </c>
      <c r="AJ749" s="6">
        <v>2021</v>
      </c>
      <c r="AV749" s="2">
        <f t="shared" si="171"/>
        <v>1</v>
      </c>
      <c r="CB749" s="236"/>
      <c r="CF749" s="2" t="e">
        <f t="shared" si="164"/>
        <v>#N/A</v>
      </c>
    </row>
    <row r="750" spans="1:84" ht="61.5" x14ac:dyDescent="0.85">
      <c r="A750" s="2">
        <v>1</v>
      </c>
      <c r="B750" s="18">
        <f>SUBTOTAL(103,$A$558:A750)</f>
        <v>188</v>
      </c>
      <c r="C750" s="3" t="s">
        <v>1565</v>
      </c>
      <c r="D750" s="5">
        <v>5195840</v>
      </c>
      <c r="E750" s="5">
        <f t="shared" si="163"/>
        <v>60144.589999999851</v>
      </c>
      <c r="F750" s="5">
        <f t="shared" si="173"/>
        <v>5135695.41</v>
      </c>
      <c r="G750" s="247">
        <v>0</v>
      </c>
      <c r="H750" s="247">
        <v>0</v>
      </c>
      <c r="I750" s="247">
        <v>0</v>
      </c>
      <c r="J750" s="247">
        <v>0</v>
      </c>
      <c r="K750" s="247">
        <v>0</v>
      </c>
      <c r="L750" s="247">
        <v>0</v>
      </c>
      <c r="M750" s="241">
        <v>0</v>
      </c>
      <c r="N750" s="5">
        <v>0</v>
      </c>
      <c r="O750" s="5">
        <v>1040</v>
      </c>
      <c r="P750" s="5">
        <v>4941714.29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f t="shared" si="174"/>
        <v>74125.710000000006</v>
      </c>
      <c r="AF750" s="36">
        <v>119855.41</v>
      </c>
      <c r="AG750" s="5">
        <v>0</v>
      </c>
      <c r="AH750" s="246">
        <v>2021</v>
      </c>
      <c r="AI750" s="246">
        <v>2021</v>
      </c>
      <c r="AJ750" s="6">
        <v>2021</v>
      </c>
      <c r="AV750" s="2" t="e">
        <f t="shared" si="171"/>
        <v>#N/A</v>
      </c>
      <c r="CB750" s="236"/>
      <c r="CF750" s="2" t="e">
        <f t="shared" si="164"/>
        <v>#N/A</v>
      </c>
    </row>
    <row r="751" spans="1:84" ht="61.5" x14ac:dyDescent="0.85">
      <c r="A751" s="2">
        <v>1</v>
      </c>
      <c r="B751" s="18">
        <f>SUBTOTAL(103,$A$558:A751)</f>
        <v>189</v>
      </c>
      <c r="C751" s="3" t="s">
        <v>928</v>
      </c>
      <c r="D751" s="5">
        <v>4892077</v>
      </c>
      <c r="E751" s="5">
        <f t="shared" si="163"/>
        <v>30127.799999999814</v>
      </c>
      <c r="F751" s="5">
        <f t="shared" si="173"/>
        <v>4861949.2</v>
      </c>
      <c r="G751" s="247">
        <v>0</v>
      </c>
      <c r="H751" s="247">
        <v>0</v>
      </c>
      <c r="I751" s="247">
        <v>0</v>
      </c>
      <c r="J751" s="247">
        <v>0</v>
      </c>
      <c r="K751" s="247">
        <v>0</v>
      </c>
      <c r="L751" s="247">
        <v>0</v>
      </c>
      <c r="M751" s="241">
        <v>0</v>
      </c>
      <c r="N751" s="5">
        <v>0</v>
      </c>
      <c r="O751" s="5">
        <v>937</v>
      </c>
      <c r="P751" s="5">
        <v>4671997.04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f t="shared" si="174"/>
        <v>70079.960000000006</v>
      </c>
      <c r="AF751" s="36">
        <v>119872.2</v>
      </c>
      <c r="AG751" s="5">
        <v>0</v>
      </c>
      <c r="AH751" s="246">
        <v>2021</v>
      </c>
      <c r="AI751" s="246">
        <v>2021</v>
      </c>
      <c r="AJ751" s="6">
        <v>2021</v>
      </c>
      <c r="AV751" s="2">
        <f t="shared" si="171"/>
        <v>1</v>
      </c>
      <c r="CB751" s="236"/>
      <c r="CF751" s="2" t="e">
        <f t="shared" si="164"/>
        <v>#N/A</v>
      </c>
    </row>
    <row r="752" spans="1:84" ht="61.5" x14ac:dyDescent="0.85">
      <c r="A752" s="2">
        <v>1</v>
      </c>
      <c r="B752" s="18">
        <f>SUBTOTAL(103,$A$558:A752)</f>
        <v>190</v>
      </c>
      <c r="C752" s="3" t="s">
        <v>1566</v>
      </c>
      <c r="D752" s="5">
        <v>2921671.6</v>
      </c>
      <c r="E752" s="5">
        <f t="shared" si="163"/>
        <v>69212.180000000168</v>
      </c>
      <c r="F752" s="5">
        <f t="shared" si="173"/>
        <v>2852459.42</v>
      </c>
      <c r="G752" s="247">
        <v>0</v>
      </c>
      <c r="H752" s="247">
        <v>0</v>
      </c>
      <c r="I752" s="247">
        <v>0</v>
      </c>
      <c r="J752" s="247">
        <v>0</v>
      </c>
      <c r="K752" s="247">
        <v>0</v>
      </c>
      <c r="L752" s="247">
        <v>0</v>
      </c>
      <c r="M752" s="241">
        <v>0</v>
      </c>
      <c r="N752" s="5">
        <v>0</v>
      </c>
      <c r="O752" s="5">
        <v>559.6</v>
      </c>
      <c r="P752" s="5">
        <v>2730710.94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f t="shared" si="174"/>
        <v>40960.660000000003</v>
      </c>
      <c r="AF752" s="36">
        <v>80787.820000000007</v>
      </c>
      <c r="AG752" s="5">
        <v>0</v>
      </c>
      <c r="AH752" s="246">
        <v>2021</v>
      </c>
      <c r="AI752" s="246">
        <v>2021</v>
      </c>
      <c r="AJ752" s="6">
        <v>2021</v>
      </c>
      <c r="AV752" s="2" t="e">
        <f t="shared" si="171"/>
        <v>#N/A</v>
      </c>
      <c r="CB752" s="236"/>
      <c r="CF752" s="2" t="e">
        <f t="shared" si="164"/>
        <v>#N/A</v>
      </c>
    </row>
    <row r="753" spans="1:262" ht="61.5" x14ac:dyDescent="0.85">
      <c r="A753" s="2">
        <v>1</v>
      </c>
      <c r="B753" s="18">
        <f>SUBTOTAL(103,$A$558:A753)</f>
        <v>191</v>
      </c>
      <c r="C753" s="3" t="s">
        <v>1567</v>
      </c>
      <c r="D753" s="5">
        <v>4923403</v>
      </c>
      <c r="E753" s="5">
        <f t="shared" si="163"/>
        <v>30138.179999999702</v>
      </c>
      <c r="F753" s="5">
        <f t="shared" si="173"/>
        <v>4893264.82</v>
      </c>
      <c r="G753" s="247">
        <v>0</v>
      </c>
      <c r="H753" s="247">
        <v>0</v>
      </c>
      <c r="I753" s="247">
        <v>0</v>
      </c>
      <c r="J753" s="247">
        <v>0</v>
      </c>
      <c r="K753" s="247">
        <v>0</v>
      </c>
      <c r="L753" s="247">
        <v>0</v>
      </c>
      <c r="M753" s="241">
        <v>0</v>
      </c>
      <c r="N753" s="5">
        <v>0</v>
      </c>
      <c r="O753" s="5">
        <v>943</v>
      </c>
      <c r="P753" s="5">
        <v>4702860.0999999996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f t="shared" si="174"/>
        <v>70542.899999999994</v>
      </c>
      <c r="AF753" s="36">
        <v>119861.82</v>
      </c>
      <c r="AG753" s="5">
        <v>0</v>
      </c>
      <c r="AH753" s="246">
        <v>2021</v>
      </c>
      <c r="AI753" s="246">
        <v>2021</v>
      </c>
      <c r="AJ753" s="6">
        <v>2021</v>
      </c>
      <c r="AV753" s="2" t="e">
        <f t="shared" si="171"/>
        <v>#N/A</v>
      </c>
      <c r="CB753" s="236"/>
      <c r="CF753" s="2" t="e">
        <f t="shared" si="164"/>
        <v>#N/A</v>
      </c>
    </row>
    <row r="754" spans="1:262" ht="61.5" x14ac:dyDescent="0.85">
      <c r="A754" s="2">
        <v>1</v>
      </c>
      <c r="B754" s="18">
        <f>SUBTOTAL(103,$A$558:A754)</f>
        <v>192</v>
      </c>
      <c r="C754" s="3" t="s">
        <v>1568</v>
      </c>
      <c r="D754" s="5">
        <v>2767130</v>
      </c>
      <c r="E754" s="5">
        <f t="shared" si="163"/>
        <v>86275.970000000205</v>
      </c>
      <c r="F754" s="5">
        <f t="shared" si="173"/>
        <v>2680854.0299999998</v>
      </c>
      <c r="G754" s="247">
        <v>0</v>
      </c>
      <c r="H754" s="247">
        <v>0</v>
      </c>
      <c r="I754" s="247">
        <v>0</v>
      </c>
      <c r="J754" s="247">
        <v>0</v>
      </c>
      <c r="K754" s="247">
        <v>0</v>
      </c>
      <c r="L754" s="247">
        <v>0</v>
      </c>
      <c r="M754" s="241">
        <v>0</v>
      </c>
      <c r="N754" s="5">
        <v>0</v>
      </c>
      <c r="O754" s="5">
        <v>530</v>
      </c>
      <c r="P754" s="5">
        <v>2578453.2000000002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f t="shared" si="174"/>
        <v>38676.800000000003</v>
      </c>
      <c r="AF754" s="36">
        <v>63724.03</v>
      </c>
      <c r="AG754" s="5">
        <v>0</v>
      </c>
      <c r="AH754" s="246">
        <v>2021</v>
      </c>
      <c r="AI754" s="246">
        <v>2021</v>
      </c>
      <c r="AJ754" s="6">
        <v>2021</v>
      </c>
      <c r="AV754" s="2" t="e">
        <f t="shared" si="171"/>
        <v>#N/A</v>
      </c>
      <c r="CB754" s="236"/>
      <c r="CF754" s="2" t="e">
        <f t="shared" si="164"/>
        <v>#N/A</v>
      </c>
    </row>
    <row r="755" spans="1:262" ht="61.5" x14ac:dyDescent="0.85">
      <c r="A755" s="2">
        <v>1</v>
      </c>
      <c r="B755" s="18">
        <f>SUBTOTAL(103,$A$558:A755)</f>
        <v>193</v>
      </c>
      <c r="C755" s="3" t="s">
        <v>1249</v>
      </c>
      <c r="D755" s="5">
        <v>2248303</v>
      </c>
      <c r="E755" s="5">
        <f t="shared" si="163"/>
        <v>442168.74</v>
      </c>
      <c r="F755" s="5">
        <f t="shared" si="173"/>
        <v>1806134.26</v>
      </c>
      <c r="G755" s="247">
        <v>0</v>
      </c>
      <c r="H755" s="247">
        <v>0</v>
      </c>
      <c r="I755" s="247">
        <v>0</v>
      </c>
      <c r="J755" s="247">
        <v>0</v>
      </c>
      <c r="K755" s="247">
        <v>0</v>
      </c>
      <c r="L755" s="247">
        <v>0</v>
      </c>
      <c r="M755" s="25">
        <v>1</v>
      </c>
      <c r="N755" s="5">
        <v>1806134.26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0</v>
      </c>
      <c r="AE755" s="5">
        <v>0</v>
      </c>
      <c r="AF755" s="5">
        <v>0</v>
      </c>
      <c r="AG755" s="5">
        <v>0</v>
      </c>
      <c r="AH755" s="246" t="s">
        <v>49</v>
      </c>
      <c r="AI755" s="246">
        <v>2021</v>
      </c>
      <c r="AJ755" s="6" t="s">
        <v>49</v>
      </c>
      <c r="AV755" s="2" t="e">
        <f t="shared" si="171"/>
        <v>#N/A</v>
      </c>
      <c r="CB755" s="236"/>
      <c r="CF755" s="2" t="e">
        <f t="shared" si="164"/>
        <v>#N/A</v>
      </c>
    </row>
    <row r="756" spans="1:262" ht="61.5" x14ac:dyDescent="0.85">
      <c r="A756" s="2">
        <v>1</v>
      </c>
      <c r="B756" s="18">
        <f>SUBTOTAL(103,$A$558:A756)</f>
        <v>194</v>
      </c>
      <c r="C756" s="3" t="s">
        <v>1569</v>
      </c>
      <c r="D756" s="5">
        <v>5495600.0099999998</v>
      </c>
      <c r="E756" s="5">
        <f t="shared" si="163"/>
        <v>60078.730000000447</v>
      </c>
      <c r="F756" s="5">
        <f t="shared" si="173"/>
        <v>5435521.2799999993</v>
      </c>
      <c r="G756" s="247">
        <v>0</v>
      </c>
      <c r="H756" s="247">
        <v>0</v>
      </c>
      <c r="I756" s="247">
        <v>0</v>
      </c>
      <c r="J756" s="247">
        <v>0</v>
      </c>
      <c r="K756" s="247">
        <v>0</v>
      </c>
      <c r="L756" s="247">
        <v>0</v>
      </c>
      <c r="M756" s="241">
        <v>0</v>
      </c>
      <c r="N756" s="5">
        <v>0</v>
      </c>
      <c r="O756" s="5">
        <v>1100</v>
      </c>
      <c r="P756" s="5">
        <v>5237044.34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f t="shared" ref="AE756:AE762" si="175">ROUND(P756*1.5%,2)</f>
        <v>78555.67</v>
      </c>
      <c r="AF756" s="36">
        <v>119921.27</v>
      </c>
      <c r="AG756" s="5">
        <v>0</v>
      </c>
      <c r="AH756" s="246">
        <v>2021</v>
      </c>
      <c r="AI756" s="246">
        <v>2021</v>
      </c>
      <c r="AJ756" s="6">
        <v>2021</v>
      </c>
      <c r="AV756" s="2" t="e">
        <f t="shared" si="171"/>
        <v>#N/A</v>
      </c>
      <c r="CB756" s="236"/>
      <c r="CF756" s="2" t="e">
        <f t="shared" si="164"/>
        <v>#N/A</v>
      </c>
    </row>
    <row r="757" spans="1:262" ht="61.5" x14ac:dyDescent="0.85">
      <c r="A757" s="2">
        <v>1</v>
      </c>
      <c r="B757" s="18">
        <f>SUBTOTAL(103,$A$558:A757)</f>
        <v>195</v>
      </c>
      <c r="C757" s="3" t="s">
        <v>1570</v>
      </c>
      <c r="D757" s="5">
        <v>4364006</v>
      </c>
      <c r="E757" s="5">
        <f t="shared" si="163"/>
        <v>30122.110000000335</v>
      </c>
      <c r="F757" s="5">
        <f t="shared" si="173"/>
        <v>4333883.8899999997</v>
      </c>
      <c r="G757" s="247">
        <v>0</v>
      </c>
      <c r="H757" s="247">
        <v>0</v>
      </c>
      <c r="I757" s="247">
        <v>0</v>
      </c>
      <c r="J757" s="247">
        <v>0</v>
      </c>
      <c r="K757" s="247">
        <v>0</v>
      </c>
      <c r="L757" s="247">
        <v>0</v>
      </c>
      <c r="M757" s="241">
        <v>0</v>
      </c>
      <c r="N757" s="5">
        <v>0</v>
      </c>
      <c r="O757" s="5">
        <v>873.5</v>
      </c>
      <c r="P757" s="5">
        <v>4151730.05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f t="shared" si="175"/>
        <v>62275.95</v>
      </c>
      <c r="AF757" s="36">
        <v>119877.89</v>
      </c>
      <c r="AG757" s="5">
        <v>0</v>
      </c>
      <c r="AH757" s="246">
        <v>2021</v>
      </c>
      <c r="AI757" s="246">
        <v>2021</v>
      </c>
      <c r="AJ757" s="6">
        <v>2021</v>
      </c>
      <c r="AV757" s="2" t="e">
        <f t="shared" si="171"/>
        <v>#N/A</v>
      </c>
      <c r="CB757" s="236"/>
      <c r="CF757" s="2" t="e">
        <f t="shared" si="164"/>
        <v>#N/A</v>
      </c>
    </row>
    <row r="758" spans="1:262" ht="61.5" x14ac:dyDescent="0.85">
      <c r="A758" s="2">
        <v>1</v>
      </c>
      <c r="B758" s="18">
        <f>SUBTOTAL(103,$A$558:A758)</f>
        <v>196</v>
      </c>
      <c r="C758" s="3" t="s">
        <v>1571</v>
      </c>
      <c r="D758" s="5">
        <v>3850862.6100000003</v>
      </c>
      <c r="E758" s="5">
        <f t="shared" si="163"/>
        <v>44788.790000000037</v>
      </c>
      <c r="F758" s="5">
        <f t="shared" si="173"/>
        <v>3806073.8200000003</v>
      </c>
      <c r="G758" s="5">
        <v>0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241">
        <v>0</v>
      </c>
      <c r="N758" s="5">
        <v>0</v>
      </c>
      <c r="O758" s="5">
        <v>766</v>
      </c>
      <c r="P758" s="5">
        <f>3812708.18-206610.58+59776.89</f>
        <v>3665874.49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f t="shared" si="175"/>
        <v>54988.12</v>
      </c>
      <c r="AF758" s="36">
        <v>85211.21</v>
      </c>
      <c r="AG758" s="5">
        <v>0</v>
      </c>
      <c r="AH758" s="246">
        <v>2021</v>
      </c>
      <c r="AI758" s="246">
        <v>2021</v>
      </c>
      <c r="AJ758" s="6">
        <v>2021</v>
      </c>
      <c r="CB758" s="236"/>
      <c r="CF758" s="2" t="e">
        <f t="shared" si="164"/>
        <v>#N/A</v>
      </c>
    </row>
    <row r="759" spans="1:262" ht="61.5" x14ac:dyDescent="0.85">
      <c r="A759" s="2">
        <v>1</v>
      </c>
      <c r="B759" s="18">
        <f>SUBTOTAL(103,$A$558:A759)</f>
        <v>197</v>
      </c>
      <c r="C759" s="3" t="s">
        <v>1572</v>
      </c>
      <c r="D759" s="5">
        <v>2693242.85</v>
      </c>
      <c r="E759" s="5">
        <f t="shared" si="163"/>
        <v>171.87000000011176</v>
      </c>
      <c r="F759" s="5">
        <f t="shared" si="173"/>
        <v>2693070.98</v>
      </c>
      <c r="G759" s="5">
        <v>0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241">
        <v>0</v>
      </c>
      <c r="N759" s="5">
        <v>0</v>
      </c>
      <c r="O759" s="5">
        <v>729.73</v>
      </c>
      <c r="P759" s="5">
        <v>2554919.06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f t="shared" si="175"/>
        <v>38323.79</v>
      </c>
      <c r="AF759" s="36">
        <v>99828.13</v>
      </c>
      <c r="AG759" s="5">
        <v>0</v>
      </c>
      <c r="AH759" s="246">
        <v>2021</v>
      </c>
      <c r="AI759" s="246">
        <v>2021</v>
      </c>
      <c r="AJ759" s="6">
        <v>2021</v>
      </c>
      <c r="CB759" s="236"/>
      <c r="CF759" s="2" t="e">
        <f t="shared" si="164"/>
        <v>#N/A</v>
      </c>
    </row>
    <row r="760" spans="1:262" ht="61.5" x14ac:dyDescent="0.85">
      <c r="A760" s="2">
        <v>1</v>
      </c>
      <c r="B760" s="18">
        <f>SUBTOTAL(103,$A$558:A760)</f>
        <v>198</v>
      </c>
      <c r="C760" s="3" t="s">
        <v>1573</v>
      </c>
      <c r="D760" s="5">
        <v>2003970.19</v>
      </c>
      <c r="E760" s="5">
        <f t="shared" si="163"/>
        <v>37201.679999999935</v>
      </c>
      <c r="F760" s="5">
        <f t="shared" si="173"/>
        <v>1966768.51</v>
      </c>
      <c r="G760" s="5">
        <v>0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241">
        <v>0</v>
      </c>
      <c r="N760" s="5">
        <v>0</v>
      </c>
      <c r="O760" s="5">
        <v>383.77</v>
      </c>
      <c r="P760" s="5">
        <v>1875832.7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f t="shared" si="175"/>
        <v>28137.49</v>
      </c>
      <c r="AF760" s="36">
        <v>62798.32</v>
      </c>
      <c r="AG760" s="5">
        <v>0</v>
      </c>
      <c r="AH760" s="246">
        <v>2021</v>
      </c>
      <c r="AI760" s="246">
        <v>2021</v>
      </c>
      <c r="AJ760" s="6">
        <v>2021</v>
      </c>
      <c r="CB760" s="236"/>
      <c r="CF760" s="2" t="e">
        <f t="shared" si="164"/>
        <v>#N/A</v>
      </c>
    </row>
    <row r="761" spans="1:262" ht="61.5" x14ac:dyDescent="0.85">
      <c r="A761" s="2">
        <v>1</v>
      </c>
      <c r="B761" s="18">
        <f>SUBTOTAL(103,$A$558:A761)</f>
        <v>199</v>
      </c>
      <c r="C761" s="3" t="s">
        <v>1574</v>
      </c>
      <c r="D761" s="5">
        <v>3795204.2399999998</v>
      </c>
      <c r="E761" s="5">
        <f t="shared" si="163"/>
        <v>28853.689999999944</v>
      </c>
      <c r="F761" s="5">
        <f t="shared" si="173"/>
        <v>3766350.55</v>
      </c>
      <c r="G761" s="5">
        <v>0</v>
      </c>
      <c r="H761" s="5">
        <v>0</v>
      </c>
      <c r="I761" s="5">
        <v>0</v>
      </c>
      <c r="J761" s="5">
        <v>0</v>
      </c>
      <c r="K761" s="5">
        <v>0</v>
      </c>
      <c r="L761" s="5">
        <v>0</v>
      </c>
      <c r="M761" s="241">
        <v>0</v>
      </c>
      <c r="N761" s="5">
        <v>0</v>
      </c>
      <c r="O761" s="5">
        <v>726.8</v>
      </c>
      <c r="P761" s="5">
        <v>3620890.88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f t="shared" si="175"/>
        <v>54313.36</v>
      </c>
      <c r="AF761" s="36">
        <v>91146.31</v>
      </c>
      <c r="AG761" s="5">
        <v>0</v>
      </c>
      <c r="AH761" s="246">
        <v>2021</v>
      </c>
      <c r="AI761" s="246">
        <v>2021</v>
      </c>
      <c r="AJ761" s="6">
        <v>2021</v>
      </c>
      <c r="CB761" s="236"/>
      <c r="CF761" s="2" t="e">
        <f t="shared" si="164"/>
        <v>#N/A</v>
      </c>
    </row>
    <row r="762" spans="1:262" ht="61.5" x14ac:dyDescent="0.85">
      <c r="A762" s="2">
        <v>1</v>
      </c>
      <c r="B762" s="18">
        <f>SUBTOTAL(103,$A$558:A762)</f>
        <v>200</v>
      </c>
      <c r="C762" s="3" t="s">
        <v>1575</v>
      </c>
      <c r="D762" s="5">
        <v>2221249.2799999998</v>
      </c>
      <c r="E762" s="5">
        <f t="shared" si="163"/>
        <v>25947.839999999851</v>
      </c>
      <c r="F762" s="5">
        <f t="shared" si="173"/>
        <v>2195301.44</v>
      </c>
      <c r="G762" s="5">
        <v>0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241">
        <v>0</v>
      </c>
      <c r="N762" s="5">
        <v>0</v>
      </c>
      <c r="O762" s="5">
        <v>425.38</v>
      </c>
      <c r="P762" s="5">
        <v>2089900.77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f t="shared" si="175"/>
        <v>31348.51</v>
      </c>
      <c r="AF762" s="36">
        <v>74052.160000000003</v>
      </c>
      <c r="AG762" s="5">
        <v>0</v>
      </c>
      <c r="AH762" s="246">
        <v>2021</v>
      </c>
      <c r="AI762" s="246">
        <v>2021</v>
      </c>
      <c r="AJ762" s="6">
        <v>2021</v>
      </c>
      <c r="CB762" s="236"/>
      <c r="CF762" s="2" t="e">
        <f t="shared" si="164"/>
        <v>#N/A</v>
      </c>
    </row>
    <row r="763" spans="1:262" ht="61.5" x14ac:dyDescent="0.85">
      <c r="A763" s="2">
        <v>1</v>
      </c>
      <c r="B763" s="18">
        <f>SUBTOTAL(103,$A$558:A763)</f>
        <v>201</v>
      </c>
      <c r="C763" s="3" t="s">
        <v>82</v>
      </c>
      <c r="D763" s="5">
        <v>16858961.600000001</v>
      </c>
      <c r="E763" s="5">
        <f t="shared" si="163"/>
        <v>-102175.73000000045</v>
      </c>
      <c r="F763" s="5">
        <f t="shared" si="173"/>
        <v>16961137.330000002</v>
      </c>
      <c r="G763" s="247">
        <v>0</v>
      </c>
      <c r="H763" s="247">
        <v>0</v>
      </c>
      <c r="I763" s="247">
        <v>0</v>
      </c>
      <c r="J763" s="247">
        <v>0</v>
      </c>
      <c r="K763" s="247">
        <v>0</v>
      </c>
      <c r="L763" s="247">
        <v>0</v>
      </c>
      <c r="M763" s="241">
        <v>0</v>
      </c>
      <c r="N763" s="5">
        <v>0</v>
      </c>
      <c r="O763" s="5">
        <v>0</v>
      </c>
      <c r="P763" s="5">
        <v>0</v>
      </c>
      <c r="Q763" s="247">
        <v>0</v>
      </c>
      <c r="R763" s="247">
        <v>0</v>
      </c>
      <c r="S763" s="5">
        <v>2448</v>
      </c>
      <c r="T763" s="5">
        <f>13074770.52-1165153.63+43983.36+394249.55-377278.61+128749.29</f>
        <v>12099320.48</v>
      </c>
      <c r="U763" s="5">
        <v>229</v>
      </c>
      <c r="V763" s="5">
        <f>ROUND((4698151.31-120000)/101.5*100,2)</f>
        <v>4510493.9000000004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f>ROUND((T763+V763)*1.5%,2)</f>
        <v>249147.22</v>
      </c>
      <c r="AF763" s="7">
        <v>102175.73</v>
      </c>
      <c r="AG763" s="5">
        <v>0</v>
      </c>
      <c r="AH763" s="246">
        <v>2021</v>
      </c>
      <c r="AI763" s="246">
        <v>2021</v>
      </c>
      <c r="AJ763" s="6">
        <v>2021</v>
      </c>
      <c r="AV763" s="2" t="e">
        <f>VLOOKUP(C763,AY:AZ,2,FALSE)</f>
        <v>#N/A</v>
      </c>
      <c r="CB763" s="236"/>
      <c r="CF763" s="2" t="e">
        <f t="shared" si="164"/>
        <v>#N/A</v>
      </c>
    </row>
    <row r="764" spans="1:262" ht="61.5" x14ac:dyDescent="0.85">
      <c r="A764" s="2">
        <v>1</v>
      </c>
      <c r="B764" s="18">
        <f>SUBTOTAL(103,$A$558:A764)</f>
        <v>202</v>
      </c>
      <c r="C764" s="3" t="s">
        <v>1576</v>
      </c>
      <c r="D764" s="5">
        <v>1562740.68</v>
      </c>
      <c r="E764" s="5">
        <f t="shared" si="163"/>
        <v>0</v>
      </c>
      <c r="F764" s="5">
        <f>G764+H764+I764+J764+K764+L764+N764+P764+R764+T764+V764+W764+X764+Y764+Z764+AA764+AB764+AC764+AD764+AE764+AF764+AG764</f>
        <v>1562740.68</v>
      </c>
      <c r="G764" s="247">
        <v>0</v>
      </c>
      <c r="H764" s="247">
        <v>0</v>
      </c>
      <c r="I764" s="247">
        <v>0</v>
      </c>
      <c r="J764" s="247">
        <v>0</v>
      </c>
      <c r="K764" s="247">
        <v>0</v>
      </c>
      <c r="L764" s="247">
        <v>0</v>
      </c>
      <c r="M764" s="241">
        <v>0</v>
      </c>
      <c r="N764" s="5">
        <v>0</v>
      </c>
      <c r="O764" s="5">
        <v>0</v>
      </c>
      <c r="P764" s="5">
        <v>0</v>
      </c>
      <c r="Q764" s="247">
        <v>0</v>
      </c>
      <c r="R764" s="247">
        <v>0</v>
      </c>
      <c r="S764" s="5">
        <v>0</v>
      </c>
      <c r="T764" s="5">
        <v>0</v>
      </c>
      <c r="U764" s="5">
        <v>136.80000000000001</v>
      </c>
      <c r="V764" s="5">
        <v>1421419.39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f>ROUND(V764*1.5%,2)</f>
        <v>21321.29</v>
      </c>
      <c r="AF764" s="5">
        <v>0</v>
      </c>
      <c r="AG764" s="5">
        <v>120000</v>
      </c>
      <c r="AH764" s="246" t="s">
        <v>49</v>
      </c>
      <c r="AI764" s="246">
        <v>2021</v>
      </c>
      <c r="AJ764" s="6">
        <v>2021</v>
      </c>
      <c r="CB764" s="236"/>
      <c r="CF764" s="2" t="e">
        <f t="shared" si="164"/>
        <v>#N/A</v>
      </c>
    </row>
    <row r="765" spans="1:262" ht="61.5" x14ac:dyDescent="0.85">
      <c r="A765" s="2">
        <v>1</v>
      </c>
      <c r="B765" s="18">
        <f>SUBTOTAL(103,$A$558:A765)</f>
        <v>203</v>
      </c>
      <c r="C765" s="3" t="s">
        <v>1237</v>
      </c>
      <c r="D765" s="5">
        <v>6392534.7800000003</v>
      </c>
      <c r="E765" s="5">
        <f t="shared" si="163"/>
        <v>-1746999.5899999999</v>
      </c>
      <c r="F765" s="5">
        <f t="shared" si="173"/>
        <v>8139534.3700000001</v>
      </c>
      <c r="G765" s="247">
        <v>0</v>
      </c>
      <c r="H765" s="247">
        <v>0</v>
      </c>
      <c r="I765" s="247">
        <v>0</v>
      </c>
      <c r="J765" s="247">
        <v>0</v>
      </c>
      <c r="K765" s="247">
        <v>0</v>
      </c>
      <c r="L765" s="247">
        <v>0</v>
      </c>
      <c r="M765" s="241">
        <v>0</v>
      </c>
      <c r="N765" s="5">
        <v>0</v>
      </c>
      <c r="O765" s="5">
        <v>0</v>
      </c>
      <c r="P765" s="5">
        <v>0</v>
      </c>
      <c r="Q765" s="247">
        <v>0</v>
      </c>
      <c r="R765" s="247">
        <v>0</v>
      </c>
      <c r="S765" s="247">
        <v>0</v>
      </c>
      <c r="T765" s="247">
        <v>0</v>
      </c>
      <c r="U765" s="5">
        <v>0</v>
      </c>
      <c r="V765" s="5">
        <v>0</v>
      </c>
      <c r="W765" s="5">
        <f>5969062.77+200000+1850182.91</f>
        <v>8019245.6799999997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f>ROUND(W765*1.5%,2)</f>
        <v>120288.69</v>
      </c>
      <c r="AF765" s="5">
        <v>0</v>
      </c>
      <c r="AG765" s="5">
        <v>0</v>
      </c>
      <c r="AH765" s="246" t="s">
        <v>49</v>
      </c>
      <c r="AI765" s="246">
        <v>2021</v>
      </c>
      <c r="AJ765" s="6">
        <v>2021</v>
      </c>
      <c r="AV765" s="2" t="e">
        <f>VLOOKUP(C765,AY:AZ,2,FALSE)</f>
        <v>#N/A</v>
      </c>
      <c r="CB765" s="236"/>
      <c r="CF765" s="2" t="e">
        <f t="shared" si="164"/>
        <v>#N/A</v>
      </c>
    </row>
    <row r="766" spans="1:262" s="239" customFormat="1" ht="61.5" x14ac:dyDescent="0.85">
      <c r="A766" s="239">
        <v>1</v>
      </c>
      <c r="B766" s="18">
        <f>SUBTOTAL(103,$A$558:A766)</f>
        <v>204</v>
      </c>
      <c r="C766" s="3" t="s">
        <v>1577</v>
      </c>
      <c r="D766" s="5">
        <v>833522.04</v>
      </c>
      <c r="E766" s="5">
        <f t="shared" ref="E766:E829" si="176">D766-F766</f>
        <v>0</v>
      </c>
      <c r="F766" s="5">
        <f t="shared" si="173"/>
        <v>833522.04</v>
      </c>
      <c r="G766" s="247">
        <v>0</v>
      </c>
      <c r="H766" s="247">
        <v>0</v>
      </c>
      <c r="I766" s="247">
        <f>567639.41+100000</f>
        <v>667639.41</v>
      </c>
      <c r="J766" s="247">
        <v>153564.57</v>
      </c>
      <c r="K766" s="247">
        <v>0</v>
      </c>
      <c r="L766" s="247">
        <v>0</v>
      </c>
      <c r="M766" s="25">
        <v>0</v>
      </c>
      <c r="N766" s="5">
        <v>0</v>
      </c>
      <c r="O766" s="5">
        <v>0</v>
      </c>
      <c r="P766" s="5">
        <v>0</v>
      </c>
      <c r="Q766" s="247">
        <v>0</v>
      </c>
      <c r="R766" s="247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f>ROUND((G766+H766+I766+J766+K766+L766)*1.5%,2)</f>
        <v>12318.06</v>
      </c>
      <c r="AF766" s="5">
        <v>0</v>
      </c>
      <c r="AG766" s="5">
        <v>0</v>
      </c>
      <c r="AH766" s="246" t="s">
        <v>49</v>
      </c>
      <c r="AI766" s="246">
        <v>2021</v>
      </c>
      <c r="AJ766" s="6">
        <v>2021</v>
      </c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36"/>
      <c r="CC766" s="2"/>
      <c r="CD766" s="2"/>
      <c r="CE766" s="2"/>
      <c r="CF766" s="2" t="e">
        <f t="shared" si="164"/>
        <v>#N/A</v>
      </c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</row>
    <row r="767" spans="1:262" s="239" customFormat="1" ht="61.5" x14ac:dyDescent="0.85">
      <c r="A767" s="239">
        <v>1</v>
      </c>
      <c r="B767" s="18">
        <f>SUBTOTAL(103,$A$558:A767)</f>
        <v>205</v>
      </c>
      <c r="C767" s="3" t="s">
        <v>1248</v>
      </c>
      <c r="D767" s="5">
        <v>6277200.2999999998</v>
      </c>
      <c r="E767" s="5">
        <f t="shared" si="176"/>
        <v>130960.34999999963</v>
      </c>
      <c r="F767" s="5">
        <f t="shared" si="173"/>
        <v>6146239.9500000002</v>
      </c>
      <c r="G767" s="5">
        <v>0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25">
        <v>0</v>
      </c>
      <c r="N767" s="5">
        <v>0</v>
      </c>
      <c r="O767" s="5">
        <v>1010.5</v>
      </c>
      <c r="P767" s="5">
        <v>6055408.8200000003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f>ROUND(P767*1.5%,2)</f>
        <v>90831.13</v>
      </c>
      <c r="AF767" s="5">
        <v>0</v>
      </c>
      <c r="AG767" s="5">
        <v>0</v>
      </c>
      <c r="AH767" s="246" t="s">
        <v>49</v>
      </c>
      <c r="AI767" s="246">
        <v>2021</v>
      </c>
      <c r="AJ767" s="6">
        <v>2021</v>
      </c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36"/>
      <c r="CC767" s="2"/>
      <c r="CD767" s="2"/>
      <c r="CE767" s="2"/>
      <c r="CF767" s="2" t="e">
        <f t="shared" ref="CF767:CF774" si="177">VLOOKUP(C767,CG:CH,2,FALSE)</f>
        <v>#N/A</v>
      </c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</row>
    <row r="768" spans="1:262" s="239" customFormat="1" ht="61.5" x14ac:dyDescent="0.85">
      <c r="A768" s="239">
        <v>1</v>
      </c>
      <c r="B768" s="18">
        <f>SUBTOTAL(103,$A$558:A768)</f>
        <v>206</v>
      </c>
      <c r="C768" s="3" t="s">
        <v>1578</v>
      </c>
      <c r="D768" s="5"/>
      <c r="E768" s="5">
        <f t="shared" si="176"/>
        <v>-3646987.83</v>
      </c>
      <c r="F768" s="5">
        <f t="shared" si="173"/>
        <v>3646987.83</v>
      </c>
      <c r="G768" s="5">
        <v>0</v>
      </c>
      <c r="H768" s="5">
        <v>0</v>
      </c>
      <c r="I768" s="5">
        <v>0</v>
      </c>
      <c r="J768" s="5">
        <v>0</v>
      </c>
      <c r="K768" s="5">
        <v>0</v>
      </c>
      <c r="L768" s="5">
        <v>0</v>
      </c>
      <c r="M768" s="25">
        <v>0</v>
      </c>
      <c r="N768" s="5">
        <v>0</v>
      </c>
      <c r="O768" s="5">
        <v>600</v>
      </c>
      <c r="P768" s="5">
        <f>O768*4200+100000+37682.91+362142.89+445186.84</f>
        <v>3465012.64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f>ROUND(P768*1.5%,2)</f>
        <v>51975.19</v>
      </c>
      <c r="AF768" s="5">
        <v>130000</v>
      </c>
      <c r="AG768" s="5">
        <v>0</v>
      </c>
      <c r="AH768" s="246">
        <v>2021</v>
      </c>
      <c r="AI768" s="246">
        <v>2021</v>
      </c>
      <c r="AJ768" s="6">
        <v>2021</v>
      </c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36"/>
      <c r="CC768" s="2"/>
      <c r="CD768" s="2"/>
      <c r="CE768" s="2"/>
      <c r="CF768" s="2" t="e">
        <f t="shared" si="177"/>
        <v>#N/A</v>
      </c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</row>
    <row r="769" spans="1:262" s="239" customFormat="1" ht="61.5" x14ac:dyDescent="0.85">
      <c r="A769" s="239">
        <v>1</v>
      </c>
      <c r="B769" s="18">
        <f>SUBTOTAL(103,$A$558:A769)</f>
        <v>207</v>
      </c>
      <c r="C769" s="3" t="s">
        <v>1579</v>
      </c>
      <c r="D769" s="5"/>
      <c r="E769" s="5">
        <f t="shared" si="176"/>
        <v>-2017991.4400000002</v>
      </c>
      <c r="F769" s="5">
        <f t="shared" si="173"/>
        <v>2017991.4400000002</v>
      </c>
      <c r="G769" s="5">
        <v>0</v>
      </c>
      <c r="H769" s="5">
        <v>0</v>
      </c>
      <c r="I769" s="5">
        <v>0</v>
      </c>
      <c r="J769" s="5">
        <v>0</v>
      </c>
      <c r="K769" s="5">
        <v>0</v>
      </c>
      <c r="L769" s="5">
        <v>0</v>
      </c>
      <c r="M769" s="25">
        <v>0</v>
      </c>
      <c r="N769" s="5">
        <v>0</v>
      </c>
      <c r="O769" s="5">
        <v>313.60000000000002</v>
      </c>
      <c r="P769" s="5">
        <f>O769*4200+100000+445186.84</f>
        <v>1862306.84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f>ROUND(P769*1.5%,2)</f>
        <v>27934.6</v>
      </c>
      <c r="AF769" s="5">
        <f>130000-2250</f>
        <v>127750</v>
      </c>
      <c r="AG769" s="5">
        <v>0</v>
      </c>
      <c r="AH769" s="246">
        <v>2021</v>
      </c>
      <c r="AI769" s="246">
        <v>2021</v>
      </c>
      <c r="AJ769" s="6">
        <v>2021</v>
      </c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36"/>
      <c r="CC769" s="2"/>
      <c r="CD769" s="2"/>
      <c r="CE769" s="2"/>
      <c r="CF769" s="2" t="e">
        <f t="shared" si="177"/>
        <v>#N/A</v>
      </c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</row>
    <row r="770" spans="1:262" s="239" customFormat="1" ht="61.5" x14ac:dyDescent="0.85">
      <c r="A770" s="239">
        <v>1</v>
      </c>
      <c r="B770" s="18">
        <f>SUBTOTAL(103,$A$558:A770)</f>
        <v>208</v>
      </c>
      <c r="C770" s="3" t="s">
        <v>1580</v>
      </c>
      <c r="D770" s="5"/>
      <c r="E770" s="5">
        <f t="shared" si="176"/>
        <v>-2478736.48</v>
      </c>
      <c r="F770" s="5">
        <f t="shared" si="173"/>
        <v>2478736.48</v>
      </c>
      <c r="G770" s="5">
        <v>0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25">
        <v>0</v>
      </c>
      <c r="N770" s="5">
        <v>0</v>
      </c>
      <c r="O770" s="5">
        <v>421.68</v>
      </c>
      <c r="P770" s="5">
        <f>O770*4200+100000+445186.84</f>
        <v>2316242.84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f>ROUND(P770*1.5%,2)</f>
        <v>34743.64</v>
      </c>
      <c r="AF770" s="5">
        <f>130000-2250</f>
        <v>127750</v>
      </c>
      <c r="AG770" s="5">
        <v>0</v>
      </c>
      <c r="AH770" s="246">
        <v>2021</v>
      </c>
      <c r="AI770" s="246">
        <v>2021</v>
      </c>
      <c r="AJ770" s="6">
        <v>2021</v>
      </c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36"/>
      <c r="CC770" s="2"/>
      <c r="CD770" s="2"/>
      <c r="CE770" s="2"/>
      <c r="CF770" s="2" t="e">
        <f t="shared" si="177"/>
        <v>#N/A</v>
      </c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</row>
    <row r="771" spans="1:262" ht="61.5" x14ac:dyDescent="0.85">
      <c r="B771" s="3" t="s">
        <v>97</v>
      </c>
      <c r="C771" s="3"/>
      <c r="D771" s="244">
        <v>19605520.310000002</v>
      </c>
      <c r="E771" s="233">
        <f t="shared" si="176"/>
        <v>-11974816.800000001</v>
      </c>
      <c r="F771" s="244">
        <f t="shared" ref="F771:AG771" si="178">SUM(F772:F778)</f>
        <v>31580337.110000003</v>
      </c>
      <c r="G771" s="5">
        <f t="shared" si="178"/>
        <v>145980.06</v>
      </c>
      <c r="H771" s="5">
        <f t="shared" si="178"/>
        <v>431178.77</v>
      </c>
      <c r="I771" s="5">
        <f t="shared" si="178"/>
        <v>1599107.07</v>
      </c>
      <c r="J771" s="5">
        <f t="shared" si="178"/>
        <v>270735.94</v>
      </c>
      <c r="K771" s="5">
        <f t="shared" si="178"/>
        <v>0</v>
      </c>
      <c r="L771" s="5">
        <f t="shared" si="178"/>
        <v>0</v>
      </c>
      <c r="M771" s="241">
        <f t="shared" si="178"/>
        <v>0</v>
      </c>
      <c r="N771" s="5">
        <f t="shared" si="178"/>
        <v>0</v>
      </c>
      <c r="O771" s="5">
        <f t="shared" si="178"/>
        <v>6158.1</v>
      </c>
      <c r="P771" s="5">
        <f t="shared" si="178"/>
        <v>27898157.869999997</v>
      </c>
      <c r="Q771" s="5">
        <f t="shared" si="178"/>
        <v>0</v>
      </c>
      <c r="R771" s="5">
        <f t="shared" si="178"/>
        <v>0</v>
      </c>
      <c r="S771" s="5">
        <f t="shared" si="178"/>
        <v>0</v>
      </c>
      <c r="T771" s="5">
        <f t="shared" si="178"/>
        <v>0</v>
      </c>
      <c r="U771" s="5">
        <f t="shared" si="178"/>
        <v>0</v>
      </c>
      <c r="V771" s="5">
        <f t="shared" si="178"/>
        <v>0</v>
      </c>
      <c r="W771" s="5">
        <f t="shared" si="178"/>
        <v>0</v>
      </c>
      <c r="X771" s="5">
        <f t="shared" si="178"/>
        <v>0</v>
      </c>
      <c r="Y771" s="5">
        <f t="shared" si="178"/>
        <v>0</v>
      </c>
      <c r="Z771" s="5">
        <f t="shared" si="178"/>
        <v>0</v>
      </c>
      <c r="AA771" s="5">
        <f t="shared" si="178"/>
        <v>0</v>
      </c>
      <c r="AB771" s="5">
        <f t="shared" si="178"/>
        <v>0</v>
      </c>
      <c r="AC771" s="5">
        <f t="shared" si="178"/>
        <v>0</v>
      </c>
      <c r="AD771" s="5">
        <f t="shared" si="178"/>
        <v>0</v>
      </c>
      <c r="AE771" s="5">
        <f t="shared" si="178"/>
        <v>455177.4</v>
      </c>
      <c r="AF771" s="5">
        <f t="shared" si="178"/>
        <v>780000</v>
      </c>
      <c r="AG771" s="5">
        <f t="shared" si="178"/>
        <v>0</v>
      </c>
      <c r="AH771" s="23" t="s">
        <v>90</v>
      </c>
      <c r="AI771" s="23" t="s">
        <v>90</v>
      </c>
      <c r="AJ771" s="27" t="s">
        <v>90</v>
      </c>
      <c r="AV771" s="2" t="e">
        <f>VLOOKUP(C771,AY:AZ,2,FALSE)</f>
        <v>#N/A</v>
      </c>
      <c r="CB771" s="236">
        <v>10075097.600000001</v>
      </c>
      <c r="CF771" s="2" t="e">
        <f t="shared" si="177"/>
        <v>#N/A</v>
      </c>
    </row>
    <row r="772" spans="1:262" ht="61.5" x14ac:dyDescent="0.85">
      <c r="A772" s="2">
        <v>1</v>
      </c>
      <c r="B772" s="18">
        <f>SUBTOTAL(103,$A$558:A772)</f>
        <v>209</v>
      </c>
      <c r="C772" s="3" t="s">
        <v>1581</v>
      </c>
      <c r="D772" s="5">
        <v>5608010</v>
      </c>
      <c r="E772" s="5">
        <f t="shared" si="176"/>
        <v>0</v>
      </c>
      <c r="F772" s="5">
        <f>G772+H772+I772+J772+K772+L772+N772+P772+R772+T772+V772+W772+X772+Y772+Z772+AA772+AB772+AC772+AD772+AE772+AF772+AG772</f>
        <v>5608010</v>
      </c>
      <c r="G772" s="247">
        <v>0</v>
      </c>
      <c r="H772" s="247">
        <v>0</v>
      </c>
      <c r="I772" s="247">
        <v>0</v>
      </c>
      <c r="J772" s="247">
        <v>0</v>
      </c>
      <c r="K772" s="247">
        <v>0</v>
      </c>
      <c r="L772" s="247">
        <v>0</v>
      </c>
      <c r="M772" s="241">
        <v>0</v>
      </c>
      <c r="N772" s="5">
        <v>0</v>
      </c>
      <c r="O772" s="5">
        <v>1122.5</v>
      </c>
      <c r="P772" s="5">
        <v>5347793.0999999996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f>ROUND(P772*1.5%,2)</f>
        <v>80216.899999999994</v>
      </c>
      <c r="AF772" s="5">
        <v>180000</v>
      </c>
      <c r="AG772" s="5">
        <v>0</v>
      </c>
      <c r="AH772" s="246">
        <v>2021</v>
      </c>
      <c r="AI772" s="246">
        <v>2021</v>
      </c>
      <c r="AJ772" s="6">
        <v>2021</v>
      </c>
      <c r="AV772" s="2" t="e">
        <f>VLOOKUP(C772,AY:AZ,2,FALSE)</f>
        <v>#N/A</v>
      </c>
      <c r="CB772" s="236"/>
      <c r="CF772" s="2" t="e">
        <f t="shared" si="177"/>
        <v>#N/A</v>
      </c>
    </row>
    <row r="773" spans="1:262" ht="61.5" x14ac:dyDescent="0.85">
      <c r="A773" s="2">
        <v>1</v>
      </c>
      <c r="B773" s="18">
        <f>SUBTOTAL(103,$A$558:A773)</f>
        <v>210</v>
      </c>
      <c r="C773" s="3" t="s">
        <v>1582</v>
      </c>
      <c r="D773" s="5">
        <v>4467087.6000000006</v>
      </c>
      <c r="E773" s="5">
        <f t="shared" si="176"/>
        <v>0</v>
      </c>
      <c r="F773" s="5">
        <f>G773+H773+I773+J773+K773+L773+N773+P773+R773+T773+V773+W773+X773+Y773+Z773+AA773+AB773+AC773+AD773+AE773+AF773+AG773</f>
        <v>4467087.6000000006</v>
      </c>
      <c r="G773" s="247">
        <v>0</v>
      </c>
      <c r="H773" s="247">
        <v>0</v>
      </c>
      <c r="I773" s="247">
        <v>0</v>
      </c>
      <c r="J773" s="247">
        <v>0</v>
      </c>
      <c r="K773" s="247">
        <v>0</v>
      </c>
      <c r="L773" s="247">
        <v>0</v>
      </c>
      <c r="M773" s="241">
        <v>0</v>
      </c>
      <c r="N773" s="5">
        <v>0</v>
      </c>
      <c r="O773" s="5">
        <v>855.6</v>
      </c>
      <c r="P773" s="5">
        <v>4253288.28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f>ROUND(P773*1.5%,2)</f>
        <v>63799.32</v>
      </c>
      <c r="AF773" s="5">
        <v>150000</v>
      </c>
      <c r="AG773" s="5">
        <v>0</v>
      </c>
      <c r="AH773" s="246">
        <v>2021</v>
      </c>
      <c r="AI773" s="246">
        <v>2021</v>
      </c>
      <c r="AJ773" s="6">
        <v>2021</v>
      </c>
      <c r="AV773" s="2" t="e">
        <f>VLOOKUP(C773,AY:AZ,2,FALSE)</f>
        <v>#N/A</v>
      </c>
      <c r="CB773" s="236"/>
      <c r="CF773" s="2" t="e">
        <f t="shared" si="177"/>
        <v>#N/A</v>
      </c>
    </row>
    <row r="774" spans="1:262" ht="61.5" x14ac:dyDescent="0.85">
      <c r="A774" s="2">
        <v>1</v>
      </c>
      <c r="B774" s="18">
        <f>SUBTOTAL(103,$A$558:A774)</f>
        <v>211</v>
      </c>
      <c r="C774" s="3" t="s">
        <v>1583</v>
      </c>
      <c r="D774" s="5">
        <v>2483706.87</v>
      </c>
      <c r="E774" s="5">
        <f t="shared" si="176"/>
        <v>0</v>
      </c>
      <c r="F774" s="5">
        <f>G774+H774+I774+J774+K774+L774+N774+P774+R774+T774+V774+W774+X774+Y774+Z774+AA774+AB774+AC774+AD774+AE774+AF774+AG774</f>
        <v>2483706.87</v>
      </c>
      <c r="G774" s="247">
        <v>145980.06</v>
      </c>
      <c r="H774" s="247">
        <v>431178.77</v>
      </c>
      <c r="I774" s="247">
        <v>1599107.07</v>
      </c>
      <c r="J774" s="247">
        <v>270735.94</v>
      </c>
      <c r="K774" s="247">
        <v>0</v>
      </c>
      <c r="L774" s="247">
        <v>0</v>
      </c>
      <c r="M774" s="241">
        <v>0</v>
      </c>
      <c r="N774" s="5">
        <v>0</v>
      </c>
      <c r="O774" s="5">
        <v>0</v>
      </c>
      <c r="P774" s="5">
        <v>0</v>
      </c>
      <c r="Q774" s="247">
        <v>0</v>
      </c>
      <c r="R774" s="247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f>ROUND((G774+H774+I774+J774+K774+L774)*1.5%,2)</f>
        <v>36705.03</v>
      </c>
      <c r="AF774" s="5">
        <v>0</v>
      </c>
      <c r="AG774" s="5">
        <v>0</v>
      </c>
      <c r="AH774" s="246" t="s">
        <v>49</v>
      </c>
      <c r="AI774" s="246">
        <v>2021</v>
      </c>
      <c r="AJ774" s="6">
        <v>2021</v>
      </c>
      <c r="CB774" s="236"/>
      <c r="CF774" s="2" t="e">
        <f t="shared" si="177"/>
        <v>#N/A</v>
      </c>
    </row>
    <row r="775" spans="1:262" ht="61.5" x14ac:dyDescent="0.85">
      <c r="A775" s="2">
        <v>1</v>
      </c>
      <c r="B775" s="18">
        <f>SUBTOTAL(103,$A$558:A775)</f>
        <v>212</v>
      </c>
      <c r="C775" s="3" t="s">
        <v>1584</v>
      </c>
      <c r="D775" s="5">
        <v>2819900</v>
      </c>
      <c r="E775" s="5">
        <f t="shared" si="176"/>
        <v>0</v>
      </c>
      <c r="F775" s="5">
        <f>G775+H775+I775+J775+K775+L775+N775+P775+R775+T775+V775+W775+X775+Y775+Z775+AA775+AB775+AC775+AD775+AE775+AF775+AG775</f>
        <v>2819900</v>
      </c>
      <c r="G775" s="249">
        <v>0</v>
      </c>
      <c r="H775" s="249">
        <v>0</v>
      </c>
      <c r="I775" s="249">
        <v>0</v>
      </c>
      <c r="J775" s="249">
        <v>0</v>
      </c>
      <c r="K775" s="249">
        <v>0</v>
      </c>
      <c r="L775" s="249">
        <v>0</v>
      </c>
      <c r="M775" s="257">
        <v>0</v>
      </c>
      <c r="N775" s="249">
        <v>0</v>
      </c>
      <c r="O775" s="5">
        <v>532</v>
      </c>
      <c r="P775" s="5">
        <f>O775*5000</f>
        <v>2660000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f>ROUND(P775*1.5%,2)</f>
        <v>39900</v>
      </c>
      <c r="AF775" s="5">
        <v>120000</v>
      </c>
      <c r="AG775" s="5">
        <v>0</v>
      </c>
      <c r="AH775" s="246">
        <v>2021</v>
      </c>
      <c r="AI775" s="246">
        <v>2021</v>
      </c>
      <c r="AJ775" s="6">
        <v>2021</v>
      </c>
      <c r="AV775" s="2" t="e">
        <f>VLOOKUP(C775,AY:AZ,2,FALSE)</f>
        <v>#N/A</v>
      </c>
      <c r="CB775" s="236"/>
    </row>
    <row r="776" spans="1:262" ht="61.5" x14ac:dyDescent="0.85">
      <c r="A776" s="2">
        <v>1</v>
      </c>
      <c r="B776" s="18">
        <f>SUBTOTAL(103,$A$558:A776)</f>
        <v>213</v>
      </c>
      <c r="C776" s="3" t="s">
        <v>1585</v>
      </c>
      <c r="D776" s="5">
        <v>4226815.84</v>
      </c>
      <c r="E776" s="5">
        <f t="shared" si="176"/>
        <v>0</v>
      </c>
      <c r="F776" s="5">
        <f>G776+H776+I776+J776+K776+L776+N776+P776+R776+T776+V776+W776+X776+Y776+Z776+AA776+AB776+AC776+AD776+AE776+AF776+AG776</f>
        <v>4226815.84</v>
      </c>
      <c r="G776" s="249">
        <v>0</v>
      </c>
      <c r="H776" s="249">
        <v>0</v>
      </c>
      <c r="I776" s="249">
        <v>0</v>
      </c>
      <c r="J776" s="249">
        <v>0</v>
      </c>
      <c r="K776" s="249">
        <v>0</v>
      </c>
      <c r="L776" s="249">
        <v>0</v>
      </c>
      <c r="M776" s="257">
        <v>0</v>
      </c>
      <c r="N776" s="249">
        <v>0</v>
      </c>
      <c r="O776" s="5">
        <v>857.4</v>
      </c>
      <c r="P776" s="5">
        <v>4036271.76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f>ROUND(P776*1.5%,2)</f>
        <v>60544.08</v>
      </c>
      <c r="AF776" s="5">
        <v>130000</v>
      </c>
      <c r="AG776" s="5">
        <v>0</v>
      </c>
      <c r="AH776" s="246">
        <v>2021</v>
      </c>
      <c r="AI776" s="246">
        <v>2021</v>
      </c>
      <c r="AJ776" s="6">
        <v>2021</v>
      </c>
      <c r="CB776" s="236"/>
    </row>
    <row r="777" spans="1:262" s="239" customFormat="1" ht="61.5" x14ac:dyDescent="0.85">
      <c r="A777" s="239">
        <v>1</v>
      </c>
      <c r="B777" s="18">
        <f>SUBTOTAL(103,$A$558:A777)</f>
        <v>214</v>
      </c>
      <c r="C777" s="3" t="s">
        <v>1014</v>
      </c>
      <c r="D777" s="5">
        <v>5003194.3900000006</v>
      </c>
      <c r="E777" s="5">
        <f t="shared" si="176"/>
        <v>0</v>
      </c>
      <c r="F777" s="5">
        <f t="shared" ref="F777" si="179">G777+H777+I777+J777+K777+L777+N777+P777+R777+T777+V777+W777+X777+Y777+Z777+AA777+AB777+AC777+AD777+AE777+AF777+AG777</f>
        <v>5003194.3900000006</v>
      </c>
      <c r="G777" s="247">
        <v>0</v>
      </c>
      <c r="H777" s="247">
        <v>0</v>
      </c>
      <c r="I777" s="247">
        <v>0</v>
      </c>
      <c r="J777" s="247">
        <v>0</v>
      </c>
      <c r="K777" s="247">
        <v>0</v>
      </c>
      <c r="L777" s="247">
        <v>0</v>
      </c>
      <c r="M777" s="25">
        <v>0</v>
      </c>
      <c r="N777" s="5">
        <v>0</v>
      </c>
      <c r="O777" s="5">
        <v>1161</v>
      </c>
      <c r="P777" s="5">
        <v>4929255.5600000005</v>
      </c>
      <c r="Q777" s="247">
        <v>0</v>
      </c>
      <c r="R777" s="247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f t="shared" ref="AE777" si="180">ROUND(P777*1.5%,2)</f>
        <v>73938.83</v>
      </c>
      <c r="AF777" s="5">
        <v>0</v>
      </c>
      <c r="AG777" s="5">
        <v>0</v>
      </c>
      <c r="AH777" s="246" t="s">
        <v>49</v>
      </c>
      <c r="AI777" s="246">
        <v>2021</v>
      </c>
      <c r="AJ777" s="6">
        <v>2021</v>
      </c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36"/>
      <c r="CC777" s="2"/>
      <c r="CD777" s="2"/>
      <c r="CE777" s="2"/>
      <c r="CF777" s="2">
        <f>VLOOKUP(C777,CG:CH,2,FALSE)</f>
        <v>1161</v>
      </c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</row>
    <row r="778" spans="1:262" ht="61.5" x14ac:dyDescent="0.85">
      <c r="A778" s="2">
        <v>1</v>
      </c>
      <c r="B778" s="18">
        <f>SUBTOTAL(103,$A$558:A778)</f>
        <v>215</v>
      </c>
      <c r="C778" s="3" t="s">
        <v>1586</v>
      </c>
      <c r="D778" s="5"/>
      <c r="E778" s="5">
        <f t="shared" si="176"/>
        <v>-6971622.4100000001</v>
      </c>
      <c r="F778" s="5">
        <f>G778+H778+I778+J778+K778+L778+N778+P778+R778+T778+V778+W778+X778+Y778+Z778+AA778+AB778+AC778+AD778+AE778+AF778+AG778</f>
        <v>6971622.4100000001</v>
      </c>
      <c r="G778" s="249">
        <v>0</v>
      </c>
      <c r="H778" s="249">
        <v>0</v>
      </c>
      <c r="I778" s="249">
        <v>0</v>
      </c>
      <c r="J778" s="249">
        <v>0</v>
      </c>
      <c r="K778" s="249">
        <v>0</v>
      </c>
      <c r="L778" s="249">
        <v>0</v>
      </c>
      <c r="M778" s="257">
        <v>0</v>
      </c>
      <c r="N778" s="249">
        <v>0</v>
      </c>
      <c r="O778" s="5">
        <v>1629.6</v>
      </c>
      <c r="P778" s="5">
        <v>6671549.1699999999</v>
      </c>
      <c r="Q778" s="5">
        <v>0</v>
      </c>
      <c r="R778" s="5">
        <v>0</v>
      </c>
      <c r="S778" s="5">
        <v>0</v>
      </c>
      <c r="T778" s="5">
        <v>0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f>ROUND(P778*1.5%,2)</f>
        <v>100073.24</v>
      </c>
      <c r="AF778" s="5">
        <v>200000</v>
      </c>
      <c r="AG778" s="5">
        <v>0</v>
      </c>
      <c r="AH778" s="246">
        <v>2021</v>
      </c>
      <c r="AI778" s="246">
        <v>2021</v>
      </c>
      <c r="AJ778" s="6">
        <v>2021</v>
      </c>
      <c r="CB778" s="236"/>
    </row>
    <row r="779" spans="1:262" ht="61.5" x14ac:dyDescent="0.85">
      <c r="B779" s="3" t="s">
        <v>1252</v>
      </c>
      <c r="C779" s="3"/>
      <c r="D779" s="244">
        <v>13069363.829999998</v>
      </c>
      <c r="E779" s="233">
        <f t="shared" si="176"/>
        <v>-6386275.0800000057</v>
      </c>
      <c r="F779" s="244">
        <f t="shared" ref="F779:AG779" si="181">SUM(F780:F786)</f>
        <v>19455638.910000004</v>
      </c>
      <c r="G779" s="5">
        <f t="shared" si="181"/>
        <v>0</v>
      </c>
      <c r="H779" s="5">
        <f t="shared" si="181"/>
        <v>0</v>
      </c>
      <c r="I779" s="5">
        <f t="shared" si="181"/>
        <v>0</v>
      </c>
      <c r="J779" s="5">
        <f t="shared" si="181"/>
        <v>0</v>
      </c>
      <c r="K779" s="5">
        <f t="shared" si="181"/>
        <v>0</v>
      </c>
      <c r="L779" s="5">
        <f t="shared" si="181"/>
        <v>0</v>
      </c>
      <c r="M779" s="241">
        <f t="shared" si="181"/>
        <v>0</v>
      </c>
      <c r="N779" s="5">
        <f t="shared" si="181"/>
        <v>0</v>
      </c>
      <c r="O779" s="5">
        <f t="shared" si="181"/>
        <v>3241.9</v>
      </c>
      <c r="P779" s="5">
        <f t="shared" si="181"/>
        <v>18261713.210000001</v>
      </c>
      <c r="Q779" s="5">
        <f t="shared" si="181"/>
        <v>0</v>
      </c>
      <c r="R779" s="5">
        <f t="shared" si="181"/>
        <v>0</v>
      </c>
      <c r="S779" s="5">
        <f t="shared" si="181"/>
        <v>0</v>
      </c>
      <c r="T779" s="5">
        <f t="shared" si="181"/>
        <v>0</v>
      </c>
      <c r="U779" s="5">
        <f t="shared" si="181"/>
        <v>0</v>
      </c>
      <c r="V779" s="5">
        <f t="shared" si="181"/>
        <v>0</v>
      </c>
      <c r="W779" s="5">
        <f t="shared" si="181"/>
        <v>0</v>
      </c>
      <c r="X779" s="5">
        <f t="shared" si="181"/>
        <v>0</v>
      </c>
      <c r="Y779" s="5">
        <f t="shared" si="181"/>
        <v>0</v>
      </c>
      <c r="Z779" s="5">
        <f t="shared" si="181"/>
        <v>0</v>
      </c>
      <c r="AA779" s="5">
        <f t="shared" si="181"/>
        <v>0</v>
      </c>
      <c r="AB779" s="5">
        <f t="shared" si="181"/>
        <v>0</v>
      </c>
      <c r="AC779" s="5">
        <f t="shared" si="181"/>
        <v>0</v>
      </c>
      <c r="AD779" s="5">
        <f t="shared" si="181"/>
        <v>0</v>
      </c>
      <c r="AE779" s="5">
        <f t="shared" si="181"/>
        <v>273925.7</v>
      </c>
      <c r="AF779" s="5">
        <f t="shared" si="181"/>
        <v>920000</v>
      </c>
      <c r="AG779" s="5">
        <f t="shared" si="181"/>
        <v>0</v>
      </c>
      <c r="AH779" s="23" t="s">
        <v>90</v>
      </c>
      <c r="AI779" s="23" t="s">
        <v>90</v>
      </c>
      <c r="AJ779" s="27" t="s">
        <v>90</v>
      </c>
      <c r="AV779" s="2" t="e">
        <f t="shared" ref="AV779:AV808" si="182">VLOOKUP(C779,AY:AZ,2,FALSE)</f>
        <v>#N/A</v>
      </c>
      <c r="CB779" s="236">
        <v>13069363.829999998</v>
      </c>
      <c r="CF779" s="2" t="e">
        <f t="shared" ref="CF779:CF815" si="183">VLOOKUP(C779,CG:CH,2,FALSE)</f>
        <v>#N/A</v>
      </c>
    </row>
    <row r="780" spans="1:262" ht="61.5" x14ac:dyDescent="0.85">
      <c r="A780" s="2">
        <v>1</v>
      </c>
      <c r="B780" s="18">
        <f>SUBTOTAL(103,$A$558:A780)</f>
        <v>216</v>
      </c>
      <c r="C780" s="3" t="s">
        <v>1587</v>
      </c>
      <c r="D780" s="5">
        <v>1801245</v>
      </c>
      <c r="E780" s="5">
        <f t="shared" si="176"/>
        <v>-507500</v>
      </c>
      <c r="F780" s="5">
        <f>G780+H780+I780+J780+K780+L780+N780+P780+R780+T780+V780+W780+X780+Y780+Z780+AA780+AB780+AC780+AD780+AE780+AF780+AG780</f>
        <v>2308745</v>
      </c>
      <c r="G780" s="247">
        <v>0</v>
      </c>
      <c r="H780" s="247">
        <v>0</v>
      </c>
      <c r="I780" s="247">
        <v>0</v>
      </c>
      <c r="J780" s="247">
        <v>0</v>
      </c>
      <c r="K780" s="247">
        <v>0</v>
      </c>
      <c r="L780" s="247">
        <v>0</v>
      </c>
      <c r="M780" s="241">
        <v>0</v>
      </c>
      <c r="N780" s="5">
        <v>0</v>
      </c>
      <c r="O780" s="5">
        <v>345</v>
      </c>
      <c r="P780" s="5">
        <v>2156399.0099999998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f t="shared" ref="AE780:AE786" si="184">ROUND(P780*1.5%,2)</f>
        <v>32345.99</v>
      </c>
      <c r="AF780" s="5">
        <v>120000</v>
      </c>
      <c r="AG780" s="5">
        <v>0</v>
      </c>
      <c r="AH780" s="246">
        <v>2021</v>
      </c>
      <c r="AI780" s="246">
        <v>2021</v>
      </c>
      <c r="AJ780" s="6">
        <v>2021</v>
      </c>
      <c r="AV780" s="2" t="e">
        <f t="shared" si="182"/>
        <v>#N/A</v>
      </c>
      <c r="CB780" s="236"/>
      <c r="CF780" s="2" t="e">
        <f t="shared" si="183"/>
        <v>#N/A</v>
      </c>
    </row>
    <row r="781" spans="1:262" ht="61.5" x14ac:dyDescent="0.85">
      <c r="A781" s="2">
        <v>1</v>
      </c>
      <c r="B781" s="18">
        <f>SUBTOTAL(103,$A$558:A781)</f>
        <v>217</v>
      </c>
      <c r="C781" s="3" t="s">
        <v>1588</v>
      </c>
      <c r="D781" s="5">
        <v>4223945.63</v>
      </c>
      <c r="E781" s="5">
        <f t="shared" si="176"/>
        <v>4173945.63</v>
      </c>
      <c r="F781" s="5">
        <f>G781+H781+I781+J781+K781+L781+N781+P781+R781+T781+V781+W781+X781+Y781+Z781+AA781+AB781+AC781+AD781+AE781+AF781+AG781</f>
        <v>50000</v>
      </c>
      <c r="G781" s="247">
        <v>0</v>
      </c>
      <c r="H781" s="247">
        <v>0</v>
      </c>
      <c r="I781" s="247">
        <v>0</v>
      </c>
      <c r="J781" s="247">
        <v>0</v>
      </c>
      <c r="K781" s="247">
        <v>0</v>
      </c>
      <c r="L781" s="247">
        <v>0</v>
      </c>
      <c r="M781" s="241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f t="shared" si="184"/>
        <v>0</v>
      </c>
      <c r="AF781" s="5">
        <v>50000</v>
      </c>
      <c r="AG781" s="5">
        <v>0</v>
      </c>
      <c r="AH781" s="246">
        <v>2021</v>
      </c>
      <c r="AI781" s="246" t="s">
        <v>49</v>
      </c>
      <c r="AJ781" s="6" t="s">
        <v>49</v>
      </c>
      <c r="AV781" s="2" t="e">
        <f t="shared" si="182"/>
        <v>#N/A</v>
      </c>
      <c r="CB781" s="236"/>
      <c r="CF781" s="2" t="e">
        <f t="shared" si="183"/>
        <v>#N/A</v>
      </c>
    </row>
    <row r="782" spans="1:262" ht="61.5" x14ac:dyDescent="0.85">
      <c r="A782" s="2">
        <v>1</v>
      </c>
      <c r="B782" s="18">
        <f>SUBTOTAL(103,$A$558:A782)</f>
        <v>218</v>
      </c>
      <c r="C782" s="3" t="s">
        <v>1589</v>
      </c>
      <c r="D782" s="5">
        <v>3905308</v>
      </c>
      <c r="E782" s="5">
        <f t="shared" si="176"/>
        <v>-327095.23000000045</v>
      </c>
      <c r="F782" s="5">
        <f>G782+H782+I782+J782+K782+L782+N782+P782+R782+T782+V782+W782+X782+Y782+Z782+AA782+AB782+AC782+AD782+AE782+AF782+AG782</f>
        <v>4232403.2300000004</v>
      </c>
      <c r="G782" s="247">
        <v>0</v>
      </c>
      <c r="H782" s="247">
        <v>0</v>
      </c>
      <c r="I782" s="247">
        <v>0</v>
      </c>
      <c r="J782" s="247">
        <v>0</v>
      </c>
      <c r="K782" s="247">
        <v>0</v>
      </c>
      <c r="L782" s="247">
        <v>0</v>
      </c>
      <c r="M782" s="241">
        <v>0</v>
      </c>
      <c r="N782" s="5">
        <v>0</v>
      </c>
      <c r="O782" s="5">
        <v>748</v>
      </c>
      <c r="P782" s="5">
        <f>3999810.84+22261.31</f>
        <v>4022072.15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f t="shared" si="184"/>
        <v>60331.08</v>
      </c>
      <c r="AF782" s="5">
        <v>150000</v>
      </c>
      <c r="AG782" s="5">
        <v>0</v>
      </c>
      <c r="AH782" s="246">
        <v>2021</v>
      </c>
      <c r="AI782" s="246">
        <v>2021</v>
      </c>
      <c r="AJ782" s="6">
        <v>2021</v>
      </c>
      <c r="AV782" s="2" t="e">
        <f t="shared" si="182"/>
        <v>#N/A</v>
      </c>
      <c r="CB782" s="236"/>
      <c r="CF782" s="2" t="e">
        <f t="shared" si="183"/>
        <v>#N/A</v>
      </c>
    </row>
    <row r="783" spans="1:262" ht="61.5" x14ac:dyDescent="0.85">
      <c r="A783" s="2">
        <v>1</v>
      </c>
      <c r="B783" s="18">
        <f>SUBTOTAL(103,$A$558:A783)</f>
        <v>219</v>
      </c>
      <c r="C783" s="3" t="s">
        <v>1590</v>
      </c>
      <c r="D783" s="5">
        <v>3138865.1999999997</v>
      </c>
      <c r="E783" s="5">
        <f t="shared" si="176"/>
        <v>-203000</v>
      </c>
      <c r="F783" s="5">
        <f>G783+H783+I783+J783+K783+L783+N783+P783+R783+T783+V783+W783+X783+Y783+Z783+AA783+AB783+AC783+AD783+AE783+AF783+AG783</f>
        <v>3341865.1999999997</v>
      </c>
      <c r="G783" s="247">
        <v>0</v>
      </c>
      <c r="H783" s="247">
        <v>0</v>
      </c>
      <c r="I783" s="247">
        <v>0</v>
      </c>
      <c r="J783" s="247">
        <v>0</v>
      </c>
      <c r="K783" s="247">
        <v>0</v>
      </c>
      <c r="L783" s="247">
        <v>0</v>
      </c>
      <c r="M783" s="241">
        <v>0</v>
      </c>
      <c r="N783" s="5">
        <v>0</v>
      </c>
      <c r="O783" s="5">
        <v>601.20000000000005</v>
      </c>
      <c r="P783" s="5">
        <v>3144694.78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f t="shared" si="184"/>
        <v>47170.42</v>
      </c>
      <c r="AF783" s="5">
        <v>150000</v>
      </c>
      <c r="AG783" s="5">
        <v>0</v>
      </c>
      <c r="AH783" s="246">
        <v>2021</v>
      </c>
      <c r="AI783" s="246">
        <v>2021</v>
      </c>
      <c r="AJ783" s="6">
        <v>2021</v>
      </c>
      <c r="AV783" s="2" t="e">
        <f t="shared" si="182"/>
        <v>#N/A</v>
      </c>
      <c r="CB783" s="236"/>
      <c r="CF783" s="2" t="e">
        <f t="shared" si="183"/>
        <v>#N/A</v>
      </c>
    </row>
    <row r="784" spans="1:262" ht="61.5" x14ac:dyDescent="0.85">
      <c r="A784" s="2">
        <v>1</v>
      </c>
      <c r="B784" s="18">
        <f>SUBTOTAL(103,$A$558:A784)</f>
        <v>220</v>
      </c>
      <c r="C784" s="3" t="s">
        <v>1591</v>
      </c>
      <c r="D784" s="5"/>
      <c r="E784" s="5">
        <f t="shared" si="176"/>
        <v>-3773671.0300000003</v>
      </c>
      <c r="F784" s="5">
        <f t="shared" ref="F784:F786" si="185">G784+H784+I784+J784+K784+L784+N784+P784+R784+T784+V784+W784+X784+Y784+Z784+AA784+AB784+AC784+AD784+AE784+AF784+AG784</f>
        <v>3773671.0300000003</v>
      </c>
      <c r="G784" s="247">
        <v>0</v>
      </c>
      <c r="H784" s="247">
        <v>0</v>
      </c>
      <c r="I784" s="247">
        <v>0</v>
      </c>
      <c r="J784" s="247">
        <v>0</v>
      </c>
      <c r="K784" s="247">
        <v>0</v>
      </c>
      <c r="L784" s="247">
        <v>0</v>
      </c>
      <c r="M784" s="241">
        <v>0</v>
      </c>
      <c r="N784" s="5">
        <v>0</v>
      </c>
      <c r="O784" s="5">
        <v>703.7</v>
      </c>
      <c r="P784" s="5">
        <v>3570119.24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f t="shared" si="184"/>
        <v>53551.79</v>
      </c>
      <c r="AF784" s="5">
        <v>150000</v>
      </c>
      <c r="AG784" s="5">
        <v>0</v>
      </c>
      <c r="AH784" s="246">
        <v>2021</v>
      </c>
      <c r="AI784" s="246">
        <v>2021</v>
      </c>
      <c r="AJ784" s="6">
        <v>2021</v>
      </c>
      <c r="AV784" s="2" t="e">
        <f t="shared" si="182"/>
        <v>#N/A</v>
      </c>
      <c r="CB784" s="236"/>
      <c r="CF784" s="2" t="e">
        <f t="shared" si="183"/>
        <v>#N/A</v>
      </c>
    </row>
    <row r="785" spans="1:262" ht="61.5" x14ac:dyDescent="0.85">
      <c r="A785" s="2">
        <v>1</v>
      </c>
      <c r="B785" s="18">
        <f>SUBTOTAL(103,$A$558:A785)</f>
        <v>221</v>
      </c>
      <c r="C785" s="3" t="s">
        <v>1592</v>
      </c>
      <c r="D785" s="5"/>
      <c r="E785" s="5">
        <f t="shared" si="176"/>
        <v>-3256927.5100000002</v>
      </c>
      <c r="F785" s="5">
        <f t="shared" si="185"/>
        <v>3256927.5100000002</v>
      </c>
      <c r="G785" s="247">
        <v>0</v>
      </c>
      <c r="H785" s="247">
        <v>0</v>
      </c>
      <c r="I785" s="247">
        <v>0</v>
      </c>
      <c r="J785" s="247">
        <v>0</v>
      </c>
      <c r="K785" s="247">
        <v>0</v>
      </c>
      <c r="L785" s="247">
        <v>0</v>
      </c>
      <c r="M785" s="241">
        <v>0</v>
      </c>
      <c r="N785" s="5">
        <v>0</v>
      </c>
      <c r="O785" s="5">
        <v>490</v>
      </c>
      <c r="P785" s="247">
        <v>3061012.33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f t="shared" si="184"/>
        <v>45915.18</v>
      </c>
      <c r="AF785" s="5">
        <v>150000</v>
      </c>
      <c r="AG785" s="5">
        <v>0</v>
      </c>
      <c r="AH785" s="246">
        <v>2021</v>
      </c>
      <c r="AI785" s="246">
        <v>2021</v>
      </c>
      <c r="AJ785" s="6">
        <v>2021</v>
      </c>
      <c r="AV785" s="2" t="e">
        <f t="shared" si="182"/>
        <v>#N/A</v>
      </c>
      <c r="CB785" s="236"/>
      <c r="CF785" s="2" t="e">
        <f t="shared" si="183"/>
        <v>#N/A</v>
      </c>
    </row>
    <row r="786" spans="1:262" ht="61.5" x14ac:dyDescent="0.85">
      <c r="A786" s="2">
        <v>1</v>
      </c>
      <c r="B786" s="18">
        <f>SUBTOTAL(103,$A$558:A786)</f>
        <v>222</v>
      </c>
      <c r="C786" s="3" t="s">
        <v>1593</v>
      </c>
      <c r="D786" s="5"/>
      <c r="E786" s="5">
        <f t="shared" si="176"/>
        <v>-2492026.9400000004</v>
      </c>
      <c r="F786" s="5">
        <f t="shared" si="185"/>
        <v>2492026.9400000004</v>
      </c>
      <c r="G786" s="247">
        <v>0</v>
      </c>
      <c r="H786" s="247">
        <v>0</v>
      </c>
      <c r="I786" s="247">
        <v>0</v>
      </c>
      <c r="J786" s="247">
        <v>0</v>
      </c>
      <c r="K786" s="247">
        <v>0</v>
      </c>
      <c r="L786" s="247">
        <v>0</v>
      </c>
      <c r="M786" s="241">
        <v>0</v>
      </c>
      <c r="N786" s="5">
        <v>0</v>
      </c>
      <c r="O786" s="5">
        <v>354</v>
      </c>
      <c r="P786" s="5">
        <v>2307415.7000000002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f t="shared" si="184"/>
        <v>34611.24</v>
      </c>
      <c r="AF786" s="5">
        <v>150000</v>
      </c>
      <c r="AG786" s="5">
        <v>0</v>
      </c>
      <c r="AH786" s="246">
        <v>2021</v>
      </c>
      <c r="AI786" s="246">
        <v>2021</v>
      </c>
      <c r="AJ786" s="6">
        <v>2021</v>
      </c>
      <c r="AV786" s="2" t="e">
        <f t="shared" si="182"/>
        <v>#N/A</v>
      </c>
      <c r="CB786" s="236"/>
      <c r="CF786" s="2" t="e">
        <f t="shared" si="183"/>
        <v>#N/A</v>
      </c>
    </row>
    <row r="787" spans="1:262" ht="61.5" x14ac:dyDescent="0.85">
      <c r="B787" s="3" t="s">
        <v>1258</v>
      </c>
      <c r="C787" s="3"/>
      <c r="D787" s="244">
        <v>12458692.33</v>
      </c>
      <c r="E787" s="233">
        <f t="shared" si="176"/>
        <v>-1147643.5999999996</v>
      </c>
      <c r="F787" s="244">
        <f>SUM(F788:F791)</f>
        <v>13606335.93</v>
      </c>
      <c r="G787" s="5">
        <f t="shared" ref="G787:AG787" si="186">SUM(G788:G791)</f>
        <v>126532.34</v>
      </c>
      <c r="H787" s="5">
        <f t="shared" si="186"/>
        <v>0</v>
      </c>
      <c r="I787" s="5">
        <f t="shared" si="186"/>
        <v>1835434.08</v>
      </c>
      <c r="J787" s="5">
        <f t="shared" si="186"/>
        <v>207872.75</v>
      </c>
      <c r="K787" s="5">
        <f t="shared" si="186"/>
        <v>1860166.6600000001</v>
      </c>
      <c r="L787" s="5">
        <f t="shared" si="186"/>
        <v>0</v>
      </c>
      <c r="M787" s="241">
        <f t="shared" si="186"/>
        <v>0</v>
      </c>
      <c r="N787" s="5">
        <f t="shared" si="186"/>
        <v>0</v>
      </c>
      <c r="O787" s="5">
        <f t="shared" si="186"/>
        <v>1780</v>
      </c>
      <c r="P787" s="5">
        <f t="shared" si="186"/>
        <v>8587073.9000000004</v>
      </c>
      <c r="Q787" s="5">
        <f t="shared" si="186"/>
        <v>0</v>
      </c>
      <c r="R787" s="5">
        <f t="shared" si="186"/>
        <v>0</v>
      </c>
      <c r="S787" s="5">
        <f t="shared" si="186"/>
        <v>0</v>
      </c>
      <c r="T787" s="5">
        <f t="shared" si="186"/>
        <v>0</v>
      </c>
      <c r="U787" s="5">
        <f t="shared" si="186"/>
        <v>0</v>
      </c>
      <c r="V787" s="5">
        <f t="shared" si="186"/>
        <v>0</v>
      </c>
      <c r="W787" s="5">
        <f t="shared" si="186"/>
        <v>0</v>
      </c>
      <c r="X787" s="5">
        <f t="shared" si="186"/>
        <v>0</v>
      </c>
      <c r="Y787" s="5">
        <f t="shared" si="186"/>
        <v>0</v>
      </c>
      <c r="Z787" s="5">
        <f t="shared" si="186"/>
        <v>0</v>
      </c>
      <c r="AA787" s="5">
        <f t="shared" si="186"/>
        <v>0</v>
      </c>
      <c r="AB787" s="5">
        <f t="shared" si="186"/>
        <v>0</v>
      </c>
      <c r="AC787" s="5">
        <f t="shared" si="186"/>
        <v>0</v>
      </c>
      <c r="AD787" s="5">
        <f t="shared" si="186"/>
        <v>0</v>
      </c>
      <c r="AE787" s="5">
        <f t="shared" si="186"/>
        <v>189256.2</v>
      </c>
      <c r="AF787" s="5">
        <f t="shared" si="186"/>
        <v>800000</v>
      </c>
      <c r="AG787" s="5">
        <f t="shared" si="186"/>
        <v>0</v>
      </c>
      <c r="AH787" s="23" t="s">
        <v>90</v>
      </c>
      <c r="AI787" s="23" t="s">
        <v>90</v>
      </c>
      <c r="AJ787" s="27" t="s">
        <v>90</v>
      </c>
      <c r="AV787" s="2" t="e">
        <f t="shared" si="182"/>
        <v>#N/A</v>
      </c>
      <c r="CB787" s="236">
        <v>9045880.0099999998</v>
      </c>
      <c r="CF787" s="2" t="e">
        <f t="shared" si="183"/>
        <v>#N/A</v>
      </c>
    </row>
    <row r="788" spans="1:262" ht="61.5" x14ac:dyDescent="0.85">
      <c r="A788" s="2">
        <v>1</v>
      </c>
      <c r="B788" s="18">
        <f>SUBTOTAL(103,$A$558:A788)</f>
        <v>223</v>
      </c>
      <c r="C788" s="3" t="s">
        <v>1594</v>
      </c>
      <c r="D788" s="5">
        <v>3550280</v>
      </c>
      <c r="E788" s="5">
        <f t="shared" si="176"/>
        <v>0</v>
      </c>
      <c r="F788" s="5">
        <f>G788+H788+I788+J788+K788+L788+N788+P788+R788+T788+V788+W788+X788+Y788+Z788+AA788+AB788+AC788+AD788+AE788+AF788+AG788</f>
        <v>3550280</v>
      </c>
      <c r="G788" s="247">
        <v>0</v>
      </c>
      <c r="H788" s="247">
        <v>0</v>
      </c>
      <c r="I788" s="247">
        <v>0</v>
      </c>
      <c r="J788" s="247">
        <v>0</v>
      </c>
      <c r="K788" s="247">
        <v>0</v>
      </c>
      <c r="L788" s="247">
        <v>0</v>
      </c>
      <c r="M788" s="241">
        <v>0</v>
      </c>
      <c r="N788" s="5">
        <v>0</v>
      </c>
      <c r="O788" s="5">
        <v>680</v>
      </c>
      <c r="P788" s="5">
        <v>3350029.56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f>ROUND(P788*1.5%,2)</f>
        <v>50250.44</v>
      </c>
      <c r="AF788" s="5">
        <v>150000</v>
      </c>
      <c r="AG788" s="5">
        <v>0</v>
      </c>
      <c r="AH788" s="246">
        <v>2021</v>
      </c>
      <c r="AI788" s="246">
        <v>2021</v>
      </c>
      <c r="AJ788" s="6">
        <v>2021</v>
      </c>
      <c r="AV788" s="2" t="e">
        <f t="shared" si="182"/>
        <v>#N/A</v>
      </c>
      <c r="CB788" s="236"/>
      <c r="CF788" s="2" t="e">
        <f t="shared" si="183"/>
        <v>#N/A</v>
      </c>
    </row>
    <row r="789" spans="1:262" ht="61.5" x14ac:dyDescent="0.85">
      <c r="A789" s="2">
        <v>1</v>
      </c>
      <c r="B789" s="18">
        <f>SUBTOTAL(103,$A$558:A789)</f>
        <v>224</v>
      </c>
      <c r="C789" s="3" t="s">
        <v>1595</v>
      </c>
      <c r="D789" s="5">
        <v>5495600.0099999998</v>
      </c>
      <c r="E789" s="5">
        <f t="shared" si="176"/>
        <v>0</v>
      </c>
      <c r="F789" s="5">
        <f>G789+H789+I789+J789+K789+L789+N789+P789+R789+T789+V789+W789+X789+Y789+Z789+AA789+AB789+AC789+AD789+AE789+AF789+AG789</f>
        <v>5495600.0099999998</v>
      </c>
      <c r="G789" s="249">
        <v>0</v>
      </c>
      <c r="H789" s="249">
        <v>0</v>
      </c>
      <c r="I789" s="249">
        <v>0</v>
      </c>
      <c r="J789" s="249">
        <v>0</v>
      </c>
      <c r="K789" s="249">
        <v>0</v>
      </c>
      <c r="L789" s="249">
        <v>0</v>
      </c>
      <c r="M789" s="257">
        <v>0</v>
      </c>
      <c r="N789" s="249">
        <v>0</v>
      </c>
      <c r="O789" s="5">
        <v>1100</v>
      </c>
      <c r="P789" s="5">
        <v>5237044.34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f>ROUND(P789*1.5%,2)</f>
        <v>78555.67</v>
      </c>
      <c r="AF789" s="5">
        <v>180000</v>
      </c>
      <c r="AG789" s="5">
        <v>0</v>
      </c>
      <c r="AH789" s="246">
        <v>2021</v>
      </c>
      <c r="AI789" s="246">
        <v>2021</v>
      </c>
      <c r="AJ789" s="6">
        <v>2021</v>
      </c>
      <c r="AV789" s="2" t="e">
        <f t="shared" si="182"/>
        <v>#N/A</v>
      </c>
      <c r="CB789" s="236"/>
      <c r="CF789" s="2" t="e">
        <f t="shared" si="183"/>
        <v>#N/A</v>
      </c>
    </row>
    <row r="790" spans="1:262" ht="61.5" x14ac:dyDescent="0.85">
      <c r="A790" s="2">
        <v>1</v>
      </c>
      <c r="B790" s="18">
        <f>SUBTOTAL(103,$A$558:A790)</f>
        <v>225</v>
      </c>
      <c r="C790" s="3" t="s">
        <v>1596</v>
      </c>
      <c r="D790" s="5">
        <v>3412812.32</v>
      </c>
      <c r="E790" s="5">
        <f t="shared" si="176"/>
        <v>-170000</v>
      </c>
      <c r="F790" s="5">
        <f>G790+H790+I790+J790+K790+L790+N790+P790+R790+T790+V790+W790+X790+Y790+Z790+AA790+AB790+AC790+AD790+AE790+AF790+AG790</f>
        <v>3582812.32</v>
      </c>
      <c r="G790" s="249">
        <v>126532.34</v>
      </c>
      <c r="H790" s="249">
        <v>0</v>
      </c>
      <c r="I790" s="249">
        <f>2070237.87-234803.79</f>
        <v>1835434.08</v>
      </c>
      <c r="J790" s="249">
        <v>207872.75</v>
      </c>
      <c r="K790" s="249">
        <v>1044754.25</v>
      </c>
      <c r="L790" s="249">
        <v>0</v>
      </c>
      <c r="M790" s="257">
        <v>0</v>
      </c>
      <c r="N790" s="249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f>ROUND((G790+I790+J790+K790)*1.5%,2)</f>
        <v>48218.9</v>
      </c>
      <c r="AF790" s="5">
        <v>320000</v>
      </c>
      <c r="AG790" s="5">
        <v>0</v>
      </c>
      <c r="AH790" s="246">
        <v>2021</v>
      </c>
      <c r="AI790" s="246">
        <v>2021</v>
      </c>
      <c r="AJ790" s="6">
        <v>2021</v>
      </c>
      <c r="AV790" s="2" t="e">
        <f t="shared" si="182"/>
        <v>#N/A</v>
      </c>
      <c r="CB790" s="236"/>
      <c r="CF790" s="2" t="e">
        <f t="shared" si="183"/>
        <v>#N/A</v>
      </c>
    </row>
    <row r="791" spans="1:262" ht="61.5" x14ac:dyDescent="0.85">
      <c r="A791" s="2">
        <v>1</v>
      </c>
      <c r="B791" s="18">
        <f>SUBTOTAL(103,$A$558:A791)</f>
        <v>226</v>
      </c>
      <c r="C791" s="3" t="s">
        <v>1597</v>
      </c>
      <c r="D791" s="5"/>
      <c r="E791" s="5">
        <f t="shared" si="176"/>
        <v>-977643.6</v>
      </c>
      <c r="F791" s="5">
        <f>G791+H791+I791+J791+K791+L791+N791+P791+R791+T791+V791+W791+X791+Y791+Z791+AA791+AB791+AC791+AD791+AE791+AF791+AG791</f>
        <v>977643.6</v>
      </c>
      <c r="G791" s="249">
        <v>0</v>
      </c>
      <c r="H791" s="249">
        <v>0</v>
      </c>
      <c r="I791" s="249">
        <v>0</v>
      </c>
      <c r="J791" s="249">
        <v>0</v>
      </c>
      <c r="K791" s="249">
        <v>815412.41</v>
      </c>
      <c r="L791" s="249">
        <v>0</v>
      </c>
      <c r="M791" s="257">
        <v>0</v>
      </c>
      <c r="N791" s="249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f>ROUND((G791+I791+J791+K791)*1.5%,2)</f>
        <v>12231.19</v>
      </c>
      <c r="AF791" s="5">
        <v>150000</v>
      </c>
      <c r="AG791" s="5">
        <v>0</v>
      </c>
      <c r="AH791" s="246">
        <v>2021</v>
      </c>
      <c r="AI791" s="246">
        <v>2021</v>
      </c>
      <c r="AJ791" s="6">
        <v>2021</v>
      </c>
      <c r="AV791" s="2" t="e">
        <f t="shared" si="182"/>
        <v>#N/A</v>
      </c>
      <c r="CB791" s="236"/>
      <c r="CF791" s="2" t="e">
        <f t="shared" si="183"/>
        <v>#N/A</v>
      </c>
    </row>
    <row r="792" spans="1:262" ht="61.5" x14ac:dyDescent="0.85">
      <c r="B792" s="3" t="s">
        <v>98</v>
      </c>
      <c r="C792" s="442"/>
      <c r="D792" s="244">
        <v>2579501.7000000002</v>
      </c>
      <c r="E792" s="233">
        <f t="shared" si="176"/>
        <v>0</v>
      </c>
      <c r="F792" s="244">
        <f t="shared" ref="F792:AG792" si="187">SUM(F793:F793)</f>
        <v>2579501.7000000002</v>
      </c>
      <c r="G792" s="5">
        <f t="shared" si="187"/>
        <v>0</v>
      </c>
      <c r="H792" s="5">
        <f t="shared" si="187"/>
        <v>0</v>
      </c>
      <c r="I792" s="5">
        <f t="shared" si="187"/>
        <v>0</v>
      </c>
      <c r="J792" s="5">
        <f t="shared" si="187"/>
        <v>0</v>
      </c>
      <c r="K792" s="5">
        <f t="shared" si="187"/>
        <v>0</v>
      </c>
      <c r="L792" s="5">
        <f t="shared" si="187"/>
        <v>0</v>
      </c>
      <c r="M792" s="241">
        <f t="shared" si="187"/>
        <v>0</v>
      </c>
      <c r="N792" s="5">
        <f t="shared" si="187"/>
        <v>0</v>
      </c>
      <c r="O792" s="5">
        <f t="shared" si="187"/>
        <v>1040</v>
      </c>
      <c r="P792" s="5">
        <f t="shared" si="187"/>
        <v>2393597.73</v>
      </c>
      <c r="Q792" s="5">
        <f t="shared" si="187"/>
        <v>0</v>
      </c>
      <c r="R792" s="5">
        <f t="shared" si="187"/>
        <v>0</v>
      </c>
      <c r="S792" s="5">
        <f t="shared" si="187"/>
        <v>0</v>
      </c>
      <c r="T792" s="5">
        <f t="shared" si="187"/>
        <v>0</v>
      </c>
      <c r="U792" s="5">
        <f t="shared" si="187"/>
        <v>0</v>
      </c>
      <c r="V792" s="5">
        <f t="shared" si="187"/>
        <v>0</v>
      </c>
      <c r="W792" s="5">
        <f t="shared" si="187"/>
        <v>0</v>
      </c>
      <c r="X792" s="5">
        <f t="shared" si="187"/>
        <v>0</v>
      </c>
      <c r="Y792" s="5">
        <f t="shared" si="187"/>
        <v>0</v>
      </c>
      <c r="Z792" s="5">
        <f t="shared" si="187"/>
        <v>0</v>
      </c>
      <c r="AA792" s="5">
        <f t="shared" si="187"/>
        <v>0</v>
      </c>
      <c r="AB792" s="5">
        <f t="shared" si="187"/>
        <v>0</v>
      </c>
      <c r="AC792" s="5">
        <f t="shared" si="187"/>
        <v>0</v>
      </c>
      <c r="AD792" s="5">
        <f t="shared" si="187"/>
        <v>0</v>
      </c>
      <c r="AE792" s="5">
        <f t="shared" si="187"/>
        <v>35903.97</v>
      </c>
      <c r="AF792" s="5">
        <f t="shared" si="187"/>
        <v>150000</v>
      </c>
      <c r="AG792" s="5">
        <f t="shared" si="187"/>
        <v>0</v>
      </c>
      <c r="AH792" s="23" t="s">
        <v>90</v>
      </c>
      <c r="AI792" s="23" t="s">
        <v>90</v>
      </c>
      <c r="AJ792" s="27" t="s">
        <v>90</v>
      </c>
      <c r="AV792" s="2" t="e">
        <f t="shared" si="182"/>
        <v>#N/A</v>
      </c>
      <c r="CB792" s="236">
        <v>2579501.7000000002</v>
      </c>
      <c r="CF792" s="2" t="e">
        <f t="shared" si="183"/>
        <v>#N/A</v>
      </c>
    </row>
    <row r="793" spans="1:262" ht="61.5" x14ac:dyDescent="0.85">
      <c r="A793" s="2">
        <v>1</v>
      </c>
      <c r="B793" s="18">
        <f>SUBTOTAL(103,$A$558:A793)</f>
        <v>227</v>
      </c>
      <c r="C793" s="3" t="s">
        <v>1598</v>
      </c>
      <c r="D793" s="5">
        <v>2579501.7000000002</v>
      </c>
      <c r="E793" s="5">
        <f t="shared" si="176"/>
        <v>0</v>
      </c>
      <c r="F793" s="5">
        <f>G793+H793+I793+J793+K793+L793+N793+P793+R793+T793+V793+W793+X793+Y793+Z793+AA793+AB793+AC793+AD793+AE793+AF793+AG793</f>
        <v>2579501.7000000002</v>
      </c>
      <c r="G793" s="5">
        <v>0</v>
      </c>
      <c r="H793" s="5">
        <v>0</v>
      </c>
      <c r="I793" s="5">
        <v>0</v>
      </c>
      <c r="J793" s="5">
        <v>0</v>
      </c>
      <c r="K793" s="5">
        <v>0</v>
      </c>
      <c r="L793" s="5">
        <v>0</v>
      </c>
      <c r="M793" s="241">
        <v>0</v>
      </c>
      <c r="N793" s="5">
        <v>0</v>
      </c>
      <c r="O793" s="5">
        <v>1040</v>
      </c>
      <c r="P793" s="5">
        <v>2393597.73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f>ROUND(P793*1.5%,2)</f>
        <v>35903.97</v>
      </c>
      <c r="AF793" s="5">
        <v>150000</v>
      </c>
      <c r="AG793" s="5">
        <v>0</v>
      </c>
      <c r="AH793" s="246">
        <v>2021</v>
      </c>
      <c r="AI793" s="246">
        <v>2021</v>
      </c>
      <c r="AJ793" s="6">
        <v>2021</v>
      </c>
      <c r="AV793" s="2" t="e">
        <f t="shared" si="182"/>
        <v>#N/A</v>
      </c>
      <c r="CB793" s="236"/>
      <c r="CF793" s="2" t="e">
        <f t="shared" si="183"/>
        <v>#N/A</v>
      </c>
    </row>
    <row r="794" spans="1:262" ht="61.5" x14ac:dyDescent="0.85">
      <c r="B794" s="3" t="s">
        <v>1270</v>
      </c>
      <c r="C794" s="3"/>
      <c r="D794" s="244">
        <v>3008567.42</v>
      </c>
      <c r="E794" s="233">
        <f t="shared" si="176"/>
        <v>-110594.56999999983</v>
      </c>
      <c r="F794" s="244">
        <f t="shared" ref="F794:AG794" si="188">SUM(F795:F797)</f>
        <v>3119161.9899999998</v>
      </c>
      <c r="G794" s="5">
        <f t="shared" si="188"/>
        <v>0</v>
      </c>
      <c r="H794" s="5">
        <f t="shared" si="188"/>
        <v>0</v>
      </c>
      <c r="I794" s="5">
        <f t="shared" si="188"/>
        <v>0</v>
      </c>
      <c r="J794" s="5">
        <f t="shared" si="188"/>
        <v>0</v>
      </c>
      <c r="K794" s="5">
        <f t="shared" si="188"/>
        <v>466362.82000000007</v>
      </c>
      <c r="L794" s="5">
        <f t="shared" si="188"/>
        <v>0</v>
      </c>
      <c r="M794" s="241">
        <f t="shared" si="188"/>
        <v>0</v>
      </c>
      <c r="N794" s="5">
        <f t="shared" si="188"/>
        <v>0</v>
      </c>
      <c r="O794" s="5">
        <f t="shared" si="188"/>
        <v>646</v>
      </c>
      <c r="P794" s="5">
        <f t="shared" si="188"/>
        <v>2419511.06</v>
      </c>
      <c r="Q794" s="5">
        <f t="shared" si="188"/>
        <v>0</v>
      </c>
      <c r="R794" s="5">
        <f t="shared" si="188"/>
        <v>0</v>
      </c>
      <c r="S794" s="5">
        <f t="shared" si="188"/>
        <v>0</v>
      </c>
      <c r="T794" s="5">
        <f t="shared" si="188"/>
        <v>0</v>
      </c>
      <c r="U794" s="5">
        <f t="shared" si="188"/>
        <v>0</v>
      </c>
      <c r="V794" s="5">
        <f t="shared" si="188"/>
        <v>0</v>
      </c>
      <c r="W794" s="5">
        <f t="shared" si="188"/>
        <v>0</v>
      </c>
      <c r="X794" s="5">
        <f t="shared" si="188"/>
        <v>0</v>
      </c>
      <c r="Y794" s="5">
        <f t="shared" si="188"/>
        <v>0</v>
      </c>
      <c r="Z794" s="5">
        <f t="shared" si="188"/>
        <v>0</v>
      </c>
      <c r="AA794" s="5">
        <f t="shared" si="188"/>
        <v>0</v>
      </c>
      <c r="AB794" s="5">
        <f t="shared" si="188"/>
        <v>0</v>
      </c>
      <c r="AC794" s="5">
        <f t="shared" si="188"/>
        <v>0</v>
      </c>
      <c r="AD794" s="5">
        <f t="shared" si="188"/>
        <v>0</v>
      </c>
      <c r="AE794" s="5">
        <f t="shared" si="188"/>
        <v>43288.11</v>
      </c>
      <c r="AF794" s="5">
        <f t="shared" si="188"/>
        <v>190000</v>
      </c>
      <c r="AG794" s="5">
        <f t="shared" si="188"/>
        <v>0</v>
      </c>
      <c r="AH794" s="23" t="s">
        <v>90</v>
      </c>
      <c r="AI794" s="23" t="s">
        <v>90</v>
      </c>
      <c r="AJ794" s="27" t="s">
        <v>90</v>
      </c>
      <c r="AV794" s="2" t="e">
        <f t="shared" si="182"/>
        <v>#N/A</v>
      </c>
      <c r="CB794" s="236">
        <v>3008567.42</v>
      </c>
      <c r="CF794" s="2" t="e">
        <f t="shared" si="183"/>
        <v>#N/A</v>
      </c>
    </row>
    <row r="795" spans="1:262" ht="61.5" x14ac:dyDescent="0.85">
      <c r="A795" s="2">
        <v>1</v>
      </c>
      <c r="B795" s="18">
        <f>SUBTOTAL(103,$A$558:A795)</f>
        <v>228</v>
      </c>
      <c r="C795" s="3" t="s">
        <v>1599</v>
      </c>
      <c r="D795" s="5">
        <v>2605803.73</v>
      </c>
      <c r="E795" s="5">
        <f t="shared" si="176"/>
        <v>0</v>
      </c>
      <c r="F795" s="5">
        <f>G795+H795+I795+J795+K795+L795+N795+P795+R795+T795+V795+W795+X795+Y795+Z795+AA795+AB795+AC795+AD795+AE795+AF795+AG795</f>
        <v>2605803.73</v>
      </c>
      <c r="G795" s="5">
        <v>0</v>
      </c>
      <c r="H795" s="5">
        <v>0</v>
      </c>
      <c r="I795" s="5">
        <v>0</v>
      </c>
      <c r="J795" s="5">
        <v>0</v>
      </c>
      <c r="K795" s="5">
        <v>0</v>
      </c>
      <c r="L795" s="5">
        <v>0</v>
      </c>
      <c r="M795" s="241">
        <v>0</v>
      </c>
      <c r="N795" s="5">
        <v>0</v>
      </c>
      <c r="O795" s="5">
        <v>646</v>
      </c>
      <c r="P795" s="5">
        <v>2419511.06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f>ROUND(P795*1.5%,2)</f>
        <v>36292.67</v>
      </c>
      <c r="AF795" s="5">
        <v>150000</v>
      </c>
      <c r="AG795" s="5">
        <v>0</v>
      </c>
      <c r="AH795" s="246">
        <v>2021</v>
      </c>
      <c r="AI795" s="246">
        <v>2021</v>
      </c>
      <c r="AJ795" s="6">
        <v>2021</v>
      </c>
      <c r="AV795" s="2" t="e">
        <f t="shared" si="182"/>
        <v>#N/A</v>
      </c>
      <c r="CB795" s="236"/>
      <c r="CF795" s="2" t="e">
        <f t="shared" si="183"/>
        <v>#N/A</v>
      </c>
    </row>
    <row r="796" spans="1:262" ht="61.5" x14ac:dyDescent="0.85">
      <c r="A796" s="2">
        <v>1</v>
      </c>
      <c r="B796" s="18">
        <f>SUBTOTAL(103,$A$558:A796)</f>
        <v>229</v>
      </c>
      <c r="C796" s="3" t="s">
        <v>1600</v>
      </c>
      <c r="D796" s="5">
        <v>402763.69</v>
      </c>
      <c r="E796" s="5">
        <f t="shared" si="176"/>
        <v>0</v>
      </c>
      <c r="F796" s="5">
        <f>G796+H796+I796+J796+K796+L796+N796+P796+R796+T796+V796+W796+X796+Y796+Z796+AA796+AB796+AC796+AD796+AE796+AF796+AG796</f>
        <v>402763.69</v>
      </c>
      <c r="G796" s="5">
        <v>0</v>
      </c>
      <c r="H796" s="5">
        <v>0</v>
      </c>
      <c r="I796" s="5">
        <v>0</v>
      </c>
      <c r="J796" s="5">
        <v>0</v>
      </c>
      <c r="K796" s="5">
        <v>357402.65</v>
      </c>
      <c r="L796" s="5">
        <v>0</v>
      </c>
      <c r="M796" s="241">
        <v>0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f>ROUND((G796+H796+I796+J796+K796+L796)*1.5%,2)</f>
        <v>5361.04</v>
      </c>
      <c r="AF796" s="5">
        <v>40000</v>
      </c>
      <c r="AG796" s="5">
        <v>0</v>
      </c>
      <c r="AH796" s="246">
        <v>2021</v>
      </c>
      <c r="AI796" s="246">
        <v>2021</v>
      </c>
      <c r="AJ796" s="6">
        <v>2021</v>
      </c>
      <c r="AV796" s="2" t="e">
        <f t="shared" si="182"/>
        <v>#N/A</v>
      </c>
      <c r="CB796" s="236"/>
      <c r="CF796" s="2" t="e">
        <f t="shared" si="183"/>
        <v>#N/A</v>
      </c>
    </row>
    <row r="797" spans="1:262" s="239" customFormat="1" ht="61.5" x14ac:dyDescent="0.85">
      <c r="A797" s="239">
        <v>1</v>
      </c>
      <c r="B797" s="18">
        <f>SUBTOTAL(103,$A$558:A797)</f>
        <v>230</v>
      </c>
      <c r="C797" s="3" t="s">
        <v>1272</v>
      </c>
      <c r="D797" s="5">
        <v>144953.01</v>
      </c>
      <c r="E797" s="5">
        <f t="shared" si="176"/>
        <v>34358.44</v>
      </c>
      <c r="F797" s="5">
        <f>G797+H797+I797+J797+K797+L797+N797+P797+R797+T797+V797+W797+X797+Y797+Z797+AA797+AB797+AC797+AD797+AE797+AF797+AG797</f>
        <v>110594.57</v>
      </c>
      <c r="G797" s="249">
        <v>0</v>
      </c>
      <c r="H797" s="249">
        <v>0</v>
      </c>
      <c r="I797" s="5">
        <v>0</v>
      </c>
      <c r="J797" s="249">
        <v>0</v>
      </c>
      <c r="K797" s="5">
        <v>108960.17000000001</v>
      </c>
      <c r="L797" s="249">
        <v>0</v>
      </c>
      <c r="M797" s="25">
        <v>0</v>
      </c>
      <c r="N797" s="5">
        <v>0</v>
      </c>
      <c r="O797" s="5">
        <v>0</v>
      </c>
      <c r="P797" s="5">
        <v>0</v>
      </c>
      <c r="Q797" s="249">
        <v>0</v>
      </c>
      <c r="R797" s="249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f>ROUND((G797+H797+I797+J797+K797+L797)*1.5%,2)</f>
        <v>1634.4</v>
      </c>
      <c r="AF797" s="5">
        <v>0</v>
      </c>
      <c r="AG797" s="5">
        <v>0</v>
      </c>
      <c r="AH797" s="246" t="s">
        <v>49</v>
      </c>
      <c r="AI797" s="246">
        <v>2021</v>
      </c>
      <c r="AJ797" s="6">
        <v>2021</v>
      </c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 t="e">
        <f t="shared" si="182"/>
        <v>#N/A</v>
      </c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36"/>
      <c r="CC797" s="2"/>
      <c r="CD797" s="2"/>
      <c r="CE797" s="2"/>
      <c r="CF797" s="2" t="e">
        <f t="shared" si="183"/>
        <v>#N/A</v>
      </c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</row>
    <row r="798" spans="1:262" ht="61.5" x14ac:dyDescent="0.85">
      <c r="B798" s="3" t="s">
        <v>1601</v>
      </c>
      <c r="C798" s="3"/>
      <c r="D798" s="244">
        <v>3080948</v>
      </c>
      <c r="E798" s="233">
        <f t="shared" si="176"/>
        <v>0</v>
      </c>
      <c r="F798" s="244">
        <f t="shared" ref="F798:AG798" si="189">F799</f>
        <v>3080948</v>
      </c>
      <c r="G798" s="5">
        <f t="shared" si="189"/>
        <v>0</v>
      </c>
      <c r="H798" s="5">
        <f t="shared" si="189"/>
        <v>0</v>
      </c>
      <c r="I798" s="5">
        <f t="shared" si="189"/>
        <v>0</v>
      </c>
      <c r="J798" s="5">
        <f t="shared" si="189"/>
        <v>0</v>
      </c>
      <c r="K798" s="5">
        <f t="shared" si="189"/>
        <v>0</v>
      </c>
      <c r="L798" s="5">
        <f t="shared" si="189"/>
        <v>0</v>
      </c>
      <c r="M798" s="241">
        <f t="shared" si="189"/>
        <v>0</v>
      </c>
      <c r="N798" s="5">
        <f t="shared" si="189"/>
        <v>0</v>
      </c>
      <c r="O798" s="5">
        <f t="shared" si="189"/>
        <v>520</v>
      </c>
      <c r="P798" s="5">
        <f t="shared" si="189"/>
        <v>2887633.5</v>
      </c>
      <c r="Q798" s="5">
        <f t="shared" si="189"/>
        <v>0</v>
      </c>
      <c r="R798" s="5">
        <f t="shared" si="189"/>
        <v>0</v>
      </c>
      <c r="S798" s="5">
        <f t="shared" si="189"/>
        <v>0</v>
      </c>
      <c r="T798" s="5">
        <f t="shared" si="189"/>
        <v>0</v>
      </c>
      <c r="U798" s="5">
        <f t="shared" si="189"/>
        <v>0</v>
      </c>
      <c r="V798" s="5">
        <f t="shared" si="189"/>
        <v>0</v>
      </c>
      <c r="W798" s="5">
        <f t="shared" si="189"/>
        <v>0</v>
      </c>
      <c r="X798" s="5">
        <f t="shared" si="189"/>
        <v>0</v>
      </c>
      <c r="Y798" s="5">
        <f t="shared" si="189"/>
        <v>0</v>
      </c>
      <c r="Z798" s="5">
        <f t="shared" si="189"/>
        <v>0</v>
      </c>
      <c r="AA798" s="5">
        <f t="shared" si="189"/>
        <v>0</v>
      </c>
      <c r="AB798" s="5">
        <f t="shared" si="189"/>
        <v>0</v>
      </c>
      <c r="AC798" s="5">
        <f t="shared" si="189"/>
        <v>0</v>
      </c>
      <c r="AD798" s="5">
        <f t="shared" si="189"/>
        <v>0</v>
      </c>
      <c r="AE798" s="5">
        <f t="shared" si="189"/>
        <v>43314.5</v>
      </c>
      <c r="AF798" s="5">
        <f t="shared" si="189"/>
        <v>150000</v>
      </c>
      <c r="AG798" s="5">
        <f t="shared" si="189"/>
        <v>0</v>
      </c>
      <c r="AH798" s="23" t="s">
        <v>90</v>
      </c>
      <c r="AI798" s="23" t="s">
        <v>90</v>
      </c>
      <c r="AJ798" s="27" t="s">
        <v>90</v>
      </c>
      <c r="AV798" s="2" t="e">
        <f t="shared" si="182"/>
        <v>#N/A</v>
      </c>
      <c r="CB798" s="236">
        <v>3080948</v>
      </c>
      <c r="CF798" s="2" t="e">
        <f t="shared" si="183"/>
        <v>#N/A</v>
      </c>
    </row>
    <row r="799" spans="1:262" ht="61.5" x14ac:dyDescent="0.85">
      <c r="A799" s="2">
        <v>1</v>
      </c>
      <c r="B799" s="18">
        <f>SUBTOTAL(103,$A$558:A799)</f>
        <v>231</v>
      </c>
      <c r="C799" s="3" t="s">
        <v>1602</v>
      </c>
      <c r="D799" s="5">
        <v>3080948</v>
      </c>
      <c r="E799" s="5">
        <f t="shared" si="176"/>
        <v>0</v>
      </c>
      <c r="F799" s="5">
        <f>G799+H799+I799+J799+K799+L799+N799+P799+R799+T799+V799+W799+X799+Y799+Z799+AA799+AB799+AC799+AD799+AE799+AF799+AG799</f>
        <v>3080948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0</v>
      </c>
      <c r="M799" s="241">
        <v>0</v>
      </c>
      <c r="N799" s="5">
        <v>0</v>
      </c>
      <c r="O799" s="5">
        <v>520</v>
      </c>
      <c r="P799" s="5">
        <v>2887633.5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f>ROUND(P799*1.5%,2)</f>
        <v>43314.5</v>
      </c>
      <c r="AF799" s="5">
        <v>150000</v>
      </c>
      <c r="AG799" s="5">
        <v>0</v>
      </c>
      <c r="AH799" s="246">
        <v>2021</v>
      </c>
      <c r="AI799" s="246">
        <v>2021</v>
      </c>
      <c r="AJ799" s="6">
        <v>2021</v>
      </c>
      <c r="AV799" s="2" t="e">
        <f t="shared" si="182"/>
        <v>#N/A</v>
      </c>
      <c r="CB799" s="236"/>
      <c r="CF799" s="2" t="e">
        <f t="shared" si="183"/>
        <v>#N/A</v>
      </c>
    </row>
    <row r="800" spans="1:262" ht="61.5" x14ac:dyDescent="0.85">
      <c r="B800" s="3" t="s">
        <v>99</v>
      </c>
      <c r="C800" s="3"/>
      <c r="D800" s="244">
        <v>2008998.15</v>
      </c>
      <c r="E800" s="233">
        <f t="shared" si="176"/>
        <v>0</v>
      </c>
      <c r="F800" s="244">
        <f>F801</f>
        <v>2008998.15</v>
      </c>
      <c r="G800" s="5">
        <f t="shared" ref="G800:AG800" si="190">G801</f>
        <v>0</v>
      </c>
      <c r="H800" s="5">
        <f t="shared" si="190"/>
        <v>0</v>
      </c>
      <c r="I800" s="5">
        <f t="shared" si="190"/>
        <v>0</v>
      </c>
      <c r="J800" s="5">
        <f t="shared" si="190"/>
        <v>0</v>
      </c>
      <c r="K800" s="5">
        <f t="shared" si="190"/>
        <v>0</v>
      </c>
      <c r="L800" s="5">
        <f t="shared" si="190"/>
        <v>0</v>
      </c>
      <c r="M800" s="241">
        <f t="shared" si="190"/>
        <v>0</v>
      </c>
      <c r="N800" s="5">
        <f t="shared" si="190"/>
        <v>0</v>
      </c>
      <c r="O800" s="5">
        <f t="shared" si="190"/>
        <v>812</v>
      </c>
      <c r="P800" s="5">
        <f t="shared" si="190"/>
        <v>1851229.7</v>
      </c>
      <c r="Q800" s="5">
        <f t="shared" si="190"/>
        <v>0</v>
      </c>
      <c r="R800" s="5">
        <f t="shared" si="190"/>
        <v>0</v>
      </c>
      <c r="S800" s="5">
        <f t="shared" si="190"/>
        <v>0</v>
      </c>
      <c r="T800" s="5">
        <f t="shared" si="190"/>
        <v>0</v>
      </c>
      <c r="U800" s="5">
        <f t="shared" si="190"/>
        <v>0</v>
      </c>
      <c r="V800" s="5">
        <f t="shared" si="190"/>
        <v>0</v>
      </c>
      <c r="W800" s="5">
        <f t="shared" si="190"/>
        <v>0</v>
      </c>
      <c r="X800" s="5">
        <f t="shared" si="190"/>
        <v>0</v>
      </c>
      <c r="Y800" s="5">
        <f t="shared" si="190"/>
        <v>0</v>
      </c>
      <c r="Z800" s="5">
        <f t="shared" si="190"/>
        <v>0</v>
      </c>
      <c r="AA800" s="5">
        <f t="shared" si="190"/>
        <v>0</v>
      </c>
      <c r="AB800" s="5">
        <f t="shared" si="190"/>
        <v>0</v>
      </c>
      <c r="AC800" s="5">
        <f t="shared" si="190"/>
        <v>0</v>
      </c>
      <c r="AD800" s="5">
        <f t="shared" si="190"/>
        <v>0</v>
      </c>
      <c r="AE800" s="5">
        <f t="shared" si="190"/>
        <v>27768.45</v>
      </c>
      <c r="AF800" s="5">
        <f t="shared" si="190"/>
        <v>130000</v>
      </c>
      <c r="AG800" s="5">
        <f t="shared" si="190"/>
        <v>0</v>
      </c>
      <c r="AH800" s="23" t="s">
        <v>90</v>
      </c>
      <c r="AI800" s="23" t="s">
        <v>90</v>
      </c>
      <c r="AJ800" s="27" t="s">
        <v>90</v>
      </c>
      <c r="AV800" s="2" t="e">
        <f t="shared" si="182"/>
        <v>#N/A</v>
      </c>
      <c r="CB800" s="236">
        <v>2000000</v>
      </c>
      <c r="CF800" s="2" t="e">
        <f t="shared" si="183"/>
        <v>#N/A</v>
      </c>
    </row>
    <row r="801" spans="1:262" ht="61.5" x14ac:dyDescent="0.85">
      <c r="A801" s="2">
        <v>1</v>
      </c>
      <c r="B801" s="18">
        <f>SUBTOTAL(103,$A$558:A801)</f>
        <v>232</v>
      </c>
      <c r="C801" s="290" t="s">
        <v>1603</v>
      </c>
      <c r="D801" s="5">
        <v>2008998.15</v>
      </c>
      <c r="E801" s="5">
        <f t="shared" si="176"/>
        <v>0</v>
      </c>
      <c r="F801" s="5">
        <f>G801+H801+I801+J801+K801+L801+N801+P801+R801+T801+V801+W801+X801+Y801+Z801+AA801+AB801+AC801+AD801+AE801+AF801+AG801</f>
        <v>2008998.15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241">
        <v>0</v>
      </c>
      <c r="N801" s="5">
        <v>0</v>
      </c>
      <c r="O801" s="5">
        <v>812</v>
      </c>
      <c r="P801" s="5">
        <f>1842364.53+8865.17</f>
        <v>1851229.7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f>ROUND(P801*1.5%,2)</f>
        <v>27768.45</v>
      </c>
      <c r="AF801" s="5">
        <v>130000</v>
      </c>
      <c r="AG801" s="5">
        <v>0</v>
      </c>
      <c r="AH801" s="246">
        <v>2021</v>
      </c>
      <c r="AI801" s="246">
        <v>2021</v>
      </c>
      <c r="AJ801" s="6">
        <v>2021</v>
      </c>
      <c r="AV801" s="2" t="e">
        <f t="shared" si="182"/>
        <v>#N/A</v>
      </c>
      <c r="CB801" s="236"/>
      <c r="CF801" s="2" t="e">
        <f t="shared" si="183"/>
        <v>#N/A</v>
      </c>
    </row>
    <row r="802" spans="1:262" ht="61.5" x14ac:dyDescent="0.85">
      <c r="B802" s="3" t="s">
        <v>100</v>
      </c>
      <c r="C802" s="3"/>
      <c r="D802" s="244">
        <v>29982330.300000001</v>
      </c>
      <c r="E802" s="233">
        <f t="shared" si="176"/>
        <v>-18652398.459999997</v>
      </c>
      <c r="F802" s="244">
        <f t="shared" ref="F802:AG802" si="191">SUM(F803:F816)</f>
        <v>48634728.759999998</v>
      </c>
      <c r="G802" s="5">
        <f t="shared" si="191"/>
        <v>0</v>
      </c>
      <c r="H802" s="5">
        <f t="shared" si="191"/>
        <v>0</v>
      </c>
      <c r="I802" s="5">
        <f t="shared" si="191"/>
        <v>0</v>
      </c>
      <c r="J802" s="5">
        <f t="shared" si="191"/>
        <v>0</v>
      </c>
      <c r="K802" s="5">
        <f t="shared" si="191"/>
        <v>0</v>
      </c>
      <c r="L802" s="5">
        <f t="shared" si="191"/>
        <v>0</v>
      </c>
      <c r="M802" s="241">
        <f t="shared" si="191"/>
        <v>0</v>
      </c>
      <c r="N802" s="5">
        <f t="shared" si="191"/>
        <v>0</v>
      </c>
      <c r="O802" s="5">
        <f t="shared" si="191"/>
        <v>9209.4199999999983</v>
      </c>
      <c r="P802" s="5">
        <f t="shared" si="191"/>
        <v>39060509.600000001</v>
      </c>
      <c r="Q802" s="5">
        <f t="shared" si="191"/>
        <v>0</v>
      </c>
      <c r="R802" s="5">
        <f t="shared" si="191"/>
        <v>0</v>
      </c>
      <c r="S802" s="5">
        <f t="shared" si="191"/>
        <v>3354</v>
      </c>
      <c r="T802" s="5">
        <f t="shared" si="191"/>
        <v>5073900.45</v>
      </c>
      <c r="U802" s="5">
        <f t="shared" si="191"/>
        <v>62</v>
      </c>
      <c r="V802" s="5">
        <f t="shared" si="191"/>
        <v>2276041.94</v>
      </c>
      <c r="W802" s="5">
        <f t="shared" si="191"/>
        <v>0</v>
      </c>
      <c r="X802" s="5">
        <f t="shared" si="191"/>
        <v>0</v>
      </c>
      <c r="Y802" s="5">
        <f t="shared" si="191"/>
        <v>0</v>
      </c>
      <c r="Z802" s="5">
        <f t="shared" si="191"/>
        <v>0</v>
      </c>
      <c r="AA802" s="5">
        <f t="shared" si="191"/>
        <v>0</v>
      </c>
      <c r="AB802" s="5">
        <f t="shared" si="191"/>
        <v>0</v>
      </c>
      <c r="AC802" s="5">
        <f t="shared" si="191"/>
        <v>0</v>
      </c>
      <c r="AD802" s="5">
        <f t="shared" si="191"/>
        <v>0</v>
      </c>
      <c r="AE802" s="5">
        <f t="shared" si="191"/>
        <v>696156.77000000025</v>
      </c>
      <c r="AF802" s="5">
        <f t="shared" si="191"/>
        <v>1168120</v>
      </c>
      <c r="AG802" s="5">
        <f t="shared" si="191"/>
        <v>360000</v>
      </c>
      <c r="AH802" s="23" t="s">
        <v>90</v>
      </c>
      <c r="AI802" s="23" t="s">
        <v>90</v>
      </c>
      <c r="AJ802" s="27" t="s">
        <v>90</v>
      </c>
      <c r="AV802" s="2" t="e">
        <f t="shared" si="182"/>
        <v>#N/A</v>
      </c>
      <c r="CB802" s="236">
        <v>23342012.82</v>
      </c>
      <c r="CF802" s="2" t="e">
        <f t="shared" si="183"/>
        <v>#N/A</v>
      </c>
    </row>
    <row r="803" spans="1:262" ht="61.5" x14ac:dyDescent="0.85">
      <c r="A803" s="2">
        <v>1</v>
      </c>
      <c r="B803" s="18">
        <f>SUBTOTAL(103,$A$558:A803)</f>
        <v>233</v>
      </c>
      <c r="C803" s="3" t="s">
        <v>945</v>
      </c>
      <c r="D803" s="5">
        <v>2492137.06</v>
      </c>
      <c r="E803" s="5">
        <f t="shared" si="176"/>
        <v>0</v>
      </c>
      <c r="F803" s="5">
        <f t="shared" ref="F803:F808" si="192">G803+H803+I803+J803+K803+L803+N803+P803+R803+T803+V803+W803+X803+Y803+Z803+AA803+AB803+AC803+AD803+AE803+AF803+AG803</f>
        <v>2492137.06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0</v>
      </c>
      <c r="M803" s="241">
        <v>0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2768.5</v>
      </c>
      <c r="T803" s="5">
        <v>2307055.62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f>ROUND(T803*1.5%,2)</f>
        <v>34605.83</v>
      </c>
      <c r="AF803" s="5">
        <v>150475.60999999999</v>
      </c>
      <c r="AG803" s="5">
        <v>0</v>
      </c>
      <c r="AH803" s="246">
        <v>2021</v>
      </c>
      <c r="AI803" s="246">
        <v>2021</v>
      </c>
      <c r="AJ803" s="6">
        <v>2021</v>
      </c>
      <c r="AV803" s="2">
        <f t="shared" si="182"/>
        <v>1</v>
      </c>
      <c r="CB803" s="236"/>
      <c r="CF803" s="2" t="e">
        <f t="shared" si="183"/>
        <v>#N/A</v>
      </c>
    </row>
    <row r="804" spans="1:262" ht="61.5" x14ac:dyDescent="0.85">
      <c r="A804" s="2">
        <v>1</v>
      </c>
      <c r="B804" s="18">
        <f>SUBTOTAL(103,$A$558:A804)</f>
        <v>234</v>
      </c>
      <c r="C804" s="3" t="s">
        <v>1604</v>
      </c>
      <c r="D804" s="5">
        <v>5311274.96</v>
      </c>
      <c r="E804" s="5">
        <f t="shared" si="176"/>
        <v>0</v>
      </c>
      <c r="F804" s="5">
        <f t="shared" si="192"/>
        <v>5311274.96</v>
      </c>
      <c r="G804" s="5">
        <v>0</v>
      </c>
      <c r="H804" s="5">
        <v>0</v>
      </c>
      <c r="I804" s="5">
        <v>0</v>
      </c>
      <c r="J804" s="5">
        <v>0</v>
      </c>
      <c r="K804" s="5">
        <v>0</v>
      </c>
      <c r="L804" s="5">
        <v>0</v>
      </c>
      <c r="M804" s="241">
        <v>0</v>
      </c>
      <c r="N804" s="5">
        <v>0</v>
      </c>
      <c r="O804" s="5">
        <v>1323</v>
      </c>
      <c r="P804" s="5">
        <v>5114076.47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f t="shared" ref="AE804:AE810" si="193">ROUND(P804*1.5%,2)</f>
        <v>76711.149999999994</v>
      </c>
      <c r="AF804" s="5">
        <v>120487.34</v>
      </c>
      <c r="AG804" s="5">
        <v>0</v>
      </c>
      <c r="AH804" s="246">
        <v>2021</v>
      </c>
      <c r="AI804" s="246">
        <v>2021</v>
      </c>
      <c r="AJ804" s="6">
        <v>2021</v>
      </c>
      <c r="AV804" s="2" t="e">
        <f t="shared" si="182"/>
        <v>#N/A</v>
      </c>
      <c r="CB804" s="236"/>
      <c r="CF804" s="2" t="e">
        <f t="shared" si="183"/>
        <v>#N/A</v>
      </c>
    </row>
    <row r="805" spans="1:262" ht="61.5" x14ac:dyDescent="0.85">
      <c r="A805" s="2">
        <v>1</v>
      </c>
      <c r="B805" s="18">
        <f>SUBTOTAL(103,$A$558:A805)</f>
        <v>235</v>
      </c>
      <c r="C805" s="3" t="s">
        <v>1605</v>
      </c>
      <c r="D805" s="5">
        <v>4042067.3</v>
      </c>
      <c r="E805" s="5">
        <f t="shared" si="176"/>
        <v>0</v>
      </c>
      <c r="F805" s="5">
        <f t="shared" si="192"/>
        <v>4042067.3</v>
      </c>
      <c r="G805" s="5">
        <v>0</v>
      </c>
      <c r="H805" s="5">
        <v>0</v>
      </c>
      <c r="I805" s="5">
        <v>0</v>
      </c>
      <c r="J805" s="5">
        <v>0</v>
      </c>
      <c r="K805" s="5">
        <v>0</v>
      </c>
      <c r="L805" s="5">
        <v>0</v>
      </c>
      <c r="M805" s="241">
        <v>0</v>
      </c>
      <c r="N805" s="5">
        <v>0</v>
      </c>
      <c r="O805" s="5">
        <v>856</v>
      </c>
      <c r="P805" s="5">
        <v>3865028.57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f t="shared" si="193"/>
        <v>57975.43</v>
      </c>
      <c r="AF805" s="5">
        <v>119063.3</v>
      </c>
      <c r="AG805" s="5">
        <v>0</v>
      </c>
      <c r="AH805" s="246">
        <v>2021</v>
      </c>
      <c r="AI805" s="246">
        <v>2021</v>
      </c>
      <c r="AJ805" s="6">
        <v>2021</v>
      </c>
      <c r="AV805" s="2" t="e">
        <f t="shared" si="182"/>
        <v>#N/A</v>
      </c>
      <c r="CB805" s="236"/>
      <c r="CF805" s="2" t="e">
        <f t="shared" si="183"/>
        <v>#N/A</v>
      </c>
    </row>
    <row r="806" spans="1:262" ht="61.5" x14ac:dyDescent="0.85">
      <c r="A806" s="2">
        <v>1</v>
      </c>
      <c r="B806" s="18">
        <f>SUBTOTAL(103,$A$558:A806)</f>
        <v>236</v>
      </c>
      <c r="C806" s="3" t="s">
        <v>1606</v>
      </c>
      <c r="D806" s="5">
        <v>4517254.16</v>
      </c>
      <c r="E806" s="5">
        <f t="shared" si="176"/>
        <v>0</v>
      </c>
      <c r="F806" s="5">
        <f t="shared" si="192"/>
        <v>4517254.16</v>
      </c>
      <c r="G806" s="5">
        <v>0</v>
      </c>
      <c r="H806" s="5">
        <v>0</v>
      </c>
      <c r="I806" s="5">
        <v>0</v>
      </c>
      <c r="J806" s="5">
        <v>0</v>
      </c>
      <c r="K806" s="5">
        <v>0</v>
      </c>
      <c r="L806" s="5">
        <v>0</v>
      </c>
      <c r="M806" s="241">
        <v>0</v>
      </c>
      <c r="N806" s="5">
        <v>0</v>
      </c>
      <c r="O806" s="5">
        <v>1236</v>
      </c>
      <c r="P806" s="5">
        <f>3504904.43+238305.42+589784.98</f>
        <v>4332994.83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f t="shared" si="193"/>
        <v>64994.92</v>
      </c>
      <c r="AF806" s="5">
        <v>119264.41</v>
      </c>
      <c r="AG806" s="5">
        <v>0</v>
      </c>
      <c r="AH806" s="246">
        <v>2021</v>
      </c>
      <c r="AI806" s="246">
        <v>2021</v>
      </c>
      <c r="AJ806" s="6">
        <v>2021</v>
      </c>
      <c r="AV806" s="2" t="e">
        <f t="shared" si="182"/>
        <v>#N/A</v>
      </c>
      <c r="CB806" s="236"/>
      <c r="CF806" s="2" t="e">
        <f t="shared" si="183"/>
        <v>#N/A</v>
      </c>
    </row>
    <row r="807" spans="1:262" ht="61.5" x14ac:dyDescent="0.85">
      <c r="A807" s="2">
        <v>1</v>
      </c>
      <c r="B807" s="18">
        <f>SUBTOTAL(103,$A$558:A807)</f>
        <v>237</v>
      </c>
      <c r="C807" s="3" t="s">
        <v>1607</v>
      </c>
      <c r="D807" s="5">
        <v>3875480.82</v>
      </c>
      <c r="E807" s="5">
        <f t="shared" si="176"/>
        <v>0</v>
      </c>
      <c r="F807" s="5">
        <f t="shared" si="192"/>
        <v>3875480.82</v>
      </c>
      <c r="G807" s="5">
        <v>0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241">
        <v>0</v>
      </c>
      <c r="N807" s="5">
        <v>0</v>
      </c>
      <c r="O807" s="5">
        <v>949</v>
      </c>
      <c r="P807" s="5">
        <v>3710689.66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f t="shared" si="193"/>
        <v>55660.34</v>
      </c>
      <c r="AF807" s="5">
        <v>109130.82</v>
      </c>
      <c r="AG807" s="5">
        <v>0</v>
      </c>
      <c r="AH807" s="246">
        <v>2021</v>
      </c>
      <c r="AI807" s="246">
        <v>2021</v>
      </c>
      <c r="AJ807" s="6">
        <v>2021</v>
      </c>
      <c r="AV807" s="2" t="e">
        <f t="shared" si="182"/>
        <v>#N/A</v>
      </c>
      <c r="CB807" s="236"/>
      <c r="CF807" s="2" t="e">
        <f t="shared" si="183"/>
        <v>#N/A</v>
      </c>
    </row>
    <row r="808" spans="1:262" ht="61.5" x14ac:dyDescent="0.85">
      <c r="A808" s="2">
        <v>1</v>
      </c>
      <c r="B808" s="18">
        <f>SUBTOTAL(103,$A$558:A808)</f>
        <v>238</v>
      </c>
      <c r="C808" s="3" t="s">
        <v>1608</v>
      </c>
      <c r="D808" s="5">
        <v>3103798.52</v>
      </c>
      <c r="E808" s="5">
        <f t="shared" si="176"/>
        <v>0</v>
      </c>
      <c r="F808" s="5">
        <f t="shared" si="192"/>
        <v>3103798.52</v>
      </c>
      <c r="G808" s="5">
        <v>0</v>
      </c>
      <c r="H808" s="5">
        <v>0</v>
      </c>
      <c r="I808" s="5">
        <v>0</v>
      </c>
      <c r="J808" s="5">
        <v>0</v>
      </c>
      <c r="K808" s="5">
        <v>0</v>
      </c>
      <c r="L808" s="5">
        <v>0</v>
      </c>
      <c r="M808" s="241">
        <v>0</v>
      </c>
      <c r="N808" s="5">
        <v>0</v>
      </c>
      <c r="O808" s="5">
        <v>840</v>
      </c>
      <c r="P808" s="5">
        <v>2940000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f t="shared" si="193"/>
        <v>44100</v>
      </c>
      <c r="AF808" s="5">
        <v>119698.52</v>
      </c>
      <c r="AG808" s="5">
        <v>0</v>
      </c>
      <c r="AH808" s="246">
        <v>2021</v>
      </c>
      <c r="AI808" s="246">
        <v>2021</v>
      </c>
      <c r="AJ808" s="6">
        <v>2021</v>
      </c>
      <c r="AV808" s="2" t="e">
        <f t="shared" si="182"/>
        <v>#N/A</v>
      </c>
      <c r="CB808" s="236"/>
      <c r="CF808" s="2" t="e">
        <f t="shared" si="183"/>
        <v>#N/A</v>
      </c>
    </row>
    <row r="809" spans="1:262" ht="61.5" x14ac:dyDescent="0.85">
      <c r="A809" s="2">
        <v>1</v>
      </c>
      <c r="B809" s="18">
        <f>SUBTOTAL(103,$A$558:A809)</f>
        <v>239</v>
      </c>
      <c r="C809" s="3" t="s">
        <v>1027</v>
      </c>
      <c r="D809" s="5">
        <v>1859292.57</v>
      </c>
      <c r="E809" s="5">
        <f t="shared" si="176"/>
        <v>0</v>
      </c>
      <c r="F809" s="5">
        <f>G809+H809+I809+J809+K809+L809+N809+P809+R809+T809+V809+W809+X809+Y809+Z809+AA809+AB809+AC809+AD809+AE809+AF809+AG809</f>
        <v>1859292.57</v>
      </c>
      <c r="G809" s="249">
        <v>0</v>
      </c>
      <c r="H809" s="249">
        <v>0</v>
      </c>
      <c r="I809" s="5">
        <v>0</v>
      </c>
      <c r="J809" s="249">
        <v>0</v>
      </c>
      <c r="K809" s="249">
        <v>0</v>
      </c>
      <c r="L809" s="249">
        <v>0</v>
      </c>
      <c r="M809" s="241">
        <v>0</v>
      </c>
      <c r="N809" s="5">
        <v>0</v>
      </c>
      <c r="O809" s="5">
        <v>407.8</v>
      </c>
      <c r="P809" s="5">
        <v>1713588.74</v>
      </c>
      <c r="Q809" s="249">
        <v>0</v>
      </c>
      <c r="R809" s="249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f t="shared" si="193"/>
        <v>25703.83</v>
      </c>
      <c r="AF809" s="5">
        <v>0</v>
      </c>
      <c r="AG809" s="5">
        <v>120000</v>
      </c>
      <c r="AH809" s="246" t="s">
        <v>49</v>
      </c>
      <c r="AI809" s="246">
        <v>2021</v>
      </c>
      <c r="AJ809" s="6">
        <v>2021</v>
      </c>
      <c r="CB809" s="236"/>
      <c r="CF809" s="2">
        <f t="shared" si="183"/>
        <v>407.8</v>
      </c>
    </row>
    <row r="810" spans="1:262" ht="61.5" x14ac:dyDescent="0.85">
      <c r="A810" s="2">
        <v>1</v>
      </c>
      <c r="B810" s="18">
        <f>SUBTOTAL(103,$A$558:A810)</f>
        <v>240</v>
      </c>
      <c r="C810" s="3" t="s">
        <v>1281</v>
      </c>
      <c r="D810" s="5">
        <v>2567424.7199999997</v>
      </c>
      <c r="E810" s="5">
        <f t="shared" si="176"/>
        <v>0</v>
      </c>
      <c r="F810" s="5">
        <f t="shared" ref="F810:F816" si="194">G810+H810+I810+J810+K810+L810+N810+P810+R810+T810+V810+W810+X810+Y810+Z810+AA810+AB810+AC810+AD810+AE810+AF810+AG810</f>
        <v>2567424.7199999997</v>
      </c>
      <c r="G810" s="249">
        <v>0</v>
      </c>
      <c r="H810" s="249">
        <v>0</v>
      </c>
      <c r="I810" s="5">
        <v>0</v>
      </c>
      <c r="J810" s="249">
        <v>0</v>
      </c>
      <c r="K810" s="249">
        <v>0</v>
      </c>
      <c r="L810" s="249">
        <v>0</v>
      </c>
      <c r="M810" s="241">
        <v>0</v>
      </c>
      <c r="N810" s="5">
        <v>0</v>
      </c>
      <c r="O810" s="5">
        <v>520.4</v>
      </c>
      <c r="P810" s="5">
        <f>2529482.48-118226.6</f>
        <v>2411255.88</v>
      </c>
      <c r="Q810" s="249">
        <v>0</v>
      </c>
      <c r="R810" s="249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f t="shared" si="193"/>
        <v>36168.839999999997</v>
      </c>
      <c r="AF810" s="5">
        <v>0</v>
      </c>
      <c r="AG810" s="5">
        <v>120000</v>
      </c>
      <c r="AH810" s="246" t="s">
        <v>49</v>
      </c>
      <c r="AI810" s="246">
        <v>2021</v>
      </c>
      <c r="AJ810" s="6">
        <v>2021</v>
      </c>
      <c r="AV810" s="2" t="e">
        <f>VLOOKUP(C810,AY:AZ,2,FALSE)</f>
        <v>#N/A</v>
      </c>
      <c r="CB810" s="236"/>
      <c r="CF810" s="2" t="e">
        <f t="shared" si="183"/>
        <v>#N/A</v>
      </c>
    </row>
    <row r="811" spans="1:262" s="239" customFormat="1" ht="61.5" x14ac:dyDescent="0.85">
      <c r="A811" s="239">
        <v>1</v>
      </c>
      <c r="B811" s="18">
        <f>SUBTOTAL(103,$A$558:A811)</f>
        <v>241</v>
      </c>
      <c r="C811" s="3" t="s">
        <v>1277</v>
      </c>
      <c r="D811" s="5">
        <v>4654757.55</v>
      </c>
      <c r="E811" s="5">
        <f t="shared" si="176"/>
        <v>95474.179999999702</v>
      </c>
      <c r="F811" s="5">
        <f t="shared" si="194"/>
        <v>4559283.37</v>
      </c>
      <c r="G811" s="249">
        <v>0</v>
      </c>
      <c r="H811" s="249">
        <v>0</v>
      </c>
      <c r="I811" s="5">
        <v>0</v>
      </c>
      <c r="J811" s="249">
        <v>0</v>
      </c>
      <c r="K811" s="249">
        <v>0</v>
      </c>
      <c r="L811" s="249">
        <v>0</v>
      </c>
      <c r="M811" s="25">
        <v>0</v>
      </c>
      <c r="N811" s="5">
        <v>0</v>
      </c>
      <c r="O811" s="5">
        <v>870</v>
      </c>
      <c r="P811" s="5">
        <v>4491904.8</v>
      </c>
      <c r="Q811" s="249">
        <v>0</v>
      </c>
      <c r="R811" s="249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f>ROUND(P811*1.5%,2)</f>
        <v>67378.570000000007</v>
      </c>
      <c r="AF811" s="5">
        <v>0</v>
      </c>
      <c r="AG811" s="5">
        <v>0</v>
      </c>
      <c r="AH811" s="246" t="s">
        <v>49</v>
      </c>
      <c r="AI811" s="246">
        <v>2021</v>
      </c>
      <c r="AJ811" s="6">
        <v>2021</v>
      </c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 t="e">
        <f>VLOOKUP(C811,AY:AZ,2,FALSE)</f>
        <v>#N/A</v>
      </c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36"/>
      <c r="CC811" s="2"/>
      <c r="CD811" s="2"/>
      <c r="CE811" s="2"/>
      <c r="CF811" s="2" t="e">
        <f t="shared" si="183"/>
        <v>#N/A</v>
      </c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</row>
    <row r="812" spans="1:262" s="239" customFormat="1" ht="61.5" x14ac:dyDescent="0.85">
      <c r="A812" s="239">
        <v>1</v>
      </c>
      <c r="B812" s="18">
        <f>SUBTOTAL(103,$A$558:A812)</f>
        <v>242</v>
      </c>
      <c r="C812" s="3" t="s">
        <v>1282</v>
      </c>
      <c r="D812" s="5">
        <v>5509944.8600000003</v>
      </c>
      <c r="E812" s="5">
        <f t="shared" si="176"/>
        <v>104089.37000000011</v>
      </c>
      <c r="F812" s="5">
        <f t="shared" si="194"/>
        <v>5405855.4900000002</v>
      </c>
      <c r="G812" s="249">
        <v>0</v>
      </c>
      <c r="H812" s="249">
        <v>0</v>
      </c>
      <c r="I812" s="5">
        <v>0</v>
      </c>
      <c r="J812" s="249">
        <v>0</v>
      </c>
      <c r="K812" s="249">
        <v>0</v>
      </c>
      <c r="L812" s="249">
        <v>0</v>
      </c>
      <c r="M812" s="25">
        <v>0</v>
      </c>
      <c r="N812" s="5">
        <v>0</v>
      </c>
      <c r="O812" s="5">
        <v>991.5</v>
      </c>
      <c r="P812" s="5">
        <v>5325966</v>
      </c>
      <c r="Q812" s="249">
        <v>0</v>
      </c>
      <c r="R812" s="249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f>ROUND(P812*1.5%,2)</f>
        <v>79889.490000000005</v>
      </c>
      <c r="AF812" s="5">
        <v>0</v>
      </c>
      <c r="AG812" s="5">
        <v>0</v>
      </c>
      <c r="AH812" s="246" t="s">
        <v>49</v>
      </c>
      <c r="AI812" s="246">
        <v>2021</v>
      </c>
      <c r="AJ812" s="6">
        <v>2021</v>
      </c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 t="e">
        <f>VLOOKUP(C812,AY:AZ,2,FALSE)</f>
        <v>#N/A</v>
      </c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36"/>
      <c r="CC812" s="2"/>
      <c r="CD812" s="2"/>
      <c r="CE812" s="2"/>
      <c r="CF812" s="2" t="e">
        <f t="shared" si="183"/>
        <v>#N/A</v>
      </c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</row>
    <row r="813" spans="1:262" s="239" customFormat="1" ht="61.5" x14ac:dyDescent="0.85">
      <c r="A813" s="239">
        <v>1</v>
      </c>
      <c r="B813" s="18">
        <f>SUBTOTAL(103,$A$558:A813)</f>
        <v>243</v>
      </c>
      <c r="C813" s="3" t="s">
        <v>1031</v>
      </c>
      <c r="D813" s="5">
        <v>3195950.2899999996</v>
      </c>
      <c r="E813" s="5">
        <f t="shared" si="176"/>
        <v>73200.319999999832</v>
      </c>
      <c r="F813" s="5">
        <f t="shared" si="194"/>
        <v>3122749.9699999997</v>
      </c>
      <c r="G813" s="249">
        <v>0</v>
      </c>
      <c r="H813" s="249">
        <v>0</v>
      </c>
      <c r="I813" s="5">
        <v>0</v>
      </c>
      <c r="J813" s="249">
        <v>0</v>
      </c>
      <c r="K813" s="249">
        <v>0</v>
      </c>
      <c r="L813" s="249">
        <v>0</v>
      </c>
      <c r="M813" s="25">
        <v>0</v>
      </c>
      <c r="N813" s="5">
        <v>0</v>
      </c>
      <c r="O813" s="5">
        <v>738.92</v>
      </c>
      <c r="P813" s="5">
        <f>3507338.79-430737.83</f>
        <v>3076600.96</v>
      </c>
      <c r="Q813" s="249">
        <v>0</v>
      </c>
      <c r="R813" s="249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f>ROUND(P813*1.5%,2)</f>
        <v>46149.01</v>
      </c>
      <c r="AF813" s="5">
        <v>0</v>
      </c>
      <c r="AG813" s="5">
        <v>0</v>
      </c>
      <c r="AH813" s="246" t="s">
        <v>49</v>
      </c>
      <c r="AI813" s="246">
        <v>2021</v>
      </c>
      <c r="AJ813" s="6">
        <v>2021</v>
      </c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36"/>
      <c r="CC813" s="2"/>
      <c r="CD813" s="2"/>
      <c r="CE813" s="2"/>
      <c r="CF813" s="2">
        <f t="shared" si="183"/>
        <v>738.92</v>
      </c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</row>
    <row r="814" spans="1:262" s="258" customFormat="1" ht="61.5" x14ac:dyDescent="0.85">
      <c r="A814" s="258">
        <v>1</v>
      </c>
      <c r="B814" s="18">
        <f>SUBTOTAL(103,$A$558:A814)</f>
        <v>244</v>
      </c>
      <c r="C814" s="448" t="s">
        <v>1609</v>
      </c>
      <c r="D814" s="5"/>
      <c r="E814" s="5">
        <f t="shared" si="176"/>
        <v>-2259579.75</v>
      </c>
      <c r="F814" s="5">
        <f t="shared" si="194"/>
        <v>2259579.75</v>
      </c>
      <c r="G814" s="259">
        <v>0</v>
      </c>
      <c r="H814" s="259">
        <v>0</v>
      </c>
      <c r="I814" s="259">
        <v>0</v>
      </c>
      <c r="J814" s="259">
        <v>0</v>
      </c>
      <c r="K814" s="259">
        <v>0</v>
      </c>
      <c r="L814" s="259">
        <v>0</v>
      </c>
      <c r="M814" s="260">
        <v>0</v>
      </c>
      <c r="N814" s="36">
        <v>0</v>
      </c>
      <c r="O814" s="36">
        <v>476.8</v>
      </c>
      <c r="P814" s="36">
        <f>2046196.68+32207.01</f>
        <v>2078403.69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f>ROUND(P814*1.5%,2)</f>
        <v>31176.06</v>
      </c>
      <c r="AF814" s="36">
        <v>150000</v>
      </c>
      <c r="AG814" s="36">
        <v>0</v>
      </c>
      <c r="AH814" s="261">
        <v>2021</v>
      </c>
      <c r="AI814" s="261">
        <v>2021</v>
      </c>
      <c r="AJ814" s="262">
        <v>2021</v>
      </c>
      <c r="AV814" s="258" t="e">
        <f t="shared" ref="AV814:AV819" si="195">VLOOKUP(C814,AY:AZ,2,FALSE)</f>
        <v>#N/A</v>
      </c>
      <c r="CB814" s="263"/>
      <c r="CF814" s="258" t="e">
        <f t="shared" si="183"/>
        <v>#N/A</v>
      </c>
    </row>
    <row r="815" spans="1:262" s="258" customFormat="1" ht="61.5" x14ac:dyDescent="0.85">
      <c r="A815" s="258">
        <v>1</v>
      </c>
      <c r="B815" s="18">
        <f>SUBTOTAL(103,$A$558:A815)</f>
        <v>245</v>
      </c>
      <c r="C815" s="448" t="s">
        <v>1610</v>
      </c>
      <c r="D815" s="5"/>
      <c r="E815" s="5">
        <f t="shared" si="176"/>
        <v>-2460182.5699999998</v>
      </c>
      <c r="F815" s="5">
        <f t="shared" si="194"/>
        <v>2460182.5699999998</v>
      </c>
      <c r="G815" s="259">
        <v>0</v>
      </c>
      <c r="H815" s="259">
        <v>0</v>
      </c>
      <c r="I815" s="259">
        <v>0</v>
      </c>
      <c r="J815" s="259">
        <v>0</v>
      </c>
      <c r="K815" s="259">
        <v>0</v>
      </c>
      <c r="L815" s="259">
        <v>0</v>
      </c>
      <c r="M815" s="260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62</v>
      </c>
      <c r="V815" s="36">
        <f>1919206.85+356835.09</f>
        <v>2276041.94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f>ROUND(V815*1.5%,2)</f>
        <v>34140.629999999997</v>
      </c>
      <c r="AF815" s="36">
        <v>150000</v>
      </c>
      <c r="AG815" s="36">
        <v>0</v>
      </c>
      <c r="AH815" s="261">
        <v>2021</v>
      </c>
      <c r="AI815" s="261">
        <v>2021</v>
      </c>
      <c r="AJ815" s="262">
        <v>2021</v>
      </c>
      <c r="AV815" s="258" t="e">
        <f t="shared" si="195"/>
        <v>#N/A</v>
      </c>
      <c r="CB815" s="263"/>
      <c r="CF815" s="258" t="e">
        <f t="shared" si="183"/>
        <v>#N/A</v>
      </c>
    </row>
    <row r="816" spans="1:262" s="239" customFormat="1" ht="61.5" x14ac:dyDescent="0.85">
      <c r="A816" s="239">
        <v>1</v>
      </c>
      <c r="B816" s="18">
        <f>SUBTOTAL(103,$A$558:A816)</f>
        <v>246</v>
      </c>
      <c r="C816" s="290" t="s">
        <v>1611</v>
      </c>
      <c r="D816" s="5">
        <v>3058347.5</v>
      </c>
      <c r="E816" s="5">
        <f t="shared" si="176"/>
        <v>0</v>
      </c>
      <c r="F816" s="5">
        <f t="shared" si="194"/>
        <v>3058347.5</v>
      </c>
      <c r="G816" s="5">
        <v>0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25">
        <v>0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585.5</v>
      </c>
      <c r="T816" s="5">
        <f>2885071.43-118226.6</f>
        <v>2766844.83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f>ROUND(T816*1.5%,2)</f>
        <v>41502.67</v>
      </c>
      <c r="AF816" s="5">
        <v>130000</v>
      </c>
      <c r="AG816" s="5">
        <v>120000</v>
      </c>
      <c r="AH816" s="246">
        <v>2021</v>
      </c>
      <c r="AI816" s="246">
        <v>2021</v>
      </c>
      <c r="AJ816" s="6">
        <v>2021</v>
      </c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 t="e">
        <f t="shared" si="195"/>
        <v>#N/A</v>
      </c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36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</row>
    <row r="817" spans="1:262" ht="61.5" x14ac:dyDescent="0.85">
      <c r="B817" s="3" t="s">
        <v>101</v>
      </c>
      <c r="C817" s="442"/>
      <c r="D817" s="244">
        <v>16668323.34</v>
      </c>
      <c r="E817" s="233">
        <f t="shared" si="176"/>
        <v>-8902052.7600000016</v>
      </c>
      <c r="F817" s="244">
        <f t="shared" ref="F817:AG817" si="196">SUM(F818:F827)</f>
        <v>25570376.100000001</v>
      </c>
      <c r="G817" s="5">
        <f t="shared" si="196"/>
        <v>315048.13</v>
      </c>
      <c r="H817" s="5">
        <f t="shared" si="196"/>
        <v>0</v>
      </c>
      <c r="I817" s="5">
        <f t="shared" si="196"/>
        <v>0</v>
      </c>
      <c r="J817" s="5">
        <f t="shared" si="196"/>
        <v>550227.06000000006</v>
      </c>
      <c r="K817" s="5">
        <f t="shared" si="196"/>
        <v>0</v>
      </c>
      <c r="L817" s="5">
        <f t="shared" si="196"/>
        <v>0</v>
      </c>
      <c r="M817" s="241">
        <f t="shared" si="196"/>
        <v>0</v>
      </c>
      <c r="N817" s="5">
        <f t="shared" si="196"/>
        <v>0</v>
      </c>
      <c r="O817" s="5">
        <f t="shared" si="196"/>
        <v>3264.4</v>
      </c>
      <c r="P817" s="5">
        <f t="shared" si="196"/>
        <v>14595924.969999999</v>
      </c>
      <c r="Q817" s="5">
        <f t="shared" si="196"/>
        <v>0</v>
      </c>
      <c r="R817" s="5">
        <f t="shared" si="196"/>
        <v>0</v>
      </c>
      <c r="S817" s="5">
        <f t="shared" si="196"/>
        <v>827.7</v>
      </c>
      <c r="T817" s="5">
        <f t="shared" si="196"/>
        <v>3605796.98</v>
      </c>
      <c r="U817" s="5">
        <f t="shared" si="196"/>
        <v>84.3</v>
      </c>
      <c r="V817" s="5">
        <f t="shared" si="196"/>
        <v>1784615.64</v>
      </c>
      <c r="W817" s="5">
        <f t="shared" si="196"/>
        <v>4066158.53</v>
      </c>
      <c r="X817" s="5">
        <f t="shared" si="196"/>
        <v>0</v>
      </c>
      <c r="Y817" s="5">
        <f t="shared" si="196"/>
        <v>0</v>
      </c>
      <c r="Z817" s="5">
        <f t="shared" si="196"/>
        <v>0</v>
      </c>
      <c r="AA817" s="5">
        <f t="shared" si="196"/>
        <v>0</v>
      </c>
      <c r="AB817" s="5">
        <f t="shared" si="196"/>
        <v>0</v>
      </c>
      <c r="AC817" s="5">
        <f t="shared" si="196"/>
        <v>0</v>
      </c>
      <c r="AD817" s="5">
        <f t="shared" si="196"/>
        <v>0</v>
      </c>
      <c r="AE817" s="5">
        <f t="shared" si="196"/>
        <v>373766.57</v>
      </c>
      <c r="AF817" s="5">
        <f t="shared" si="196"/>
        <v>278838.22000000003</v>
      </c>
      <c r="AG817" s="5">
        <f t="shared" si="196"/>
        <v>0</v>
      </c>
      <c r="AH817" s="23" t="s">
        <v>90</v>
      </c>
      <c r="AI817" s="23" t="s">
        <v>90</v>
      </c>
      <c r="AJ817" s="27" t="s">
        <v>90</v>
      </c>
      <c r="AV817" s="2" t="e">
        <f t="shared" si="195"/>
        <v>#N/A</v>
      </c>
      <c r="CB817" s="236">
        <v>11973050.91</v>
      </c>
      <c r="CD817" s="236">
        <f>CB817-F817</f>
        <v>-13597325.190000001</v>
      </c>
      <c r="CF817" s="2" t="e">
        <f t="shared" ref="CF817:CF880" si="197">VLOOKUP(C817,CG:CH,2,FALSE)</f>
        <v>#N/A</v>
      </c>
    </row>
    <row r="818" spans="1:262" ht="61.5" x14ac:dyDescent="0.85">
      <c r="A818" s="2">
        <v>1</v>
      </c>
      <c r="B818" s="18">
        <f>SUBTOTAL(103,$A$558:A818)</f>
        <v>247</v>
      </c>
      <c r="C818" s="3" t="s">
        <v>931</v>
      </c>
      <c r="D818" s="5">
        <v>7386727.6500000004</v>
      </c>
      <c r="E818" s="5">
        <f t="shared" si="176"/>
        <v>0</v>
      </c>
      <c r="F818" s="5">
        <f t="shared" ref="F818:F829" si="198">G818+H818+I818+J818+K818+L818+N818+P818+R818+T818+V818+W818+X818+Y818+Z818+AA818+AB818+AC818+AD818+AE818+AF818+AG818</f>
        <v>7386727.6500000004</v>
      </c>
      <c r="G818" s="5">
        <v>0</v>
      </c>
      <c r="H818" s="5">
        <v>0</v>
      </c>
      <c r="I818" s="5">
        <v>0</v>
      </c>
      <c r="J818" s="5">
        <v>0</v>
      </c>
      <c r="K818" s="5">
        <v>0</v>
      </c>
      <c r="L818" s="5">
        <v>0</v>
      </c>
      <c r="M818" s="241">
        <v>0</v>
      </c>
      <c r="N818" s="5">
        <v>0</v>
      </c>
      <c r="O818" s="5">
        <v>1509</v>
      </c>
      <c r="P818" s="5">
        <f>7404827.59-237942.47-7322.63</f>
        <v>7159562.4900000002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f>ROUND(P818*1.5%,2)</f>
        <v>107393.44</v>
      </c>
      <c r="AF818" s="5">
        <v>119771.72</v>
      </c>
      <c r="AG818" s="5">
        <v>0</v>
      </c>
      <c r="AH818" s="246">
        <v>2021</v>
      </c>
      <c r="AI818" s="246">
        <v>2021</v>
      </c>
      <c r="AJ818" s="6">
        <v>2021</v>
      </c>
      <c r="AV818" s="2">
        <f t="shared" si="195"/>
        <v>1</v>
      </c>
      <c r="CB818" s="236"/>
      <c r="CF818" s="2" t="e">
        <f t="shared" si="197"/>
        <v>#N/A</v>
      </c>
    </row>
    <row r="819" spans="1:262" ht="61.5" x14ac:dyDescent="0.85">
      <c r="A819" s="2">
        <v>1</v>
      </c>
      <c r="B819" s="18">
        <f>SUBTOTAL(103,$A$558:A819)</f>
        <v>248</v>
      </c>
      <c r="C819" s="3" t="s">
        <v>1612</v>
      </c>
      <c r="D819" s="5">
        <v>4229794.2699999996</v>
      </c>
      <c r="E819" s="5">
        <f t="shared" si="176"/>
        <v>0</v>
      </c>
      <c r="F819" s="5">
        <f t="shared" si="198"/>
        <v>4229794.2699999996</v>
      </c>
      <c r="G819" s="5">
        <v>0</v>
      </c>
      <c r="H819" s="5">
        <v>0</v>
      </c>
      <c r="I819" s="5">
        <v>0</v>
      </c>
      <c r="J819" s="5">
        <v>0</v>
      </c>
      <c r="K819" s="5">
        <v>0</v>
      </c>
      <c r="L819" s="5">
        <v>0</v>
      </c>
      <c r="M819" s="241"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4066158.53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f>ROUND(W819*1.5%,2)</f>
        <v>60992.38</v>
      </c>
      <c r="AF819" s="5">
        <v>102643.36</v>
      </c>
      <c r="AG819" s="5">
        <v>0</v>
      </c>
      <c r="AH819" s="246">
        <v>2021</v>
      </c>
      <c r="AI819" s="246">
        <v>2021</v>
      </c>
      <c r="AJ819" s="6">
        <v>2021</v>
      </c>
      <c r="AV819" s="2" t="e">
        <f t="shared" si="195"/>
        <v>#N/A</v>
      </c>
      <c r="CB819" s="236"/>
      <c r="CF819" s="2" t="e">
        <f t="shared" si="197"/>
        <v>#N/A</v>
      </c>
    </row>
    <row r="820" spans="1:262" ht="61.5" x14ac:dyDescent="0.85">
      <c r="A820" s="2">
        <v>1</v>
      </c>
      <c r="B820" s="18">
        <f>SUBTOTAL(103,$A$558:A820)</f>
        <v>249</v>
      </c>
      <c r="C820" s="3" t="s">
        <v>1613</v>
      </c>
      <c r="D820" s="5">
        <v>1438527.14</v>
      </c>
      <c r="E820" s="5">
        <f t="shared" si="176"/>
        <v>0</v>
      </c>
      <c r="F820" s="5">
        <f t="shared" si="198"/>
        <v>1438527.14</v>
      </c>
      <c r="G820" s="5">
        <v>0</v>
      </c>
      <c r="H820" s="5">
        <v>0</v>
      </c>
      <c r="I820" s="5">
        <v>0</v>
      </c>
      <c r="J820" s="5">
        <v>0</v>
      </c>
      <c r="K820" s="5">
        <v>0</v>
      </c>
      <c r="L820" s="5">
        <v>0</v>
      </c>
      <c r="M820" s="241">
        <v>0</v>
      </c>
      <c r="N820" s="5">
        <v>0</v>
      </c>
      <c r="O820" s="5">
        <v>280</v>
      </c>
      <c r="P820" s="5">
        <v>1361678.82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f>ROUND(P820*1.5%,2)</f>
        <v>20425.18</v>
      </c>
      <c r="AF820" s="5">
        <v>56423.14</v>
      </c>
      <c r="AG820" s="5">
        <v>0</v>
      </c>
      <c r="AH820" s="246">
        <v>2021</v>
      </c>
      <c r="AI820" s="246">
        <v>2021</v>
      </c>
      <c r="AJ820" s="6">
        <v>2021</v>
      </c>
      <c r="CB820" s="236"/>
      <c r="CF820" s="2" t="e">
        <f t="shared" si="197"/>
        <v>#N/A</v>
      </c>
    </row>
    <row r="821" spans="1:262" ht="61.5" x14ac:dyDescent="0.85">
      <c r="A821" s="2">
        <v>1</v>
      </c>
      <c r="B821" s="18">
        <f>SUBTOTAL(103,$A$558:A821)</f>
        <v>250</v>
      </c>
      <c r="C821" s="3" t="s">
        <v>1296</v>
      </c>
      <c r="D821" s="5">
        <v>2392099.6100000003</v>
      </c>
      <c r="E821" s="5">
        <f t="shared" si="176"/>
        <v>89335.700000000186</v>
      </c>
      <c r="F821" s="5">
        <f>G821+H821+I821+J821+K821+L821+N821+P821+R821+T821+V821+W821+X821+Y821+Z821+AA821+AB821+AC821+AD821+AE821+AF821+AG821</f>
        <v>2302763.91</v>
      </c>
      <c r="G821" s="249">
        <v>0</v>
      </c>
      <c r="H821" s="249">
        <v>0</v>
      </c>
      <c r="I821" s="5">
        <v>0</v>
      </c>
      <c r="J821" s="249">
        <v>0</v>
      </c>
      <c r="K821" s="249">
        <v>0</v>
      </c>
      <c r="L821" s="249">
        <v>0</v>
      </c>
      <c r="M821" s="241">
        <v>0</v>
      </c>
      <c r="N821" s="5">
        <v>0</v>
      </c>
      <c r="O821" s="5">
        <v>665</v>
      </c>
      <c r="P821" s="5">
        <v>2268732.92</v>
      </c>
      <c r="Q821" s="249">
        <v>0</v>
      </c>
      <c r="R821" s="249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f>ROUND(P821*1.5%,2)</f>
        <v>34030.99</v>
      </c>
      <c r="AF821" s="5">
        <v>0</v>
      </c>
      <c r="AG821" s="5">
        <v>0</v>
      </c>
      <c r="AH821" s="246" t="s">
        <v>49</v>
      </c>
      <c r="AI821" s="246">
        <v>2021</v>
      </c>
      <c r="AJ821" s="6">
        <v>2021</v>
      </c>
      <c r="CB821" s="236"/>
      <c r="CF821" s="2" t="e">
        <f t="shared" si="197"/>
        <v>#N/A</v>
      </c>
    </row>
    <row r="822" spans="1:262" s="239" customFormat="1" ht="61.5" x14ac:dyDescent="0.85">
      <c r="A822" s="239">
        <v>1</v>
      </c>
      <c r="B822" s="18">
        <f>SUBTOTAL(103,$A$558:A822)</f>
        <v>251</v>
      </c>
      <c r="C822" s="3" t="s">
        <v>1287</v>
      </c>
      <c r="D822" s="5">
        <v>2567368.66</v>
      </c>
      <c r="E822" s="5">
        <f t="shared" si="176"/>
        <v>323257.93000000017</v>
      </c>
      <c r="F822" s="5">
        <f t="shared" ref="F822:F827" si="199">G822+H822+I822+J822+K822+L822+N822+P822+R822+T822+V822+W822+X822+Y822+Z822+AA822+AB822+AC822+AD822+AE822+AF822+AG822</f>
        <v>2244110.73</v>
      </c>
      <c r="G822" s="5">
        <v>0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2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449.8</v>
      </c>
      <c r="T822" s="5">
        <f>1694742.15+749592.83-200000-44537.95+11149.5</f>
        <v>2210946.5299999998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f>ROUND(T822*1.5%,2)</f>
        <v>33164.199999999997</v>
      </c>
      <c r="AF822" s="5">
        <v>0</v>
      </c>
      <c r="AG822" s="5">
        <v>0</v>
      </c>
      <c r="AH822" s="246" t="s">
        <v>49</v>
      </c>
      <c r="AI822" s="246">
        <v>2021</v>
      </c>
      <c r="AJ822" s="6">
        <v>2021</v>
      </c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 t="e">
        <f>VLOOKUP(C822,AY:AZ,2,FALSE)</f>
        <v>#N/A</v>
      </c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36"/>
      <c r="CC822" s="2"/>
      <c r="CD822" s="2"/>
      <c r="CE822" s="2"/>
      <c r="CF822" s="2" t="e">
        <f t="shared" si="197"/>
        <v>#N/A</v>
      </c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</row>
    <row r="823" spans="1:262" s="239" customFormat="1" ht="61.5" x14ac:dyDescent="0.85">
      <c r="A823" s="239">
        <v>1</v>
      </c>
      <c r="B823" s="18">
        <f>SUBTOTAL(103,$A$558:A823)</f>
        <v>252</v>
      </c>
      <c r="C823" s="3" t="s">
        <v>1289</v>
      </c>
      <c r="D823" s="5">
        <v>1317002.8400000001</v>
      </c>
      <c r="E823" s="5">
        <f t="shared" si="176"/>
        <v>54902.840000000084</v>
      </c>
      <c r="F823" s="5">
        <f t="shared" si="199"/>
        <v>1262100</v>
      </c>
      <c r="G823" s="5">
        <v>0</v>
      </c>
      <c r="H823" s="5">
        <v>0</v>
      </c>
      <c r="I823" s="5">
        <v>0</v>
      </c>
      <c r="J823" s="5">
        <v>0</v>
      </c>
      <c r="K823" s="5">
        <v>0</v>
      </c>
      <c r="L823" s="5">
        <v>0</v>
      </c>
      <c r="M823" s="25">
        <v>0</v>
      </c>
      <c r="N823" s="5">
        <v>0</v>
      </c>
      <c r="O823" s="5">
        <v>271</v>
      </c>
      <c r="P823" s="5">
        <v>1243448.28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f>ROUND(P823*1.5%,2)</f>
        <v>18651.72</v>
      </c>
      <c r="AF823" s="5">
        <v>0</v>
      </c>
      <c r="AG823" s="5">
        <v>0</v>
      </c>
      <c r="AH823" s="246" t="s">
        <v>49</v>
      </c>
      <c r="AI823" s="246">
        <v>2021</v>
      </c>
      <c r="AJ823" s="6">
        <v>2021</v>
      </c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 t="e">
        <f>VLOOKUP(C823,AY:AZ,2,FALSE)</f>
        <v>#N/A</v>
      </c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36"/>
      <c r="CC823" s="2"/>
      <c r="CD823" s="2"/>
      <c r="CE823" s="2"/>
      <c r="CF823" s="2" t="e">
        <f t="shared" si="197"/>
        <v>#N/A</v>
      </c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</row>
    <row r="824" spans="1:262" s="239" customFormat="1" ht="61.5" x14ac:dyDescent="0.85">
      <c r="A824" s="239">
        <v>1</v>
      </c>
      <c r="B824" s="18">
        <f>SUBTOTAL(103,$A$558:A824)</f>
        <v>253</v>
      </c>
      <c r="C824" s="3" t="s">
        <v>1291</v>
      </c>
      <c r="D824" s="5">
        <v>2694274.4</v>
      </c>
      <c r="E824" s="5">
        <f t="shared" si="176"/>
        <v>93334.399999999907</v>
      </c>
      <c r="F824" s="5">
        <f t="shared" si="199"/>
        <v>2600940</v>
      </c>
      <c r="G824" s="5">
        <v>0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25">
        <v>0</v>
      </c>
      <c r="N824" s="5">
        <v>0</v>
      </c>
      <c r="O824" s="5">
        <v>539.4</v>
      </c>
      <c r="P824" s="5">
        <v>2562502.46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f>ROUND(P824*1.5%,2)</f>
        <v>38437.54</v>
      </c>
      <c r="AF824" s="5">
        <v>0</v>
      </c>
      <c r="AG824" s="5">
        <v>0</v>
      </c>
      <c r="AH824" s="246" t="s">
        <v>49</v>
      </c>
      <c r="AI824" s="246">
        <v>2021</v>
      </c>
      <c r="AJ824" s="6">
        <v>2021</v>
      </c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 t="e">
        <f>VLOOKUP(C824,AY:AZ,2,FALSE)</f>
        <v>#N/A</v>
      </c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36"/>
      <c r="CC824" s="2"/>
      <c r="CD824" s="2"/>
      <c r="CE824" s="2"/>
      <c r="CF824" s="2" t="e">
        <f t="shared" si="197"/>
        <v>#N/A</v>
      </c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</row>
    <row r="825" spans="1:262" s="239" customFormat="1" ht="61.5" x14ac:dyDescent="0.85">
      <c r="A825" s="239">
        <v>1</v>
      </c>
      <c r="B825" s="18">
        <f>SUBTOTAL(103,$A$558:A825)</f>
        <v>254</v>
      </c>
      <c r="C825" s="3" t="s">
        <v>1293</v>
      </c>
      <c r="D825" s="5">
        <v>3331286.34</v>
      </c>
      <c r="E825" s="5">
        <f t="shared" si="176"/>
        <v>2453032.0199999996</v>
      </c>
      <c r="F825" s="5">
        <f t="shared" si="199"/>
        <v>878254.32000000007</v>
      </c>
      <c r="G825" s="249">
        <v>315048.13</v>
      </c>
      <c r="H825" s="249">
        <v>0</v>
      </c>
      <c r="I825" s="5">
        <v>0</v>
      </c>
      <c r="J825" s="249">
        <v>550227.06000000006</v>
      </c>
      <c r="K825" s="249">
        <v>0</v>
      </c>
      <c r="L825" s="249">
        <v>0</v>
      </c>
      <c r="M825" s="25">
        <v>0</v>
      </c>
      <c r="N825" s="5">
        <v>0</v>
      </c>
      <c r="O825" s="5">
        <v>0</v>
      </c>
      <c r="P825" s="5">
        <v>0</v>
      </c>
      <c r="Q825" s="249">
        <v>0</v>
      </c>
      <c r="R825" s="249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f>ROUND((G825+H825+I825+J825+K825+L825)*1.5%,2)</f>
        <v>12979.13</v>
      </c>
      <c r="AF825" s="5">
        <v>0</v>
      </c>
      <c r="AG825" s="5">
        <v>0</v>
      </c>
      <c r="AH825" s="246" t="s">
        <v>49</v>
      </c>
      <c r="AI825" s="246">
        <v>2021</v>
      </c>
      <c r="AJ825" s="6">
        <v>2021</v>
      </c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36"/>
      <c r="CC825" s="2"/>
      <c r="CD825" s="2"/>
      <c r="CE825" s="2"/>
      <c r="CF825" s="2" t="e">
        <f t="shared" si="197"/>
        <v>#N/A</v>
      </c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</row>
    <row r="826" spans="1:262" s="239" customFormat="1" ht="61.5" x14ac:dyDescent="0.85">
      <c r="A826" s="239">
        <v>1</v>
      </c>
      <c r="B826" s="18">
        <f>SUBTOTAL(103,$A$558:A826)</f>
        <v>255</v>
      </c>
      <c r="C826" s="3" t="s">
        <v>1614</v>
      </c>
      <c r="D826" s="5">
        <v>1811384.8699999999</v>
      </c>
      <c r="E826" s="5">
        <f t="shared" si="176"/>
        <v>0</v>
      </c>
      <c r="F826" s="5">
        <f t="shared" si="199"/>
        <v>1811384.8699999999</v>
      </c>
      <c r="G826" s="249">
        <v>0</v>
      </c>
      <c r="H826" s="249">
        <v>0</v>
      </c>
      <c r="I826" s="5">
        <v>0</v>
      </c>
      <c r="J826" s="249">
        <v>0</v>
      </c>
      <c r="K826" s="249">
        <v>0</v>
      </c>
      <c r="L826" s="249">
        <v>0</v>
      </c>
      <c r="M826" s="25">
        <v>0</v>
      </c>
      <c r="N826" s="5">
        <v>0</v>
      </c>
      <c r="O826" s="5">
        <v>0</v>
      </c>
      <c r="P826" s="5">
        <v>0</v>
      </c>
      <c r="Q826" s="249">
        <v>0</v>
      </c>
      <c r="R826" s="249">
        <v>0</v>
      </c>
      <c r="S826" s="5">
        <v>0</v>
      </c>
      <c r="T826" s="5">
        <v>0</v>
      </c>
      <c r="U826" s="5">
        <v>84.3</v>
      </c>
      <c r="V826" s="5">
        <v>1784615.64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f>ROUND(V826*1.5%,2)</f>
        <v>26769.23</v>
      </c>
      <c r="AF826" s="5">
        <v>0</v>
      </c>
      <c r="AG826" s="5">
        <v>0</v>
      </c>
      <c r="AH826" s="246" t="s">
        <v>49</v>
      </c>
      <c r="AI826" s="246">
        <v>2021</v>
      </c>
      <c r="AJ826" s="6">
        <v>2021</v>
      </c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36"/>
      <c r="CC826" s="2"/>
      <c r="CD826" s="2"/>
      <c r="CE826" s="2"/>
      <c r="CF826" s="2" t="e">
        <f t="shared" si="197"/>
        <v>#N/A</v>
      </c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</row>
    <row r="827" spans="1:262" s="239" customFormat="1" ht="61.5" x14ac:dyDescent="0.85">
      <c r="A827" s="239">
        <v>1</v>
      </c>
      <c r="B827" s="18">
        <f>SUBTOTAL(103,$A$558:A827)</f>
        <v>256</v>
      </c>
      <c r="C827" s="3" t="s">
        <v>1295</v>
      </c>
      <c r="D827" s="5">
        <v>1456376.84</v>
      </c>
      <c r="E827" s="5">
        <f t="shared" si="176"/>
        <v>40603.629999999888</v>
      </c>
      <c r="F827" s="5">
        <f t="shared" si="199"/>
        <v>1415773.2100000002</v>
      </c>
      <c r="G827" s="249">
        <v>0</v>
      </c>
      <c r="H827" s="249">
        <v>0</v>
      </c>
      <c r="I827" s="5">
        <v>0</v>
      </c>
      <c r="J827" s="249">
        <v>0</v>
      </c>
      <c r="K827" s="249">
        <v>0</v>
      </c>
      <c r="L827" s="249">
        <v>0</v>
      </c>
      <c r="M827" s="25">
        <v>0</v>
      </c>
      <c r="N827" s="5">
        <v>0</v>
      </c>
      <c r="O827" s="5">
        <v>0</v>
      </c>
      <c r="P827" s="5">
        <v>0</v>
      </c>
      <c r="Q827" s="249">
        <v>0</v>
      </c>
      <c r="R827" s="249">
        <v>0</v>
      </c>
      <c r="S827" s="5">
        <v>377.9</v>
      </c>
      <c r="T827" s="5">
        <v>1394850.4500000002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f>ROUND(T827*1.5%,2)</f>
        <v>20922.759999999998</v>
      </c>
      <c r="AF827" s="5">
        <v>0</v>
      </c>
      <c r="AG827" s="5">
        <v>0</v>
      </c>
      <c r="AH827" s="246" t="s">
        <v>49</v>
      </c>
      <c r="AI827" s="246">
        <v>2021</v>
      </c>
      <c r="AJ827" s="6">
        <v>2021</v>
      </c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36"/>
      <c r="CC827" s="2"/>
      <c r="CD827" s="2"/>
      <c r="CE827" s="2"/>
      <c r="CF827" s="2" t="e">
        <f t="shared" si="197"/>
        <v>#N/A</v>
      </c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</row>
    <row r="828" spans="1:262" ht="61.5" x14ac:dyDescent="0.85">
      <c r="B828" s="3" t="s">
        <v>1615</v>
      </c>
      <c r="C828" s="3"/>
      <c r="D828" s="244">
        <v>4544967.91</v>
      </c>
      <c r="E828" s="233">
        <f t="shared" si="176"/>
        <v>-1244014.3499999996</v>
      </c>
      <c r="F828" s="244">
        <f t="shared" ref="F828:AG828" si="200">SUM(F829:F830)</f>
        <v>5788982.2599999998</v>
      </c>
      <c r="G828" s="5">
        <f t="shared" si="200"/>
        <v>0</v>
      </c>
      <c r="H828" s="5">
        <f t="shared" si="200"/>
        <v>0</v>
      </c>
      <c r="I828" s="5">
        <f t="shared" si="200"/>
        <v>0</v>
      </c>
      <c r="J828" s="5">
        <f t="shared" si="200"/>
        <v>0</v>
      </c>
      <c r="K828" s="5">
        <f t="shared" si="200"/>
        <v>0</v>
      </c>
      <c r="L828" s="5">
        <f t="shared" si="200"/>
        <v>0</v>
      </c>
      <c r="M828" s="241">
        <f t="shared" si="200"/>
        <v>0</v>
      </c>
      <c r="N828" s="5">
        <f t="shared" si="200"/>
        <v>0</v>
      </c>
      <c r="O828" s="5">
        <f t="shared" si="200"/>
        <v>0</v>
      </c>
      <c r="P828" s="5">
        <f t="shared" si="200"/>
        <v>0</v>
      </c>
      <c r="Q828" s="5">
        <f t="shared" si="200"/>
        <v>0</v>
      </c>
      <c r="R828" s="5">
        <f t="shared" si="200"/>
        <v>0</v>
      </c>
      <c r="S828" s="5">
        <f t="shared" si="200"/>
        <v>1339.37</v>
      </c>
      <c r="T828" s="5">
        <f t="shared" si="200"/>
        <v>5585225.3700000001</v>
      </c>
      <c r="U828" s="5">
        <f t="shared" si="200"/>
        <v>0</v>
      </c>
      <c r="V828" s="5">
        <f t="shared" si="200"/>
        <v>0</v>
      </c>
      <c r="W828" s="5">
        <f t="shared" si="200"/>
        <v>0</v>
      </c>
      <c r="X828" s="5">
        <f t="shared" si="200"/>
        <v>0</v>
      </c>
      <c r="Y828" s="5">
        <f t="shared" si="200"/>
        <v>0</v>
      </c>
      <c r="Z828" s="5">
        <f t="shared" si="200"/>
        <v>0</v>
      </c>
      <c r="AA828" s="5">
        <f t="shared" si="200"/>
        <v>0</v>
      </c>
      <c r="AB828" s="5">
        <f t="shared" si="200"/>
        <v>0</v>
      </c>
      <c r="AC828" s="5">
        <f t="shared" si="200"/>
        <v>0</v>
      </c>
      <c r="AD828" s="5">
        <f t="shared" si="200"/>
        <v>0</v>
      </c>
      <c r="AE828" s="5">
        <f t="shared" si="200"/>
        <v>83778.38</v>
      </c>
      <c r="AF828" s="5">
        <f t="shared" si="200"/>
        <v>119978.51</v>
      </c>
      <c r="AG828" s="5">
        <f t="shared" si="200"/>
        <v>0</v>
      </c>
      <c r="AH828" s="23" t="s">
        <v>90</v>
      </c>
      <c r="AI828" s="23" t="s">
        <v>90</v>
      </c>
      <c r="AJ828" s="27" t="s">
        <v>90</v>
      </c>
      <c r="AV828" s="2" t="e">
        <f>VLOOKUP(C828,AY:AZ,2,FALSE)</f>
        <v>#N/A</v>
      </c>
      <c r="CB828" s="236">
        <v>3284631.43</v>
      </c>
      <c r="CF828" s="2" t="e">
        <f t="shared" si="197"/>
        <v>#N/A</v>
      </c>
    </row>
    <row r="829" spans="1:262" ht="61.5" x14ac:dyDescent="0.85">
      <c r="A829" s="2">
        <v>1</v>
      </c>
      <c r="B829" s="18">
        <f>SUBTOTAL(103,$A$558:A829)</f>
        <v>257</v>
      </c>
      <c r="C829" s="3" t="s">
        <v>1616</v>
      </c>
      <c r="D829" s="5">
        <v>3254609.94</v>
      </c>
      <c r="E829" s="5">
        <f t="shared" si="176"/>
        <v>0</v>
      </c>
      <c r="F829" s="5">
        <f t="shared" si="198"/>
        <v>3254609.94</v>
      </c>
      <c r="G829" s="5">
        <v>0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241">
        <v>0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842.36</v>
      </c>
      <c r="T829" s="5">
        <v>3088306.83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f>ROUND(T829*1.5%,2)</f>
        <v>46324.6</v>
      </c>
      <c r="AF829" s="5">
        <v>119978.51</v>
      </c>
      <c r="AG829" s="5">
        <v>0</v>
      </c>
      <c r="AH829" s="246">
        <v>2021</v>
      </c>
      <c r="AI829" s="246">
        <v>2021</v>
      </c>
      <c r="AJ829" s="6">
        <v>2021</v>
      </c>
      <c r="CB829" s="236"/>
      <c r="CF829" s="2" t="e">
        <f t="shared" si="197"/>
        <v>#N/A</v>
      </c>
    </row>
    <row r="830" spans="1:262" ht="61.5" x14ac:dyDescent="0.85">
      <c r="A830" s="2">
        <v>1</v>
      </c>
      <c r="B830" s="18">
        <f>SUBTOTAL(103,$A$558:A830)</f>
        <v>258</v>
      </c>
      <c r="C830" s="3" t="s">
        <v>1617</v>
      </c>
      <c r="D830" s="5">
        <v>1290357.97</v>
      </c>
      <c r="E830" s="5">
        <f t="shared" ref="E830:E893" si="201">D830-F830</f>
        <v>-1244014.3499999999</v>
      </c>
      <c r="F830" s="5">
        <f>G830+H830+I830+J830+K830+L830+N830+P830+R830+T830+V830+W830+X830+Y830+Z830+AA830+AB830+AC830+AD830+AE830+AF830+AG830</f>
        <v>2534372.3199999998</v>
      </c>
      <c r="G830" s="249">
        <v>0</v>
      </c>
      <c r="H830" s="249">
        <v>0</v>
      </c>
      <c r="I830" s="5">
        <v>0</v>
      </c>
      <c r="J830" s="249">
        <v>0</v>
      </c>
      <c r="K830" s="249">
        <v>0</v>
      </c>
      <c r="L830" s="249">
        <v>0</v>
      </c>
      <c r="M830" s="241">
        <v>0</v>
      </c>
      <c r="N830" s="5">
        <v>0</v>
      </c>
      <c r="O830" s="5">
        <v>0</v>
      </c>
      <c r="P830" s="5">
        <v>0</v>
      </c>
      <c r="Q830" s="249">
        <v>0</v>
      </c>
      <c r="R830" s="249">
        <v>0</v>
      </c>
      <c r="S830" s="5">
        <v>497.01</v>
      </c>
      <c r="T830" s="5">
        <f>2550000-53081.46</f>
        <v>2496918.54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f>ROUND(T830*1.5%,2)</f>
        <v>37453.78</v>
      </c>
      <c r="AF830" s="5">
        <v>0</v>
      </c>
      <c r="AG830" s="5">
        <v>0</v>
      </c>
      <c r="AH830" s="246" t="s">
        <v>49</v>
      </c>
      <c r="AI830" s="246">
        <v>2021</v>
      </c>
      <c r="AJ830" s="6">
        <v>2021</v>
      </c>
      <c r="CB830" s="236"/>
      <c r="CF830" s="2" t="e">
        <f t="shared" si="197"/>
        <v>#N/A</v>
      </c>
    </row>
    <row r="831" spans="1:262" ht="61.5" x14ac:dyDescent="0.85">
      <c r="B831" s="3" t="s">
        <v>102</v>
      </c>
      <c r="C831" s="3"/>
      <c r="D831" s="244">
        <v>0</v>
      </c>
      <c r="E831" s="233">
        <f t="shared" si="201"/>
        <v>-1900027.6800000002</v>
      </c>
      <c r="F831" s="244">
        <f>SUM(F832:F834)</f>
        <v>1900027.6800000002</v>
      </c>
      <c r="G831" s="5">
        <f t="shared" ref="G831:AG831" si="202">SUM(G832:G834)</f>
        <v>0</v>
      </c>
      <c r="H831" s="5">
        <f t="shared" si="202"/>
        <v>0</v>
      </c>
      <c r="I831" s="5">
        <f t="shared" si="202"/>
        <v>0</v>
      </c>
      <c r="J831" s="5">
        <f t="shared" si="202"/>
        <v>134182.18</v>
      </c>
      <c r="K831" s="5">
        <f t="shared" si="202"/>
        <v>0</v>
      </c>
      <c r="L831" s="5">
        <f t="shared" si="202"/>
        <v>0</v>
      </c>
      <c r="M831" s="241">
        <f t="shared" si="202"/>
        <v>0</v>
      </c>
      <c r="N831" s="5">
        <f t="shared" si="202"/>
        <v>0</v>
      </c>
      <c r="O831" s="5">
        <f t="shared" si="202"/>
        <v>0</v>
      </c>
      <c r="P831" s="5">
        <f t="shared" si="202"/>
        <v>0</v>
      </c>
      <c r="Q831" s="5">
        <f t="shared" si="202"/>
        <v>0</v>
      </c>
      <c r="R831" s="5">
        <f t="shared" si="202"/>
        <v>0</v>
      </c>
      <c r="S831" s="5">
        <f t="shared" si="202"/>
        <v>369.1</v>
      </c>
      <c r="T831" s="5">
        <f t="shared" si="202"/>
        <v>1359619.7</v>
      </c>
      <c r="U831" s="5">
        <f t="shared" si="202"/>
        <v>41.6</v>
      </c>
      <c r="V831" s="5">
        <f t="shared" si="202"/>
        <v>378146.57</v>
      </c>
      <c r="W831" s="5">
        <f t="shared" si="202"/>
        <v>0</v>
      </c>
      <c r="X831" s="5">
        <f t="shared" si="202"/>
        <v>0</v>
      </c>
      <c r="Y831" s="5">
        <f t="shared" si="202"/>
        <v>0</v>
      </c>
      <c r="Z831" s="5">
        <f t="shared" si="202"/>
        <v>0</v>
      </c>
      <c r="AA831" s="5">
        <f t="shared" si="202"/>
        <v>0</v>
      </c>
      <c r="AB831" s="5">
        <f t="shared" si="202"/>
        <v>0</v>
      </c>
      <c r="AC831" s="5">
        <f t="shared" si="202"/>
        <v>0</v>
      </c>
      <c r="AD831" s="5">
        <f t="shared" si="202"/>
        <v>0</v>
      </c>
      <c r="AE831" s="5">
        <f t="shared" si="202"/>
        <v>28079.23</v>
      </c>
      <c r="AF831" s="5">
        <f t="shared" si="202"/>
        <v>0</v>
      </c>
      <c r="AG831" s="5">
        <f t="shared" si="202"/>
        <v>0</v>
      </c>
      <c r="AH831" s="23" t="s">
        <v>90</v>
      </c>
      <c r="AI831" s="23" t="s">
        <v>90</v>
      </c>
      <c r="AJ831" s="27" t="s">
        <v>90</v>
      </c>
      <c r="AV831" s="2" t="e">
        <f>VLOOKUP(C831,AY:AZ,2,FALSE)</f>
        <v>#N/A</v>
      </c>
      <c r="CB831" s="236">
        <v>3284631.43</v>
      </c>
      <c r="CF831" s="2" t="e">
        <f t="shared" si="197"/>
        <v>#N/A</v>
      </c>
    </row>
    <row r="832" spans="1:262" s="239" customFormat="1" ht="61.5" x14ac:dyDescent="0.85">
      <c r="A832" s="239">
        <v>1</v>
      </c>
      <c r="B832" s="18">
        <f>SUBTOTAL(103,$A$558:A832)</f>
        <v>259</v>
      </c>
      <c r="C832" s="3" t="s">
        <v>1298</v>
      </c>
      <c r="D832" s="5">
        <v>167945.43</v>
      </c>
      <c r="E832" s="5">
        <f t="shared" si="201"/>
        <v>31750.51999999999</v>
      </c>
      <c r="F832" s="5">
        <f t="shared" ref="F832:F834" si="203">G832+H832+I832+J832+K832+L832+N832+P832+R832+T832+V832+W832+X832+Y832+Z832+AA832+AB832+AC832+AD832+AE832+AF832+AG832</f>
        <v>136194.91</v>
      </c>
      <c r="G832" s="5">
        <v>0</v>
      </c>
      <c r="H832" s="5">
        <v>0</v>
      </c>
      <c r="I832" s="5">
        <v>0</v>
      </c>
      <c r="J832" s="5">
        <v>134182.18</v>
      </c>
      <c r="K832" s="5">
        <v>0</v>
      </c>
      <c r="L832" s="5">
        <v>0</v>
      </c>
      <c r="M832" s="2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f>ROUND((G832+H832+I832+J832+K832+L832)*1.5%,2)</f>
        <v>2012.73</v>
      </c>
      <c r="AF832" s="5">
        <v>0</v>
      </c>
      <c r="AG832" s="5">
        <v>0</v>
      </c>
      <c r="AH832" s="246" t="s">
        <v>49</v>
      </c>
      <c r="AI832" s="246">
        <v>2021</v>
      </c>
      <c r="AJ832" s="6">
        <v>2021</v>
      </c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 t="e">
        <f>VLOOKUP(C832,AY:AZ,2,FALSE)</f>
        <v>#N/A</v>
      </c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36"/>
      <c r="CC832" s="2"/>
      <c r="CD832" s="2"/>
      <c r="CE832" s="2"/>
      <c r="CF832" s="2" t="e">
        <f t="shared" si="197"/>
        <v>#N/A</v>
      </c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</row>
    <row r="833" spans="1:262" s="239" customFormat="1" ht="61.5" x14ac:dyDescent="0.85">
      <c r="A833" s="239">
        <v>1</v>
      </c>
      <c r="B833" s="18">
        <f>SUBTOTAL(103,$A$558:A833)</f>
        <v>260</v>
      </c>
      <c r="C833" s="3" t="s">
        <v>1618</v>
      </c>
      <c r="D833" s="5">
        <v>383818.77</v>
      </c>
      <c r="E833" s="5">
        <f t="shared" si="201"/>
        <v>0</v>
      </c>
      <c r="F833" s="5">
        <f t="shared" si="203"/>
        <v>383818.77</v>
      </c>
      <c r="G833" s="5">
        <v>0</v>
      </c>
      <c r="H833" s="5">
        <v>0</v>
      </c>
      <c r="I833" s="5">
        <v>0</v>
      </c>
      <c r="J833" s="5">
        <v>0</v>
      </c>
      <c r="K833" s="5">
        <v>0</v>
      </c>
      <c r="L833" s="5">
        <v>0</v>
      </c>
      <c r="M833" s="25">
        <v>0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41.6</v>
      </c>
      <c r="V833" s="5">
        <v>378146.57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f>ROUND(V833*1.5%,2)</f>
        <v>5672.2</v>
      </c>
      <c r="AF833" s="5">
        <v>0</v>
      </c>
      <c r="AG833" s="5">
        <v>0</v>
      </c>
      <c r="AH833" s="246" t="s">
        <v>49</v>
      </c>
      <c r="AI833" s="246">
        <v>2021</v>
      </c>
      <c r="AJ833" s="6">
        <v>2021</v>
      </c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36"/>
      <c r="CC833" s="2"/>
      <c r="CD833" s="2"/>
      <c r="CE833" s="2"/>
      <c r="CF833" s="2" t="e">
        <f t="shared" si="197"/>
        <v>#N/A</v>
      </c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</row>
    <row r="834" spans="1:262" s="239" customFormat="1" ht="61.5" x14ac:dyDescent="0.85">
      <c r="A834" s="239">
        <v>1</v>
      </c>
      <c r="B834" s="18">
        <f>SUBTOTAL(103,$A$558:A834)</f>
        <v>261</v>
      </c>
      <c r="C834" s="3" t="s">
        <v>1299</v>
      </c>
      <c r="D834" s="5">
        <v>1440513.25</v>
      </c>
      <c r="E834" s="5">
        <f t="shared" si="201"/>
        <v>60499.25</v>
      </c>
      <c r="F834" s="5">
        <f t="shared" si="203"/>
        <v>1380014</v>
      </c>
      <c r="G834" s="5">
        <v>0</v>
      </c>
      <c r="H834" s="5">
        <v>0</v>
      </c>
      <c r="I834" s="5">
        <v>0</v>
      </c>
      <c r="J834" s="5">
        <v>0</v>
      </c>
      <c r="K834" s="5">
        <v>0</v>
      </c>
      <c r="L834" s="5">
        <v>0</v>
      </c>
      <c r="M834" s="25">
        <v>0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369.1</v>
      </c>
      <c r="T834" s="5">
        <v>1359619.7</v>
      </c>
      <c r="U834" s="5">
        <v>0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f>ROUND(T834*1.5%,2)</f>
        <v>20394.3</v>
      </c>
      <c r="AF834" s="5">
        <v>0</v>
      </c>
      <c r="AG834" s="5">
        <v>0</v>
      </c>
      <c r="AH834" s="246" t="s">
        <v>49</v>
      </c>
      <c r="AI834" s="246">
        <v>2021</v>
      </c>
      <c r="AJ834" s="6">
        <v>2021</v>
      </c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 t="e">
        <f t="shared" ref="AV834:AV846" si="204">VLOOKUP(C834,AY:AZ,2,FALSE)</f>
        <v>#N/A</v>
      </c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36"/>
      <c r="CC834" s="2"/>
      <c r="CD834" s="2"/>
      <c r="CE834" s="2"/>
      <c r="CF834" s="2" t="e">
        <f t="shared" si="197"/>
        <v>#N/A</v>
      </c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</row>
    <row r="835" spans="1:262" ht="61.5" x14ac:dyDescent="0.85">
      <c r="B835" s="3" t="s">
        <v>124</v>
      </c>
      <c r="C835" s="3"/>
      <c r="D835" s="244">
        <v>2205555.96</v>
      </c>
      <c r="E835" s="233">
        <f t="shared" si="201"/>
        <v>0</v>
      </c>
      <c r="F835" s="244">
        <f t="shared" ref="F835:AG835" si="205">SUM(F836)</f>
        <v>2205555.96</v>
      </c>
      <c r="G835" s="5">
        <f t="shared" si="205"/>
        <v>0</v>
      </c>
      <c r="H835" s="5">
        <f t="shared" si="205"/>
        <v>0</v>
      </c>
      <c r="I835" s="5">
        <f t="shared" si="205"/>
        <v>0</v>
      </c>
      <c r="J835" s="5">
        <f t="shared" si="205"/>
        <v>0</v>
      </c>
      <c r="K835" s="5">
        <f t="shared" si="205"/>
        <v>0</v>
      </c>
      <c r="L835" s="5">
        <f t="shared" si="205"/>
        <v>0</v>
      </c>
      <c r="M835" s="241">
        <f t="shared" si="205"/>
        <v>0</v>
      </c>
      <c r="N835" s="5">
        <f t="shared" si="205"/>
        <v>0</v>
      </c>
      <c r="O835" s="5">
        <f t="shared" si="205"/>
        <v>442.2</v>
      </c>
      <c r="P835" s="5">
        <f t="shared" si="205"/>
        <v>2103665.02</v>
      </c>
      <c r="Q835" s="5">
        <f t="shared" si="205"/>
        <v>0</v>
      </c>
      <c r="R835" s="5">
        <f t="shared" si="205"/>
        <v>0</v>
      </c>
      <c r="S835" s="5">
        <f t="shared" si="205"/>
        <v>0</v>
      </c>
      <c r="T835" s="5">
        <f t="shared" si="205"/>
        <v>0</v>
      </c>
      <c r="U835" s="5">
        <f t="shared" si="205"/>
        <v>0</v>
      </c>
      <c r="V835" s="5">
        <f t="shared" si="205"/>
        <v>0</v>
      </c>
      <c r="W835" s="5">
        <f t="shared" si="205"/>
        <v>0</v>
      </c>
      <c r="X835" s="5">
        <f t="shared" si="205"/>
        <v>0</v>
      </c>
      <c r="Y835" s="5">
        <f t="shared" si="205"/>
        <v>0</v>
      </c>
      <c r="Z835" s="5">
        <f t="shared" si="205"/>
        <v>0</v>
      </c>
      <c r="AA835" s="5">
        <f t="shared" si="205"/>
        <v>0</v>
      </c>
      <c r="AB835" s="5">
        <f t="shared" si="205"/>
        <v>0</v>
      </c>
      <c r="AC835" s="5">
        <f t="shared" si="205"/>
        <v>0</v>
      </c>
      <c r="AD835" s="5">
        <f t="shared" si="205"/>
        <v>0</v>
      </c>
      <c r="AE835" s="5">
        <f t="shared" si="205"/>
        <v>31554.98</v>
      </c>
      <c r="AF835" s="5">
        <f t="shared" si="205"/>
        <v>70335.960000000006</v>
      </c>
      <c r="AG835" s="5">
        <f t="shared" si="205"/>
        <v>0</v>
      </c>
      <c r="AH835" s="23" t="s">
        <v>90</v>
      </c>
      <c r="AI835" s="23" t="s">
        <v>90</v>
      </c>
      <c r="AJ835" s="27" t="s">
        <v>90</v>
      </c>
      <c r="AV835" s="2" t="e">
        <f t="shared" si="204"/>
        <v>#N/A</v>
      </c>
      <c r="CB835" s="236">
        <v>2255220</v>
      </c>
      <c r="CF835" s="2" t="e">
        <f t="shared" si="197"/>
        <v>#N/A</v>
      </c>
    </row>
    <row r="836" spans="1:262" ht="61.5" x14ac:dyDescent="0.85">
      <c r="A836" s="2">
        <v>1</v>
      </c>
      <c r="B836" s="18">
        <f>SUBTOTAL(103,$A$558:A836)</f>
        <v>262</v>
      </c>
      <c r="C836" s="3" t="s">
        <v>1619</v>
      </c>
      <c r="D836" s="5">
        <v>2205555.96</v>
      </c>
      <c r="E836" s="5">
        <f t="shared" si="201"/>
        <v>0</v>
      </c>
      <c r="F836" s="5">
        <f>G836+H836+I836+J836+K836+L836+N836+P836+R836+T836+V836+W836+X836+Y836+Z836+AA836+AB836+AC836+AD836+AE836+AF836+AG836</f>
        <v>2205555.96</v>
      </c>
      <c r="G836" s="5">
        <v>0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241">
        <v>0</v>
      </c>
      <c r="N836" s="5">
        <v>0</v>
      </c>
      <c r="O836" s="5">
        <v>442.2</v>
      </c>
      <c r="P836" s="5">
        <v>2103665.02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f>ROUND(P836*1.5%,2)</f>
        <v>31554.98</v>
      </c>
      <c r="AF836" s="5">
        <v>70335.960000000006</v>
      </c>
      <c r="AG836" s="5">
        <v>0</v>
      </c>
      <c r="AH836" s="246">
        <v>2021</v>
      </c>
      <c r="AI836" s="246">
        <v>2021</v>
      </c>
      <c r="AJ836" s="6">
        <v>2021</v>
      </c>
      <c r="AV836" s="2" t="e">
        <f t="shared" si="204"/>
        <v>#N/A</v>
      </c>
      <c r="CB836" s="236"/>
      <c r="CF836" s="2" t="e">
        <f t="shared" si="197"/>
        <v>#N/A</v>
      </c>
    </row>
    <row r="837" spans="1:262" ht="61.5" x14ac:dyDescent="0.85">
      <c r="B837" s="3" t="s">
        <v>1620</v>
      </c>
      <c r="C837" s="446"/>
      <c r="D837" s="244">
        <v>2610900</v>
      </c>
      <c r="E837" s="233">
        <f t="shared" si="201"/>
        <v>0</v>
      </c>
      <c r="F837" s="244">
        <f t="shared" ref="F837:AG837" si="206">F838</f>
        <v>2610900</v>
      </c>
      <c r="G837" s="5">
        <f t="shared" si="206"/>
        <v>0</v>
      </c>
      <c r="H837" s="5">
        <f t="shared" si="206"/>
        <v>0</v>
      </c>
      <c r="I837" s="5">
        <f t="shared" si="206"/>
        <v>0</v>
      </c>
      <c r="J837" s="5">
        <f t="shared" si="206"/>
        <v>0</v>
      </c>
      <c r="K837" s="5">
        <f t="shared" si="206"/>
        <v>0</v>
      </c>
      <c r="L837" s="5">
        <f t="shared" si="206"/>
        <v>0</v>
      </c>
      <c r="M837" s="241">
        <f t="shared" si="206"/>
        <v>0</v>
      </c>
      <c r="N837" s="5">
        <f t="shared" si="206"/>
        <v>0</v>
      </c>
      <c r="O837" s="5">
        <f t="shared" si="206"/>
        <v>500</v>
      </c>
      <c r="P837" s="5">
        <f t="shared" si="206"/>
        <v>2454088.67</v>
      </c>
      <c r="Q837" s="5">
        <f t="shared" si="206"/>
        <v>0</v>
      </c>
      <c r="R837" s="5">
        <f t="shared" si="206"/>
        <v>0</v>
      </c>
      <c r="S837" s="5">
        <f t="shared" si="206"/>
        <v>0</v>
      </c>
      <c r="T837" s="5">
        <f t="shared" si="206"/>
        <v>0</v>
      </c>
      <c r="U837" s="5">
        <f t="shared" si="206"/>
        <v>0</v>
      </c>
      <c r="V837" s="5">
        <f t="shared" si="206"/>
        <v>0</v>
      </c>
      <c r="W837" s="5">
        <f t="shared" si="206"/>
        <v>0</v>
      </c>
      <c r="X837" s="5">
        <f t="shared" si="206"/>
        <v>0</v>
      </c>
      <c r="Y837" s="5">
        <f t="shared" si="206"/>
        <v>0</v>
      </c>
      <c r="Z837" s="5">
        <f t="shared" si="206"/>
        <v>0</v>
      </c>
      <c r="AA837" s="5">
        <f t="shared" si="206"/>
        <v>0</v>
      </c>
      <c r="AB837" s="5">
        <f t="shared" si="206"/>
        <v>0</v>
      </c>
      <c r="AC837" s="5">
        <f t="shared" si="206"/>
        <v>0</v>
      </c>
      <c r="AD837" s="5">
        <f t="shared" si="206"/>
        <v>0</v>
      </c>
      <c r="AE837" s="5">
        <f t="shared" si="206"/>
        <v>36811.33</v>
      </c>
      <c r="AF837" s="5">
        <f t="shared" si="206"/>
        <v>120000</v>
      </c>
      <c r="AG837" s="5">
        <f t="shared" si="206"/>
        <v>0</v>
      </c>
      <c r="AH837" s="23" t="s">
        <v>90</v>
      </c>
      <c r="AI837" s="23" t="s">
        <v>90</v>
      </c>
      <c r="AJ837" s="27" t="s">
        <v>90</v>
      </c>
      <c r="AV837" s="2" t="e">
        <f t="shared" si="204"/>
        <v>#N/A</v>
      </c>
      <c r="CB837" s="236">
        <v>2610900</v>
      </c>
      <c r="CF837" s="2" t="e">
        <f t="shared" si="197"/>
        <v>#N/A</v>
      </c>
    </row>
    <row r="838" spans="1:262" ht="61.5" x14ac:dyDescent="0.85">
      <c r="A838" s="2">
        <v>1</v>
      </c>
      <c r="B838" s="18">
        <f>SUBTOTAL(103,$A$558:A838)</f>
        <v>263</v>
      </c>
      <c r="C838" s="286" t="s">
        <v>1621</v>
      </c>
      <c r="D838" s="5">
        <v>2610900</v>
      </c>
      <c r="E838" s="5">
        <f t="shared" si="201"/>
        <v>0</v>
      </c>
      <c r="F838" s="5">
        <f>G838+H838+I838+J838+K838+L838+N838+P838+R838+T838+V838+W838+X838+Y838+Z838+AA838+AB838+AC838+AD838+AE838+AF838+AG838</f>
        <v>2610900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241">
        <v>0</v>
      </c>
      <c r="N838" s="5">
        <v>0</v>
      </c>
      <c r="O838" s="5">
        <v>500</v>
      </c>
      <c r="P838" s="5">
        <v>2454088.67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f>ROUND(P838*1.5%,2)</f>
        <v>36811.33</v>
      </c>
      <c r="AF838" s="5">
        <v>120000</v>
      </c>
      <c r="AG838" s="5">
        <v>0</v>
      </c>
      <c r="AH838" s="246">
        <v>2021</v>
      </c>
      <c r="AI838" s="246">
        <v>2021</v>
      </c>
      <c r="AJ838" s="6">
        <v>2021</v>
      </c>
      <c r="AV838" s="2" t="e">
        <f t="shared" si="204"/>
        <v>#N/A</v>
      </c>
      <c r="CB838" s="236"/>
      <c r="CF838" s="2" t="e">
        <f t="shared" si="197"/>
        <v>#N/A</v>
      </c>
    </row>
    <row r="839" spans="1:262" ht="61.5" x14ac:dyDescent="0.85">
      <c r="B839" s="3" t="s">
        <v>1622</v>
      </c>
      <c r="C839" s="286"/>
      <c r="D839" s="244">
        <v>3133080</v>
      </c>
      <c r="E839" s="233">
        <f t="shared" si="201"/>
        <v>0</v>
      </c>
      <c r="F839" s="244">
        <f t="shared" ref="F839:AG839" si="207">F840</f>
        <v>3133080</v>
      </c>
      <c r="G839" s="5">
        <f t="shared" si="207"/>
        <v>0</v>
      </c>
      <c r="H839" s="5">
        <f t="shared" si="207"/>
        <v>0</v>
      </c>
      <c r="I839" s="5">
        <f t="shared" si="207"/>
        <v>0</v>
      </c>
      <c r="J839" s="5">
        <f t="shared" si="207"/>
        <v>0</v>
      </c>
      <c r="K839" s="5">
        <f t="shared" si="207"/>
        <v>0</v>
      </c>
      <c r="L839" s="5">
        <f t="shared" si="207"/>
        <v>0</v>
      </c>
      <c r="M839" s="241">
        <f t="shared" si="207"/>
        <v>0</v>
      </c>
      <c r="N839" s="5">
        <f t="shared" si="207"/>
        <v>0</v>
      </c>
      <c r="O839" s="5">
        <f t="shared" si="207"/>
        <v>600</v>
      </c>
      <c r="P839" s="5">
        <f t="shared" si="207"/>
        <v>2938995.07</v>
      </c>
      <c r="Q839" s="5">
        <f t="shared" si="207"/>
        <v>0</v>
      </c>
      <c r="R839" s="5">
        <f t="shared" si="207"/>
        <v>0</v>
      </c>
      <c r="S839" s="5">
        <f t="shared" si="207"/>
        <v>0</v>
      </c>
      <c r="T839" s="5">
        <f t="shared" si="207"/>
        <v>0</v>
      </c>
      <c r="U839" s="5">
        <f t="shared" si="207"/>
        <v>0</v>
      </c>
      <c r="V839" s="5">
        <f t="shared" si="207"/>
        <v>0</v>
      </c>
      <c r="W839" s="5">
        <f t="shared" si="207"/>
        <v>0</v>
      </c>
      <c r="X839" s="5">
        <f t="shared" si="207"/>
        <v>0</v>
      </c>
      <c r="Y839" s="5">
        <f t="shared" si="207"/>
        <v>0</v>
      </c>
      <c r="Z839" s="5">
        <f t="shared" si="207"/>
        <v>0</v>
      </c>
      <c r="AA839" s="5">
        <f t="shared" si="207"/>
        <v>0</v>
      </c>
      <c r="AB839" s="5">
        <f t="shared" si="207"/>
        <v>0</v>
      </c>
      <c r="AC839" s="5">
        <f t="shared" si="207"/>
        <v>0</v>
      </c>
      <c r="AD839" s="5">
        <f t="shared" si="207"/>
        <v>0</v>
      </c>
      <c r="AE839" s="5">
        <f t="shared" si="207"/>
        <v>44084.93</v>
      </c>
      <c r="AF839" s="5">
        <f t="shared" si="207"/>
        <v>150000</v>
      </c>
      <c r="AG839" s="5">
        <f t="shared" si="207"/>
        <v>0</v>
      </c>
      <c r="AH839" s="23" t="s">
        <v>90</v>
      </c>
      <c r="AI839" s="23" t="s">
        <v>90</v>
      </c>
      <c r="AJ839" s="27" t="s">
        <v>90</v>
      </c>
      <c r="AV839" s="2" t="e">
        <f t="shared" si="204"/>
        <v>#N/A</v>
      </c>
      <c r="CB839" s="236">
        <v>3133080</v>
      </c>
      <c r="CD839" s="236">
        <f>CB839-F839</f>
        <v>0</v>
      </c>
      <c r="CF839" s="2" t="e">
        <f t="shared" si="197"/>
        <v>#N/A</v>
      </c>
    </row>
    <row r="840" spans="1:262" ht="61.5" x14ac:dyDescent="0.85">
      <c r="A840" s="2">
        <v>1</v>
      </c>
      <c r="B840" s="18">
        <f>SUBTOTAL(103,$A$558:A840)</f>
        <v>264</v>
      </c>
      <c r="C840" s="286" t="s">
        <v>1623</v>
      </c>
      <c r="D840" s="5">
        <v>3133080</v>
      </c>
      <c r="E840" s="5">
        <f t="shared" si="201"/>
        <v>0</v>
      </c>
      <c r="F840" s="5">
        <f>G840+H840+I840+J840+K840+L840+N840+P840+R840+T840+V840+W840+X840+Y840+Z840+AA840+AB840+AC840+AD840+AE840+AF840+AG840</f>
        <v>3133080</v>
      </c>
      <c r="G840" s="5">
        <v>0</v>
      </c>
      <c r="H840" s="5">
        <v>0</v>
      </c>
      <c r="I840" s="5">
        <v>0</v>
      </c>
      <c r="J840" s="5">
        <v>0</v>
      </c>
      <c r="K840" s="5">
        <v>0</v>
      </c>
      <c r="L840" s="5">
        <v>0</v>
      </c>
      <c r="M840" s="241">
        <v>0</v>
      </c>
      <c r="N840" s="5">
        <v>0</v>
      </c>
      <c r="O840" s="5">
        <v>600</v>
      </c>
      <c r="P840" s="5">
        <v>2938995.07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f>ROUND(P840*1.5%,2)</f>
        <v>44084.93</v>
      </c>
      <c r="AF840" s="5">
        <v>150000</v>
      </c>
      <c r="AG840" s="5">
        <v>0</v>
      </c>
      <c r="AH840" s="246">
        <v>2021</v>
      </c>
      <c r="AI840" s="246">
        <v>2021</v>
      </c>
      <c r="AJ840" s="6">
        <v>2021</v>
      </c>
      <c r="AV840" s="2" t="e">
        <f t="shared" si="204"/>
        <v>#N/A</v>
      </c>
      <c r="CB840" s="236"/>
      <c r="CF840" s="2" t="e">
        <f t="shared" si="197"/>
        <v>#N/A</v>
      </c>
    </row>
    <row r="841" spans="1:262" ht="61.5" x14ac:dyDescent="0.85">
      <c r="B841" s="3" t="s">
        <v>103</v>
      </c>
      <c r="C841" s="442"/>
      <c r="D841" s="244">
        <v>8458120</v>
      </c>
      <c r="E841" s="233">
        <f t="shared" si="201"/>
        <v>0</v>
      </c>
      <c r="F841" s="244">
        <f t="shared" ref="F841:AG841" si="208">F842</f>
        <v>8458120</v>
      </c>
      <c r="G841" s="5">
        <f t="shared" si="208"/>
        <v>0</v>
      </c>
      <c r="H841" s="5">
        <f t="shared" si="208"/>
        <v>0</v>
      </c>
      <c r="I841" s="5">
        <f t="shared" si="208"/>
        <v>0</v>
      </c>
      <c r="J841" s="5">
        <f t="shared" si="208"/>
        <v>0</v>
      </c>
      <c r="K841" s="5">
        <f t="shared" si="208"/>
        <v>0</v>
      </c>
      <c r="L841" s="5">
        <f t="shared" si="208"/>
        <v>0</v>
      </c>
      <c r="M841" s="241">
        <f t="shared" si="208"/>
        <v>0</v>
      </c>
      <c r="N841" s="5">
        <f t="shared" si="208"/>
        <v>0</v>
      </c>
      <c r="O841" s="5">
        <f t="shared" si="208"/>
        <v>2000</v>
      </c>
      <c r="P841" s="5">
        <f t="shared" si="208"/>
        <v>8185339.9000000004</v>
      </c>
      <c r="Q841" s="5">
        <f t="shared" si="208"/>
        <v>0</v>
      </c>
      <c r="R841" s="5">
        <f t="shared" si="208"/>
        <v>0</v>
      </c>
      <c r="S841" s="5">
        <f t="shared" si="208"/>
        <v>0</v>
      </c>
      <c r="T841" s="5">
        <f t="shared" si="208"/>
        <v>0</v>
      </c>
      <c r="U841" s="5">
        <f t="shared" si="208"/>
        <v>0</v>
      </c>
      <c r="V841" s="5">
        <f t="shared" si="208"/>
        <v>0</v>
      </c>
      <c r="W841" s="5">
        <f t="shared" si="208"/>
        <v>0</v>
      </c>
      <c r="X841" s="5">
        <f t="shared" si="208"/>
        <v>0</v>
      </c>
      <c r="Y841" s="5">
        <f t="shared" si="208"/>
        <v>0</v>
      </c>
      <c r="Z841" s="5">
        <f t="shared" si="208"/>
        <v>0</v>
      </c>
      <c r="AA841" s="5">
        <f t="shared" si="208"/>
        <v>0</v>
      </c>
      <c r="AB841" s="5">
        <f t="shared" si="208"/>
        <v>0</v>
      </c>
      <c r="AC841" s="5">
        <f t="shared" si="208"/>
        <v>0</v>
      </c>
      <c r="AD841" s="5">
        <f t="shared" si="208"/>
        <v>0</v>
      </c>
      <c r="AE841" s="5">
        <f t="shared" si="208"/>
        <v>122780.1</v>
      </c>
      <c r="AF841" s="5">
        <f t="shared" si="208"/>
        <v>150000</v>
      </c>
      <c r="AG841" s="5">
        <f t="shared" si="208"/>
        <v>0</v>
      </c>
      <c r="AH841" s="23" t="s">
        <v>90</v>
      </c>
      <c r="AI841" s="23" t="s">
        <v>90</v>
      </c>
      <c r="AJ841" s="27" t="s">
        <v>90</v>
      </c>
      <c r="AV841" s="2" t="e">
        <f t="shared" si="204"/>
        <v>#N/A</v>
      </c>
      <c r="CB841" s="236">
        <v>7250046.1200000001</v>
      </c>
      <c r="CD841" s="236">
        <f>CB841-F841</f>
        <v>-1208073.8799999999</v>
      </c>
      <c r="CF841" s="2" t="e">
        <f t="shared" si="197"/>
        <v>#N/A</v>
      </c>
    </row>
    <row r="842" spans="1:262" ht="61.5" x14ac:dyDescent="0.85">
      <c r="A842" s="2">
        <v>1</v>
      </c>
      <c r="B842" s="18">
        <f>SUBTOTAL(103,$A$558:A842)</f>
        <v>265</v>
      </c>
      <c r="C842" s="3" t="s">
        <v>1624</v>
      </c>
      <c r="D842" s="5">
        <v>8458120</v>
      </c>
      <c r="E842" s="5">
        <f t="shared" si="201"/>
        <v>0</v>
      </c>
      <c r="F842" s="5">
        <f>G842+H842+I842+J842+K842+L842+N842+P842+R842+T842+V842+W842+X842+Y842+Z842+AA842+AB842+AC842+AD842+AE842+AF842+AG842</f>
        <v>8458120</v>
      </c>
      <c r="G842" s="5">
        <v>0</v>
      </c>
      <c r="H842" s="5">
        <v>0</v>
      </c>
      <c r="I842" s="5">
        <v>0</v>
      </c>
      <c r="J842" s="5">
        <v>0</v>
      </c>
      <c r="K842" s="5">
        <v>0</v>
      </c>
      <c r="L842" s="5">
        <v>0</v>
      </c>
      <c r="M842" s="241">
        <v>0</v>
      </c>
      <c r="N842" s="5">
        <v>0</v>
      </c>
      <c r="O842" s="5">
        <v>2000</v>
      </c>
      <c r="P842" s="5">
        <v>8185339.9000000004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f>ROUND(P842*1.5%,2)</f>
        <v>122780.1</v>
      </c>
      <c r="AF842" s="5">
        <v>150000</v>
      </c>
      <c r="AG842" s="5">
        <v>0</v>
      </c>
      <c r="AH842" s="246">
        <v>2021</v>
      </c>
      <c r="AI842" s="246">
        <v>2021</v>
      </c>
      <c r="AJ842" s="6">
        <v>2021</v>
      </c>
      <c r="AV842" s="2" t="e">
        <f t="shared" si="204"/>
        <v>#N/A</v>
      </c>
      <c r="CB842" s="236"/>
      <c r="CF842" s="2" t="e">
        <f t="shared" si="197"/>
        <v>#N/A</v>
      </c>
    </row>
    <row r="843" spans="1:262" ht="61.5" x14ac:dyDescent="0.85">
      <c r="B843" s="3" t="s">
        <v>125</v>
      </c>
      <c r="C843" s="3"/>
      <c r="D843" s="244">
        <v>2537436</v>
      </c>
      <c r="E843" s="233">
        <f t="shared" si="201"/>
        <v>0</v>
      </c>
      <c r="F843" s="244">
        <f t="shared" ref="F843:AG843" si="209">F844</f>
        <v>2537436</v>
      </c>
      <c r="G843" s="5">
        <f t="shared" si="209"/>
        <v>0</v>
      </c>
      <c r="H843" s="5">
        <f t="shared" si="209"/>
        <v>0</v>
      </c>
      <c r="I843" s="5">
        <f t="shared" si="209"/>
        <v>0</v>
      </c>
      <c r="J843" s="5">
        <f t="shared" si="209"/>
        <v>0</v>
      </c>
      <c r="K843" s="5">
        <f t="shared" si="209"/>
        <v>0</v>
      </c>
      <c r="L843" s="5">
        <f t="shared" si="209"/>
        <v>0</v>
      </c>
      <c r="M843" s="241">
        <f t="shared" si="209"/>
        <v>0</v>
      </c>
      <c r="N843" s="5">
        <f t="shared" si="209"/>
        <v>0</v>
      </c>
      <c r="O843" s="5">
        <f t="shared" si="209"/>
        <v>600</v>
      </c>
      <c r="P843" s="5">
        <f t="shared" si="209"/>
        <v>2371858.13</v>
      </c>
      <c r="Q843" s="5">
        <f t="shared" si="209"/>
        <v>0</v>
      </c>
      <c r="R843" s="5">
        <f t="shared" si="209"/>
        <v>0</v>
      </c>
      <c r="S843" s="5">
        <f t="shared" si="209"/>
        <v>0</v>
      </c>
      <c r="T843" s="5">
        <f t="shared" si="209"/>
        <v>0</v>
      </c>
      <c r="U843" s="5">
        <f t="shared" si="209"/>
        <v>0</v>
      </c>
      <c r="V843" s="5">
        <f t="shared" si="209"/>
        <v>0</v>
      </c>
      <c r="W843" s="5">
        <f t="shared" si="209"/>
        <v>0</v>
      </c>
      <c r="X843" s="5">
        <f t="shared" si="209"/>
        <v>0</v>
      </c>
      <c r="Y843" s="5">
        <f t="shared" si="209"/>
        <v>0</v>
      </c>
      <c r="Z843" s="5">
        <f t="shared" si="209"/>
        <v>0</v>
      </c>
      <c r="AA843" s="5">
        <f t="shared" si="209"/>
        <v>0</v>
      </c>
      <c r="AB843" s="5">
        <f t="shared" si="209"/>
        <v>0</v>
      </c>
      <c r="AC843" s="5">
        <f t="shared" si="209"/>
        <v>0</v>
      </c>
      <c r="AD843" s="5">
        <f t="shared" si="209"/>
        <v>0</v>
      </c>
      <c r="AE843" s="5">
        <f t="shared" si="209"/>
        <v>35577.870000000003</v>
      </c>
      <c r="AF843" s="5">
        <f t="shared" si="209"/>
        <v>130000</v>
      </c>
      <c r="AG843" s="5">
        <f t="shared" si="209"/>
        <v>0</v>
      </c>
      <c r="AH843" s="23" t="s">
        <v>90</v>
      </c>
      <c r="AI843" s="23" t="s">
        <v>90</v>
      </c>
      <c r="AJ843" s="27" t="s">
        <v>90</v>
      </c>
      <c r="AV843" s="2" t="e">
        <f t="shared" si="204"/>
        <v>#N/A</v>
      </c>
      <c r="CB843" s="236">
        <v>2473090.71</v>
      </c>
      <c r="CD843" s="236">
        <f>CB843-F843</f>
        <v>-64345.290000000037</v>
      </c>
      <c r="CF843" s="2" t="e">
        <f t="shared" si="197"/>
        <v>#N/A</v>
      </c>
    </row>
    <row r="844" spans="1:262" ht="61.5" x14ac:dyDescent="0.85">
      <c r="A844" s="2">
        <v>1</v>
      </c>
      <c r="B844" s="18">
        <f>SUBTOTAL(103,$A$558:A844)</f>
        <v>266</v>
      </c>
      <c r="C844" s="3" t="s">
        <v>1625</v>
      </c>
      <c r="D844" s="5">
        <v>2537436</v>
      </c>
      <c r="E844" s="5">
        <f t="shared" si="201"/>
        <v>0</v>
      </c>
      <c r="F844" s="5">
        <f>G844+H844+I844+J844+K844+L844+N844+P844+R844+T844+V844+W844+X844+Y844+Z844+AA844+AB844+AC844+AD844+AE844+AF844+AG844</f>
        <v>2537436</v>
      </c>
      <c r="G844" s="5">
        <v>0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241">
        <v>0</v>
      </c>
      <c r="N844" s="5">
        <v>0</v>
      </c>
      <c r="O844" s="5">
        <v>600</v>
      </c>
      <c r="P844" s="5">
        <v>2371858.13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f>ROUND(P844*1.5%,2)</f>
        <v>35577.870000000003</v>
      </c>
      <c r="AF844" s="5">
        <v>130000</v>
      </c>
      <c r="AG844" s="5">
        <v>0</v>
      </c>
      <c r="AH844" s="246">
        <v>2021</v>
      </c>
      <c r="AI844" s="246">
        <v>2021</v>
      </c>
      <c r="AJ844" s="6">
        <v>2021</v>
      </c>
      <c r="AV844" s="2" t="e">
        <f t="shared" si="204"/>
        <v>#N/A</v>
      </c>
      <c r="CB844" s="236"/>
      <c r="CF844" s="2" t="e">
        <f t="shared" si="197"/>
        <v>#N/A</v>
      </c>
    </row>
    <row r="845" spans="1:262" ht="61.5" x14ac:dyDescent="0.85">
      <c r="B845" s="3" t="s">
        <v>104</v>
      </c>
      <c r="C845" s="3"/>
      <c r="D845" s="244">
        <v>6009009.3600000003</v>
      </c>
      <c r="E845" s="233">
        <f t="shared" si="201"/>
        <v>-1254618.1799999997</v>
      </c>
      <c r="F845" s="244">
        <f t="shared" ref="F845:AG845" si="210">SUM(F846:F849)</f>
        <v>7263627.54</v>
      </c>
      <c r="G845" s="5">
        <f t="shared" si="210"/>
        <v>350000</v>
      </c>
      <c r="H845" s="5">
        <f t="shared" si="210"/>
        <v>0</v>
      </c>
      <c r="I845" s="5">
        <f t="shared" si="210"/>
        <v>0</v>
      </c>
      <c r="J845" s="5">
        <f t="shared" si="210"/>
        <v>0</v>
      </c>
      <c r="K845" s="5">
        <f t="shared" si="210"/>
        <v>0</v>
      </c>
      <c r="L845" s="5">
        <f t="shared" si="210"/>
        <v>0</v>
      </c>
      <c r="M845" s="241">
        <f t="shared" si="210"/>
        <v>0</v>
      </c>
      <c r="N845" s="5">
        <f t="shared" si="210"/>
        <v>0</v>
      </c>
      <c r="O845" s="5">
        <f t="shared" si="210"/>
        <v>1464.8</v>
      </c>
      <c r="P845" s="5">
        <f t="shared" si="210"/>
        <v>5792142.4199999999</v>
      </c>
      <c r="Q845" s="5">
        <f t="shared" si="210"/>
        <v>0</v>
      </c>
      <c r="R845" s="5">
        <f t="shared" si="210"/>
        <v>0</v>
      </c>
      <c r="S845" s="5">
        <f t="shared" si="210"/>
        <v>1040</v>
      </c>
      <c r="T845" s="5">
        <f t="shared" si="210"/>
        <v>629919.39</v>
      </c>
      <c r="U845" s="5">
        <f t="shared" si="210"/>
        <v>0</v>
      </c>
      <c r="V845" s="5">
        <f t="shared" si="210"/>
        <v>0</v>
      </c>
      <c r="W845" s="5">
        <f t="shared" si="210"/>
        <v>0</v>
      </c>
      <c r="X845" s="5">
        <f t="shared" si="210"/>
        <v>0</v>
      </c>
      <c r="Y845" s="5">
        <f t="shared" si="210"/>
        <v>0</v>
      </c>
      <c r="Z845" s="5">
        <f t="shared" si="210"/>
        <v>0</v>
      </c>
      <c r="AA845" s="5">
        <f t="shared" si="210"/>
        <v>0</v>
      </c>
      <c r="AB845" s="5">
        <f t="shared" si="210"/>
        <v>0</v>
      </c>
      <c r="AC845" s="5">
        <f t="shared" si="210"/>
        <v>0</v>
      </c>
      <c r="AD845" s="5">
        <f t="shared" si="210"/>
        <v>0</v>
      </c>
      <c r="AE845" s="5">
        <f t="shared" si="210"/>
        <v>101580.93</v>
      </c>
      <c r="AF845" s="5">
        <f t="shared" si="210"/>
        <v>389984.8</v>
      </c>
      <c r="AG845" s="5">
        <f t="shared" si="210"/>
        <v>0</v>
      </c>
      <c r="AH845" s="23" t="s">
        <v>90</v>
      </c>
      <c r="AI845" s="23" t="s">
        <v>90</v>
      </c>
      <c r="AJ845" s="27" t="s">
        <v>90</v>
      </c>
      <c r="AV845" s="2" t="e">
        <f t="shared" si="204"/>
        <v>#N/A</v>
      </c>
      <c r="CB845" s="236">
        <v>2622646.19</v>
      </c>
      <c r="CD845" s="236">
        <f>CB845-F845</f>
        <v>-4640981.3499999996</v>
      </c>
      <c r="CF845" s="2" t="e">
        <f t="shared" si="197"/>
        <v>#N/A</v>
      </c>
    </row>
    <row r="846" spans="1:262" ht="61.5" x14ac:dyDescent="0.85">
      <c r="A846" s="2">
        <v>1</v>
      </c>
      <c r="B846" s="18">
        <f>SUBTOTAL(103,$A$558:A846)</f>
        <v>267</v>
      </c>
      <c r="C846" s="3" t="s">
        <v>1626</v>
      </c>
      <c r="D846" s="5">
        <v>2968784.92</v>
      </c>
      <c r="E846" s="5">
        <f t="shared" si="201"/>
        <v>0</v>
      </c>
      <c r="F846" s="5">
        <f>G846+H846+I846+J846+K846+L846+N846+P846+R846+T846+V846+W846+X846+Y846+Z846+AA846+AB846+AC846+AD846+AE846+AF846+AG846</f>
        <v>2968784.92</v>
      </c>
      <c r="G846" s="5">
        <v>0</v>
      </c>
      <c r="H846" s="5">
        <v>0</v>
      </c>
      <c r="I846" s="5">
        <v>0</v>
      </c>
      <c r="J846" s="5">
        <v>0</v>
      </c>
      <c r="K846" s="5">
        <v>0</v>
      </c>
      <c r="L846" s="5">
        <v>0</v>
      </c>
      <c r="M846" s="241">
        <v>0</v>
      </c>
      <c r="N846" s="5">
        <v>0</v>
      </c>
      <c r="O846" s="5">
        <v>702</v>
      </c>
      <c r="P846" s="5">
        <v>2796847.41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f>ROUND(P846*1.5%,2)</f>
        <v>41952.71</v>
      </c>
      <c r="AF846" s="5">
        <f>130000.8-16</f>
        <v>129984.8</v>
      </c>
      <c r="AG846" s="5">
        <v>0</v>
      </c>
      <c r="AH846" s="246">
        <v>2021</v>
      </c>
      <c r="AI846" s="246">
        <v>2021</v>
      </c>
      <c r="AJ846" s="6">
        <v>2021</v>
      </c>
      <c r="AV846" s="2" t="e">
        <f t="shared" si="204"/>
        <v>#N/A</v>
      </c>
      <c r="CB846" s="236"/>
      <c r="CF846" s="2" t="e">
        <f t="shared" si="197"/>
        <v>#N/A</v>
      </c>
    </row>
    <row r="847" spans="1:262" ht="61.5" x14ac:dyDescent="0.85">
      <c r="A847" s="2">
        <v>1</v>
      </c>
      <c r="B847" s="18">
        <f>SUBTOTAL(103,$A$558:A847)</f>
        <v>268</v>
      </c>
      <c r="C847" s="3" t="s">
        <v>1048</v>
      </c>
      <c r="D847" s="5">
        <v>3040224.4400000004</v>
      </c>
      <c r="E847" s="5">
        <f t="shared" si="201"/>
        <v>0</v>
      </c>
      <c r="F847" s="5">
        <f>G847+H847+I847+J847+K847+L847+N847+P847+R847+T847+V847+W847+X847+Y847+Z847+AA847+AB847+AC847+AD847+AE847+AF847+AG847</f>
        <v>3040224.4400000004</v>
      </c>
      <c r="G847" s="5">
        <v>0</v>
      </c>
      <c r="H847" s="5">
        <v>0</v>
      </c>
      <c r="I847" s="5">
        <v>0</v>
      </c>
      <c r="J847" s="5">
        <v>0</v>
      </c>
      <c r="K847" s="5">
        <v>0</v>
      </c>
      <c r="L847" s="5">
        <v>0</v>
      </c>
      <c r="M847" s="241">
        <v>0</v>
      </c>
      <c r="N847" s="5">
        <v>0</v>
      </c>
      <c r="O847" s="5">
        <v>762.8</v>
      </c>
      <c r="P847" s="5">
        <f>3130467.24-135172.23</f>
        <v>2995295.0100000002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f>ROUND(P847*1.5%,2)</f>
        <v>44929.43</v>
      </c>
      <c r="AF847" s="5">
        <v>0</v>
      </c>
      <c r="AG847" s="5">
        <v>0</v>
      </c>
      <c r="AH847" s="246" t="s">
        <v>49</v>
      </c>
      <c r="AI847" s="246">
        <v>2021</v>
      </c>
      <c r="AJ847" s="6">
        <v>2021</v>
      </c>
      <c r="CB847" s="236"/>
      <c r="CF847" s="2">
        <f t="shared" si="197"/>
        <v>762.8</v>
      </c>
    </row>
    <row r="848" spans="1:262" ht="61.5" x14ac:dyDescent="0.85">
      <c r="A848" s="2">
        <v>1</v>
      </c>
      <c r="B848" s="18">
        <f>SUBTOTAL(103,$A$558:A848)</f>
        <v>269</v>
      </c>
      <c r="C848" s="3" t="s">
        <v>1309</v>
      </c>
      <c r="D848" s="5"/>
      <c r="E848" s="5">
        <f t="shared" si="201"/>
        <v>-485250</v>
      </c>
      <c r="F848" s="5">
        <f>G848+H848+I848+J848+K848+L848+N848+P848+R848+T848+V848+W848+X848+Y848+Z848+AA848+AB848+AC848+AD848+AE848+AF848+AG848</f>
        <v>485250</v>
      </c>
      <c r="G848" s="5">
        <v>350000</v>
      </c>
      <c r="H848" s="5">
        <v>0</v>
      </c>
      <c r="I848" s="5">
        <v>0</v>
      </c>
      <c r="J848" s="5">
        <v>0</v>
      </c>
      <c r="K848" s="5">
        <v>0</v>
      </c>
      <c r="L848" s="5">
        <v>0</v>
      </c>
      <c r="M848" s="241">
        <v>0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f>ROUND((G848+H848+I848+J848+K848+L848)*1.5%,2)</f>
        <v>5250</v>
      </c>
      <c r="AF848" s="5">
        <v>130000</v>
      </c>
      <c r="AG848" s="5">
        <v>0</v>
      </c>
      <c r="AH848" s="246">
        <v>2021</v>
      </c>
      <c r="AI848" s="246">
        <v>2021</v>
      </c>
      <c r="AJ848" s="6">
        <v>2021</v>
      </c>
      <c r="CB848" s="236"/>
      <c r="CF848" s="2" t="e">
        <f t="shared" si="197"/>
        <v>#N/A</v>
      </c>
    </row>
    <row r="849" spans="1:262" ht="61.5" x14ac:dyDescent="0.85">
      <c r="A849" s="2">
        <v>1</v>
      </c>
      <c r="B849" s="18">
        <f>SUBTOTAL(103,$A$558:A849)</f>
        <v>270</v>
      </c>
      <c r="C849" s="3" t="s">
        <v>1627</v>
      </c>
      <c r="D849" s="5">
        <v>1254618.1800000034</v>
      </c>
      <c r="E849" s="5">
        <f t="shared" si="201"/>
        <v>485250.00000000338</v>
      </c>
      <c r="F849" s="5">
        <f>G849+H849+I849+J849+K849+L849+N849+P849+R849+T849+V849+W849+X849+Y849+Z849+AA849+AB849+AC849+AD849+AE849+AF849+AG849</f>
        <v>769368.18</v>
      </c>
      <c r="G849" s="5">
        <v>0</v>
      </c>
      <c r="H849" s="5">
        <v>0</v>
      </c>
      <c r="I849" s="5">
        <v>0</v>
      </c>
      <c r="J849" s="5">
        <v>0</v>
      </c>
      <c r="K849" s="5">
        <v>0</v>
      </c>
      <c r="L849" s="5">
        <v>0</v>
      </c>
      <c r="M849" s="241">
        <v>0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1040</v>
      </c>
      <c r="T849" s="5">
        <v>629919.39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f>ROUND(T849*1.5%,2)</f>
        <v>9448.7900000000009</v>
      </c>
      <c r="AF849" s="5">
        <v>130000</v>
      </c>
      <c r="AG849" s="5">
        <v>0</v>
      </c>
      <c r="AH849" s="246">
        <v>2021</v>
      </c>
      <c r="AI849" s="246">
        <v>2021</v>
      </c>
      <c r="AJ849" s="6">
        <v>2021</v>
      </c>
      <c r="CB849" s="236"/>
      <c r="CF849" s="2" t="e">
        <f t="shared" si="197"/>
        <v>#N/A</v>
      </c>
    </row>
    <row r="850" spans="1:262" ht="61.5" x14ac:dyDescent="0.85">
      <c r="B850" s="3" t="s">
        <v>1310</v>
      </c>
      <c r="C850" s="3"/>
      <c r="D850" s="244">
        <v>0</v>
      </c>
      <c r="E850" s="233">
        <f t="shared" si="201"/>
        <v>-4024889.9</v>
      </c>
      <c r="F850" s="244">
        <f t="shared" ref="F850:AG850" si="211">F851</f>
        <v>4024889.9</v>
      </c>
      <c r="G850" s="5">
        <f t="shared" si="211"/>
        <v>0</v>
      </c>
      <c r="H850" s="5">
        <f t="shared" si="211"/>
        <v>0</v>
      </c>
      <c r="I850" s="5">
        <f t="shared" si="211"/>
        <v>0</v>
      </c>
      <c r="J850" s="5">
        <f t="shared" si="211"/>
        <v>0</v>
      </c>
      <c r="K850" s="5">
        <f t="shared" si="211"/>
        <v>0</v>
      </c>
      <c r="L850" s="5">
        <f t="shared" si="211"/>
        <v>0</v>
      </c>
      <c r="M850" s="241">
        <f t="shared" si="211"/>
        <v>0</v>
      </c>
      <c r="N850" s="5">
        <f t="shared" si="211"/>
        <v>0</v>
      </c>
      <c r="O850" s="5">
        <f t="shared" si="211"/>
        <v>0</v>
      </c>
      <c r="P850" s="5">
        <f t="shared" si="211"/>
        <v>0</v>
      </c>
      <c r="Q850" s="5">
        <f t="shared" si="211"/>
        <v>0</v>
      </c>
      <c r="R850" s="5">
        <f t="shared" si="211"/>
        <v>0</v>
      </c>
      <c r="S850" s="5">
        <f t="shared" si="211"/>
        <v>716.49</v>
      </c>
      <c r="T850" s="5">
        <f t="shared" si="211"/>
        <v>3965408.77</v>
      </c>
      <c r="U850" s="5">
        <f t="shared" si="211"/>
        <v>0</v>
      </c>
      <c r="V850" s="5">
        <f t="shared" si="211"/>
        <v>0</v>
      </c>
      <c r="W850" s="5">
        <f t="shared" si="211"/>
        <v>0</v>
      </c>
      <c r="X850" s="5">
        <f t="shared" si="211"/>
        <v>0</v>
      </c>
      <c r="Y850" s="5">
        <f t="shared" si="211"/>
        <v>0</v>
      </c>
      <c r="Z850" s="5">
        <f t="shared" si="211"/>
        <v>0</v>
      </c>
      <c r="AA850" s="5">
        <f t="shared" si="211"/>
        <v>0</v>
      </c>
      <c r="AB850" s="5">
        <f t="shared" si="211"/>
        <v>0</v>
      </c>
      <c r="AC850" s="5">
        <f t="shared" si="211"/>
        <v>0</v>
      </c>
      <c r="AD850" s="5">
        <f t="shared" si="211"/>
        <v>0</v>
      </c>
      <c r="AE850" s="5">
        <f t="shared" si="211"/>
        <v>59481.13</v>
      </c>
      <c r="AF850" s="5">
        <f t="shared" si="211"/>
        <v>0</v>
      </c>
      <c r="AG850" s="5">
        <f t="shared" si="211"/>
        <v>0</v>
      </c>
      <c r="AH850" s="23" t="s">
        <v>90</v>
      </c>
      <c r="AI850" s="23" t="s">
        <v>90</v>
      </c>
      <c r="AJ850" s="27" t="s">
        <v>90</v>
      </c>
      <c r="AV850" s="2" t="e">
        <f t="shared" ref="AV850:AV861" si="212">VLOOKUP(C850,AY:AZ,2,FALSE)</f>
        <v>#N/A</v>
      </c>
      <c r="CB850" s="236">
        <v>2473090.71</v>
      </c>
      <c r="CD850" s="236">
        <f>CB850-F850</f>
        <v>-1551799.19</v>
      </c>
      <c r="CF850" s="2" t="e">
        <f t="shared" si="197"/>
        <v>#N/A</v>
      </c>
    </row>
    <row r="851" spans="1:262" s="239" customFormat="1" ht="61.5" x14ac:dyDescent="0.85">
      <c r="A851" s="239">
        <v>1</v>
      </c>
      <c r="B851" s="18">
        <f>SUBTOTAL(103,$A$558:A851)</f>
        <v>271</v>
      </c>
      <c r="C851" s="3" t="s">
        <v>1311</v>
      </c>
      <c r="D851" s="5">
        <v>7261486.2599999998</v>
      </c>
      <c r="E851" s="5">
        <f t="shared" si="201"/>
        <v>3236596.36</v>
      </c>
      <c r="F851" s="5">
        <f>G851+H851+I851+J851+K851+L851+N851+P851+R851+T851+V851+W851+X851+Y851+Z851+AA851+AB851+AC851+AD851+AE851+AF851+AG851</f>
        <v>4024889.9</v>
      </c>
      <c r="G851" s="5">
        <v>0</v>
      </c>
      <c r="H851" s="5">
        <v>0</v>
      </c>
      <c r="I851" s="5">
        <v>0</v>
      </c>
      <c r="J851" s="5">
        <v>0</v>
      </c>
      <c r="K851" s="5">
        <v>0</v>
      </c>
      <c r="L851" s="5">
        <v>0</v>
      </c>
      <c r="M851" s="25">
        <v>0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7">
        <v>716.49</v>
      </c>
      <c r="T851" s="7">
        <v>3965408.77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f>ROUND((P851+T851)*1.5%,2)</f>
        <v>59481.13</v>
      </c>
      <c r="AF851" s="5">
        <v>0</v>
      </c>
      <c r="AG851" s="5">
        <v>0</v>
      </c>
      <c r="AH851" s="246" t="s">
        <v>49</v>
      </c>
      <c r="AI851" s="246">
        <v>2021</v>
      </c>
      <c r="AJ851" s="6">
        <v>2021</v>
      </c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 t="e">
        <f t="shared" si="212"/>
        <v>#N/A</v>
      </c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36"/>
      <c r="CC851" s="2"/>
      <c r="CD851" s="2"/>
      <c r="CE851" s="2"/>
      <c r="CF851" s="2" t="e">
        <f t="shared" si="197"/>
        <v>#N/A</v>
      </c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</row>
    <row r="852" spans="1:262" ht="61.5" x14ac:dyDescent="0.85">
      <c r="B852" s="3" t="s">
        <v>105</v>
      </c>
      <c r="C852" s="442"/>
      <c r="D852" s="244">
        <v>33508915.759999998</v>
      </c>
      <c r="E852" s="233">
        <f t="shared" si="201"/>
        <v>-6909872.1299999952</v>
      </c>
      <c r="F852" s="244">
        <f t="shared" ref="F852:AG852" si="213">SUM(F853:F863)</f>
        <v>40418787.889999993</v>
      </c>
      <c r="G852" s="5">
        <f t="shared" si="213"/>
        <v>427797.72</v>
      </c>
      <c r="H852" s="5">
        <f t="shared" si="213"/>
        <v>0</v>
      </c>
      <c r="I852" s="5">
        <f t="shared" si="213"/>
        <v>2312364.87</v>
      </c>
      <c r="J852" s="5">
        <f t="shared" si="213"/>
        <v>629225.18000000005</v>
      </c>
      <c r="K852" s="5">
        <f t="shared" si="213"/>
        <v>0</v>
      </c>
      <c r="L852" s="5">
        <f t="shared" si="213"/>
        <v>0</v>
      </c>
      <c r="M852" s="241">
        <f t="shared" si="213"/>
        <v>0</v>
      </c>
      <c r="N852" s="5">
        <f t="shared" si="213"/>
        <v>0</v>
      </c>
      <c r="O852" s="5">
        <f t="shared" si="213"/>
        <v>5920.2199999999993</v>
      </c>
      <c r="P852" s="5">
        <f t="shared" si="213"/>
        <v>27518880.359999999</v>
      </c>
      <c r="Q852" s="5">
        <f t="shared" si="213"/>
        <v>0</v>
      </c>
      <c r="R852" s="5">
        <f t="shared" si="213"/>
        <v>0</v>
      </c>
      <c r="S852" s="5">
        <f t="shared" si="213"/>
        <v>1218.8599999999999</v>
      </c>
      <c r="T852" s="5">
        <f t="shared" si="213"/>
        <v>3020176.4</v>
      </c>
      <c r="U852" s="5">
        <f t="shared" si="213"/>
        <v>0</v>
      </c>
      <c r="V852" s="5">
        <f t="shared" si="213"/>
        <v>0</v>
      </c>
      <c r="W852" s="5">
        <f t="shared" si="213"/>
        <v>4930927.92</v>
      </c>
      <c r="X852" s="5">
        <f t="shared" si="213"/>
        <v>0</v>
      </c>
      <c r="Y852" s="5">
        <f t="shared" si="213"/>
        <v>0</v>
      </c>
      <c r="Z852" s="5">
        <f t="shared" si="213"/>
        <v>0</v>
      </c>
      <c r="AA852" s="5">
        <f t="shared" si="213"/>
        <v>0</v>
      </c>
      <c r="AB852" s="5">
        <f t="shared" si="213"/>
        <v>0</v>
      </c>
      <c r="AC852" s="5">
        <f t="shared" si="213"/>
        <v>0</v>
      </c>
      <c r="AD852" s="5">
        <f t="shared" si="213"/>
        <v>0</v>
      </c>
      <c r="AE852" s="5">
        <f t="shared" si="213"/>
        <v>582590.59</v>
      </c>
      <c r="AF852" s="5">
        <f t="shared" si="213"/>
        <v>996824.85</v>
      </c>
      <c r="AG852" s="5">
        <f t="shared" si="213"/>
        <v>0</v>
      </c>
      <c r="AH852" s="23" t="s">
        <v>90</v>
      </c>
      <c r="AI852" s="23" t="s">
        <v>90</v>
      </c>
      <c r="AJ852" s="27" t="s">
        <v>90</v>
      </c>
      <c r="AV852" s="2" t="e">
        <f t="shared" si="212"/>
        <v>#N/A</v>
      </c>
      <c r="CB852" s="236">
        <v>29283340</v>
      </c>
      <c r="CF852" s="2" t="e">
        <f t="shared" si="197"/>
        <v>#N/A</v>
      </c>
    </row>
    <row r="853" spans="1:262" ht="61.5" x14ac:dyDescent="0.85">
      <c r="A853" s="2">
        <v>1</v>
      </c>
      <c r="B853" s="18">
        <f>SUBTOTAL(103,$A$558:A853)</f>
        <v>272</v>
      </c>
      <c r="C853" s="3" t="s">
        <v>1628</v>
      </c>
      <c r="D853" s="5">
        <v>3282441.93</v>
      </c>
      <c r="E853" s="5">
        <f t="shared" si="201"/>
        <v>0</v>
      </c>
      <c r="F853" s="5">
        <f t="shared" ref="F853:F863" si="214">G853+H853+I853+J853+K853+L853+N853+P853+R853+T853+V853+W853+X853+Y853+Z853+AA853+AB853+AC853+AD853+AE853+AF853+AG853</f>
        <v>3282441.93</v>
      </c>
      <c r="G853" s="5">
        <v>0</v>
      </c>
      <c r="H853" s="5">
        <v>0</v>
      </c>
      <c r="I853" s="5">
        <v>0</v>
      </c>
      <c r="J853" s="5">
        <v>0</v>
      </c>
      <c r="K853" s="5">
        <v>0</v>
      </c>
      <c r="L853" s="5">
        <v>0</v>
      </c>
      <c r="M853" s="241">
        <v>0</v>
      </c>
      <c r="N853" s="5">
        <v>0</v>
      </c>
      <c r="O853" s="5">
        <v>662.5</v>
      </c>
      <c r="P853" s="5">
        <v>3115763.55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f t="shared" ref="AE853:AE859" si="215">ROUND(P853*1.5%,2)</f>
        <v>46736.45</v>
      </c>
      <c r="AF853" s="5">
        <v>119941.93</v>
      </c>
      <c r="AG853" s="5">
        <v>0</v>
      </c>
      <c r="AH853" s="246">
        <v>2021</v>
      </c>
      <c r="AI853" s="246">
        <v>2021</v>
      </c>
      <c r="AJ853" s="6">
        <v>2021</v>
      </c>
      <c r="AV853" s="2" t="e">
        <f t="shared" si="212"/>
        <v>#N/A</v>
      </c>
      <c r="CB853" s="236"/>
      <c r="CF853" s="2" t="e">
        <f t="shared" si="197"/>
        <v>#N/A</v>
      </c>
    </row>
    <row r="854" spans="1:262" ht="61.5" x14ac:dyDescent="0.85">
      <c r="A854" s="2">
        <v>1</v>
      </c>
      <c r="B854" s="18">
        <f>SUBTOTAL(103,$A$558:A854)</f>
        <v>273</v>
      </c>
      <c r="C854" s="3" t="s">
        <v>1629</v>
      </c>
      <c r="D854" s="5">
        <v>5113507.6399999997</v>
      </c>
      <c r="E854" s="5">
        <f t="shared" si="201"/>
        <v>0</v>
      </c>
      <c r="F854" s="5">
        <f t="shared" si="214"/>
        <v>5113507.6399999997</v>
      </c>
      <c r="G854" s="5">
        <v>0</v>
      </c>
      <c r="H854" s="5">
        <v>0</v>
      </c>
      <c r="I854" s="5">
        <v>0</v>
      </c>
      <c r="J854" s="5">
        <v>0</v>
      </c>
      <c r="K854" s="5">
        <v>0</v>
      </c>
      <c r="L854" s="5">
        <v>0</v>
      </c>
      <c r="M854" s="241">
        <v>0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4930927.92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f>ROUND(W854*1.5%,2)</f>
        <v>73963.92</v>
      </c>
      <c r="AF854" s="5">
        <v>108615.8</v>
      </c>
      <c r="AG854" s="5">
        <v>0</v>
      </c>
      <c r="AH854" s="246">
        <v>2021</v>
      </c>
      <c r="AI854" s="246">
        <v>2021</v>
      </c>
      <c r="AJ854" s="6">
        <v>2021</v>
      </c>
      <c r="AV854" s="2" t="e">
        <f t="shared" si="212"/>
        <v>#N/A</v>
      </c>
      <c r="CB854" s="236"/>
      <c r="CF854" s="2" t="e">
        <f t="shared" si="197"/>
        <v>#N/A</v>
      </c>
    </row>
    <row r="855" spans="1:262" ht="61.5" x14ac:dyDescent="0.85">
      <c r="A855" s="2">
        <v>1</v>
      </c>
      <c r="B855" s="18">
        <f>SUBTOTAL(103,$A$558:A855)</f>
        <v>274</v>
      </c>
      <c r="C855" s="3" t="s">
        <v>1630</v>
      </c>
      <c r="D855" s="5">
        <v>4388130.57</v>
      </c>
      <c r="E855" s="5">
        <f t="shared" si="201"/>
        <v>0</v>
      </c>
      <c r="F855" s="5">
        <f t="shared" si="214"/>
        <v>4388130.57</v>
      </c>
      <c r="G855" s="5">
        <v>0</v>
      </c>
      <c r="H855" s="5">
        <v>0</v>
      </c>
      <c r="I855" s="5">
        <v>0</v>
      </c>
      <c r="J855" s="5">
        <v>0</v>
      </c>
      <c r="K855" s="5">
        <v>0</v>
      </c>
      <c r="L855" s="5">
        <v>0</v>
      </c>
      <c r="M855" s="241">
        <v>0</v>
      </c>
      <c r="N855" s="5">
        <v>0</v>
      </c>
      <c r="O855" s="5">
        <v>886</v>
      </c>
      <c r="P855" s="5">
        <v>4216748.7699999996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f t="shared" si="215"/>
        <v>63251.23</v>
      </c>
      <c r="AF855" s="5">
        <v>108130.57</v>
      </c>
      <c r="AG855" s="5">
        <v>0</v>
      </c>
      <c r="AH855" s="246">
        <v>2021</v>
      </c>
      <c r="AI855" s="246">
        <v>2021</v>
      </c>
      <c r="AJ855" s="6">
        <v>2021</v>
      </c>
      <c r="AV855" s="2" t="e">
        <f t="shared" si="212"/>
        <v>#N/A</v>
      </c>
      <c r="CB855" s="236"/>
      <c r="CF855" s="2" t="e">
        <f t="shared" si="197"/>
        <v>#N/A</v>
      </c>
    </row>
    <row r="856" spans="1:262" ht="61.5" x14ac:dyDescent="0.85">
      <c r="A856" s="2">
        <v>1</v>
      </c>
      <c r="B856" s="18">
        <f>SUBTOTAL(103,$A$558:A856)</f>
        <v>275</v>
      </c>
      <c r="C856" s="3" t="s">
        <v>934</v>
      </c>
      <c r="D856" s="5">
        <v>3289167.88</v>
      </c>
      <c r="E856" s="5">
        <f t="shared" si="201"/>
        <v>-294323.56000000006</v>
      </c>
      <c r="F856" s="5">
        <f t="shared" si="214"/>
        <v>3583491.44</v>
      </c>
      <c r="G856" s="5">
        <v>0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241">
        <v>0</v>
      </c>
      <c r="N856" s="5">
        <v>0</v>
      </c>
      <c r="O856" s="5">
        <v>670</v>
      </c>
      <c r="P856" s="5">
        <f>3152709.36+289973.95</f>
        <v>3442683.31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f t="shared" si="215"/>
        <v>51640.25</v>
      </c>
      <c r="AF856" s="5">
        <v>89167.88</v>
      </c>
      <c r="AG856" s="5">
        <v>0</v>
      </c>
      <c r="AH856" s="246">
        <v>2021</v>
      </c>
      <c r="AI856" s="246">
        <v>2021</v>
      </c>
      <c r="AJ856" s="6">
        <v>2021</v>
      </c>
      <c r="AV856" s="2">
        <f t="shared" si="212"/>
        <v>1</v>
      </c>
      <c r="CB856" s="236"/>
      <c r="CF856" s="2" t="e">
        <f t="shared" si="197"/>
        <v>#N/A</v>
      </c>
    </row>
    <row r="857" spans="1:262" ht="61.5" x14ac:dyDescent="0.85">
      <c r="A857" s="2">
        <v>1</v>
      </c>
      <c r="B857" s="18">
        <f>SUBTOTAL(103,$A$558:A857)</f>
        <v>276</v>
      </c>
      <c r="C857" s="3" t="s">
        <v>1631</v>
      </c>
      <c r="D857" s="5">
        <v>3011574.49</v>
      </c>
      <c r="E857" s="5">
        <f t="shared" si="201"/>
        <v>0</v>
      </c>
      <c r="F857" s="5">
        <f t="shared" si="214"/>
        <v>3011574.49</v>
      </c>
      <c r="G857" s="5">
        <v>0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241">
        <v>0</v>
      </c>
      <c r="N857" s="5">
        <v>0</v>
      </c>
      <c r="O857" s="5">
        <v>616.12</v>
      </c>
      <c r="P857" s="5">
        <v>2887290.64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f t="shared" si="215"/>
        <v>43309.36</v>
      </c>
      <c r="AF857" s="5">
        <v>80974.490000000005</v>
      </c>
      <c r="AG857" s="5">
        <v>0</v>
      </c>
      <c r="AH857" s="246">
        <v>2021</v>
      </c>
      <c r="AI857" s="246">
        <v>2021</v>
      </c>
      <c r="AJ857" s="6">
        <v>2021</v>
      </c>
      <c r="AV857" s="2" t="e">
        <f t="shared" si="212"/>
        <v>#N/A</v>
      </c>
      <c r="CB857" s="236"/>
      <c r="CF857" s="2" t="e">
        <f t="shared" si="197"/>
        <v>#N/A</v>
      </c>
    </row>
    <row r="858" spans="1:262" ht="61.5" x14ac:dyDescent="0.85">
      <c r="A858" s="2">
        <v>1</v>
      </c>
      <c r="B858" s="18">
        <f>SUBTOTAL(103,$A$558:A858)</f>
        <v>277</v>
      </c>
      <c r="C858" s="3" t="s">
        <v>1632</v>
      </c>
      <c r="D858" s="5">
        <v>3374348.08</v>
      </c>
      <c r="E858" s="5">
        <f t="shared" si="201"/>
        <v>0</v>
      </c>
      <c r="F858" s="5">
        <f t="shared" si="214"/>
        <v>3374348.08</v>
      </c>
      <c r="G858" s="5">
        <v>0</v>
      </c>
      <c r="H858" s="5">
        <v>0</v>
      </c>
      <c r="I858" s="5">
        <v>0</v>
      </c>
      <c r="J858" s="5">
        <v>0</v>
      </c>
      <c r="K858" s="5">
        <v>0</v>
      </c>
      <c r="L858" s="5">
        <v>0</v>
      </c>
      <c r="M858" s="241">
        <v>0</v>
      </c>
      <c r="N858" s="5">
        <v>0</v>
      </c>
      <c r="O858" s="5">
        <v>773.7</v>
      </c>
      <c r="P858" s="5">
        <v>3206187.19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f t="shared" si="215"/>
        <v>48092.81</v>
      </c>
      <c r="AF858" s="5">
        <v>120068.08</v>
      </c>
      <c r="AG858" s="5">
        <v>0</v>
      </c>
      <c r="AH858" s="246">
        <v>2021</v>
      </c>
      <c r="AI858" s="246">
        <v>2021</v>
      </c>
      <c r="AJ858" s="6">
        <v>2021</v>
      </c>
      <c r="AV858" s="2" t="e">
        <f t="shared" si="212"/>
        <v>#N/A</v>
      </c>
      <c r="CB858" s="236"/>
      <c r="CF858" s="2" t="e">
        <f t="shared" si="197"/>
        <v>#N/A</v>
      </c>
    </row>
    <row r="859" spans="1:262" ht="61.5" x14ac:dyDescent="0.85">
      <c r="A859" s="2">
        <v>1</v>
      </c>
      <c r="B859" s="18">
        <f>SUBTOTAL(103,$A$558:A859)</f>
        <v>278</v>
      </c>
      <c r="C859" s="3" t="s">
        <v>1633</v>
      </c>
      <c r="D859" s="5">
        <v>4644926.0999999996</v>
      </c>
      <c r="E859" s="5">
        <f t="shared" si="201"/>
        <v>0</v>
      </c>
      <c r="F859" s="5">
        <f t="shared" si="214"/>
        <v>4644926.0999999996</v>
      </c>
      <c r="G859" s="5">
        <v>0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241">
        <v>0</v>
      </c>
      <c r="N859" s="5">
        <v>0</v>
      </c>
      <c r="O859" s="5">
        <v>935</v>
      </c>
      <c r="P859" s="5">
        <v>4458128.08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f t="shared" si="215"/>
        <v>66871.92</v>
      </c>
      <c r="AF859" s="5">
        <v>119926.1</v>
      </c>
      <c r="AG859" s="5">
        <v>0</v>
      </c>
      <c r="AH859" s="246">
        <v>2021</v>
      </c>
      <c r="AI859" s="246">
        <v>2021</v>
      </c>
      <c r="AJ859" s="6">
        <v>2021</v>
      </c>
      <c r="AV859" s="2" t="e">
        <f t="shared" si="212"/>
        <v>#N/A</v>
      </c>
      <c r="CB859" s="236"/>
      <c r="CF859" s="2" t="e">
        <f t="shared" si="197"/>
        <v>#N/A</v>
      </c>
    </row>
    <row r="860" spans="1:262" ht="61.5" x14ac:dyDescent="0.85">
      <c r="A860" s="2">
        <v>1</v>
      </c>
      <c r="B860" s="18">
        <f>SUBTOTAL(103,$A$558:A860)</f>
        <v>279</v>
      </c>
      <c r="C860" s="3" t="s">
        <v>1634</v>
      </c>
      <c r="D860" s="5">
        <v>3229819.07</v>
      </c>
      <c r="E860" s="5">
        <f t="shared" si="201"/>
        <v>-3195619.9800000009</v>
      </c>
      <c r="F860" s="5">
        <f t="shared" si="214"/>
        <v>6425439.0500000007</v>
      </c>
      <c r="G860" s="5">
        <v>0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241">
        <v>0</v>
      </c>
      <c r="N860" s="5">
        <v>0</v>
      </c>
      <c r="O860" s="5">
        <v>740.9</v>
      </c>
      <c r="P860" s="5">
        <v>3064000</v>
      </c>
      <c r="Q860" s="5">
        <v>0</v>
      </c>
      <c r="R860" s="5">
        <v>0</v>
      </c>
      <c r="S860" s="5">
        <v>1218.8599999999999</v>
      </c>
      <c r="T860" s="5">
        <v>3020176.4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f>ROUND((P860+T860)*1.5%,2)</f>
        <v>91262.65</v>
      </c>
      <c r="AF860" s="5">
        <v>250000</v>
      </c>
      <c r="AG860" s="5">
        <v>0</v>
      </c>
      <c r="AH860" s="246">
        <v>2021</v>
      </c>
      <c r="AI860" s="246">
        <v>2021</v>
      </c>
      <c r="AJ860" s="6">
        <v>2021</v>
      </c>
      <c r="AV860" s="2" t="e">
        <f t="shared" si="212"/>
        <v>#N/A</v>
      </c>
      <c r="CB860" s="236"/>
      <c r="CF860" s="2" t="e">
        <f t="shared" si="197"/>
        <v>#N/A</v>
      </c>
    </row>
    <row r="861" spans="1:262" ht="61.5" x14ac:dyDescent="0.85">
      <c r="A861" s="2">
        <v>1</v>
      </c>
      <c r="B861" s="18">
        <f>SUBTOTAL(103,$A$558:A861)</f>
        <v>280</v>
      </c>
      <c r="C861" s="3" t="s">
        <v>1312</v>
      </c>
      <c r="D861" s="5">
        <v>3175000</v>
      </c>
      <c r="E861" s="5">
        <f t="shared" si="201"/>
        <v>0</v>
      </c>
      <c r="F861" s="5">
        <f t="shared" si="214"/>
        <v>3175000</v>
      </c>
      <c r="G861" s="5">
        <v>0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241">
        <v>0</v>
      </c>
      <c r="N861" s="5">
        <v>0</v>
      </c>
      <c r="O861" s="5">
        <v>636</v>
      </c>
      <c r="P861" s="5">
        <v>3128078.82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f t="shared" ref="AE861" si="216">ROUND(P861*1.5%,2)</f>
        <v>46921.18</v>
      </c>
      <c r="AF861" s="5">
        <v>0</v>
      </c>
      <c r="AG861" s="5">
        <v>0</v>
      </c>
      <c r="AH861" s="246" t="s">
        <v>49</v>
      </c>
      <c r="AI861" s="246">
        <v>2021</v>
      </c>
      <c r="AJ861" s="6">
        <v>2021</v>
      </c>
      <c r="AV861" s="2" t="e">
        <f t="shared" si="212"/>
        <v>#N/A</v>
      </c>
      <c r="CB861" s="236"/>
      <c r="CF861" s="2" t="e">
        <f t="shared" si="197"/>
        <v>#N/A</v>
      </c>
    </row>
    <row r="862" spans="1:262" s="239" customFormat="1" ht="61.5" x14ac:dyDescent="0.85">
      <c r="A862" s="239">
        <v>1</v>
      </c>
      <c r="B862" s="18">
        <f>SUBTOTAL(103,$A$558:A862)</f>
        <v>281</v>
      </c>
      <c r="C862" s="3" t="s">
        <v>1317</v>
      </c>
      <c r="D862" s="5">
        <v>1395351.75</v>
      </c>
      <c r="E862" s="5">
        <f t="shared" si="201"/>
        <v>173405.59999999986</v>
      </c>
      <c r="F862" s="5">
        <f t="shared" si="214"/>
        <v>1221946.1500000001</v>
      </c>
      <c r="G862" s="5">
        <v>0</v>
      </c>
      <c r="H862" s="5">
        <v>0</v>
      </c>
      <c r="I862" s="5">
        <v>990961.93</v>
      </c>
      <c r="J862" s="5">
        <v>212925.9</v>
      </c>
      <c r="K862" s="5">
        <v>0</v>
      </c>
      <c r="L862" s="5">
        <v>0</v>
      </c>
      <c r="M862" s="2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f>ROUND((G862+H862+I862+J862+K862+L862)*1.5%,2)</f>
        <v>18058.32</v>
      </c>
      <c r="AF862" s="5">
        <v>0</v>
      </c>
      <c r="AG862" s="5">
        <v>0</v>
      </c>
      <c r="AH862" s="246" t="s">
        <v>49</v>
      </c>
      <c r="AI862" s="246">
        <v>2021</v>
      </c>
      <c r="AJ862" s="6">
        <v>2021</v>
      </c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36"/>
      <c r="CC862" s="2"/>
      <c r="CD862" s="2"/>
      <c r="CE862" s="2"/>
      <c r="CF862" s="2" t="e">
        <f t="shared" si="197"/>
        <v>#N/A</v>
      </c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</row>
    <row r="863" spans="1:262" s="239" customFormat="1" ht="61.5" x14ac:dyDescent="0.85">
      <c r="A863" s="239">
        <v>1</v>
      </c>
      <c r="B863" s="18">
        <f>SUBTOTAL(103,$A$558:A863)</f>
        <v>282</v>
      </c>
      <c r="C863" s="3" t="s">
        <v>1635</v>
      </c>
      <c r="D863" s="5">
        <v>2197982.44</v>
      </c>
      <c r="E863" s="5">
        <f t="shared" si="201"/>
        <v>0</v>
      </c>
      <c r="F863" s="5">
        <f t="shared" si="214"/>
        <v>2197982.44</v>
      </c>
      <c r="G863" s="5">
        <v>427797.72</v>
      </c>
      <c r="H863" s="5">
        <v>0</v>
      </c>
      <c r="I863" s="5">
        <v>1321402.94</v>
      </c>
      <c r="J863" s="5">
        <v>416299.28</v>
      </c>
      <c r="K863" s="5">
        <v>0</v>
      </c>
      <c r="L863" s="5">
        <v>0</v>
      </c>
      <c r="M863" s="2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f>ROUND((G863+H863+I863+J863+K863+L863)*1.5%,2)</f>
        <v>32482.5</v>
      </c>
      <c r="AF863" s="5">
        <v>0</v>
      </c>
      <c r="AG863" s="5">
        <v>0</v>
      </c>
      <c r="AH863" s="246" t="s">
        <v>49</v>
      </c>
      <c r="AI863" s="246">
        <v>2021</v>
      </c>
      <c r="AJ863" s="6">
        <v>2021</v>
      </c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 t="e">
        <f>VLOOKUP(C863,AY:AZ,2,FALSE)</f>
        <v>#N/A</v>
      </c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36"/>
      <c r="CC863" s="2"/>
      <c r="CD863" s="2"/>
      <c r="CE863" s="2"/>
      <c r="CF863" s="2" t="e">
        <f t="shared" si="197"/>
        <v>#N/A</v>
      </c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</row>
    <row r="864" spans="1:262" ht="61.5" x14ac:dyDescent="0.85">
      <c r="B864" s="3" t="s">
        <v>106</v>
      </c>
      <c r="C864" s="442"/>
      <c r="D864" s="244">
        <v>0</v>
      </c>
      <c r="E864" s="233">
        <f t="shared" si="201"/>
        <v>-6003691.8100000005</v>
      </c>
      <c r="F864" s="244">
        <f t="shared" ref="F864:AG864" si="217">SUM(F865:F866)</f>
        <v>6003691.8100000005</v>
      </c>
      <c r="G864" s="5">
        <f t="shared" si="217"/>
        <v>0</v>
      </c>
      <c r="H864" s="5">
        <f t="shared" si="217"/>
        <v>0</v>
      </c>
      <c r="I864" s="5">
        <f t="shared" si="217"/>
        <v>0</v>
      </c>
      <c r="J864" s="5">
        <f t="shared" si="217"/>
        <v>0</v>
      </c>
      <c r="K864" s="5">
        <f t="shared" si="217"/>
        <v>0</v>
      </c>
      <c r="L864" s="5">
        <f t="shared" si="217"/>
        <v>0</v>
      </c>
      <c r="M864" s="241">
        <f t="shared" si="217"/>
        <v>0</v>
      </c>
      <c r="N864" s="5">
        <f t="shared" si="217"/>
        <v>0</v>
      </c>
      <c r="O864" s="5">
        <f t="shared" si="217"/>
        <v>172</v>
      </c>
      <c r="P864" s="5">
        <f t="shared" si="217"/>
        <v>1221695.96</v>
      </c>
      <c r="Q864" s="5">
        <f t="shared" si="217"/>
        <v>0</v>
      </c>
      <c r="R864" s="5">
        <f t="shared" si="217"/>
        <v>0</v>
      </c>
      <c r="S864" s="5">
        <f t="shared" si="217"/>
        <v>0</v>
      </c>
      <c r="T864" s="5">
        <f t="shared" si="217"/>
        <v>0</v>
      </c>
      <c r="U864" s="5">
        <f t="shared" si="217"/>
        <v>0</v>
      </c>
      <c r="V864" s="5">
        <f t="shared" si="217"/>
        <v>0</v>
      </c>
      <c r="W864" s="5">
        <f t="shared" si="217"/>
        <v>4693271.34</v>
      </c>
      <c r="X864" s="5">
        <f t="shared" si="217"/>
        <v>0</v>
      </c>
      <c r="Y864" s="5">
        <f t="shared" si="217"/>
        <v>0</v>
      </c>
      <c r="Z864" s="5">
        <f t="shared" si="217"/>
        <v>0</v>
      </c>
      <c r="AA864" s="5">
        <f t="shared" si="217"/>
        <v>0</v>
      </c>
      <c r="AB864" s="5">
        <f t="shared" si="217"/>
        <v>0</v>
      </c>
      <c r="AC864" s="5">
        <f t="shared" si="217"/>
        <v>0</v>
      </c>
      <c r="AD864" s="5">
        <f t="shared" si="217"/>
        <v>0</v>
      </c>
      <c r="AE864" s="5">
        <f t="shared" si="217"/>
        <v>88724.510000000009</v>
      </c>
      <c r="AF864" s="5">
        <f t="shared" si="217"/>
        <v>0</v>
      </c>
      <c r="AG864" s="5">
        <f t="shared" si="217"/>
        <v>0</v>
      </c>
      <c r="AH864" s="23" t="s">
        <v>90</v>
      </c>
      <c r="AI864" s="23" t="s">
        <v>90</v>
      </c>
      <c r="AJ864" s="27" t="s">
        <v>90</v>
      </c>
      <c r="AV864" s="2" t="e">
        <f>VLOOKUP(C864,AY:AZ,2,FALSE)</f>
        <v>#N/A</v>
      </c>
      <c r="CB864" s="236">
        <v>3328825.5</v>
      </c>
      <c r="CF864" s="2" t="e">
        <f t="shared" si="197"/>
        <v>#N/A</v>
      </c>
    </row>
    <row r="865" spans="1:262" s="239" customFormat="1" ht="61.5" x14ac:dyDescent="0.85">
      <c r="A865" s="239">
        <v>1</v>
      </c>
      <c r="B865" s="18">
        <f>SUBTOTAL(103,$A$558:A865)</f>
        <v>283</v>
      </c>
      <c r="C865" s="3" t="s">
        <v>1324</v>
      </c>
      <c r="D865" s="5">
        <v>4867698.0200000005</v>
      </c>
      <c r="E865" s="5">
        <f t="shared" si="201"/>
        <v>104027.61000000034</v>
      </c>
      <c r="F865" s="5">
        <f>G865+H865+I865+J865+K865+L865+N865+P865+R865+T865+V865+W865+X865+Y865+Z865+AA865+AB865+AC865+AD865+AE865+AF865+AG865</f>
        <v>4763670.41</v>
      </c>
      <c r="G865" s="5">
        <v>0</v>
      </c>
      <c r="H865" s="5">
        <v>0</v>
      </c>
      <c r="I865" s="5">
        <v>0</v>
      </c>
      <c r="J865" s="5">
        <v>0</v>
      </c>
      <c r="K865" s="5">
        <v>0</v>
      </c>
      <c r="L865" s="5">
        <v>0</v>
      </c>
      <c r="M865" s="2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f>4178507.88-47969.83+550395.9+12337.39</f>
        <v>4693271.34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f>ROUND(W865*1.5%,2)</f>
        <v>70399.070000000007</v>
      </c>
      <c r="AF865" s="5">
        <v>0</v>
      </c>
      <c r="AG865" s="5">
        <v>0</v>
      </c>
      <c r="AH865" s="246" t="s">
        <v>49</v>
      </c>
      <c r="AI865" s="246">
        <v>2021</v>
      </c>
      <c r="AJ865" s="6">
        <v>2021</v>
      </c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 t="e">
        <f>VLOOKUP(C865,AY:AZ,2,FALSE)</f>
        <v>#N/A</v>
      </c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36"/>
      <c r="CC865" s="2"/>
      <c r="CD865" s="2"/>
      <c r="CE865" s="2"/>
      <c r="CF865" s="2" t="e">
        <f t="shared" si="197"/>
        <v>#N/A</v>
      </c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</row>
    <row r="866" spans="1:262" s="239" customFormat="1" ht="61.5" x14ac:dyDescent="0.85">
      <c r="A866" s="239">
        <v>1</v>
      </c>
      <c r="B866" s="18">
        <f>SUBTOTAL(103,$A$558:A866)</f>
        <v>284</v>
      </c>
      <c r="C866" s="3" t="s">
        <v>1325</v>
      </c>
      <c r="D866" s="5">
        <v>1288660.92</v>
      </c>
      <c r="E866" s="5">
        <f t="shared" si="201"/>
        <v>48639.520000000019</v>
      </c>
      <c r="F866" s="5">
        <f>G866+H866+I866+J866+K866+L866+N866+P866+R866+T866+V866+W866+X866+Y866+Z866+AA866+AB866+AC866+AD866+AE866+AF866+AG866</f>
        <v>1240021.3999999999</v>
      </c>
      <c r="G866" s="5">
        <v>0</v>
      </c>
      <c r="H866" s="5">
        <v>0</v>
      </c>
      <c r="I866" s="5">
        <v>0</v>
      </c>
      <c r="J866" s="5">
        <v>0</v>
      </c>
      <c r="K866" s="5">
        <v>0</v>
      </c>
      <c r="L866" s="5">
        <v>0</v>
      </c>
      <c r="M866" s="25">
        <v>0</v>
      </c>
      <c r="N866" s="5">
        <v>0</v>
      </c>
      <c r="O866" s="5">
        <v>172</v>
      </c>
      <c r="P866" s="5">
        <f>898149.6+144032.15+138871.15+34310.83+6332.23</f>
        <v>1221695.96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f>ROUND(P866*1.5%,2)</f>
        <v>18325.439999999999</v>
      </c>
      <c r="AF866" s="5">
        <v>0</v>
      </c>
      <c r="AG866" s="5">
        <v>0</v>
      </c>
      <c r="AH866" s="246" t="s">
        <v>49</v>
      </c>
      <c r="AI866" s="246">
        <v>2021</v>
      </c>
      <c r="AJ866" s="6">
        <v>2021</v>
      </c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36"/>
      <c r="CC866" s="2"/>
      <c r="CD866" s="2"/>
      <c r="CE866" s="2"/>
      <c r="CF866" s="2" t="e">
        <f t="shared" si="197"/>
        <v>#N/A</v>
      </c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</row>
    <row r="867" spans="1:262" ht="61.5" x14ac:dyDescent="0.85">
      <c r="B867" s="3" t="s">
        <v>107</v>
      </c>
      <c r="C867" s="442"/>
      <c r="D867" s="244">
        <v>3328825.5</v>
      </c>
      <c r="E867" s="233">
        <f t="shared" si="201"/>
        <v>-3080639.8600000003</v>
      </c>
      <c r="F867" s="244">
        <f>SUM(F868:F870)</f>
        <v>6409465.3600000003</v>
      </c>
      <c r="G867" s="5">
        <f t="shared" ref="G867:AG867" si="218">SUM(G868:G870)</f>
        <v>0</v>
      </c>
      <c r="H867" s="5">
        <f t="shared" si="218"/>
        <v>0</v>
      </c>
      <c r="I867" s="5">
        <f t="shared" si="218"/>
        <v>0</v>
      </c>
      <c r="J867" s="5">
        <f t="shared" si="218"/>
        <v>0</v>
      </c>
      <c r="K867" s="5">
        <f t="shared" si="218"/>
        <v>0</v>
      </c>
      <c r="L867" s="5">
        <f t="shared" si="218"/>
        <v>0</v>
      </c>
      <c r="M867" s="241">
        <f t="shared" si="218"/>
        <v>0</v>
      </c>
      <c r="N867" s="5">
        <f t="shared" si="218"/>
        <v>0</v>
      </c>
      <c r="O867" s="5">
        <f t="shared" si="218"/>
        <v>650</v>
      </c>
      <c r="P867" s="5">
        <f t="shared" si="218"/>
        <v>3131847.78</v>
      </c>
      <c r="Q867" s="5">
        <f t="shared" si="218"/>
        <v>0</v>
      </c>
      <c r="R867" s="5">
        <f t="shared" si="218"/>
        <v>0</v>
      </c>
      <c r="S867" s="5">
        <f t="shared" si="218"/>
        <v>403.2</v>
      </c>
      <c r="T867" s="5">
        <f t="shared" si="218"/>
        <v>1634230.1300000001</v>
      </c>
      <c r="U867" s="5">
        <f t="shared" si="218"/>
        <v>0</v>
      </c>
      <c r="V867" s="5">
        <f t="shared" si="218"/>
        <v>0</v>
      </c>
      <c r="W867" s="5">
        <f t="shared" si="218"/>
        <v>1400883.03</v>
      </c>
      <c r="X867" s="5">
        <f t="shared" si="218"/>
        <v>0</v>
      </c>
      <c r="Y867" s="5">
        <f t="shared" si="218"/>
        <v>0</v>
      </c>
      <c r="Z867" s="5">
        <f t="shared" si="218"/>
        <v>0</v>
      </c>
      <c r="AA867" s="5">
        <f t="shared" si="218"/>
        <v>0</v>
      </c>
      <c r="AB867" s="5">
        <f t="shared" si="218"/>
        <v>0</v>
      </c>
      <c r="AC867" s="5">
        <f t="shared" si="218"/>
        <v>0</v>
      </c>
      <c r="AD867" s="5">
        <f t="shared" si="218"/>
        <v>0</v>
      </c>
      <c r="AE867" s="5">
        <f t="shared" si="218"/>
        <v>92504.42</v>
      </c>
      <c r="AF867" s="5">
        <f t="shared" si="218"/>
        <v>150000</v>
      </c>
      <c r="AG867" s="5">
        <f t="shared" si="218"/>
        <v>0</v>
      </c>
      <c r="AH867" s="23" t="s">
        <v>90</v>
      </c>
      <c r="AI867" s="23" t="s">
        <v>90</v>
      </c>
      <c r="AJ867" s="27" t="s">
        <v>90</v>
      </c>
      <c r="AV867" s="2" t="e">
        <f>VLOOKUP(C867,AY:AZ,2,FALSE)</f>
        <v>#N/A</v>
      </c>
      <c r="CB867" s="236">
        <v>3328825.5</v>
      </c>
      <c r="CF867" s="2" t="e">
        <f t="shared" si="197"/>
        <v>#N/A</v>
      </c>
    </row>
    <row r="868" spans="1:262" ht="61.5" x14ac:dyDescent="0.85">
      <c r="A868" s="2">
        <v>1</v>
      </c>
      <c r="B868" s="18">
        <f>SUBTOTAL(103,$A$558:A868)</f>
        <v>285</v>
      </c>
      <c r="C868" s="3" t="s">
        <v>1636</v>
      </c>
      <c r="D868" s="5">
        <v>3328825.5</v>
      </c>
      <c r="E868" s="5">
        <f t="shared" si="201"/>
        <v>0</v>
      </c>
      <c r="F868" s="5">
        <f>G868+H868+I868+J868+K868+L868+N868+P868+R868+T868+V868+W868+X868+Y868+Z868+AA868+AB868+AC868+AD868+AE868+AF868+AG868</f>
        <v>3328825.5</v>
      </c>
      <c r="G868" s="5">
        <v>0</v>
      </c>
      <c r="H868" s="5">
        <v>0</v>
      </c>
      <c r="I868" s="5">
        <v>0</v>
      </c>
      <c r="J868" s="5">
        <v>0</v>
      </c>
      <c r="K868" s="5">
        <v>0</v>
      </c>
      <c r="L868" s="5">
        <v>0</v>
      </c>
      <c r="M868" s="241">
        <v>0</v>
      </c>
      <c r="N868" s="5">
        <v>0</v>
      </c>
      <c r="O868" s="5">
        <v>650</v>
      </c>
      <c r="P868" s="5">
        <v>3131847.78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f>ROUND(P868*1.5%,2)</f>
        <v>46977.72</v>
      </c>
      <c r="AF868" s="5">
        <v>150000</v>
      </c>
      <c r="AG868" s="5">
        <v>0</v>
      </c>
      <c r="AH868" s="246">
        <v>2021</v>
      </c>
      <c r="AI868" s="246">
        <v>2021</v>
      </c>
      <c r="AJ868" s="6">
        <v>2021</v>
      </c>
      <c r="AV868" s="2" t="e">
        <f>VLOOKUP(C868,AY:AZ,2,FALSE)</f>
        <v>#N/A</v>
      </c>
      <c r="CB868" s="236"/>
      <c r="CF868" s="2" t="e">
        <f t="shared" si="197"/>
        <v>#N/A</v>
      </c>
    </row>
    <row r="869" spans="1:262" s="239" customFormat="1" ht="61.5" x14ac:dyDescent="0.85">
      <c r="A869" s="239">
        <v>1</v>
      </c>
      <c r="B869" s="18">
        <f>SUBTOTAL(103,$A$558:A869)</f>
        <v>286</v>
      </c>
      <c r="C869" s="3" t="s">
        <v>1330</v>
      </c>
      <c r="D869" s="5">
        <v>1730485.3000000003</v>
      </c>
      <c r="E869" s="5">
        <f t="shared" si="201"/>
        <v>71741.720000000205</v>
      </c>
      <c r="F869" s="5">
        <f>G869+H869+I869+J869+K869+L869+N869+P869+R869+T869+V869+W869+X869+Y869+Z869+AA869+AB869+AC869+AD869+AE869+AF869+AG869</f>
        <v>1658743.58</v>
      </c>
      <c r="G869" s="5">
        <v>0</v>
      </c>
      <c r="H869" s="5">
        <v>0</v>
      </c>
      <c r="I869" s="5">
        <v>0</v>
      </c>
      <c r="J869" s="5">
        <v>0</v>
      </c>
      <c r="K869" s="5">
        <v>0</v>
      </c>
      <c r="L869" s="5">
        <v>0</v>
      </c>
      <c r="M869" s="25">
        <v>0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403.2</v>
      </c>
      <c r="T869" s="5">
        <f>1546816.85+78057.02+9356.26</f>
        <v>1634230.1300000001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f>ROUND(T869*1.5%,2)</f>
        <v>24513.45</v>
      </c>
      <c r="AF869" s="5">
        <v>0</v>
      </c>
      <c r="AG869" s="5">
        <v>0</v>
      </c>
      <c r="AH869" s="246" t="s">
        <v>49</v>
      </c>
      <c r="AI869" s="246">
        <v>2021</v>
      </c>
      <c r="AJ869" s="6">
        <v>2021</v>
      </c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 t="e">
        <f>VLOOKUP(C869,AY:AZ,2,FALSE)</f>
        <v>#N/A</v>
      </c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36"/>
      <c r="CC869" s="2"/>
      <c r="CD869" s="2"/>
      <c r="CE869" s="2"/>
      <c r="CF869" s="2" t="e">
        <f t="shared" si="197"/>
        <v>#N/A</v>
      </c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</row>
    <row r="870" spans="1:262" s="239" customFormat="1" ht="61.5" x14ac:dyDescent="0.85">
      <c r="A870" s="239">
        <v>1</v>
      </c>
      <c r="B870" s="18">
        <f>SUBTOTAL(103,$A$558:A870)</f>
        <v>287</v>
      </c>
      <c r="C870" s="3" t="s">
        <v>1333</v>
      </c>
      <c r="D870" s="5">
        <v>1483959.8800000001</v>
      </c>
      <c r="E870" s="5">
        <f t="shared" si="201"/>
        <v>62063.600000000093</v>
      </c>
      <c r="F870" s="5">
        <f>G870+H870+I870+J870+K870+L870+N870+P870+R870+T870+V870+W870+X870+Y870+Z870+AA870+AB870+AC870+AD870+AE870+AF870+AG870</f>
        <v>1421896.28</v>
      </c>
      <c r="G870" s="5">
        <v>0</v>
      </c>
      <c r="H870" s="5">
        <v>0</v>
      </c>
      <c r="I870" s="5">
        <v>0</v>
      </c>
      <c r="J870" s="5">
        <v>0</v>
      </c>
      <c r="K870" s="5">
        <v>0</v>
      </c>
      <c r="L870" s="5">
        <v>0</v>
      </c>
      <c r="M870" s="25"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f>1266000+134883.03</f>
        <v>1400883.03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f>ROUND(W870*1.5%,2)</f>
        <v>21013.25</v>
      </c>
      <c r="AF870" s="5">
        <v>0</v>
      </c>
      <c r="AG870" s="5">
        <v>0</v>
      </c>
      <c r="AH870" s="246" t="s">
        <v>49</v>
      </c>
      <c r="AI870" s="246">
        <v>2021</v>
      </c>
      <c r="AJ870" s="6">
        <v>2021</v>
      </c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36"/>
      <c r="CC870" s="2"/>
      <c r="CD870" s="2"/>
      <c r="CE870" s="2"/>
      <c r="CF870" s="2" t="e">
        <f t="shared" si="197"/>
        <v>#N/A</v>
      </c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</row>
    <row r="871" spans="1:262" ht="61.5" x14ac:dyDescent="0.85">
      <c r="B871" s="3" t="s">
        <v>1326</v>
      </c>
      <c r="C871" s="3"/>
      <c r="D871" s="244">
        <v>5279138.41</v>
      </c>
      <c r="E871" s="233">
        <f t="shared" si="201"/>
        <v>0</v>
      </c>
      <c r="F871" s="244">
        <f t="shared" ref="F871:AG871" si="219">F872+F873</f>
        <v>5279138.41</v>
      </c>
      <c r="G871" s="5">
        <f t="shared" si="219"/>
        <v>0</v>
      </c>
      <c r="H871" s="5">
        <f t="shared" si="219"/>
        <v>0</v>
      </c>
      <c r="I871" s="5">
        <f t="shared" si="219"/>
        <v>0</v>
      </c>
      <c r="J871" s="5">
        <f t="shared" si="219"/>
        <v>0</v>
      </c>
      <c r="K871" s="5">
        <f t="shared" si="219"/>
        <v>0</v>
      </c>
      <c r="L871" s="5">
        <f t="shared" si="219"/>
        <v>0</v>
      </c>
      <c r="M871" s="241">
        <f t="shared" si="219"/>
        <v>0</v>
      </c>
      <c r="N871" s="5">
        <f t="shared" si="219"/>
        <v>0</v>
      </c>
      <c r="O871" s="5">
        <f t="shared" si="219"/>
        <v>0</v>
      </c>
      <c r="P871" s="5">
        <f t="shared" si="219"/>
        <v>0</v>
      </c>
      <c r="Q871" s="5">
        <f t="shared" si="219"/>
        <v>0</v>
      </c>
      <c r="R871" s="5">
        <f t="shared" si="219"/>
        <v>0</v>
      </c>
      <c r="S871" s="5">
        <f t="shared" si="219"/>
        <v>884.5</v>
      </c>
      <c r="T871" s="5">
        <f t="shared" si="219"/>
        <v>4944963.95</v>
      </c>
      <c r="U871" s="5">
        <f t="shared" si="219"/>
        <v>0</v>
      </c>
      <c r="V871" s="5">
        <f t="shared" si="219"/>
        <v>0</v>
      </c>
      <c r="W871" s="5">
        <f t="shared" si="219"/>
        <v>0</v>
      </c>
      <c r="X871" s="5">
        <f t="shared" si="219"/>
        <v>0</v>
      </c>
      <c r="Y871" s="5">
        <f t="shared" si="219"/>
        <v>0</v>
      </c>
      <c r="Z871" s="5">
        <f t="shared" si="219"/>
        <v>0</v>
      </c>
      <c r="AA871" s="5">
        <f t="shared" si="219"/>
        <v>0</v>
      </c>
      <c r="AB871" s="5">
        <f t="shared" si="219"/>
        <v>0</v>
      </c>
      <c r="AC871" s="5">
        <f t="shared" si="219"/>
        <v>0</v>
      </c>
      <c r="AD871" s="5">
        <f t="shared" si="219"/>
        <v>0</v>
      </c>
      <c r="AE871" s="5">
        <f t="shared" si="219"/>
        <v>74174.459999999992</v>
      </c>
      <c r="AF871" s="5">
        <f t="shared" si="219"/>
        <v>260000</v>
      </c>
      <c r="AG871" s="5">
        <f t="shared" si="219"/>
        <v>0</v>
      </c>
      <c r="AH871" s="23" t="s">
        <v>90</v>
      </c>
      <c r="AI871" s="23" t="s">
        <v>90</v>
      </c>
      <c r="AJ871" s="27" t="s">
        <v>90</v>
      </c>
      <c r="AV871" s="2" t="e">
        <f t="shared" ref="AV871:AV884" si="220">VLOOKUP(C871,AY:AZ,2,FALSE)</f>
        <v>#N/A</v>
      </c>
      <c r="CB871" s="236">
        <v>5279138.41</v>
      </c>
      <c r="CF871" s="2" t="e">
        <f t="shared" si="197"/>
        <v>#N/A</v>
      </c>
    </row>
    <row r="872" spans="1:262" ht="61.5" x14ac:dyDescent="0.85">
      <c r="A872" s="2">
        <v>1</v>
      </c>
      <c r="B872" s="18">
        <f>SUBTOTAL(103,$A$558:A872)</f>
        <v>288</v>
      </c>
      <c r="C872" s="3" t="s">
        <v>1637</v>
      </c>
      <c r="D872" s="5">
        <v>2721526.66</v>
      </c>
      <c r="E872" s="5">
        <f t="shared" si="201"/>
        <v>0</v>
      </c>
      <c r="F872" s="5">
        <f>G872+H872+I872+J872+K872+L872+N872+P872+R872+T872+V872+W872+X872+Y872+Z872+AA872+AB872+AC872+AD872+AE872+AF872+AG872</f>
        <v>2721526.66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241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459</v>
      </c>
      <c r="T872" s="5">
        <v>2553228.2400000002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f>ROUND(T872*1.5%,2)</f>
        <v>38298.42</v>
      </c>
      <c r="AF872" s="5">
        <v>130000</v>
      </c>
      <c r="AG872" s="5">
        <v>0</v>
      </c>
      <c r="AH872" s="246">
        <v>2021</v>
      </c>
      <c r="AI872" s="246">
        <v>2021</v>
      </c>
      <c r="AJ872" s="6">
        <v>2021</v>
      </c>
      <c r="AV872" s="2" t="e">
        <f t="shared" si="220"/>
        <v>#N/A</v>
      </c>
      <c r="CB872" s="236"/>
      <c r="CF872" s="2" t="e">
        <f t="shared" si="197"/>
        <v>#N/A</v>
      </c>
    </row>
    <row r="873" spans="1:262" ht="61.5" x14ac:dyDescent="0.85">
      <c r="A873" s="2">
        <v>1</v>
      </c>
      <c r="B873" s="18">
        <f>SUBTOTAL(103,$A$558:A873)</f>
        <v>289</v>
      </c>
      <c r="C873" s="3" t="s">
        <v>1638</v>
      </c>
      <c r="D873" s="5">
        <v>2557611.75</v>
      </c>
      <c r="E873" s="5">
        <f t="shared" si="201"/>
        <v>0</v>
      </c>
      <c r="F873" s="5">
        <f>G873+H873+I873+J873+K873+L873+N873+P873+R873+T873+V873+W873+X873+Y873+Z873+AA873+AB873+AC873+AD873+AE873+AF873+AG873</f>
        <v>2557611.75</v>
      </c>
      <c r="G873" s="5">
        <v>0</v>
      </c>
      <c r="H873" s="5">
        <v>0</v>
      </c>
      <c r="I873" s="5">
        <v>0</v>
      </c>
      <c r="J873" s="5">
        <v>0</v>
      </c>
      <c r="K873" s="5">
        <v>0</v>
      </c>
      <c r="L873" s="5">
        <v>0</v>
      </c>
      <c r="M873" s="241"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425.5</v>
      </c>
      <c r="T873" s="5">
        <v>2391735.71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f>ROUND(T873*1.5%,2)</f>
        <v>35876.04</v>
      </c>
      <c r="AF873" s="5">
        <v>130000</v>
      </c>
      <c r="AG873" s="5">
        <v>0</v>
      </c>
      <c r="AH873" s="246">
        <v>2021</v>
      </c>
      <c r="AI873" s="246">
        <v>2021</v>
      </c>
      <c r="AJ873" s="6">
        <v>2021</v>
      </c>
      <c r="AV873" s="2" t="e">
        <f t="shared" si="220"/>
        <v>#N/A</v>
      </c>
      <c r="CB873" s="236"/>
      <c r="CF873" s="2" t="e">
        <f t="shared" si="197"/>
        <v>#N/A</v>
      </c>
    </row>
    <row r="874" spans="1:262" ht="61.5" x14ac:dyDescent="0.85">
      <c r="B874" s="3" t="s">
        <v>1334</v>
      </c>
      <c r="C874" s="3"/>
      <c r="D874" s="244">
        <v>4178956.32</v>
      </c>
      <c r="E874" s="233">
        <f t="shared" si="201"/>
        <v>-2524714.1800000002</v>
      </c>
      <c r="F874" s="244">
        <f>SUM(F875:F876)</f>
        <v>6703670.5</v>
      </c>
      <c r="G874" s="5">
        <f t="shared" ref="G874:AG874" si="221">SUM(G875:G876)</f>
        <v>0</v>
      </c>
      <c r="H874" s="5">
        <f t="shared" si="221"/>
        <v>0</v>
      </c>
      <c r="I874" s="5">
        <f t="shared" si="221"/>
        <v>0</v>
      </c>
      <c r="J874" s="5">
        <f t="shared" si="221"/>
        <v>0</v>
      </c>
      <c r="K874" s="5">
        <f t="shared" si="221"/>
        <v>0</v>
      </c>
      <c r="L874" s="5">
        <f t="shared" si="221"/>
        <v>0</v>
      </c>
      <c r="M874" s="241">
        <f t="shared" si="221"/>
        <v>0</v>
      </c>
      <c r="N874" s="5">
        <f t="shared" si="221"/>
        <v>0</v>
      </c>
      <c r="O874" s="5">
        <f t="shared" si="221"/>
        <v>816</v>
      </c>
      <c r="P874" s="5">
        <f t="shared" si="221"/>
        <v>3969415.09</v>
      </c>
      <c r="Q874" s="5">
        <f t="shared" si="221"/>
        <v>0</v>
      </c>
      <c r="R874" s="5">
        <f t="shared" si="221"/>
        <v>0</v>
      </c>
      <c r="S874" s="5">
        <f t="shared" si="221"/>
        <v>420</v>
      </c>
      <c r="T874" s="5">
        <f t="shared" si="221"/>
        <v>2339619.88</v>
      </c>
      <c r="U874" s="5">
        <f t="shared" si="221"/>
        <v>0</v>
      </c>
      <c r="V874" s="5">
        <f t="shared" si="221"/>
        <v>0</v>
      </c>
      <c r="W874" s="5">
        <f t="shared" si="221"/>
        <v>0</v>
      </c>
      <c r="X874" s="5">
        <f t="shared" si="221"/>
        <v>0</v>
      </c>
      <c r="Y874" s="5">
        <f t="shared" si="221"/>
        <v>0</v>
      </c>
      <c r="Z874" s="5">
        <f t="shared" si="221"/>
        <v>0</v>
      </c>
      <c r="AA874" s="5">
        <f t="shared" si="221"/>
        <v>0</v>
      </c>
      <c r="AB874" s="5">
        <f t="shared" si="221"/>
        <v>0</v>
      </c>
      <c r="AC874" s="5">
        <f t="shared" si="221"/>
        <v>0</v>
      </c>
      <c r="AD874" s="5">
        <f t="shared" si="221"/>
        <v>0</v>
      </c>
      <c r="AE874" s="5">
        <f t="shared" si="221"/>
        <v>94635.53</v>
      </c>
      <c r="AF874" s="5">
        <f t="shared" si="221"/>
        <v>300000</v>
      </c>
      <c r="AG874" s="5">
        <f t="shared" si="221"/>
        <v>0</v>
      </c>
      <c r="AH874" s="23" t="s">
        <v>90</v>
      </c>
      <c r="AI874" s="23" t="s">
        <v>90</v>
      </c>
      <c r="AJ874" s="27" t="s">
        <v>90</v>
      </c>
      <c r="AV874" s="2" t="e">
        <f t="shared" si="220"/>
        <v>#N/A</v>
      </c>
      <c r="CB874" s="236">
        <v>4178956.32</v>
      </c>
      <c r="CF874" s="2" t="e">
        <f t="shared" si="197"/>
        <v>#N/A</v>
      </c>
    </row>
    <row r="875" spans="1:262" ht="61.5" x14ac:dyDescent="0.85">
      <c r="A875" s="2">
        <v>1</v>
      </c>
      <c r="B875" s="18">
        <f>SUBTOTAL(103,$A$558:A875)</f>
        <v>290</v>
      </c>
      <c r="C875" s="3" t="s">
        <v>1639</v>
      </c>
      <c r="D875" s="5">
        <v>4178956.32</v>
      </c>
      <c r="E875" s="5">
        <f t="shared" si="201"/>
        <v>0</v>
      </c>
      <c r="F875" s="5">
        <f>G875+H875+I875+J875+K875+L875+N875+P875+R875+T875+V875+W875+X875+Y875+Z875+AA875+AB875+AC875+AD875+AE875+AF875+AG875</f>
        <v>4178956.32</v>
      </c>
      <c r="G875" s="5">
        <v>0</v>
      </c>
      <c r="H875" s="5">
        <v>0</v>
      </c>
      <c r="I875" s="5">
        <v>0</v>
      </c>
      <c r="J875" s="5">
        <v>0</v>
      </c>
      <c r="K875" s="5">
        <v>0</v>
      </c>
      <c r="L875" s="5">
        <v>0</v>
      </c>
      <c r="M875" s="241">
        <v>0</v>
      </c>
      <c r="N875" s="5">
        <v>0</v>
      </c>
      <c r="O875" s="5">
        <v>816</v>
      </c>
      <c r="P875" s="5">
        <v>3969415.09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5">
        <v>0</v>
      </c>
      <c r="AB875" s="5">
        <v>0</v>
      </c>
      <c r="AC875" s="5">
        <v>0</v>
      </c>
      <c r="AD875" s="5">
        <v>0</v>
      </c>
      <c r="AE875" s="5">
        <f>ROUND(P875*1.5%,2)</f>
        <v>59541.23</v>
      </c>
      <c r="AF875" s="5">
        <v>150000</v>
      </c>
      <c r="AG875" s="5">
        <v>0</v>
      </c>
      <c r="AH875" s="246">
        <v>2021</v>
      </c>
      <c r="AI875" s="246">
        <v>2021</v>
      </c>
      <c r="AJ875" s="6">
        <v>2021</v>
      </c>
      <c r="AV875" s="2" t="e">
        <f t="shared" si="220"/>
        <v>#N/A</v>
      </c>
      <c r="CB875" s="236"/>
      <c r="CF875" s="2" t="e">
        <f t="shared" si="197"/>
        <v>#N/A</v>
      </c>
    </row>
    <row r="876" spans="1:262" ht="61.5" x14ac:dyDescent="0.85">
      <c r="A876" s="2">
        <v>1</v>
      </c>
      <c r="B876" s="18">
        <f>SUBTOTAL(103,$A$558:A876)</f>
        <v>291</v>
      </c>
      <c r="C876" s="3" t="s">
        <v>1640</v>
      </c>
      <c r="D876" s="5"/>
      <c r="E876" s="5">
        <f t="shared" si="201"/>
        <v>-2524714.1799999997</v>
      </c>
      <c r="F876" s="5">
        <f>G876+H876+I876+J876+K876+L876+N876+P876+R876+T876+V876+W876+X876+Y876+Z876+AA876+AB876+AC876+AD876+AE876+AF876+AG876</f>
        <v>2524714.1799999997</v>
      </c>
      <c r="G876" s="5">
        <v>0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241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420</v>
      </c>
      <c r="T876" s="5">
        <v>2339619.88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f>ROUND(T876*1.5%,2)</f>
        <v>35094.300000000003</v>
      </c>
      <c r="AF876" s="5">
        <v>150000</v>
      </c>
      <c r="AG876" s="5">
        <v>0</v>
      </c>
      <c r="AH876" s="246">
        <v>2021</v>
      </c>
      <c r="AI876" s="246">
        <v>2021</v>
      </c>
      <c r="AJ876" s="6">
        <v>2021</v>
      </c>
      <c r="AV876" s="2" t="e">
        <f t="shared" si="220"/>
        <v>#N/A</v>
      </c>
      <c r="CB876" s="236"/>
      <c r="CF876" s="2" t="e">
        <f t="shared" si="197"/>
        <v>#N/A</v>
      </c>
    </row>
    <row r="877" spans="1:262" ht="61.5" x14ac:dyDescent="0.85">
      <c r="B877" s="3" t="s">
        <v>1329</v>
      </c>
      <c r="C877" s="3"/>
      <c r="D877" s="244">
        <v>1889236.5</v>
      </c>
      <c r="E877" s="233">
        <f t="shared" si="201"/>
        <v>-1448243.2400000002</v>
      </c>
      <c r="F877" s="244">
        <f>SUM(F878:F879)</f>
        <v>3337479.74</v>
      </c>
      <c r="G877" s="5">
        <f t="shared" ref="G877:AG877" si="222">SUM(G878:G879)</f>
        <v>0</v>
      </c>
      <c r="H877" s="5">
        <f t="shared" si="222"/>
        <v>0</v>
      </c>
      <c r="I877" s="5">
        <f t="shared" si="222"/>
        <v>0</v>
      </c>
      <c r="J877" s="5">
        <f t="shared" si="222"/>
        <v>0</v>
      </c>
      <c r="K877" s="5">
        <f t="shared" si="222"/>
        <v>0</v>
      </c>
      <c r="L877" s="5">
        <f t="shared" si="222"/>
        <v>0</v>
      </c>
      <c r="M877" s="241">
        <f t="shared" si="222"/>
        <v>0</v>
      </c>
      <c r="N877" s="5">
        <f t="shared" si="222"/>
        <v>0</v>
      </c>
      <c r="O877" s="5">
        <f t="shared" si="222"/>
        <v>705.04</v>
      </c>
      <c r="P877" s="5">
        <f t="shared" si="222"/>
        <v>3169930.7800000003</v>
      </c>
      <c r="Q877" s="5">
        <f t="shared" si="222"/>
        <v>0</v>
      </c>
      <c r="R877" s="5">
        <f t="shared" si="222"/>
        <v>0</v>
      </c>
      <c r="S877" s="5">
        <f t="shared" si="222"/>
        <v>0</v>
      </c>
      <c r="T877" s="5">
        <f t="shared" si="222"/>
        <v>0</v>
      </c>
      <c r="U877" s="5">
        <f t="shared" si="222"/>
        <v>0</v>
      </c>
      <c r="V877" s="5">
        <f t="shared" si="222"/>
        <v>0</v>
      </c>
      <c r="W877" s="5">
        <f t="shared" si="222"/>
        <v>0</v>
      </c>
      <c r="X877" s="5">
        <f t="shared" si="222"/>
        <v>0</v>
      </c>
      <c r="Y877" s="5">
        <f t="shared" si="222"/>
        <v>0</v>
      </c>
      <c r="Z877" s="5">
        <f t="shared" si="222"/>
        <v>0</v>
      </c>
      <c r="AA877" s="5">
        <f t="shared" si="222"/>
        <v>0</v>
      </c>
      <c r="AB877" s="5">
        <f t="shared" si="222"/>
        <v>0</v>
      </c>
      <c r="AC877" s="5">
        <f t="shared" si="222"/>
        <v>0</v>
      </c>
      <c r="AD877" s="5">
        <f t="shared" si="222"/>
        <v>0</v>
      </c>
      <c r="AE877" s="5">
        <f t="shared" si="222"/>
        <v>47548.959999999999</v>
      </c>
      <c r="AF877" s="5">
        <f t="shared" si="222"/>
        <v>120000</v>
      </c>
      <c r="AG877" s="5">
        <f t="shared" si="222"/>
        <v>0</v>
      </c>
      <c r="AH877" s="23" t="s">
        <v>90</v>
      </c>
      <c r="AI877" s="23" t="s">
        <v>90</v>
      </c>
      <c r="AJ877" s="27" t="s">
        <v>90</v>
      </c>
      <c r="AV877" s="2" t="e">
        <f t="shared" si="220"/>
        <v>#N/A</v>
      </c>
      <c r="CB877" s="236">
        <v>1889236.5</v>
      </c>
      <c r="CF877" s="2" t="e">
        <f t="shared" si="197"/>
        <v>#N/A</v>
      </c>
    </row>
    <row r="878" spans="1:262" s="250" customFormat="1" ht="123" x14ac:dyDescent="0.85">
      <c r="A878" s="250">
        <v>1</v>
      </c>
      <c r="B878" s="18">
        <f>SUBTOTAL(103,$A$558:A878)</f>
        <v>292</v>
      </c>
      <c r="C878" s="447" t="s">
        <v>1641</v>
      </c>
      <c r="D878" s="251">
        <v>1889236.5</v>
      </c>
      <c r="E878" s="251">
        <f t="shared" si="201"/>
        <v>0</v>
      </c>
      <c r="F878" s="251">
        <f>G878+H878+I878+J878+K878+L878+N878+P878+R878+T878+V878+W878+X878+Y878+Z878+AA878+AB878+AC878+AD878+AE878+AF878+AG878</f>
        <v>1889236.5</v>
      </c>
      <c r="G878" s="251">
        <v>0</v>
      </c>
      <c r="H878" s="251">
        <v>0</v>
      </c>
      <c r="I878" s="251">
        <v>0</v>
      </c>
      <c r="J878" s="251">
        <v>0</v>
      </c>
      <c r="K878" s="251">
        <v>0</v>
      </c>
      <c r="L878" s="251">
        <v>0</v>
      </c>
      <c r="M878" s="252">
        <v>0</v>
      </c>
      <c r="N878" s="251">
        <v>0</v>
      </c>
      <c r="O878" s="251">
        <v>368.9</v>
      </c>
      <c r="P878" s="251">
        <v>1743090.15</v>
      </c>
      <c r="Q878" s="251">
        <v>0</v>
      </c>
      <c r="R878" s="251">
        <v>0</v>
      </c>
      <c r="S878" s="251">
        <v>0</v>
      </c>
      <c r="T878" s="251">
        <v>0</v>
      </c>
      <c r="U878" s="251">
        <v>0</v>
      </c>
      <c r="V878" s="251">
        <v>0</v>
      </c>
      <c r="W878" s="251">
        <v>0</v>
      </c>
      <c r="X878" s="251">
        <v>0</v>
      </c>
      <c r="Y878" s="251">
        <v>0</v>
      </c>
      <c r="Z878" s="251">
        <v>0</v>
      </c>
      <c r="AA878" s="251">
        <v>0</v>
      </c>
      <c r="AB878" s="251">
        <v>0</v>
      </c>
      <c r="AC878" s="251">
        <v>0</v>
      </c>
      <c r="AD878" s="251">
        <v>0</v>
      </c>
      <c r="AE878" s="251">
        <f>ROUND(P878*1.5%,2)</f>
        <v>26146.35</v>
      </c>
      <c r="AF878" s="251">
        <v>120000</v>
      </c>
      <c r="AG878" s="251">
        <v>0</v>
      </c>
      <c r="AH878" s="264">
        <v>2021</v>
      </c>
      <c r="AI878" s="264">
        <v>2021</v>
      </c>
      <c r="AJ878" s="265">
        <v>2021</v>
      </c>
      <c r="AV878" s="250" t="e">
        <f t="shared" si="220"/>
        <v>#N/A</v>
      </c>
      <c r="CB878" s="253"/>
      <c r="CF878" s="250" t="e">
        <f t="shared" si="197"/>
        <v>#N/A</v>
      </c>
    </row>
    <row r="879" spans="1:262" s="266" customFormat="1" ht="123" x14ac:dyDescent="0.85">
      <c r="A879" s="266">
        <v>1</v>
      </c>
      <c r="B879" s="18">
        <f>SUBTOTAL(103,$A$558:A879)</f>
        <v>293</v>
      </c>
      <c r="C879" s="447" t="s">
        <v>1141</v>
      </c>
      <c r="D879" s="251">
        <v>1491809.6800000002</v>
      </c>
      <c r="E879" s="251">
        <f t="shared" si="201"/>
        <v>43566.439999999944</v>
      </c>
      <c r="F879" s="251">
        <f>G879+H879+I879+J879+K879+L879+N879+P879+R879+T879+V879+W879+X879+Y879+Z879+AA879+AB879+AC879+AD879+AE879+AF879+AG879</f>
        <v>1448243.2400000002</v>
      </c>
      <c r="G879" s="251">
        <v>0</v>
      </c>
      <c r="H879" s="251">
        <v>0</v>
      </c>
      <c r="I879" s="251">
        <v>0</v>
      </c>
      <c r="J879" s="251">
        <v>0</v>
      </c>
      <c r="K879" s="251">
        <v>0</v>
      </c>
      <c r="L879" s="251">
        <v>0</v>
      </c>
      <c r="M879" s="282">
        <v>0</v>
      </c>
      <c r="N879" s="251">
        <v>0</v>
      </c>
      <c r="O879" s="251">
        <v>336.14</v>
      </c>
      <c r="P879" s="251">
        <f>1395449.26+11151.09+20240.28</f>
        <v>1426840.6300000001</v>
      </c>
      <c r="Q879" s="251">
        <v>0</v>
      </c>
      <c r="R879" s="251">
        <v>0</v>
      </c>
      <c r="S879" s="251">
        <v>0</v>
      </c>
      <c r="T879" s="251">
        <v>0</v>
      </c>
      <c r="U879" s="251">
        <v>0</v>
      </c>
      <c r="V879" s="251">
        <v>0</v>
      </c>
      <c r="W879" s="251">
        <v>0</v>
      </c>
      <c r="X879" s="251">
        <v>0</v>
      </c>
      <c r="Y879" s="251">
        <v>0</v>
      </c>
      <c r="Z879" s="251">
        <v>0</v>
      </c>
      <c r="AA879" s="251">
        <v>0</v>
      </c>
      <c r="AB879" s="251">
        <v>0</v>
      </c>
      <c r="AC879" s="251">
        <v>0</v>
      </c>
      <c r="AD879" s="251">
        <v>0</v>
      </c>
      <c r="AE879" s="251">
        <f>ROUND(P879*1.5%,2)</f>
        <v>21402.61</v>
      </c>
      <c r="AF879" s="251">
        <v>0</v>
      </c>
      <c r="AG879" s="251">
        <v>0</v>
      </c>
      <c r="AH879" s="264" t="s">
        <v>49</v>
      </c>
      <c r="AI879" s="264">
        <v>2021</v>
      </c>
      <c r="AJ879" s="265">
        <v>2021</v>
      </c>
      <c r="AK879" s="250"/>
      <c r="AL879" s="250"/>
      <c r="AM879" s="250"/>
      <c r="AN879" s="250"/>
      <c r="AO879" s="250"/>
      <c r="AP879" s="250"/>
      <c r="AQ879" s="250"/>
      <c r="AR879" s="250"/>
      <c r="AS879" s="250"/>
      <c r="AT879" s="250"/>
      <c r="AU879" s="250"/>
      <c r="AV879" s="250" t="e">
        <f t="shared" si="220"/>
        <v>#N/A</v>
      </c>
      <c r="AW879" s="250"/>
      <c r="AX879" s="250"/>
      <c r="AY879" s="250"/>
      <c r="AZ879" s="250"/>
      <c r="BA879" s="250"/>
      <c r="BB879" s="250"/>
      <c r="BC879" s="250"/>
      <c r="BD879" s="250"/>
      <c r="BE879" s="250"/>
      <c r="BF879" s="250"/>
      <c r="BG879" s="250"/>
      <c r="BH879" s="250"/>
      <c r="BI879" s="250"/>
      <c r="BJ879" s="250"/>
      <c r="BK879" s="250"/>
      <c r="BL879" s="250"/>
      <c r="BM879" s="250"/>
      <c r="BN879" s="250"/>
      <c r="BO879" s="250"/>
      <c r="BP879" s="250"/>
      <c r="BQ879" s="250"/>
      <c r="BR879" s="250"/>
      <c r="BS879" s="250"/>
      <c r="BT879" s="250"/>
      <c r="BU879" s="250"/>
      <c r="BV879" s="250"/>
      <c r="BW879" s="250"/>
      <c r="BX879" s="250"/>
      <c r="BY879" s="250"/>
      <c r="BZ879" s="250"/>
      <c r="CA879" s="250"/>
      <c r="CB879" s="253"/>
      <c r="CC879" s="250"/>
      <c r="CD879" s="250"/>
      <c r="CE879" s="250"/>
      <c r="CF879" s="250">
        <f t="shared" si="197"/>
        <v>336.14</v>
      </c>
      <c r="CG879" s="250"/>
      <c r="CH879" s="250"/>
      <c r="CI879" s="250"/>
      <c r="CJ879" s="250"/>
      <c r="CK879" s="250"/>
      <c r="CL879" s="250"/>
      <c r="CM879" s="250"/>
      <c r="CN879" s="250"/>
      <c r="CO879" s="250"/>
      <c r="CP879" s="250"/>
      <c r="CQ879" s="250"/>
      <c r="CR879" s="250"/>
      <c r="CS879" s="250"/>
      <c r="CT879" s="250"/>
      <c r="CU879" s="250"/>
      <c r="CV879" s="250"/>
      <c r="CW879" s="250"/>
      <c r="CX879" s="250"/>
      <c r="CY879" s="250"/>
      <c r="CZ879" s="250"/>
      <c r="DA879" s="250"/>
      <c r="DB879" s="250"/>
      <c r="DC879" s="250"/>
      <c r="DD879" s="250"/>
      <c r="DE879" s="250"/>
      <c r="DF879" s="250"/>
      <c r="DG879" s="250"/>
      <c r="DH879" s="250"/>
      <c r="DI879" s="250"/>
      <c r="DJ879" s="250"/>
      <c r="DK879" s="250"/>
      <c r="DL879" s="250"/>
      <c r="DM879" s="250"/>
      <c r="DN879" s="250"/>
      <c r="DO879" s="250"/>
      <c r="DP879" s="250"/>
      <c r="DQ879" s="250"/>
      <c r="DR879" s="250"/>
      <c r="DS879" s="250"/>
      <c r="DT879" s="250"/>
      <c r="DU879" s="250"/>
      <c r="DV879" s="250"/>
      <c r="DW879" s="250"/>
      <c r="DX879" s="250"/>
      <c r="DY879" s="250"/>
      <c r="DZ879" s="250"/>
      <c r="EA879" s="250"/>
      <c r="EB879" s="250"/>
      <c r="EC879" s="250"/>
      <c r="ED879" s="250"/>
      <c r="EE879" s="250"/>
      <c r="EF879" s="250"/>
      <c r="EG879" s="250"/>
      <c r="EH879" s="250"/>
      <c r="EI879" s="250"/>
      <c r="EJ879" s="250"/>
      <c r="EK879" s="250"/>
      <c r="EL879" s="250"/>
      <c r="EM879" s="250"/>
      <c r="EN879" s="250"/>
      <c r="EO879" s="250"/>
      <c r="EP879" s="250"/>
      <c r="EQ879" s="250"/>
      <c r="ER879" s="250"/>
      <c r="ES879" s="250"/>
      <c r="ET879" s="250"/>
      <c r="EU879" s="250"/>
      <c r="EV879" s="250"/>
      <c r="EW879" s="250"/>
      <c r="EX879" s="250"/>
      <c r="EY879" s="250"/>
      <c r="EZ879" s="250"/>
      <c r="FA879" s="250"/>
      <c r="FB879" s="250"/>
      <c r="FC879" s="250"/>
      <c r="FD879" s="250"/>
      <c r="FE879" s="250"/>
      <c r="FF879" s="250"/>
      <c r="FG879" s="250"/>
      <c r="FH879" s="250"/>
      <c r="FI879" s="250"/>
      <c r="FJ879" s="250"/>
      <c r="FK879" s="250"/>
      <c r="FL879" s="250"/>
      <c r="FM879" s="250"/>
      <c r="FN879" s="250"/>
      <c r="FO879" s="250"/>
      <c r="FP879" s="250"/>
      <c r="FQ879" s="250"/>
      <c r="FR879" s="250"/>
      <c r="FS879" s="250"/>
      <c r="FT879" s="250"/>
      <c r="FU879" s="250"/>
      <c r="FV879" s="250"/>
      <c r="FW879" s="250"/>
      <c r="FX879" s="250"/>
      <c r="FY879" s="250"/>
      <c r="FZ879" s="250"/>
      <c r="GA879" s="250"/>
      <c r="GB879" s="250"/>
      <c r="GC879" s="250"/>
      <c r="GD879" s="250"/>
      <c r="GE879" s="250"/>
      <c r="GF879" s="250"/>
      <c r="GG879" s="250"/>
      <c r="GH879" s="250"/>
      <c r="GI879" s="250"/>
      <c r="GJ879" s="250"/>
      <c r="GK879" s="250"/>
      <c r="GL879" s="250"/>
      <c r="GM879" s="250"/>
      <c r="GN879" s="250"/>
      <c r="GO879" s="250"/>
      <c r="GP879" s="250"/>
      <c r="GQ879" s="250"/>
      <c r="GR879" s="250"/>
      <c r="GS879" s="250"/>
      <c r="GT879" s="250"/>
      <c r="GU879" s="250"/>
      <c r="GV879" s="250"/>
      <c r="GW879" s="250"/>
      <c r="GX879" s="250"/>
      <c r="GY879" s="250"/>
      <c r="GZ879" s="250"/>
      <c r="HA879" s="250"/>
      <c r="HB879" s="250"/>
      <c r="HC879" s="250"/>
      <c r="HD879" s="250"/>
      <c r="HE879" s="250"/>
      <c r="HF879" s="250"/>
      <c r="HG879" s="250"/>
      <c r="HH879" s="250"/>
      <c r="HI879" s="250"/>
      <c r="HJ879" s="250"/>
      <c r="HK879" s="250"/>
      <c r="HL879" s="250"/>
      <c r="HM879" s="250"/>
      <c r="HN879" s="250"/>
      <c r="HO879" s="250"/>
      <c r="HP879" s="250"/>
      <c r="HQ879" s="250"/>
      <c r="HR879" s="250"/>
      <c r="HS879" s="250"/>
      <c r="HT879" s="250"/>
      <c r="HU879" s="250"/>
      <c r="HV879" s="250"/>
      <c r="HW879" s="250"/>
      <c r="HX879" s="250"/>
      <c r="HY879" s="250"/>
      <c r="HZ879" s="250"/>
      <c r="IA879" s="250"/>
      <c r="IB879" s="250"/>
      <c r="IC879" s="250"/>
      <c r="ID879" s="250"/>
      <c r="IE879" s="250"/>
      <c r="IF879" s="250"/>
      <c r="IG879" s="250"/>
      <c r="IH879" s="250"/>
      <c r="II879" s="250"/>
      <c r="IJ879" s="250"/>
      <c r="IK879" s="250"/>
      <c r="IL879" s="250"/>
      <c r="IM879" s="250"/>
      <c r="IN879" s="250"/>
      <c r="IO879" s="250"/>
      <c r="IP879" s="250"/>
      <c r="IQ879" s="250"/>
      <c r="IR879" s="250"/>
      <c r="IS879" s="250"/>
      <c r="IT879" s="250"/>
      <c r="IU879" s="250"/>
      <c r="IV879" s="250"/>
      <c r="IW879" s="250"/>
      <c r="IX879" s="250"/>
      <c r="IY879" s="250"/>
      <c r="IZ879" s="250"/>
      <c r="JA879" s="250"/>
      <c r="JB879" s="250"/>
    </row>
    <row r="880" spans="1:262" ht="61.5" x14ac:dyDescent="0.85">
      <c r="B880" s="3" t="s">
        <v>108</v>
      </c>
      <c r="C880" s="442"/>
      <c r="D880" s="244">
        <v>14950249.880000001</v>
      </c>
      <c r="E880" s="233">
        <f t="shared" si="201"/>
        <v>-11198475.4</v>
      </c>
      <c r="F880" s="244">
        <f t="shared" ref="F880:AG880" si="223">SUM(F881:F888)</f>
        <v>26148725.280000001</v>
      </c>
      <c r="G880" s="5">
        <f t="shared" si="223"/>
        <v>0</v>
      </c>
      <c r="H880" s="5">
        <f t="shared" si="223"/>
        <v>0</v>
      </c>
      <c r="I880" s="5">
        <f t="shared" si="223"/>
        <v>0</v>
      </c>
      <c r="J880" s="5">
        <f t="shared" si="223"/>
        <v>0</v>
      </c>
      <c r="K880" s="5">
        <f t="shared" si="223"/>
        <v>0</v>
      </c>
      <c r="L880" s="5">
        <f t="shared" si="223"/>
        <v>0</v>
      </c>
      <c r="M880" s="241">
        <f t="shared" si="223"/>
        <v>0</v>
      </c>
      <c r="N880" s="5">
        <f t="shared" si="223"/>
        <v>0</v>
      </c>
      <c r="O880" s="5">
        <f t="shared" si="223"/>
        <v>4589.29</v>
      </c>
      <c r="P880" s="5">
        <f t="shared" si="223"/>
        <v>25378054.450000003</v>
      </c>
      <c r="Q880" s="5">
        <f t="shared" si="223"/>
        <v>0</v>
      </c>
      <c r="R880" s="5">
        <f t="shared" si="223"/>
        <v>0</v>
      </c>
      <c r="S880" s="5">
        <f t="shared" si="223"/>
        <v>0</v>
      </c>
      <c r="T880" s="5">
        <f t="shared" si="223"/>
        <v>0</v>
      </c>
      <c r="U880" s="5">
        <f t="shared" si="223"/>
        <v>0</v>
      </c>
      <c r="V880" s="5">
        <f t="shared" si="223"/>
        <v>0</v>
      </c>
      <c r="W880" s="5">
        <f t="shared" si="223"/>
        <v>0</v>
      </c>
      <c r="X880" s="5">
        <f t="shared" si="223"/>
        <v>0</v>
      </c>
      <c r="Y880" s="5">
        <f t="shared" si="223"/>
        <v>0</v>
      </c>
      <c r="Z880" s="5">
        <f t="shared" si="223"/>
        <v>0</v>
      </c>
      <c r="AA880" s="5">
        <f t="shared" si="223"/>
        <v>0</v>
      </c>
      <c r="AB880" s="5">
        <f t="shared" si="223"/>
        <v>0</v>
      </c>
      <c r="AC880" s="5">
        <f t="shared" si="223"/>
        <v>0</v>
      </c>
      <c r="AD880" s="5">
        <f t="shared" si="223"/>
        <v>0</v>
      </c>
      <c r="AE880" s="5">
        <f t="shared" si="223"/>
        <v>380670.83</v>
      </c>
      <c r="AF880" s="5">
        <f t="shared" si="223"/>
        <v>390000</v>
      </c>
      <c r="AG880" s="5">
        <f t="shared" si="223"/>
        <v>0</v>
      </c>
      <c r="AH880" s="23" t="s">
        <v>90</v>
      </c>
      <c r="AI880" s="23" t="s">
        <v>90</v>
      </c>
      <c r="AJ880" s="27" t="s">
        <v>90</v>
      </c>
      <c r="AV880" s="2" t="e">
        <f t="shared" si="220"/>
        <v>#N/A</v>
      </c>
      <c r="CB880" s="236">
        <v>10103503.050000001</v>
      </c>
      <c r="CF880" s="2" t="e">
        <f t="shared" si="197"/>
        <v>#N/A</v>
      </c>
    </row>
    <row r="881" spans="1:262" ht="61.5" x14ac:dyDescent="0.85">
      <c r="A881" s="2">
        <v>1</v>
      </c>
      <c r="B881" s="18">
        <f>SUBTOTAL(103,$A$558:A881)</f>
        <v>294</v>
      </c>
      <c r="C881" s="3" t="s">
        <v>1642</v>
      </c>
      <c r="D881" s="5">
        <v>2958681.4299999997</v>
      </c>
      <c r="E881" s="5">
        <f t="shared" si="201"/>
        <v>0</v>
      </c>
      <c r="F881" s="5">
        <f t="shared" ref="F881:F888" si="224">G881+H881+I881+J881+K881+L881+N881+P881+R881+T881+V881+W881+X881+Y881+Z881+AA881+AB881+AC881+AD881+AE881+AF881+AG881</f>
        <v>2958681.4299999997</v>
      </c>
      <c r="G881" s="5">
        <v>0</v>
      </c>
      <c r="H881" s="5">
        <v>0</v>
      </c>
      <c r="I881" s="5">
        <v>0</v>
      </c>
      <c r="J881" s="5">
        <v>0</v>
      </c>
      <c r="K881" s="5">
        <v>0</v>
      </c>
      <c r="L881" s="5">
        <v>0</v>
      </c>
      <c r="M881" s="241">
        <v>0</v>
      </c>
      <c r="N881" s="5">
        <v>0</v>
      </c>
      <c r="O881" s="5">
        <v>368.29</v>
      </c>
      <c r="P881" s="5">
        <f>2889837.04-122663.22</f>
        <v>2767173.82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f t="shared" ref="AE881:AE888" si="225">ROUND(P881*1.5%,2)</f>
        <v>41507.61</v>
      </c>
      <c r="AF881" s="5">
        <v>150000</v>
      </c>
      <c r="AG881" s="5">
        <v>0</v>
      </c>
      <c r="AH881" s="246">
        <v>2021</v>
      </c>
      <c r="AI881" s="246">
        <v>2021</v>
      </c>
      <c r="AJ881" s="6">
        <v>2021</v>
      </c>
      <c r="AV881" s="2" t="e">
        <f t="shared" si="220"/>
        <v>#N/A</v>
      </c>
      <c r="CB881" s="236"/>
      <c r="CF881" s="2" t="e">
        <f t="shared" ref="CF881:CF933" si="226">VLOOKUP(C881,CG:CH,2,FALSE)</f>
        <v>#N/A</v>
      </c>
    </row>
    <row r="882" spans="1:262" ht="61.5" x14ac:dyDescent="0.85">
      <c r="A882" s="2">
        <v>1</v>
      </c>
      <c r="B882" s="18">
        <f>SUBTOTAL(103,$A$558:A882)</f>
        <v>295</v>
      </c>
      <c r="C882" s="3" t="s">
        <v>1339</v>
      </c>
      <c r="D882" s="5">
        <v>2424688.3000000003</v>
      </c>
      <c r="E882" s="5">
        <f t="shared" si="201"/>
        <v>68786.83000000054</v>
      </c>
      <c r="F882" s="5">
        <f t="shared" si="224"/>
        <v>2355901.4699999997</v>
      </c>
      <c r="G882" s="5">
        <v>0</v>
      </c>
      <c r="H882" s="5">
        <v>0</v>
      </c>
      <c r="I882" s="5">
        <v>0</v>
      </c>
      <c r="J882" s="5">
        <v>0</v>
      </c>
      <c r="K882" s="5">
        <v>0</v>
      </c>
      <c r="L882" s="5">
        <v>0</v>
      </c>
      <c r="M882" s="241">
        <v>0</v>
      </c>
      <c r="N882" s="5">
        <v>0</v>
      </c>
      <c r="O882" s="5">
        <v>430</v>
      </c>
      <c r="P882" s="5">
        <f>2270628.87+50456.32</f>
        <v>2321085.19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f t="shared" si="225"/>
        <v>34816.28</v>
      </c>
      <c r="AF882" s="5">
        <v>0</v>
      </c>
      <c r="AG882" s="5">
        <v>0</v>
      </c>
      <c r="AH882" s="246" t="s">
        <v>49</v>
      </c>
      <c r="AI882" s="246">
        <v>2021</v>
      </c>
      <c r="AJ882" s="6">
        <v>2021</v>
      </c>
      <c r="AV882" s="2" t="e">
        <f t="shared" si="220"/>
        <v>#N/A</v>
      </c>
      <c r="CB882" s="236"/>
      <c r="CF882" s="2" t="e">
        <f t="shared" si="226"/>
        <v>#N/A</v>
      </c>
    </row>
    <row r="883" spans="1:262" ht="61.5" x14ac:dyDescent="0.85">
      <c r="A883" s="2">
        <v>1</v>
      </c>
      <c r="B883" s="18">
        <f>SUBTOTAL(103,$A$558:A883)</f>
        <v>296</v>
      </c>
      <c r="C883" s="3" t="s">
        <v>1340</v>
      </c>
      <c r="D883" s="5">
        <v>2424688.3000000003</v>
      </c>
      <c r="E883" s="5">
        <f t="shared" si="201"/>
        <v>68786.83000000054</v>
      </c>
      <c r="F883" s="5">
        <f t="shared" si="224"/>
        <v>2355901.4699999997</v>
      </c>
      <c r="G883" s="5">
        <v>0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241">
        <v>0</v>
      </c>
      <c r="N883" s="5">
        <v>0</v>
      </c>
      <c r="O883" s="5">
        <v>430</v>
      </c>
      <c r="P883" s="5">
        <f>2270628.87+50456.32</f>
        <v>2321085.19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f t="shared" si="225"/>
        <v>34816.28</v>
      </c>
      <c r="AF883" s="5">
        <v>0</v>
      </c>
      <c r="AG883" s="5">
        <v>0</v>
      </c>
      <c r="AH883" s="246" t="s">
        <v>49</v>
      </c>
      <c r="AI883" s="246">
        <v>2021</v>
      </c>
      <c r="AJ883" s="6">
        <v>2021</v>
      </c>
      <c r="AV883" s="2" t="e">
        <f t="shared" si="220"/>
        <v>#N/A</v>
      </c>
      <c r="CB883" s="236"/>
      <c r="CF883" s="2" t="e">
        <f t="shared" si="226"/>
        <v>#N/A</v>
      </c>
    </row>
    <row r="884" spans="1:262" ht="61.5" x14ac:dyDescent="0.85">
      <c r="A884" s="2">
        <v>1</v>
      </c>
      <c r="B884" s="18">
        <f>SUBTOTAL(103,$A$558:A884)</f>
        <v>297</v>
      </c>
      <c r="C884" s="3" t="s">
        <v>1643</v>
      </c>
      <c r="D884" s="5">
        <v>2170941.85</v>
      </c>
      <c r="E884" s="5">
        <f t="shared" si="201"/>
        <v>0</v>
      </c>
      <c r="F884" s="5">
        <f t="shared" si="224"/>
        <v>2170941.85</v>
      </c>
      <c r="G884" s="5">
        <v>0</v>
      </c>
      <c r="H884" s="5">
        <v>0</v>
      </c>
      <c r="I884" s="5">
        <v>0</v>
      </c>
      <c r="J884" s="5">
        <v>0</v>
      </c>
      <c r="K884" s="5">
        <v>0</v>
      </c>
      <c r="L884" s="5">
        <v>0</v>
      </c>
      <c r="M884" s="241">
        <v>0</v>
      </c>
      <c r="N884" s="5">
        <v>0</v>
      </c>
      <c r="O884" s="5">
        <v>385</v>
      </c>
      <c r="P884" s="5">
        <v>2020632.36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f t="shared" si="225"/>
        <v>30309.49</v>
      </c>
      <c r="AF884" s="5">
        <v>120000</v>
      </c>
      <c r="AG884" s="5">
        <v>0</v>
      </c>
      <c r="AH884" s="246">
        <v>2021</v>
      </c>
      <c r="AI884" s="246">
        <v>2021</v>
      </c>
      <c r="AJ884" s="6">
        <v>2021</v>
      </c>
      <c r="AV884" s="2" t="e">
        <f t="shared" si="220"/>
        <v>#N/A</v>
      </c>
      <c r="CB884" s="236"/>
      <c r="CF884" s="2" t="e">
        <f t="shared" si="226"/>
        <v>#N/A</v>
      </c>
    </row>
    <row r="885" spans="1:262" ht="61.5" x14ac:dyDescent="0.85">
      <c r="A885" s="2">
        <v>1</v>
      </c>
      <c r="B885" s="18">
        <f>SUBTOTAL(103,$A$558:A885)</f>
        <v>298</v>
      </c>
      <c r="C885" s="3" t="s">
        <v>1341</v>
      </c>
      <c r="D885" s="5">
        <v>4971250</v>
      </c>
      <c r="E885" s="5">
        <f t="shared" si="201"/>
        <v>103419.35000000056</v>
      </c>
      <c r="F885" s="5">
        <f t="shared" si="224"/>
        <v>4867830.6499999994</v>
      </c>
      <c r="G885" s="5">
        <v>0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241">
        <v>0</v>
      </c>
      <c r="N885" s="5">
        <v>0</v>
      </c>
      <c r="O885" s="5">
        <v>950</v>
      </c>
      <c r="P885" s="5">
        <f>4750000+45892.27</f>
        <v>4795892.2699999996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f t="shared" si="225"/>
        <v>71938.38</v>
      </c>
      <c r="AF885" s="5">
        <v>0</v>
      </c>
      <c r="AG885" s="5">
        <v>0</v>
      </c>
      <c r="AH885" s="246" t="s">
        <v>49</v>
      </c>
      <c r="AI885" s="246">
        <v>2021</v>
      </c>
      <c r="AJ885" s="6">
        <v>2021</v>
      </c>
      <c r="CB885" s="236"/>
      <c r="CF885" s="2" t="e">
        <f t="shared" si="226"/>
        <v>#N/A</v>
      </c>
    </row>
    <row r="886" spans="1:262" s="239" customFormat="1" ht="61.5" x14ac:dyDescent="0.85">
      <c r="A886" s="239">
        <v>1</v>
      </c>
      <c r="B886" s="18">
        <f>SUBTOTAL(103,$A$558:A886)</f>
        <v>299</v>
      </c>
      <c r="C886" s="3" t="s">
        <v>1338</v>
      </c>
      <c r="D886" s="5">
        <v>5554456.5600000005</v>
      </c>
      <c r="E886" s="5">
        <f t="shared" si="201"/>
        <v>132502.74000000022</v>
      </c>
      <c r="F886" s="5">
        <f t="shared" si="224"/>
        <v>5421953.8200000003</v>
      </c>
      <c r="G886" s="5">
        <v>0</v>
      </c>
      <c r="H886" s="5">
        <v>0</v>
      </c>
      <c r="I886" s="5">
        <v>0</v>
      </c>
      <c r="J886" s="5">
        <v>0</v>
      </c>
      <c r="K886" s="5">
        <v>0</v>
      </c>
      <c r="L886" s="5">
        <v>0</v>
      </c>
      <c r="M886" s="25">
        <v>0</v>
      </c>
      <c r="N886" s="5">
        <v>0</v>
      </c>
      <c r="O886" s="5">
        <v>954</v>
      </c>
      <c r="P886" s="5">
        <v>5341826.42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f t="shared" si="225"/>
        <v>80127.399999999994</v>
      </c>
      <c r="AF886" s="5">
        <v>0</v>
      </c>
      <c r="AG886" s="5">
        <v>0</v>
      </c>
      <c r="AH886" s="246" t="s">
        <v>49</v>
      </c>
      <c r="AI886" s="246">
        <v>2021</v>
      </c>
      <c r="AJ886" s="246">
        <v>2021</v>
      </c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 t="e">
        <f>VLOOKUP(C886,AY:AZ,2,FALSE)</f>
        <v>#N/A</v>
      </c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36"/>
      <c r="CC886" s="2"/>
      <c r="CD886" s="2"/>
      <c r="CE886" s="2"/>
      <c r="CF886" s="2" t="e">
        <f t="shared" si="226"/>
        <v>#N/A</v>
      </c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</row>
    <row r="887" spans="1:262" s="239" customFormat="1" ht="61.5" x14ac:dyDescent="0.85">
      <c r="A887" s="239">
        <v>1</v>
      </c>
      <c r="B887" s="18">
        <f>SUBTOTAL(103,$A$558:A887)</f>
        <v>300</v>
      </c>
      <c r="C887" s="3" t="s">
        <v>1063</v>
      </c>
      <c r="D887" s="5">
        <v>2394114.0999999996</v>
      </c>
      <c r="E887" s="5">
        <f t="shared" si="201"/>
        <v>0</v>
      </c>
      <c r="F887" s="5">
        <f t="shared" si="224"/>
        <v>2394114.0999999996</v>
      </c>
      <c r="G887" s="5">
        <v>0</v>
      </c>
      <c r="H887" s="5">
        <v>0</v>
      </c>
      <c r="I887" s="5">
        <v>0</v>
      </c>
      <c r="J887" s="5">
        <v>0</v>
      </c>
      <c r="K887" s="5">
        <v>0</v>
      </c>
      <c r="L887" s="5">
        <v>0</v>
      </c>
      <c r="M887" s="25">
        <v>0</v>
      </c>
      <c r="N887" s="5">
        <v>0</v>
      </c>
      <c r="O887" s="5">
        <v>600</v>
      </c>
      <c r="P887" s="5">
        <f>2297468.55+61264.55</f>
        <v>2358733.0999999996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f t="shared" si="225"/>
        <v>35381</v>
      </c>
      <c r="AF887" s="5">
        <v>0</v>
      </c>
      <c r="AG887" s="5">
        <v>0</v>
      </c>
      <c r="AH887" s="246" t="s">
        <v>49</v>
      </c>
      <c r="AI887" s="246">
        <v>2021</v>
      </c>
      <c r="AJ887" s="246">
        <v>2021</v>
      </c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36"/>
      <c r="CC887" s="2"/>
      <c r="CD887" s="2"/>
      <c r="CE887" s="2"/>
      <c r="CF887" s="2">
        <f t="shared" si="226"/>
        <v>600</v>
      </c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</row>
    <row r="888" spans="1:262" ht="61.5" x14ac:dyDescent="0.85">
      <c r="A888" s="2">
        <v>1</v>
      </c>
      <c r="B888" s="18">
        <f>SUBTOTAL(103,$A$558:A888)</f>
        <v>301</v>
      </c>
      <c r="C888" s="3" t="s">
        <v>1644</v>
      </c>
      <c r="D888" s="5">
        <v>3946700.4899999998</v>
      </c>
      <c r="E888" s="5">
        <f t="shared" si="201"/>
        <v>323299.99999999953</v>
      </c>
      <c r="F888" s="5">
        <f t="shared" si="224"/>
        <v>3623400.49</v>
      </c>
      <c r="G888" s="247">
        <v>0</v>
      </c>
      <c r="H888" s="247">
        <v>0</v>
      </c>
      <c r="I888" s="247">
        <v>0</v>
      </c>
      <c r="J888" s="247">
        <v>0</v>
      </c>
      <c r="K888" s="247">
        <v>0</v>
      </c>
      <c r="L888" s="247">
        <v>0</v>
      </c>
      <c r="M888" s="241">
        <v>0</v>
      </c>
      <c r="N888" s="5">
        <v>0</v>
      </c>
      <c r="O888" s="5">
        <v>472</v>
      </c>
      <c r="P888" s="5">
        <v>3451626.1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f t="shared" si="225"/>
        <v>51774.39</v>
      </c>
      <c r="AF888" s="5">
        <v>120000</v>
      </c>
      <c r="AG888" s="5">
        <v>0</v>
      </c>
      <c r="AH888" s="246">
        <v>2021</v>
      </c>
      <c r="AI888" s="246">
        <v>2021</v>
      </c>
      <c r="AJ888" s="6">
        <v>2021</v>
      </c>
      <c r="AV888" s="2" t="e">
        <f t="shared" ref="AV888:AV896" si="227">VLOOKUP(C888,AY:AZ,2,FALSE)</f>
        <v>#N/A</v>
      </c>
      <c r="CB888" s="236"/>
      <c r="CF888" s="2" t="e">
        <f t="shared" si="226"/>
        <v>#N/A</v>
      </c>
    </row>
    <row r="889" spans="1:262" ht="61.5" x14ac:dyDescent="0.85">
      <c r="B889" s="3" t="s">
        <v>1343</v>
      </c>
      <c r="C889" s="3"/>
      <c r="D889" s="244">
        <v>2766932.97</v>
      </c>
      <c r="E889" s="233">
        <f t="shared" si="201"/>
        <v>-220589.81999999983</v>
      </c>
      <c r="F889" s="244">
        <f>SUM(F890:F892)</f>
        <v>2987522.79</v>
      </c>
      <c r="G889" s="5">
        <f t="shared" ref="G889:AG889" si="228">SUM(G890:G892)</f>
        <v>0</v>
      </c>
      <c r="H889" s="5">
        <f t="shared" si="228"/>
        <v>0</v>
      </c>
      <c r="I889" s="5">
        <f t="shared" si="228"/>
        <v>0</v>
      </c>
      <c r="J889" s="5">
        <f t="shared" si="228"/>
        <v>220000</v>
      </c>
      <c r="K889" s="5">
        <f t="shared" si="228"/>
        <v>0</v>
      </c>
      <c r="L889" s="5">
        <f t="shared" si="228"/>
        <v>0</v>
      </c>
      <c r="M889" s="241">
        <f t="shared" si="228"/>
        <v>0</v>
      </c>
      <c r="N889" s="5">
        <f t="shared" si="228"/>
        <v>0</v>
      </c>
      <c r="O889" s="5">
        <f t="shared" si="228"/>
        <v>467</v>
      </c>
      <c r="P889" s="5">
        <f t="shared" si="228"/>
        <v>2624850.04</v>
      </c>
      <c r="Q889" s="5">
        <f t="shared" si="228"/>
        <v>0</v>
      </c>
      <c r="R889" s="5">
        <f t="shared" si="228"/>
        <v>0</v>
      </c>
      <c r="S889" s="5">
        <f t="shared" si="228"/>
        <v>0</v>
      </c>
      <c r="T889" s="5">
        <f t="shared" si="228"/>
        <v>0</v>
      </c>
      <c r="U889" s="5">
        <f t="shared" si="228"/>
        <v>0</v>
      </c>
      <c r="V889" s="5">
        <f t="shared" si="228"/>
        <v>0</v>
      </c>
      <c r="W889" s="5">
        <f t="shared" si="228"/>
        <v>0</v>
      </c>
      <c r="X889" s="5">
        <f t="shared" si="228"/>
        <v>0</v>
      </c>
      <c r="Y889" s="5">
        <f t="shared" si="228"/>
        <v>0</v>
      </c>
      <c r="Z889" s="5">
        <f t="shared" si="228"/>
        <v>0</v>
      </c>
      <c r="AA889" s="5">
        <f t="shared" si="228"/>
        <v>0</v>
      </c>
      <c r="AB889" s="5">
        <f t="shared" si="228"/>
        <v>0</v>
      </c>
      <c r="AC889" s="5">
        <f t="shared" si="228"/>
        <v>0</v>
      </c>
      <c r="AD889" s="5">
        <f t="shared" si="228"/>
        <v>0</v>
      </c>
      <c r="AE889" s="5">
        <f t="shared" si="228"/>
        <v>42672.75</v>
      </c>
      <c r="AF889" s="5">
        <f t="shared" si="228"/>
        <v>100000</v>
      </c>
      <c r="AG889" s="5">
        <f t="shared" si="228"/>
        <v>0</v>
      </c>
      <c r="AH889" s="23" t="s">
        <v>90</v>
      </c>
      <c r="AI889" s="23" t="s">
        <v>90</v>
      </c>
      <c r="AJ889" s="27" t="s">
        <v>90</v>
      </c>
      <c r="AV889" s="2" t="e">
        <f t="shared" si="227"/>
        <v>#N/A</v>
      </c>
      <c r="CB889" s="236">
        <v>2766932.97</v>
      </c>
      <c r="CF889" s="2" t="e">
        <f t="shared" si="226"/>
        <v>#N/A</v>
      </c>
    </row>
    <row r="890" spans="1:262" ht="61.5" x14ac:dyDescent="0.85">
      <c r="A890" s="2">
        <v>1</v>
      </c>
      <c r="B890" s="18">
        <f>SUBTOTAL(103,$A$558:A890)</f>
        <v>302</v>
      </c>
      <c r="C890" s="3" t="s">
        <v>1345</v>
      </c>
      <c r="D890" s="5">
        <v>1818947.37</v>
      </c>
      <c r="E890" s="5">
        <f t="shared" si="201"/>
        <v>56687.560000000056</v>
      </c>
      <c r="F890" s="5">
        <f>G890+H890+I890+J890+K890+L890+N890+P890+R890+T890+V890+W890+X890+Y890+Z890+AA890+AB890+AC890+AD890+AE890+AF890+AG890</f>
        <v>1762259.81</v>
      </c>
      <c r="G890" s="5">
        <v>0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241">
        <v>0</v>
      </c>
      <c r="N890" s="5">
        <v>0</v>
      </c>
      <c r="O890" s="5">
        <v>307</v>
      </c>
      <c r="P890" s="5">
        <f>1673839.77+62376.79</f>
        <v>1736216.56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f>ROUND(P890*1.5%,2)</f>
        <v>26043.25</v>
      </c>
      <c r="AF890" s="5">
        <v>0</v>
      </c>
      <c r="AG890" s="5">
        <v>0</v>
      </c>
      <c r="AH890" s="246" t="s">
        <v>49</v>
      </c>
      <c r="AI890" s="246">
        <v>2021</v>
      </c>
      <c r="AJ890" s="6">
        <v>2021</v>
      </c>
      <c r="AV890" s="2" t="e">
        <f t="shared" si="227"/>
        <v>#N/A</v>
      </c>
      <c r="CB890" s="236"/>
      <c r="CF890" s="2" t="e">
        <f t="shared" si="226"/>
        <v>#N/A</v>
      </c>
    </row>
    <row r="891" spans="1:262" ht="61.5" x14ac:dyDescent="0.85">
      <c r="A891" s="2">
        <v>1</v>
      </c>
      <c r="B891" s="18">
        <f>SUBTOTAL(103,$A$558:A891)</f>
        <v>303</v>
      </c>
      <c r="C891" s="3" t="s">
        <v>1346</v>
      </c>
      <c r="D891" s="5">
        <v>947985.6</v>
      </c>
      <c r="E891" s="5">
        <f t="shared" si="201"/>
        <v>46022.619999999995</v>
      </c>
      <c r="F891" s="5">
        <f>G891+H891+I891+J891+K891+L891+N891+P891+R891+T891+V891+W891+X891+Y891+Z891+AA891+AB891+AC891+AD891+AE891+AF891+AG891</f>
        <v>901962.98</v>
      </c>
      <c r="G891" s="5">
        <v>0</v>
      </c>
      <c r="H891" s="5">
        <v>0</v>
      </c>
      <c r="I891" s="5">
        <v>0</v>
      </c>
      <c r="J891" s="5">
        <v>0</v>
      </c>
      <c r="K891" s="5">
        <v>0</v>
      </c>
      <c r="L891" s="5">
        <v>0</v>
      </c>
      <c r="M891" s="241">
        <v>0</v>
      </c>
      <c r="N891" s="5">
        <v>0</v>
      </c>
      <c r="O891" s="5">
        <v>160</v>
      </c>
      <c r="P891" s="5">
        <f>815749.36+72884.12</f>
        <v>888633.48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f>ROUND(P891*1.5%,2)</f>
        <v>13329.5</v>
      </c>
      <c r="AF891" s="5">
        <v>0</v>
      </c>
      <c r="AG891" s="5">
        <v>0</v>
      </c>
      <c r="AH891" s="246" t="s">
        <v>49</v>
      </c>
      <c r="AI891" s="246">
        <v>2021</v>
      </c>
      <c r="AJ891" s="6">
        <v>2021</v>
      </c>
      <c r="AV891" s="2" t="e">
        <f t="shared" si="227"/>
        <v>#N/A</v>
      </c>
      <c r="CB891" s="236"/>
      <c r="CF891" s="2" t="e">
        <f t="shared" si="226"/>
        <v>#N/A</v>
      </c>
    </row>
    <row r="892" spans="1:262" ht="61.5" x14ac:dyDescent="0.85">
      <c r="A892" s="2">
        <v>1</v>
      </c>
      <c r="B892" s="18">
        <f>SUBTOTAL(103,$A$558:A892)</f>
        <v>304</v>
      </c>
      <c r="C892" s="3" t="s">
        <v>1645</v>
      </c>
      <c r="D892" s="5"/>
      <c r="E892" s="5">
        <f t="shared" si="201"/>
        <v>-323300</v>
      </c>
      <c r="F892" s="5">
        <f>G892+H892+I892+J892+K892+L892+N892+P892+R892+T892+V892+W892+X892+Y892+Z892+AA892+AB892+AC892+AD892+AE892+AF892+AG892</f>
        <v>323300</v>
      </c>
      <c r="G892" s="247">
        <v>0</v>
      </c>
      <c r="H892" s="247">
        <v>0</v>
      </c>
      <c r="I892" s="247">
        <v>0</v>
      </c>
      <c r="J892" s="247">
        <v>220000</v>
      </c>
      <c r="K892" s="247">
        <v>0</v>
      </c>
      <c r="L892" s="247">
        <v>0</v>
      </c>
      <c r="M892" s="241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f>ROUND(J892*1.5%,2)</f>
        <v>3300</v>
      </c>
      <c r="AF892" s="5">
        <v>100000</v>
      </c>
      <c r="AG892" s="5">
        <v>0</v>
      </c>
      <c r="AH892" s="246">
        <v>2021</v>
      </c>
      <c r="AI892" s="246">
        <v>2021</v>
      </c>
      <c r="AJ892" s="6">
        <v>2021</v>
      </c>
      <c r="AV892" s="2" t="e">
        <f t="shared" si="227"/>
        <v>#N/A</v>
      </c>
      <c r="CB892" s="236"/>
      <c r="CF892" s="2" t="e">
        <f t="shared" si="226"/>
        <v>#N/A</v>
      </c>
    </row>
    <row r="893" spans="1:262" ht="61.5" x14ac:dyDescent="0.85">
      <c r="B893" s="3" t="s">
        <v>1646</v>
      </c>
      <c r="C893" s="3"/>
      <c r="D893" s="244">
        <v>2568179.12</v>
      </c>
      <c r="E893" s="233">
        <f t="shared" si="201"/>
        <v>0</v>
      </c>
      <c r="F893" s="244">
        <f t="shared" ref="F893:AG893" si="229">F894</f>
        <v>2568179.12</v>
      </c>
      <c r="G893" s="5">
        <f t="shared" si="229"/>
        <v>0</v>
      </c>
      <c r="H893" s="5">
        <f t="shared" si="229"/>
        <v>0</v>
      </c>
      <c r="I893" s="5">
        <f t="shared" si="229"/>
        <v>0</v>
      </c>
      <c r="J893" s="5">
        <f t="shared" si="229"/>
        <v>0</v>
      </c>
      <c r="K893" s="5">
        <f t="shared" si="229"/>
        <v>0</v>
      </c>
      <c r="L893" s="5">
        <f t="shared" si="229"/>
        <v>0</v>
      </c>
      <c r="M893" s="241">
        <f t="shared" si="229"/>
        <v>0</v>
      </c>
      <c r="N893" s="5">
        <f t="shared" si="229"/>
        <v>0</v>
      </c>
      <c r="O893" s="5">
        <f t="shared" si="229"/>
        <v>399.43</v>
      </c>
      <c r="P893" s="5">
        <f t="shared" si="229"/>
        <v>2436130.11</v>
      </c>
      <c r="Q893" s="5">
        <f t="shared" si="229"/>
        <v>0</v>
      </c>
      <c r="R893" s="5">
        <f t="shared" si="229"/>
        <v>0</v>
      </c>
      <c r="S893" s="5">
        <f t="shared" si="229"/>
        <v>0</v>
      </c>
      <c r="T893" s="5">
        <f t="shared" si="229"/>
        <v>0</v>
      </c>
      <c r="U893" s="5">
        <f t="shared" si="229"/>
        <v>0</v>
      </c>
      <c r="V893" s="5">
        <f t="shared" si="229"/>
        <v>0</v>
      </c>
      <c r="W893" s="5">
        <f t="shared" si="229"/>
        <v>0</v>
      </c>
      <c r="X893" s="5">
        <f t="shared" si="229"/>
        <v>0</v>
      </c>
      <c r="Y893" s="5">
        <f t="shared" si="229"/>
        <v>0</v>
      </c>
      <c r="Z893" s="5">
        <f t="shared" si="229"/>
        <v>0</v>
      </c>
      <c r="AA893" s="5">
        <f t="shared" si="229"/>
        <v>0</v>
      </c>
      <c r="AB893" s="5">
        <f t="shared" si="229"/>
        <v>0</v>
      </c>
      <c r="AC893" s="5">
        <f t="shared" si="229"/>
        <v>0</v>
      </c>
      <c r="AD893" s="5">
        <f t="shared" si="229"/>
        <v>0</v>
      </c>
      <c r="AE893" s="5">
        <f t="shared" si="229"/>
        <v>36541.949999999997</v>
      </c>
      <c r="AF893" s="5">
        <f t="shared" si="229"/>
        <v>95507.06</v>
      </c>
      <c r="AG893" s="5">
        <f t="shared" si="229"/>
        <v>0</v>
      </c>
      <c r="AH893" s="23" t="s">
        <v>90</v>
      </c>
      <c r="AI893" s="23" t="s">
        <v>90</v>
      </c>
      <c r="AJ893" s="27" t="s">
        <v>90</v>
      </c>
      <c r="AV893" s="2" t="e">
        <f t="shared" si="227"/>
        <v>#N/A</v>
      </c>
      <c r="CB893" s="236">
        <v>2568179.12</v>
      </c>
      <c r="CF893" s="2" t="e">
        <f t="shared" si="226"/>
        <v>#N/A</v>
      </c>
    </row>
    <row r="894" spans="1:262" ht="61.5" x14ac:dyDescent="0.85">
      <c r="A894" s="2">
        <v>1</v>
      </c>
      <c r="B894" s="18">
        <f>SUBTOTAL(103,$A$558:A894)</f>
        <v>305</v>
      </c>
      <c r="C894" s="3" t="s">
        <v>1647</v>
      </c>
      <c r="D894" s="5">
        <v>2568179.12</v>
      </c>
      <c r="E894" s="5">
        <f t="shared" ref="E894:E941" si="230">D894-F894</f>
        <v>0</v>
      </c>
      <c r="F894" s="5">
        <f>G894+H894+I894+J894+K894+L894+N894+P894+R894+T894+V894+W894+X894+Y894+Z894+AA894+AB894+AC894+AD894+AE894+AF894+AG894</f>
        <v>2568179.12</v>
      </c>
      <c r="G894" s="5">
        <v>0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241">
        <v>0</v>
      </c>
      <c r="N894" s="5">
        <v>0</v>
      </c>
      <c r="O894" s="5">
        <v>399.43</v>
      </c>
      <c r="P894" s="5">
        <f>2411999.13+24130.98</f>
        <v>2436130.11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f>ROUND(P894*1.5%,2)</f>
        <v>36541.949999999997</v>
      </c>
      <c r="AF894" s="5">
        <v>95507.06</v>
      </c>
      <c r="AG894" s="5">
        <v>0</v>
      </c>
      <c r="AH894" s="246">
        <v>2021</v>
      </c>
      <c r="AI894" s="246">
        <v>2021</v>
      </c>
      <c r="AJ894" s="6">
        <v>2021</v>
      </c>
      <c r="AV894" s="2" t="e">
        <f t="shared" si="227"/>
        <v>#N/A</v>
      </c>
      <c r="CB894" s="236"/>
      <c r="CF894" s="2" t="e">
        <f t="shared" si="226"/>
        <v>#N/A</v>
      </c>
    </row>
    <row r="895" spans="1:262" ht="61.5" x14ac:dyDescent="0.85">
      <c r="B895" s="3" t="s">
        <v>110</v>
      </c>
      <c r="C895" s="442"/>
      <c r="D895" s="244">
        <v>4165100.4399999995</v>
      </c>
      <c r="E895" s="233">
        <f t="shared" si="230"/>
        <v>-9467325.3300000019</v>
      </c>
      <c r="F895" s="244">
        <f>SUM(F896:F898)</f>
        <v>13632425.770000001</v>
      </c>
      <c r="G895" s="5">
        <f t="shared" ref="G895:AG895" si="231">SUM(G896:G898)</f>
        <v>0</v>
      </c>
      <c r="H895" s="5">
        <f t="shared" si="231"/>
        <v>0</v>
      </c>
      <c r="I895" s="5">
        <f t="shared" si="231"/>
        <v>0</v>
      </c>
      <c r="J895" s="5">
        <f t="shared" si="231"/>
        <v>0</v>
      </c>
      <c r="K895" s="5">
        <f t="shared" si="231"/>
        <v>0</v>
      </c>
      <c r="L895" s="5">
        <f t="shared" si="231"/>
        <v>0</v>
      </c>
      <c r="M895" s="241">
        <f t="shared" si="231"/>
        <v>0</v>
      </c>
      <c r="N895" s="5">
        <f t="shared" si="231"/>
        <v>0</v>
      </c>
      <c r="O895" s="5">
        <f t="shared" si="231"/>
        <v>906</v>
      </c>
      <c r="P895" s="5">
        <f t="shared" si="231"/>
        <v>3872531.83</v>
      </c>
      <c r="Q895" s="5">
        <f t="shared" si="231"/>
        <v>0</v>
      </c>
      <c r="R895" s="5">
        <f t="shared" si="231"/>
        <v>0</v>
      </c>
      <c r="S895" s="5">
        <f t="shared" si="231"/>
        <v>0</v>
      </c>
      <c r="T895" s="5">
        <f t="shared" si="231"/>
        <v>0</v>
      </c>
      <c r="U895" s="5">
        <f t="shared" si="231"/>
        <v>0</v>
      </c>
      <c r="V895" s="5">
        <f t="shared" si="231"/>
        <v>0</v>
      </c>
      <c r="W895" s="5">
        <f t="shared" si="231"/>
        <v>9292419.6600000001</v>
      </c>
      <c r="X895" s="5">
        <f t="shared" si="231"/>
        <v>0</v>
      </c>
      <c r="Y895" s="5">
        <f t="shared" si="231"/>
        <v>0</v>
      </c>
      <c r="Z895" s="5">
        <f t="shared" si="231"/>
        <v>0</v>
      </c>
      <c r="AA895" s="5">
        <f t="shared" si="231"/>
        <v>0</v>
      </c>
      <c r="AB895" s="5">
        <f t="shared" si="231"/>
        <v>0</v>
      </c>
      <c r="AC895" s="5">
        <f t="shared" si="231"/>
        <v>0</v>
      </c>
      <c r="AD895" s="5">
        <f t="shared" si="231"/>
        <v>0</v>
      </c>
      <c r="AE895" s="5">
        <f t="shared" si="231"/>
        <v>197474.28000000003</v>
      </c>
      <c r="AF895" s="5">
        <f t="shared" si="231"/>
        <v>150000</v>
      </c>
      <c r="AG895" s="5">
        <f t="shared" si="231"/>
        <v>120000</v>
      </c>
      <c r="AH895" s="23" t="s">
        <v>90</v>
      </c>
      <c r="AI895" s="23" t="s">
        <v>90</v>
      </c>
      <c r="AJ895" s="27" t="s">
        <v>90</v>
      </c>
      <c r="AV895" s="2" t="e">
        <f t="shared" si="227"/>
        <v>#N/A</v>
      </c>
      <c r="CB895" s="236">
        <v>2981647.8</v>
      </c>
      <c r="CF895" s="2" t="e">
        <f t="shared" si="226"/>
        <v>#N/A</v>
      </c>
    </row>
    <row r="896" spans="1:262" ht="61.5" x14ac:dyDescent="0.85">
      <c r="A896" s="2">
        <v>1</v>
      </c>
      <c r="B896" s="18">
        <f>SUBTOTAL(103,$A$558:A896)</f>
        <v>306</v>
      </c>
      <c r="C896" s="3" t="s">
        <v>1648</v>
      </c>
      <c r="D896" s="5">
        <v>2981647.8</v>
      </c>
      <c r="E896" s="5">
        <f t="shared" si="230"/>
        <v>-35519.370000000577</v>
      </c>
      <c r="F896" s="5">
        <f>G896+H896+I896+J896+K896+L896+N896+P896+R896+T896+V896+W896+X896+Y896+Z896+AA896+AB896+AC896+AD896+AE896+AF896+AG896</f>
        <v>3017167.1700000004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241">
        <v>0</v>
      </c>
      <c r="N896" s="5">
        <v>0</v>
      </c>
      <c r="O896" s="5">
        <v>571</v>
      </c>
      <c r="P896" s="5">
        <f>2789800.79+34994.45</f>
        <v>2824795.24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f>ROUND(P896*1.5%,2)</f>
        <v>42371.93</v>
      </c>
      <c r="AF896" s="5">
        <v>150000</v>
      </c>
      <c r="AG896" s="5">
        <v>0</v>
      </c>
      <c r="AH896" s="246">
        <v>2021</v>
      </c>
      <c r="AI896" s="246">
        <v>2021</v>
      </c>
      <c r="AJ896" s="6">
        <v>2021</v>
      </c>
      <c r="AV896" s="2" t="e">
        <f t="shared" si="227"/>
        <v>#N/A</v>
      </c>
      <c r="CB896" s="236"/>
      <c r="CF896" s="2" t="e">
        <f t="shared" si="226"/>
        <v>#N/A</v>
      </c>
    </row>
    <row r="897" spans="1:262" ht="61.5" x14ac:dyDescent="0.85">
      <c r="A897" s="2">
        <v>1</v>
      </c>
      <c r="B897" s="18">
        <f>SUBTOTAL(103,$A$558:A897)</f>
        <v>307</v>
      </c>
      <c r="C897" s="3" t="s">
        <v>1143</v>
      </c>
      <c r="D897" s="5">
        <v>1183452.6399999999</v>
      </c>
      <c r="E897" s="5">
        <f t="shared" si="230"/>
        <v>0</v>
      </c>
      <c r="F897" s="5">
        <f>G897+H897+I897+J897+K897+L897+N897+P897+R897+T897+V897+W897+X897+Y897+Z897+AA897+AB897+AC897+AD897+AE897+AF897+AG897</f>
        <v>1183452.6399999999</v>
      </c>
      <c r="G897" s="5">
        <v>0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241">
        <v>0</v>
      </c>
      <c r="N897" s="5">
        <v>0</v>
      </c>
      <c r="O897" s="5">
        <v>335</v>
      </c>
      <c r="P897" s="5">
        <f>994964.85+52771.74</f>
        <v>1047736.59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f>ROUND(P897*1.5%,2)</f>
        <v>15716.05</v>
      </c>
      <c r="AF897" s="5">
        <v>0</v>
      </c>
      <c r="AG897" s="5">
        <v>120000</v>
      </c>
      <c r="AH897" s="246" t="s">
        <v>49</v>
      </c>
      <c r="AI897" s="246">
        <v>2021</v>
      </c>
      <c r="AJ897" s="246">
        <v>2021</v>
      </c>
      <c r="CB897" s="236"/>
      <c r="CF897" s="2">
        <f t="shared" si="226"/>
        <v>335</v>
      </c>
    </row>
    <row r="898" spans="1:262" s="239" customFormat="1" ht="61.5" x14ac:dyDescent="0.85">
      <c r="A898" s="239">
        <v>1</v>
      </c>
      <c r="B898" s="18">
        <f>SUBTOTAL(103,$A$558:A898)</f>
        <v>308</v>
      </c>
      <c r="C898" s="3" t="s">
        <v>1068</v>
      </c>
      <c r="D898" s="5">
        <v>9431805.9600000009</v>
      </c>
      <c r="E898" s="5">
        <f t="shared" si="230"/>
        <v>0</v>
      </c>
      <c r="F898" s="5">
        <f>G898+H898+I898+J898+K898+L898+N898+P898+R898+T898+V898+W898+X898+Y898+Z898+AA898+AB898+AC898+AD898+AE898+AF898+AG898</f>
        <v>9431805.9600000009</v>
      </c>
      <c r="G898" s="5">
        <v>0</v>
      </c>
      <c r="H898" s="5">
        <v>0</v>
      </c>
      <c r="I898" s="5">
        <v>0</v>
      </c>
      <c r="J898" s="5">
        <v>0</v>
      </c>
      <c r="K898" s="5">
        <v>0</v>
      </c>
      <c r="L898" s="5">
        <v>0</v>
      </c>
      <c r="M898" s="25"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f>5582000+10675.67+ROUND(836106.34/101.5*100,2)+2875993.9</f>
        <v>9292419.6600000001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f>ROUND(W898*1.5%,2)+0.01</f>
        <v>139386.30000000002</v>
      </c>
      <c r="AF898" s="5">
        <v>0</v>
      </c>
      <c r="AG898" s="5">
        <v>0</v>
      </c>
      <c r="AH898" s="246" t="s">
        <v>49</v>
      </c>
      <c r="AI898" s="246">
        <v>2021</v>
      </c>
      <c r="AJ898" s="246">
        <v>2021</v>
      </c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36"/>
      <c r="CC898" s="2"/>
      <c r="CD898" s="2"/>
      <c r="CE898" s="2"/>
      <c r="CF898" s="2">
        <f t="shared" si="226"/>
        <v>901.42</v>
      </c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</row>
    <row r="899" spans="1:262" ht="61.5" x14ac:dyDescent="0.85">
      <c r="B899" s="3" t="s">
        <v>1649</v>
      </c>
      <c r="C899" s="3"/>
      <c r="D899" s="244">
        <v>4290230.8800000008</v>
      </c>
      <c r="E899" s="233">
        <f t="shared" si="230"/>
        <v>0</v>
      </c>
      <c r="F899" s="244">
        <f t="shared" ref="F899:AG899" si="232">F900</f>
        <v>4290230.8800000008</v>
      </c>
      <c r="G899" s="5">
        <f t="shared" si="232"/>
        <v>0</v>
      </c>
      <c r="H899" s="5">
        <f t="shared" si="232"/>
        <v>0</v>
      </c>
      <c r="I899" s="5">
        <f t="shared" si="232"/>
        <v>0</v>
      </c>
      <c r="J899" s="5">
        <f t="shared" si="232"/>
        <v>0</v>
      </c>
      <c r="K899" s="5">
        <f t="shared" si="232"/>
        <v>0</v>
      </c>
      <c r="L899" s="5">
        <f t="shared" si="232"/>
        <v>0</v>
      </c>
      <c r="M899" s="241">
        <f t="shared" si="232"/>
        <v>0</v>
      </c>
      <c r="N899" s="5">
        <f t="shared" si="232"/>
        <v>0</v>
      </c>
      <c r="O899" s="5">
        <f t="shared" si="232"/>
        <v>821.6</v>
      </c>
      <c r="P899" s="5">
        <f t="shared" si="232"/>
        <v>4079045.2</v>
      </c>
      <c r="Q899" s="5">
        <f t="shared" si="232"/>
        <v>0</v>
      </c>
      <c r="R899" s="5">
        <f t="shared" si="232"/>
        <v>0</v>
      </c>
      <c r="S899" s="5">
        <f t="shared" si="232"/>
        <v>0</v>
      </c>
      <c r="T899" s="5">
        <f t="shared" si="232"/>
        <v>0</v>
      </c>
      <c r="U899" s="5">
        <f t="shared" si="232"/>
        <v>0</v>
      </c>
      <c r="V899" s="5">
        <f t="shared" si="232"/>
        <v>0</v>
      </c>
      <c r="W899" s="5">
        <f t="shared" si="232"/>
        <v>0</v>
      </c>
      <c r="X899" s="5">
        <f t="shared" si="232"/>
        <v>0</v>
      </c>
      <c r="Y899" s="5">
        <f t="shared" si="232"/>
        <v>0</v>
      </c>
      <c r="Z899" s="5">
        <f t="shared" si="232"/>
        <v>0</v>
      </c>
      <c r="AA899" s="5">
        <f t="shared" si="232"/>
        <v>0</v>
      </c>
      <c r="AB899" s="5">
        <f t="shared" si="232"/>
        <v>0</v>
      </c>
      <c r="AC899" s="5">
        <f t="shared" si="232"/>
        <v>0</v>
      </c>
      <c r="AD899" s="5">
        <f t="shared" si="232"/>
        <v>0</v>
      </c>
      <c r="AE899" s="5">
        <f t="shared" si="232"/>
        <v>61185.68</v>
      </c>
      <c r="AF899" s="5">
        <f t="shared" si="232"/>
        <v>150000</v>
      </c>
      <c r="AG899" s="5">
        <f t="shared" si="232"/>
        <v>0</v>
      </c>
      <c r="AH899" s="23" t="s">
        <v>90</v>
      </c>
      <c r="AI899" s="23" t="s">
        <v>90</v>
      </c>
      <c r="AJ899" s="27" t="s">
        <v>90</v>
      </c>
      <c r="AV899" s="2" t="e">
        <f t="shared" ref="AV899:AV906" si="233">VLOOKUP(C899,AY:AZ,2,FALSE)</f>
        <v>#N/A</v>
      </c>
      <c r="CB899" s="236">
        <v>4290230.8800000008</v>
      </c>
      <c r="CF899" s="2" t="e">
        <f t="shared" si="226"/>
        <v>#N/A</v>
      </c>
    </row>
    <row r="900" spans="1:262" ht="61.5" x14ac:dyDescent="0.85">
      <c r="A900" s="2">
        <v>1</v>
      </c>
      <c r="B900" s="18">
        <f>SUBTOTAL(103,$A$558:A900)</f>
        <v>309</v>
      </c>
      <c r="C900" s="3" t="s">
        <v>1650</v>
      </c>
      <c r="D900" s="5">
        <v>4290230.8800000008</v>
      </c>
      <c r="E900" s="5">
        <f t="shared" si="230"/>
        <v>0</v>
      </c>
      <c r="F900" s="5">
        <f>G900+H900+I900+J900+K900+L900+N900+P900+R900+T900+V900+W900+X900+Y900+Z900+AA900+AB900+AC900+AD900+AE900+AF900+AG900</f>
        <v>4290230.8800000008</v>
      </c>
      <c r="G900" s="5">
        <v>0</v>
      </c>
      <c r="H900" s="5">
        <v>0</v>
      </c>
      <c r="I900" s="5">
        <v>0</v>
      </c>
      <c r="J900" s="5">
        <v>0</v>
      </c>
      <c r="K900" s="5">
        <v>0</v>
      </c>
      <c r="L900" s="5">
        <v>0</v>
      </c>
      <c r="M900" s="241">
        <v>0</v>
      </c>
      <c r="N900" s="5">
        <v>0</v>
      </c>
      <c r="O900" s="5">
        <v>821.6</v>
      </c>
      <c r="P900" s="5">
        <v>4079045.2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f>ROUND(P900*1.5%,2)</f>
        <v>61185.68</v>
      </c>
      <c r="AF900" s="5">
        <v>150000</v>
      </c>
      <c r="AG900" s="5">
        <v>0</v>
      </c>
      <c r="AH900" s="246">
        <v>2021</v>
      </c>
      <c r="AI900" s="246">
        <v>2021</v>
      </c>
      <c r="AJ900" s="6">
        <v>2021</v>
      </c>
      <c r="AV900" s="2" t="e">
        <f t="shared" si="233"/>
        <v>#N/A</v>
      </c>
      <c r="CB900" s="236"/>
      <c r="CF900" s="2" t="e">
        <f t="shared" si="226"/>
        <v>#N/A</v>
      </c>
    </row>
    <row r="901" spans="1:262" ht="61.5" x14ac:dyDescent="0.85">
      <c r="B901" s="3" t="s">
        <v>1651</v>
      </c>
      <c r="C901" s="3"/>
      <c r="D901" s="244">
        <v>2903320.8000000003</v>
      </c>
      <c r="E901" s="233">
        <f t="shared" si="230"/>
        <v>0</v>
      </c>
      <c r="F901" s="244">
        <f t="shared" ref="F901:AG901" si="234">F902</f>
        <v>2903320.8000000003</v>
      </c>
      <c r="G901" s="5">
        <f t="shared" si="234"/>
        <v>0</v>
      </c>
      <c r="H901" s="5">
        <f t="shared" si="234"/>
        <v>0</v>
      </c>
      <c r="I901" s="5">
        <f t="shared" si="234"/>
        <v>0</v>
      </c>
      <c r="J901" s="5">
        <f t="shared" si="234"/>
        <v>0</v>
      </c>
      <c r="K901" s="5">
        <f t="shared" si="234"/>
        <v>0</v>
      </c>
      <c r="L901" s="5">
        <f t="shared" si="234"/>
        <v>0</v>
      </c>
      <c r="M901" s="241">
        <f t="shared" si="234"/>
        <v>0</v>
      </c>
      <c r="N901" s="5">
        <f t="shared" si="234"/>
        <v>0</v>
      </c>
      <c r="O901" s="5">
        <f t="shared" si="234"/>
        <v>556</v>
      </c>
      <c r="P901" s="5">
        <f t="shared" si="234"/>
        <v>2712631.33</v>
      </c>
      <c r="Q901" s="5">
        <f t="shared" si="234"/>
        <v>0</v>
      </c>
      <c r="R901" s="5">
        <f t="shared" si="234"/>
        <v>0</v>
      </c>
      <c r="S901" s="5">
        <f t="shared" si="234"/>
        <v>0</v>
      </c>
      <c r="T901" s="5">
        <f t="shared" si="234"/>
        <v>0</v>
      </c>
      <c r="U901" s="5">
        <f t="shared" si="234"/>
        <v>0</v>
      </c>
      <c r="V901" s="5">
        <f t="shared" si="234"/>
        <v>0</v>
      </c>
      <c r="W901" s="5">
        <f t="shared" si="234"/>
        <v>0</v>
      </c>
      <c r="X901" s="5">
        <f t="shared" si="234"/>
        <v>0</v>
      </c>
      <c r="Y901" s="5">
        <f t="shared" si="234"/>
        <v>0</v>
      </c>
      <c r="Z901" s="5">
        <f t="shared" si="234"/>
        <v>0</v>
      </c>
      <c r="AA901" s="5">
        <f t="shared" si="234"/>
        <v>0</v>
      </c>
      <c r="AB901" s="5">
        <f t="shared" si="234"/>
        <v>0</v>
      </c>
      <c r="AC901" s="5">
        <f t="shared" si="234"/>
        <v>0</v>
      </c>
      <c r="AD901" s="5">
        <f t="shared" si="234"/>
        <v>0</v>
      </c>
      <c r="AE901" s="5">
        <f t="shared" si="234"/>
        <v>40689.47</v>
      </c>
      <c r="AF901" s="5">
        <f t="shared" si="234"/>
        <v>150000</v>
      </c>
      <c r="AG901" s="5">
        <f t="shared" si="234"/>
        <v>0</v>
      </c>
      <c r="AH901" s="23" t="s">
        <v>90</v>
      </c>
      <c r="AI901" s="23" t="s">
        <v>90</v>
      </c>
      <c r="AJ901" s="27" t="s">
        <v>90</v>
      </c>
      <c r="AV901" s="2" t="e">
        <f t="shared" si="233"/>
        <v>#N/A</v>
      </c>
      <c r="CB901" s="236">
        <v>2903320.8000000003</v>
      </c>
      <c r="CF901" s="2" t="e">
        <f t="shared" si="226"/>
        <v>#N/A</v>
      </c>
    </row>
    <row r="902" spans="1:262" ht="61.5" x14ac:dyDescent="0.85">
      <c r="A902" s="2">
        <v>1</v>
      </c>
      <c r="B902" s="18">
        <f>SUBTOTAL(103,$A$558:A902)</f>
        <v>310</v>
      </c>
      <c r="C902" s="3" t="s">
        <v>1652</v>
      </c>
      <c r="D902" s="5">
        <v>2903320.8000000003</v>
      </c>
      <c r="E902" s="5">
        <f t="shared" si="230"/>
        <v>0</v>
      </c>
      <c r="F902" s="5">
        <f>G902+H902+I902+J902+K902+L902+N902+P902+R902+T902+V902+W902+X902+Y902+Z902+AA902+AB902+AC902+AD902+AE902+AF902+AG902</f>
        <v>2903320.8000000003</v>
      </c>
      <c r="G902" s="5">
        <v>0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241">
        <v>0</v>
      </c>
      <c r="N902" s="5">
        <v>0</v>
      </c>
      <c r="O902" s="5">
        <v>556</v>
      </c>
      <c r="P902" s="5">
        <v>2712631.33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f>ROUND(P902*1.5%,2)</f>
        <v>40689.47</v>
      </c>
      <c r="AF902" s="5">
        <v>150000</v>
      </c>
      <c r="AG902" s="5">
        <v>0</v>
      </c>
      <c r="AH902" s="246">
        <v>2021</v>
      </c>
      <c r="AI902" s="246">
        <v>2021</v>
      </c>
      <c r="AJ902" s="6">
        <v>2021</v>
      </c>
      <c r="AV902" s="2" t="e">
        <f t="shared" si="233"/>
        <v>#N/A</v>
      </c>
      <c r="CB902" s="236"/>
      <c r="CF902" s="2" t="e">
        <f t="shared" si="226"/>
        <v>#N/A</v>
      </c>
    </row>
    <row r="903" spans="1:262" ht="61.5" x14ac:dyDescent="0.85">
      <c r="B903" s="3" t="s">
        <v>111</v>
      </c>
      <c r="C903" s="442"/>
      <c r="D903" s="244">
        <v>3826397.3000000003</v>
      </c>
      <c r="E903" s="233">
        <f t="shared" si="230"/>
        <v>0</v>
      </c>
      <c r="F903" s="244">
        <f t="shared" ref="F903:AG903" si="235">F904</f>
        <v>3826397.3000000003</v>
      </c>
      <c r="G903" s="5">
        <f t="shared" si="235"/>
        <v>0</v>
      </c>
      <c r="H903" s="5">
        <f t="shared" si="235"/>
        <v>0</v>
      </c>
      <c r="I903" s="5">
        <f t="shared" si="235"/>
        <v>0</v>
      </c>
      <c r="J903" s="5">
        <f t="shared" si="235"/>
        <v>0</v>
      </c>
      <c r="K903" s="5">
        <f t="shared" si="235"/>
        <v>0</v>
      </c>
      <c r="L903" s="5">
        <f t="shared" si="235"/>
        <v>0</v>
      </c>
      <c r="M903" s="241">
        <f t="shared" si="235"/>
        <v>0</v>
      </c>
      <c r="N903" s="5">
        <f t="shared" si="235"/>
        <v>0</v>
      </c>
      <c r="O903" s="5">
        <f t="shared" si="235"/>
        <v>794.3</v>
      </c>
      <c r="P903" s="5">
        <f t="shared" si="235"/>
        <v>3622066.31</v>
      </c>
      <c r="Q903" s="5">
        <f t="shared" si="235"/>
        <v>0</v>
      </c>
      <c r="R903" s="5">
        <f t="shared" si="235"/>
        <v>0</v>
      </c>
      <c r="S903" s="5">
        <f t="shared" si="235"/>
        <v>0</v>
      </c>
      <c r="T903" s="5">
        <f t="shared" si="235"/>
        <v>0</v>
      </c>
      <c r="U903" s="5">
        <f t="shared" si="235"/>
        <v>0</v>
      </c>
      <c r="V903" s="5">
        <f t="shared" si="235"/>
        <v>0</v>
      </c>
      <c r="W903" s="5">
        <f t="shared" si="235"/>
        <v>0</v>
      </c>
      <c r="X903" s="5">
        <f t="shared" si="235"/>
        <v>0</v>
      </c>
      <c r="Y903" s="5">
        <f t="shared" si="235"/>
        <v>0</v>
      </c>
      <c r="Z903" s="5">
        <f t="shared" si="235"/>
        <v>0</v>
      </c>
      <c r="AA903" s="5">
        <f t="shared" si="235"/>
        <v>0</v>
      </c>
      <c r="AB903" s="5">
        <f t="shared" si="235"/>
        <v>0</v>
      </c>
      <c r="AC903" s="5">
        <f t="shared" si="235"/>
        <v>0</v>
      </c>
      <c r="AD903" s="5">
        <f t="shared" si="235"/>
        <v>0</v>
      </c>
      <c r="AE903" s="5">
        <f t="shared" si="235"/>
        <v>54330.99</v>
      </c>
      <c r="AF903" s="5">
        <f t="shared" si="235"/>
        <v>150000</v>
      </c>
      <c r="AG903" s="5">
        <f t="shared" si="235"/>
        <v>0</v>
      </c>
      <c r="AH903" s="23" t="s">
        <v>90</v>
      </c>
      <c r="AI903" s="23" t="s">
        <v>90</v>
      </c>
      <c r="AJ903" s="27" t="s">
        <v>90</v>
      </c>
      <c r="AV903" s="2" t="e">
        <f t="shared" si="233"/>
        <v>#N/A</v>
      </c>
      <c r="CB903" s="236">
        <v>3826397.3000000003</v>
      </c>
      <c r="CF903" s="2" t="e">
        <f t="shared" si="226"/>
        <v>#N/A</v>
      </c>
    </row>
    <row r="904" spans="1:262" ht="61.5" x14ac:dyDescent="0.85">
      <c r="A904" s="2">
        <v>1</v>
      </c>
      <c r="B904" s="18">
        <f>SUBTOTAL(103,$A$558:A904)</f>
        <v>311</v>
      </c>
      <c r="C904" s="3" t="s">
        <v>1653</v>
      </c>
      <c r="D904" s="5">
        <v>3826397.3000000003</v>
      </c>
      <c r="E904" s="5">
        <f t="shared" si="230"/>
        <v>0</v>
      </c>
      <c r="F904" s="5">
        <f>G904+H904+I904+J904+K904+L904+N904+P904+R904+T904+V904+W904+X904+Y904+Z904+AA904+AB904+AC904+AD904+AE904+AF904+AG904</f>
        <v>3826397.3000000003</v>
      </c>
      <c r="G904" s="5">
        <v>0</v>
      </c>
      <c r="H904" s="5">
        <v>0</v>
      </c>
      <c r="I904" s="5">
        <v>0</v>
      </c>
      <c r="J904" s="5">
        <v>0</v>
      </c>
      <c r="K904" s="5">
        <v>0</v>
      </c>
      <c r="L904" s="5">
        <v>0</v>
      </c>
      <c r="M904" s="241">
        <v>0</v>
      </c>
      <c r="N904" s="5">
        <v>0</v>
      </c>
      <c r="O904" s="5">
        <v>794.3</v>
      </c>
      <c r="P904" s="5">
        <v>3622066.31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f>ROUND(P904*1.5%,2)</f>
        <v>54330.99</v>
      </c>
      <c r="AF904" s="5">
        <v>150000</v>
      </c>
      <c r="AG904" s="5">
        <v>0</v>
      </c>
      <c r="AH904" s="246">
        <v>2021</v>
      </c>
      <c r="AI904" s="246">
        <v>2021</v>
      </c>
      <c r="AJ904" s="6">
        <v>2021</v>
      </c>
      <c r="AV904" s="2" t="e">
        <f t="shared" si="233"/>
        <v>#N/A</v>
      </c>
      <c r="CB904" s="236"/>
      <c r="CF904" s="2" t="e">
        <f t="shared" si="226"/>
        <v>#N/A</v>
      </c>
    </row>
    <row r="905" spans="1:262" ht="61.5" x14ac:dyDescent="0.85">
      <c r="B905" s="3" t="s">
        <v>1348</v>
      </c>
      <c r="C905" s="3"/>
      <c r="D905" s="244">
        <v>11567413.620000001</v>
      </c>
      <c r="E905" s="233">
        <f t="shared" si="230"/>
        <v>-13466204.629999999</v>
      </c>
      <c r="F905" s="244">
        <f>SUM(F906:F909)</f>
        <v>25033618.25</v>
      </c>
      <c r="G905" s="5">
        <f t="shared" ref="G905:AG905" si="236">SUM(G906:G909)</f>
        <v>0</v>
      </c>
      <c r="H905" s="5">
        <f t="shared" si="236"/>
        <v>0</v>
      </c>
      <c r="I905" s="5">
        <f t="shared" si="236"/>
        <v>0</v>
      </c>
      <c r="J905" s="5">
        <f t="shared" si="236"/>
        <v>0</v>
      </c>
      <c r="K905" s="5">
        <f t="shared" si="236"/>
        <v>0</v>
      </c>
      <c r="L905" s="5">
        <f t="shared" si="236"/>
        <v>0</v>
      </c>
      <c r="M905" s="241">
        <f t="shared" si="236"/>
        <v>0</v>
      </c>
      <c r="N905" s="5">
        <f t="shared" si="236"/>
        <v>0</v>
      </c>
      <c r="O905" s="5">
        <f t="shared" si="236"/>
        <v>5688</v>
      </c>
      <c r="P905" s="5">
        <f t="shared" si="236"/>
        <v>24545175.099999998</v>
      </c>
      <c r="Q905" s="5">
        <f t="shared" si="236"/>
        <v>0</v>
      </c>
      <c r="R905" s="5">
        <f t="shared" si="236"/>
        <v>0</v>
      </c>
      <c r="S905" s="5">
        <f t="shared" si="236"/>
        <v>0</v>
      </c>
      <c r="T905" s="5">
        <f t="shared" si="236"/>
        <v>0</v>
      </c>
      <c r="U905" s="5">
        <f t="shared" si="236"/>
        <v>0</v>
      </c>
      <c r="V905" s="5">
        <f t="shared" si="236"/>
        <v>0</v>
      </c>
      <c r="W905" s="5">
        <f t="shared" si="236"/>
        <v>0</v>
      </c>
      <c r="X905" s="5">
        <f t="shared" si="236"/>
        <v>0</v>
      </c>
      <c r="Y905" s="5">
        <f t="shared" si="236"/>
        <v>0</v>
      </c>
      <c r="Z905" s="5">
        <f t="shared" si="236"/>
        <v>0</v>
      </c>
      <c r="AA905" s="5">
        <f t="shared" si="236"/>
        <v>0</v>
      </c>
      <c r="AB905" s="5">
        <f t="shared" si="236"/>
        <v>0</v>
      </c>
      <c r="AC905" s="5">
        <f t="shared" si="236"/>
        <v>0</v>
      </c>
      <c r="AD905" s="5">
        <f t="shared" si="236"/>
        <v>0</v>
      </c>
      <c r="AE905" s="5">
        <f t="shared" si="236"/>
        <v>308443.15000000002</v>
      </c>
      <c r="AF905" s="5">
        <f t="shared" si="236"/>
        <v>180000</v>
      </c>
      <c r="AG905" s="5">
        <f t="shared" si="236"/>
        <v>0</v>
      </c>
      <c r="AH905" s="23" t="s">
        <v>90</v>
      </c>
      <c r="AI905" s="23" t="s">
        <v>90</v>
      </c>
      <c r="AJ905" s="27" t="s">
        <v>90</v>
      </c>
      <c r="AV905" s="2" t="e">
        <f t="shared" si="233"/>
        <v>#N/A</v>
      </c>
      <c r="CB905" s="236">
        <v>5858309.4800000004</v>
      </c>
      <c r="CF905" s="2" t="e">
        <f t="shared" si="226"/>
        <v>#N/A</v>
      </c>
    </row>
    <row r="906" spans="1:262" ht="61.5" x14ac:dyDescent="0.85">
      <c r="A906" s="2">
        <v>1</v>
      </c>
      <c r="B906" s="18">
        <f>SUBTOTAL(103,$A$558:A906)</f>
        <v>312</v>
      </c>
      <c r="C906" s="3" t="s">
        <v>1654</v>
      </c>
      <c r="D906" s="5">
        <v>5858309.4800000004</v>
      </c>
      <c r="E906" s="5">
        <f t="shared" si="230"/>
        <v>-1600910.0499999998</v>
      </c>
      <c r="F906" s="5">
        <f>G906+H906+I906+J906+K906+L906+N906+P906+R906+T906+V906+W906+X906+Y906+Z906+AA906+AB906+AC906+AD906+AE906+AF906+AG906</f>
        <v>7459219.5300000003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241">
        <v>0</v>
      </c>
      <c r="N906" s="5">
        <v>0</v>
      </c>
      <c r="O906" s="5">
        <v>1576</v>
      </c>
      <c r="P906" s="5">
        <f>5594393.58+1577251.28</f>
        <v>7171644.8600000003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f>ROUND(P906*1.5%,2)</f>
        <v>107574.67</v>
      </c>
      <c r="AF906" s="5">
        <v>180000</v>
      </c>
      <c r="AG906" s="5">
        <v>0</v>
      </c>
      <c r="AH906" s="246">
        <v>2021</v>
      </c>
      <c r="AI906" s="246">
        <v>2021</v>
      </c>
      <c r="AJ906" s="6">
        <v>2021</v>
      </c>
      <c r="AV906" s="2" t="e">
        <f t="shared" si="233"/>
        <v>#N/A</v>
      </c>
      <c r="CB906" s="236"/>
      <c r="CF906" s="2" t="e">
        <f t="shared" si="226"/>
        <v>#N/A</v>
      </c>
    </row>
    <row r="907" spans="1:262" ht="61.5" x14ac:dyDescent="0.85">
      <c r="A907" s="2">
        <v>1</v>
      </c>
      <c r="B907" s="18">
        <f>SUBTOTAL(103,$A$558:A907)</f>
        <v>313</v>
      </c>
      <c r="C907" s="3" t="s">
        <v>1655</v>
      </c>
      <c r="D907" s="5">
        <v>5709104.1399999997</v>
      </c>
      <c r="E907" s="5">
        <f t="shared" si="230"/>
        <v>0</v>
      </c>
      <c r="F907" s="5">
        <f>G907+H907+I907+J907+K907+L907+N907+P907+R907+T907+V907+W907+X907+Y907+Z907+AA907+AB907+AC907+AD907+AE907+AF907+AG907</f>
        <v>5709104.1399999997</v>
      </c>
      <c r="G907" s="5">
        <v>0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241">
        <v>0</v>
      </c>
      <c r="N907" s="5">
        <v>0</v>
      </c>
      <c r="O907" s="5">
        <v>1331</v>
      </c>
      <c r="P907" s="5">
        <v>5683584.8399999999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f>ROUND(P907*0.449%,2)</f>
        <v>25519.3</v>
      </c>
      <c r="AF907" s="5">
        <v>0</v>
      </c>
      <c r="AG907" s="5">
        <v>0</v>
      </c>
      <c r="AH907" s="246" t="s">
        <v>49</v>
      </c>
      <c r="AI907" s="246">
        <v>2021</v>
      </c>
      <c r="AJ907" s="246">
        <v>2021</v>
      </c>
      <c r="CB907" s="236"/>
      <c r="CF907" s="2" t="e">
        <f t="shared" si="226"/>
        <v>#N/A</v>
      </c>
    </row>
    <row r="908" spans="1:262" s="239" customFormat="1" ht="61.5" x14ac:dyDescent="0.85">
      <c r="A908" s="239">
        <v>1</v>
      </c>
      <c r="B908" s="18">
        <f>SUBTOTAL(103,$A$558:A908)</f>
        <v>314</v>
      </c>
      <c r="C908" s="3" t="s">
        <v>1349</v>
      </c>
      <c r="D908" s="5">
        <v>6351854.879999999</v>
      </c>
      <c r="E908" s="5">
        <f t="shared" si="230"/>
        <v>178487.95999999996</v>
      </c>
      <c r="F908" s="5">
        <f>G908+H908+I908+J908+K908+L908+N908+P908+R908+T908+V908+W908+X908+Y908+Z908+AA908+AB908+AC908+AD908+AE908+AF908+AG908</f>
        <v>6173366.919999999</v>
      </c>
      <c r="G908" s="5">
        <v>0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25">
        <v>0</v>
      </c>
      <c r="N908" s="5">
        <v>0</v>
      </c>
      <c r="O908" s="5">
        <v>1420</v>
      </c>
      <c r="P908" s="5">
        <f>5786396.52+295738.38</f>
        <v>6082134.8999999994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f>ROUND(P908*1.5%,2)</f>
        <v>91232.02</v>
      </c>
      <c r="AF908" s="5">
        <v>0</v>
      </c>
      <c r="AG908" s="5">
        <v>0</v>
      </c>
      <c r="AH908" s="246" t="s">
        <v>49</v>
      </c>
      <c r="AI908" s="246">
        <v>2021</v>
      </c>
      <c r="AJ908" s="246">
        <v>2021</v>
      </c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 t="e">
        <f>VLOOKUP(C908,AY:AZ,2,FALSE)</f>
        <v>#N/A</v>
      </c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36"/>
      <c r="CC908" s="2"/>
      <c r="CD908" s="2"/>
      <c r="CE908" s="2"/>
      <c r="CF908" s="2" t="e">
        <f t="shared" si="226"/>
        <v>#N/A</v>
      </c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</row>
    <row r="909" spans="1:262" s="239" customFormat="1" ht="61.5" x14ac:dyDescent="0.85">
      <c r="A909" s="239">
        <v>1</v>
      </c>
      <c r="B909" s="18">
        <f>SUBTOTAL(103,$A$558:A909)</f>
        <v>315</v>
      </c>
      <c r="C909" s="3" t="s">
        <v>1351</v>
      </c>
      <c r="D909" s="5">
        <v>5842512.4000000004</v>
      </c>
      <c r="E909" s="5">
        <f t="shared" si="230"/>
        <v>150584.74000000022</v>
      </c>
      <c r="F909" s="5">
        <f>G909+H909+I909+J909+K909+L909+N909+P909+R909+T909+V909+W909+X909+Y909+Z909+AA909+AB909+AC909+AD909+AE909+AF909+AG909</f>
        <v>5691927.6600000001</v>
      </c>
      <c r="G909" s="5">
        <v>0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25">
        <v>0</v>
      </c>
      <c r="N909" s="5">
        <v>0</v>
      </c>
      <c r="O909" s="5">
        <v>1361</v>
      </c>
      <c r="P909" s="5">
        <v>5607810.5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f>ROUND(P909*1.5%,2)</f>
        <v>84117.16</v>
      </c>
      <c r="AF909" s="5">
        <v>0</v>
      </c>
      <c r="AG909" s="5">
        <v>0</v>
      </c>
      <c r="AH909" s="246" t="s">
        <v>49</v>
      </c>
      <c r="AI909" s="246">
        <v>2021</v>
      </c>
      <c r="AJ909" s="246">
        <v>2021</v>
      </c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 t="e">
        <f>VLOOKUP(C909,AY:AZ,2,FALSE)</f>
        <v>#N/A</v>
      </c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36"/>
      <c r="CC909" s="2"/>
      <c r="CD909" s="2"/>
      <c r="CE909" s="2"/>
      <c r="CF909" s="2" t="e">
        <f t="shared" si="226"/>
        <v>#N/A</v>
      </c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</row>
    <row r="910" spans="1:262" ht="61.5" x14ac:dyDescent="0.85">
      <c r="B910" s="3" t="s">
        <v>1656</v>
      </c>
      <c r="C910" s="3"/>
      <c r="D910" s="244">
        <v>5796065.7599999998</v>
      </c>
      <c r="E910" s="233">
        <f t="shared" si="230"/>
        <v>0</v>
      </c>
      <c r="F910" s="244">
        <f>SUM(F911:F912)</f>
        <v>5796065.7599999998</v>
      </c>
      <c r="G910" s="5">
        <f t="shared" ref="G910:AG910" si="237">SUM(G911:G912)</f>
        <v>0</v>
      </c>
      <c r="H910" s="5">
        <f t="shared" si="237"/>
        <v>0</v>
      </c>
      <c r="I910" s="5">
        <f t="shared" si="237"/>
        <v>0</v>
      </c>
      <c r="J910" s="5">
        <f t="shared" si="237"/>
        <v>0</v>
      </c>
      <c r="K910" s="5">
        <f t="shared" si="237"/>
        <v>0</v>
      </c>
      <c r="L910" s="5">
        <f t="shared" si="237"/>
        <v>0</v>
      </c>
      <c r="M910" s="241">
        <f t="shared" si="237"/>
        <v>0</v>
      </c>
      <c r="N910" s="5">
        <f t="shared" si="237"/>
        <v>0</v>
      </c>
      <c r="O910" s="5">
        <f t="shared" si="237"/>
        <v>1121.5999999999999</v>
      </c>
      <c r="P910" s="5">
        <f t="shared" si="237"/>
        <v>5444399.7699999996</v>
      </c>
      <c r="Q910" s="5">
        <f t="shared" si="237"/>
        <v>0</v>
      </c>
      <c r="R910" s="5">
        <f t="shared" si="237"/>
        <v>0</v>
      </c>
      <c r="S910" s="5">
        <f t="shared" si="237"/>
        <v>0</v>
      </c>
      <c r="T910" s="5">
        <f t="shared" si="237"/>
        <v>0</v>
      </c>
      <c r="U910" s="5">
        <f t="shared" si="237"/>
        <v>0</v>
      </c>
      <c r="V910" s="5">
        <f t="shared" si="237"/>
        <v>0</v>
      </c>
      <c r="W910" s="5">
        <f t="shared" si="237"/>
        <v>0</v>
      </c>
      <c r="X910" s="5">
        <f t="shared" si="237"/>
        <v>0</v>
      </c>
      <c r="Y910" s="5">
        <f t="shared" si="237"/>
        <v>0</v>
      </c>
      <c r="Z910" s="5">
        <f t="shared" si="237"/>
        <v>0</v>
      </c>
      <c r="AA910" s="5">
        <f t="shared" si="237"/>
        <v>0</v>
      </c>
      <c r="AB910" s="5">
        <f t="shared" si="237"/>
        <v>0</v>
      </c>
      <c r="AC910" s="5">
        <f t="shared" si="237"/>
        <v>0</v>
      </c>
      <c r="AD910" s="5">
        <f t="shared" si="237"/>
        <v>0</v>
      </c>
      <c r="AE910" s="5">
        <f t="shared" si="237"/>
        <v>81665.989999999991</v>
      </c>
      <c r="AF910" s="5">
        <f t="shared" si="237"/>
        <v>150000</v>
      </c>
      <c r="AG910" s="5">
        <f t="shared" si="237"/>
        <v>120000</v>
      </c>
      <c r="AH910" s="23" t="s">
        <v>90</v>
      </c>
      <c r="AI910" s="23" t="s">
        <v>90</v>
      </c>
      <c r="AJ910" s="27" t="s">
        <v>90</v>
      </c>
      <c r="AV910" s="2" t="e">
        <f>VLOOKUP(C910,AY:AZ,2,FALSE)</f>
        <v>#N/A</v>
      </c>
      <c r="CB910" s="236">
        <v>3274450.4</v>
      </c>
      <c r="CF910" s="2" t="e">
        <f t="shared" si="226"/>
        <v>#N/A</v>
      </c>
    </row>
    <row r="911" spans="1:262" ht="61.5" x14ac:dyDescent="0.85">
      <c r="A911" s="2">
        <v>1</v>
      </c>
      <c r="B911" s="18">
        <f>SUBTOTAL(103,$A$558:A911)</f>
        <v>316</v>
      </c>
      <c r="C911" s="3" t="s">
        <v>1657</v>
      </c>
      <c r="D911" s="5">
        <v>3274450.4</v>
      </c>
      <c r="E911" s="5">
        <f t="shared" si="230"/>
        <v>0</v>
      </c>
      <c r="F911" s="5">
        <f>G911+H911+I911+J911+K911+L911+N911+P911+R911+T911+V911+W911+X911+Y911+Z911+AA911+AB911+AC911+AD911+AE911+AF911+AG911</f>
        <v>3274450.4</v>
      </c>
      <c r="G911" s="5">
        <v>0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241">
        <v>0</v>
      </c>
      <c r="N911" s="5">
        <v>0</v>
      </c>
      <c r="O911" s="5">
        <v>609.79999999999995</v>
      </c>
      <c r="P911" s="5">
        <v>3078276.26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f>ROUND(P911*1.5%,2)</f>
        <v>46174.14</v>
      </c>
      <c r="AF911" s="5">
        <v>150000</v>
      </c>
      <c r="AG911" s="5">
        <v>0</v>
      </c>
      <c r="AH911" s="246">
        <v>2021</v>
      </c>
      <c r="AI911" s="246">
        <v>2021</v>
      </c>
      <c r="AJ911" s="6">
        <v>2021</v>
      </c>
      <c r="AV911" s="2" t="e">
        <f>VLOOKUP(C911,AY:AZ,2,FALSE)</f>
        <v>#N/A</v>
      </c>
      <c r="CB911" s="236"/>
      <c r="CF911" s="2" t="e">
        <f t="shared" si="226"/>
        <v>#N/A</v>
      </c>
    </row>
    <row r="912" spans="1:262" ht="61.5" x14ac:dyDescent="0.85">
      <c r="A912" s="2">
        <v>1</v>
      </c>
      <c r="B912" s="18">
        <f>SUBTOTAL(103,$A$558:A912)</f>
        <v>317</v>
      </c>
      <c r="C912" s="3" t="s">
        <v>1149</v>
      </c>
      <c r="D912" s="5">
        <v>2521615.3599999999</v>
      </c>
      <c r="E912" s="5">
        <f t="shared" si="230"/>
        <v>0</v>
      </c>
      <c r="F912" s="5">
        <f>G912+H912+I912+J912+K912+L912+N912+P912+R912+T912+V912+W912+X912+Y912+Z912+AA912+AB912+AC912+AD912+AE912+AF912+AG912</f>
        <v>2521615.3599999999</v>
      </c>
      <c r="G912" s="5">
        <v>0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241">
        <v>0</v>
      </c>
      <c r="N912" s="5">
        <v>0</v>
      </c>
      <c r="O912" s="5">
        <v>511.8</v>
      </c>
      <c r="P912" s="5">
        <f>2095100.24+271023.27</f>
        <v>2366123.5099999998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f>ROUND(P912*1.5%,2)</f>
        <v>35491.85</v>
      </c>
      <c r="AF912" s="5">
        <v>0</v>
      </c>
      <c r="AG912" s="5">
        <v>120000</v>
      </c>
      <c r="AH912" s="246" t="s">
        <v>49</v>
      </c>
      <c r="AI912" s="246">
        <v>2021</v>
      </c>
      <c r="AJ912" s="246">
        <v>2021</v>
      </c>
      <c r="CB912" s="236"/>
      <c r="CF912" s="2">
        <f t="shared" si="226"/>
        <v>511.8</v>
      </c>
    </row>
    <row r="913" spans="1:262" s="243" customFormat="1" ht="61.5" x14ac:dyDescent="0.85">
      <c r="A913" s="2"/>
      <c r="B913" s="3" t="s">
        <v>128</v>
      </c>
      <c r="C913" s="3"/>
      <c r="D913" s="244">
        <v>3707032</v>
      </c>
      <c r="E913" s="233">
        <f t="shared" si="230"/>
        <v>0</v>
      </c>
      <c r="F913" s="244">
        <f t="shared" ref="F913:AG913" si="238">F914</f>
        <v>3707032</v>
      </c>
      <c r="G913" s="5">
        <f t="shared" si="238"/>
        <v>0</v>
      </c>
      <c r="H913" s="5">
        <f t="shared" si="238"/>
        <v>0</v>
      </c>
      <c r="I913" s="5">
        <f t="shared" si="238"/>
        <v>0</v>
      </c>
      <c r="J913" s="5">
        <f t="shared" si="238"/>
        <v>0</v>
      </c>
      <c r="K913" s="5">
        <f t="shared" si="238"/>
        <v>0</v>
      </c>
      <c r="L913" s="5">
        <f t="shared" si="238"/>
        <v>0</v>
      </c>
      <c r="M913" s="241">
        <f t="shared" si="238"/>
        <v>0</v>
      </c>
      <c r="N913" s="5">
        <f t="shared" si="238"/>
        <v>0</v>
      </c>
      <c r="O913" s="5">
        <f t="shared" si="238"/>
        <v>0</v>
      </c>
      <c r="P913" s="5">
        <f t="shared" si="238"/>
        <v>0</v>
      </c>
      <c r="Q913" s="5">
        <f t="shared" si="238"/>
        <v>0</v>
      </c>
      <c r="R913" s="5">
        <f t="shared" si="238"/>
        <v>0</v>
      </c>
      <c r="S913" s="5">
        <f t="shared" si="238"/>
        <v>350</v>
      </c>
      <c r="T913" s="5">
        <f t="shared" si="238"/>
        <v>3504465.02</v>
      </c>
      <c r="U913" s="5">
        <f t="shared" si="238"/>
        <v>0</v>
      </c>
      <c r="V913" s="5">
        <f t="shared" si="238"/>
        <v>0</v>
      </c>
      <c r="W913" s="5">
        <f t="shared" si="238"/>
        <v>0</v>
      </c>
      <c r="X913" s="5">
        <f t="shared" si="238"/>
        <v>0</v>
      </c>
      <c r="Y913" s="5">
        <f t="shared" si="238"/>
        <v>0</v>
      </c>
      <c r="Z913" s="5">
        <f t="shared" si="238"/>
        <v>0</v>
      </c>
      <c r="AA913" s="5">
        <f t="shared" si="238"/>
        <v>0</v>
      </c>
      <c r="AB913" s="5">
        <f t="shared" si="238"/>
        <v>0</v>
      </c>
      <c r="AC913" s="5">
        <f t="shared" si="238"/>
        <v>0</v>
      </c>
      <c r="AD913" s="5">
        <f t="shared" si="238"/>
        <v>0</v>
      </c>
      <c r="AE913" s="5">
        <f t="shared" si="238"/>
        <v>52566.98</v>
      </c>
      <c r="AF913" s="5">
        <f t="shared" si="238"/>
        <v>150000</v>
      </c>
      <c r="AG913" s="5">
        <f t="shared" si="238"/>
        <v>0</v>
      </c>
      <c r="AH913" s="23" t="s">
        <v>90</v>
      </c>
      <c r="AI913" s="23" t="s">
        <v>90</v>
      </c>
      <c r="AJ913" s="27" t="s">
        <v>90</v>
      </c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 t="e">
        <f>VLOOKUP(C913,AY:AZ,2,FALSE)</f>
        <v>#N/A</v>
      </c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36">
        <v>3274450.4</v>
      </c>
      <c r="CC913" s="2"/>
      <c r="CD913" s="2"/>
      <c r="CE913" s="2"/>
      <c r="CF913" s="2" t="e">
        <f t="shared" si="226"/>
        <v>#N/A</v>
      </c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</row>
    <row r="914" spans="1:262" s="243" customFormat="1" ht="61.5" x14ac:dyDescent="0.85">
      <c r="A914" s="243">
        <v>1</v>
      </c>
      <c r="B914" s="18">
        <f>SUBTOTAL(103,$A$558:A914)</f>
        <v>318</v>
      </c>
      <c r="C914" s="3" t="s">
        <v>1658</v>
      </c>
      <c r="D914" s="5">
        <v>3707032</v>
      </c>
      <c r="E914" s="5">
        <f t="shared" si="230"/>
        <v>0</v>
      </c>
      <c r="F914" s="5">
        <f>G914+H914+I914+J914+K914+L914+N914+P914+R914+T914+V914+W914+X914+Y914+Z914+AA914+AB914+AC914+AD914+AE914+AF914+AG914</f>
        <v>3707032</v>
      </c>
      <c r="G914" s="5">
        <v>0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241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350</v>
      </c>
      <c r="T914" s="5">
        <v>3504465.02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f>ROUND(T914*1.5%,2)</f>
        <v>52566.98</v>
      </c>
      <c r="AF914" s="5">
        <v>150000</v>
      </c>
      <c r="AG914" s="5">
        <v>0</v>
      </c>
      <c r="AH914" s="246">
        <v>2021</v>
      </c>
      <c r="AI914" s="246">
        <v>2021</v>
      </c>
      <c r="AJ914" s="6">
        <v>2021</v>
      </c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 t="e">
        <f>VLOOKUP(C914,AY:AZ,2,FALSE)</f>
        <v>#N/A</v>
      </c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36"/>
      <c r="CC914" s="2"/>
      <c r="CD914" s="2"/>
      <c r="CE914" s="2"/>
      <c r="CF914" s="2" t="e">
        <f t="shared" si="226"/>
        <v>#N/A</v>
      </c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</row>
    <row r="915" spans="1:262" ht="61.5" x14ac:dyDescent="0.85">
      <c r="B915" s="3" t="s">
        <v>112</v>
      </c>
      <c r="C915" s="3"/>
      <c r="D915" s="244">
        <v>12199052.439999999</v>
      </c>
      <c r="E915" s="233">
        <f t="shared" si="230"/>
        <v>-13791800.219999997</v>
      </c>
      <c r="F915" s="244">
        <f t="shared" ref="F915:AG915" si="239">SUM(F916:F920)</f>
        <v>25990852.659999996</v>
      </c>
      <c r="G915" s="5">
        <f t="shared" si="239"/>
        <v>807971.21</v>
      </c>
      <c r="H915" s="5">
        <f t="shared" si="239"/>
        <v>2150667.5499999998</v>
      </c>
      <c r="I915" s="5">
        <f t="shared" si="239"/>
        <v>5403583.4100000001</v>
      </c>
      <c r="J915" s="5">
        <f t="shared" si="239"/>
        <v>2522099.34</v>
      </c>
      <c r="K915" s="5">
        <f t="shared" si="239"/>
        <v>2823224.32</v>
      </c>
      <c r="L915" s="5">
        <f t="shared" si="239"/>
        <v>0</v>
      </c>
      <c r="M915" s="241">
        <f t="shared" si="239"/>
        <v>0</v>
      </c>
      <c r="N915" s="5">
        <f t="shared" si="239"/>
        <v>0</v>
      </c>
      <c r="O915" s="5">
        <f t="shared" si="239"/>
        <v>1955.3</v>
      </c>
      <c r="P915" s="5">
        <f t="shared" si="239"/>
        <v>11434484.58</v>
      </c>
      <c r="Q915" s="5">
        <f t="shared" si="239"/>
        <v>0</v>
      </c>
      <c r="R915" s="5">
        <f t="shared" si="239"/>
        <v>0</v>
      </c>
      <c r="S915" s="5">
        <f t="shared" si="239"/>
        <v>0</v>
      </c>
      <c r="T915" s="5">
        <f t="shared" si="239"/>
        <v>0</v>
      </c>
      <c r="U915" s="5">
        <f t="shared" si="239"/>
        <v>0</v>
      </c>
      <c r="V915" s="5">
        <f t="shared" si="239"/>
        <v>0</v>
      </c>
      <c r="W915" s="5">
        <f t="shared" si="239"/>
        <v>0</v>
      </c>
      <c r="X915" s="5">
        <f t="shared" si="239"/>
        <v>0</v>
      </c>
      <c r="Y915" s="5">
        <f t="shared" si="239"/>
        <v>0</v>
      </c>
      <c r="Z915" s="5">
        <f t="shared" si="239"/>
        <v>0</v>
      </c>
      <c r="AA915" s="5">
        <f t="shared" si="239"/>
        <v>0</v>
      </c>
      <c r="AB915" s="5">
        <f t="shared" si="239"/>
        <v>0</v>
      </c>
      <c r="AC915" s="5">
        <f t="shared" si="239"/>
        <v>0</v>
      </c>
      <c r="AD915" s="5">
        <f t="shared" si="239"/>
        <v>0</v>
      </c>
      <c r="AE915" s="5">
        <f t="shared" si="239"/>
        <v>278822.25</v>
      </c>
      <c r="AF915" s="5">
        <f t="shared" si="239"/>
        <v>570000</v>
      </c>
      <c r="AG915" s="5">
        <f t="shared" si="239"/>
        <v>0</v>
      </c>
      <c r="AH915" s="23" t="s">
        <v>90</v>
      </c>
      <c r="AI915" s="23" t="s">
        <v>90</v>
      </c>
      <c r="AJ915" s="27" t="s">
        <v>90</v>
      </c>
      <c r="AV915" s="2" t="e">
        <f>VLOOKUP(C915,AY:AZ,2,FALSE)</f>
        <v>#N/A</v>
      </c>
      <c r="CB915" s="236">
        <v>12199052.439999999</v>
      </c>
      <c r="CF915" s="2" t="e">
        <f t="shared" si="226"/>
        <v>#N/A</v>
      </c>
    </row>
    <row r="916" spans="1:262" ht="61.5" x14ac:dyDescent="0.85">
      <c r="A916" s="2">
        <v>1</v>
      </c>
      <c r="B916" s="18">
        <f>SUBTOTAL(103,$A$558:A916)</f>
        <v>319</v>
      </c>
      <c r="C916" s="3" t="s">
        <v>1659</v>
      </c>
      <c r="D916" s="5">
        <v>4719977.0600000005</v>
      </c>
      <c r="E916" s="5">
        <f t="shared" si="230"/>
        <v>0</v>
      </c>
      <c r="F916" s="5">
        <f>G916+H916+I916+J916+K916+L916+N916+P916+R916+T916+V916+W916+X916+Y916+Z916+AA916+AB916+AC916+AD916+AE916+AF916+AG916</f>
        <v>4719977.0600000005</v>
      </c>
      <c r="G916" s="5">
        <v>0</v>
      </c>
      <c r="H916" s="5">
        <v>0</v>
      </c>
      <c r="I916" s="5">
        <v>3177624.7</v>
      </c>
      <c r="J916" s="5">
        <v>1177032.5</v>
      </c>
      <c r="K916" s="5">
        <v>0</v>
      </c>
      <c r="L916" s="5">
        <v>0</v>
      </c>
      <c r="M916" s="241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f>ROUND((G916+H916+I916+J916+K916+L916)*1.5%,2)</f>
        <v>65319.86</v>
      </c>
      <c r="AF916" s="5">
        <v>300000</v>
      </c>
      <c r="AG916" s="5">
        <v>0</v>
      </c>
      <c r="AH916" s="246">
        <v>2021</v>
      </c>
      <c r="AI916" s="246">
        <v>2021</v>
      </c>
      <c r="AJ916" s="6">
        <v>2021</v>
      </c>
      <c r="AV916" s="2" t="e">
        <f>VLOOKUP(C916,AY:AZ,2,FALSE)</f>
        <v>#N/A</v>
      </c>
      <c r="CB916" s="236"/>
      <c r="CF916" s="2" t="e">
        <f t="shared" si="226"/>
        <v>#N/A</v>
      </c>
    </row>
    <row r="917" spans="1:262" ht="61.5" x14ac:dyDescent="0.85">
      <c r="A917" s="2">
        <v>1</v>
      </c>
      <c r="B917" s="18">
        <f>SUBTOTAL(103,$A$558:A917)</f>
        <v>320</v>
      </c>
      <c r="C917" s="3" t="s">
        <v>1660</v>
      </c>
      <c r="D917" s="5">
        <v>3947511.93</v>
      </c>
      <c r="E917" s="5">
        <f t="shared" si="230"/>
        <v>-1254424.4099999997</v>
      </c>
      <c r="F917" s="5">
        <f>G917+H917+I917+J917+K917+L917+N917+P917+R917+T917+V917+W917+X917+Y917+Z917+AA917+AB917+AC917+AD917+AE917+AF917+AG917</f>
        <v>5201936.34</v>
      </c>
      <c r="G917" s="5">
        <v>0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241">
        <v>0</v>
      </c>
      <c r="N917" s="5">
        <v>0</v>
      </c>
      <c r="O917" s="5">
        <v>716.7</v>
      </c>
      <c r="P917" s="5">
        <f>3741391.06+1235886.12</f>
        <v>4977277.18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f>ROUND(P917*1.5%,2)</f>
        <v>74659.16</v>
      </c>
      <c r="AF917" s="5">
        <v>150000</v>
      </c>
      <c r="AG917" s="5">
        <v>0</v>
      </c>
      <c r="AH917" s="246">
        <v>2021</v>
      </c>
      <c r="AI917" s="246">
        <v>2021</v>
      </c>
      <c r="AJ917" s="6">
        <v>2021</v>
      </c>
      <c r="AV917" s="2" t="e">
        <f>VLOOKUP(C917,AY:AZ,2,FALSE)</f>
        <v>#N/A</v>
      </c>
      <c r="CB917" s="236"/>
      <c r="CF917" s="2" t="e">
        <f t="shared" si="226"/>
        <v>#N/A</v>
      </c>
    </row>
    <row r="918" spans="1:262" ht="61.5" x14ac:dyDescent="0.85">
      <c r="A918" s="2">
        <v>1</v>
      </c>
      <c r="B918" s="18">
        <f>SUBTOTAL(103,$A$558:A918)</f>
        <v>321</v>
      </c>
      <c r="C918" s="3" t="s">
        <v>1661</v>
      </c>
      <c r="D918" s="5">
        <v>3531563.4499999997</v>
      </c>
      <c r="E918" s="5">
        <f t="shared" si="230"/>
        <v>0</v>
      </c>
      <c r="F918" s="5">
        <f>G918+H918+I918+J918+K918+L918+N918+P918+R918+T918+V918+W918+X918+Y918+Z918+AA918+AB918+AC918+AD918+AE918+AF918+AG918</f>
        <v>3531563.4499999997</v>
      </c>
      <c r="G918" s="5">
        <v>0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241">
        <v>0</v>
      </c>
      <c r="N918" s="5">
        <v>0</v>
      </c>
      <c r="O918" s="5">
        <v>611.9</v>
      </c>
      <c r="P918" s="5">
        <f>3000000+361146.26</f>
        <v>3361146.26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f>ROUND(P918*1.5%,2)</f>
        <v>50417.19</v>
      </c>
      <c r="AF918" s="5">
        <v>120000</v>
      </c>
      <c r="AG918" s="5">
        <v>0</v>
      </c>
      <c r="AH918" s="246">
        <v>2021</v>
      </c>
      <c r="AI918" s="246">
        <v>2021</v>
      </c>
      <c r="AJ918" s="6">
        <v>2021</v>
      </c>
      <c r="CB918" s="236"/>
      <c r="CF918" s="2" t="e">
        <f t="shared" si="226"/>
        <v>#N/A</v>
      </c>
    </row>
    <row r="919" spans="1:262" s="239" customFormat="1" ht="61.5" x14ac:dyDescent="0.85">
      <c r="A919" s="239">
        <v>1</v>
      </c>
      <c r="B919" s="18">
        <f>SUBTOTAL(103,$A$558:A919)</f>
        <v>322</v>
      </c>
      <c r="C919" s="3" t="s">
        <v>1352</v>
      </c>
      <c r="D919" s="5">
        <v>3249292.7</v>
      </c>
      <c r="E919" s="5">
        <f t="shared" si="230"/>
        <v>106790.64000000013</v>
      </c>
      <c r="F919" s="5">
        <f t="shared" ref="F919" si="240">G919+H919+I919+J919+K919+L919+N919+P919+R919+T919+V919+W919+X919+Y919+Z919+AA919+AB919+AC919+AD919+AE919+AF919+AG919</f>
        <v>3142502.06</v>
      </c>
      <c r="G919" s="5">
        <v>0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25">
        <v>0</v>
      </c>
      <c r="N919" s="5">
        <v>0</v>
      </c>
      <c r="O919" s="5">
        <v>626.70000000000005</v>
      </c>
      <c r="P919" s="5">
        <v>3096061.14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f>ROUND(P919*1.5%,2)</f>
        <v>46440.92</v>
      </c>
      <c r="AF919" s="5">
        <v>0</v>
      </c>
      <c r="AG919" s="5">
        <v>0</v>
      </c>
      <c r="AH919" s="246" t="s">
        <v>49</v>
      </c>
      <c r="AI919" s="246">
        <v>2021</v>
      </c>
      <c r="AJ919" s="6">
        <v>2021</v>
      </c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 t="e">
        <f>VLOOKUP(C919,AY:AZ,2,FALSE)</f>
        <v>#N/A</v>
      </c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36"/>
      <c r="CC919" s="2"/>
      <c r="CD919" s="2"/>
      <c r="CE919" s="2"/>
      <c r="CF919" s="2" t="e">
        <f t="shared" si="226"/>
        <v>#N/A</v>
      </c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</row>
    <row r="920" spans="1:262" s="239" customFormat="1" ht="61.5" x14ac:dyDescent="0.85">
      <c r="A920" s="239">
        <v>1</v>
      </c>
      <c r="B920" s="18">
        <f>SUBTOTAL(103,$A$558:A920)</f>
        <v>323</v>
      </c>
      <c r="C920" s="3" t="s">
        <v>1662</v>
      </c>
      <c r="D920" s="5">
        <v>9394873.7499999981</v>
      </c>
      <c r="E920" s="5">
        <f t="shared" si="230"/>
        <v>0</v>
      </c>
      <c r="F920" s="5">
        <f>G920+H920+I920+J920+K920+L920+N920+P920+R920+T920+V920+W920+X920+Y920+Z920+AA920+AB920+AC920+AD920+AE920+AF920+AG920</f>
        <v>9394873.7499999981</v>
      </c>
      <c r="G920" s="5">
        <v>807971.21</v>
      </c>
      <c r="H920" s="5">
        <v>2150667.5499999998</v>
      </c>
      <c r="I920" s="5">
        <f>2197143.37+28815.34</f>
        <v>2225958.71</v>
      </c>
      <c r="J920" s="5">
        <v>1345066.84</v>
      </c>
      <c r="K920" s="5">
        <v>2823224.32</v>
      </c>
      <c r="L920" s="5">
        <v>0</v>
      </c>
      <c r="M920" s="2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f>ROUND((G920+H920+I920+J920+K920+L920)*0.4489%,2)</f>
        <v>41985.120000000003</v>
      </c>
      <c r="AF920" s="5">
        <v>0</v>
      </c>
      <c r="AG920" s="5">
        <v>0</v>
      </c>
      <c r="AH920" s="246" t="s">
        <v>49</v>
      </c>
      <c r="AI920" s="246">
        <v>2021</v>
      </c>
      <c r="AJ920" s="6">
        <v>2021</v>
      </c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36"/>
      <c r="CC920" s="2"/>
      <c r="CD920" s="2"/>
      <c r="CE920" s="2"/>
      <c r="CF920" s="2" t="e">
        <f t="shared" si="226"/>
        <v>#N/A</v>
      </c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</row>
    <row r="921" spans="1:262" ht="61.5" x14ac:dyDescent="0.85">
      <c r="B921" s="3" t="s">
        <v>1358</v>
      </c>
      <c r="C921" s="3"/>
      <c r="D921" s="244">
        <v>11675176.630000001</v>
      </c>
      <c r="E921" s="233">
        <f t="shared" si="230"/>
        <v>0</v>
      </c>
      <c r="F921" s="244">
        <f t="shared" ref="F921:AG921" si="241">SUM(F922:F924)</f>
        <v>11675176.630000001</v>
      </c>
      <c r="G921" s="5">
        <f t="shared" si="241"/>
        <v>0</v>
      </c>
      <c r="H921" s="5">
        <f t="shared" si="241"/>
        <v>0</v>
      </c>
      <c r="I921" s="5">
        <f t="shared" si="241"/>
        <v>0</v>
      </c>
      <c r="J921" s="5">
        <f t="shared" si="241"/>
        <v>626436.13</v>
      </c>
      <c r="K921" s="5">
        <f t="shared" si="241"/>
        <v>0</v>
      </c>
      <c r="L921" s="5">
        <f t="shared" si="241"/>
        <v>0</v>
      </c>
      <c r="M921" s="241">
        <f t="shared" si="241"/>
        <v>0</v>
      </c>
      <c r="N921" s="5">
        <f t="shared" si="241"/>
        <v>0</v>
      </c>
      <c r="O921" s="5">
        <f t="shared" si="241"/>
        <v>2246.4</v>
      </c>
      <c r="P921" s="5">
        <f t="shared" si="241"/>
        <v>10521521.140000001</v>
      </c>
      <c r="Q921" s="5">
        <f t="shared" si="241"/>
        <v>0</v>
      </c>
      <c r="R921" s="5">
        <f t="shared" si="241"/>
        <v>0</v>
      </c>
      <c r="S921" s="5">
        <f t="shared" si="241"/>
        <v>0</v>
      </c>
      <c r="T921" s="5">
        <f t="shared" si="241"/>
        <v>0</v>
      </c>
      <c r="U921" s="5">
        <f t="shared" si="241"/>
        <v>0</v>
      </c>
      <c r="V921" s="5">
        <f t="shared" si="241"/>
        <v>0</v>
      </c>
      <c r="W921" s="5">
        <f t="shared" si="241"/>
        <v>0</v>
      </c>
      <c r="X921" s="5">
        <f t="shared" si="241"/>
        <v>0</v>
      </c>
      <c r="Y921" s="5">
        <f t="shared" si="241"/>
        <v>0</v>
      </c>
      <c r="Z921" s="5">
        <f t="shared" si="241"/>
        <v>0</v>
      </c>
      <c r="AA921" s="5">
        <f t="shared" si="241"/>
        <v>0</v>
      </c>
      <c r="AB921" s="5">
        <f t="shared" si="241"/>
        <v>0</v>
      </c>
      <c r="AC921" s="5">
        <f t="shared" si="241"/>
        <v>0</v>
      </c>
      <c r="AD921" s="5">
        <f t="shared" si="241"/>
        <v>0</v>
      </c>
      <c r="AE921" s="5">
        <f t="shared" si="241"/>
        <v>167219.36000000002</v>
      </c>
      <c r="AF921" s="5">
        <f t="shared" si="241"/>
        <v>360000</v>
      </c>
      <c r="AG921" s="5">
        <f t="shared" si="241"/>
        <v>0</v>
      </c>
      <c r="AH921" s="23" t="s">
        <v>90</v>
      </c>
      <c r="AI921" s="23" t="s">
        <v>90</v>
      </c>
      <c r="AJ921" s="27" t="s">
        <v>90</v>
      </c>
      <c r="AV921" s="2" t="e">
        <f>VLOOKUP(C921,AY:AZ,2,FALSE)</f>
        <v>#N/A</v>
      </c>
      <c r="CB921" s="236">
        <v>7408727.5099999998</v>
      </c>
      <c r="CF921" s="2" t="e">
        <f t="shared" si="226"/>
        <v>#N/A</v>
      </c>
    </row>
    <row r="922" spans="1:262" ht="61.5" x14ac:dyDescent="0.85">
      <c r="A922" s="2">
        <v>1</v>
      </c>
      <c r="B922" s="18">
        <f>SUBTOTAL(103,$A$558:A922)</f>
        <v>324</v>
      </c>
      <c r="C922" s="3" t="s">
        <v>1663</v>
      </c>
      <c r="D922" s="5">
        <v>7814727.5099999998</v>
      </c>
      <c r="E922" s="5">
        <f t="shared" si="230"/>
        <v>0</v>
      </c>
      <c r="F922" s="5">
        <f>G922+H922+I922+J922+K922+L922+N922+P922+R922+T922+V922+W922+X922+Y922+Z922+AA922+AB922+AC922+AD922+AE922+AF922+AG922</f>
        <v>7814727.5099999998</v>
      </c>
      <c r="G922" s="5">
        <v>0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241">
        <v>0</v>
      </c>
      <c r="N922" s="5">
        <v>0</v>
      </c>
      <c r="O922" s="5">
        <v>1669.2</v>
      </c>
      <c r="P922" s="5">
        <v>7521899.0199999996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f>ROUND(P922*1.5%,2)</f>
        <v>112828.49</v>
      </c>
      <c r="AF922" s="5">
        <v>180000</v>
      </c>
      <c r="AG922" s="5">
        <v>0</v>
      </c>
      <c r="AH922" s="246">
        <v>2021</v>
      </c>
      <c r="AI922" s="246">
        <v>2021</v>
      </c>
      <c r="AJ922" s="6">
        <v>2021</v>
      </c>
      <c r="AV922" s="2" t="e">
        <f>VLOOKUP(C922,AY:AZ,2,FALSE)</f>
        <v>#N/A</v>
      </c>
      <c r="CB922" s="236"/>
      <c r="CF922" s="2" t="e">
        <f t="shared" si="226"/>
        <v>#N/A</v>
      </c>
    </row>
    <row r="923" spans="1:262" ht="61.5" x14ac:dyDescent="0.85">
      <c r="A923" s="2">
        <v>1</v>
      </c>
      <c r="B923" s="18">
        <f>SUBTOTAL(103,$A$558:A923)</f>
        <v>325</v>
      </c>
      <c r="C923" s="3" t="s">
        <v>1664</v>
      </c>
      <c r="D923" s="5">
        <v>3224616.45</v>
      </c>
      <c r="E923" s="5">
        <f t="shared" si="230"/>
        <v>0</v>
      </c>
      <c r="F923" s="5">
        <f>G923+H923+I923+J923+K923+L923+N923+P923+R923+T923+V923+W923+X923+Y923+Z923+AA923+AB923+AC923+AD923+AE923+AF923+AG923</f>
        <v>3224616.45</v>
      </c>
      <c r="G923" s="5">
        <v>0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241">
        <v>0</v>
      </c>
      <c r="N923" s="5">
        <v>0</v>
      </c>
      <c r="O923" s="5">
        <v>577.20000000000005</v>
      </c>
      <c r="P923" s="5">
        <v>2999622.12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f>ROUND(P923*1.5%,2)</f>
        <v>44994.33</v>
      </c>
      <c r="AF923" s="5">
        <v>180000</v>
      </c>
      <c r="AG923" s="5">
        <v>0</v>
      </c>
      <c r="AH923" s="246">
        <v>2021</v>
      </c>
      <c r="AI923" s="246">
        <v>2021</v>
      </c>
      <c r="AJ923" s="6">
        <v>2021</v>
      </c>
      <c r="AV923" s="2" t="e">
        <f>VLOOKUP(C923,AY:AZ,2,FALSE)</f>
        <v>#N/A</v>
      </c>
      <c r="CB923" s="236"/>
      <c r="CF923" s="2" t="e">
        <f t="shared" si="226"/>
        <v>#N/A</v>
      </c>
    </row>
    <row r="924" spans="1:262" ht="61.5" x14ac:dyDescent="0.85">
      <c r="A924" s="2">
        <v>1</v>
      </c>
      <c r="B924" s="18">
        <f>SUBTOTAL(103,$A$558:A924)</f>
        <v>326</v>
      </c>
      <c r="C924" s="3" t="s">
        <v>1360</v>
      </c>
      <c r="D924" s="5">
        <v>635832.67000000004</v>
      </c>
      <c r="E924" s="5">
        <f t="shared" si="230"/>
        <v>0</v>
      </c>
      <c r="F924" s="5">
        <f>G924+H924+I924+J924+K924+L924+N924+P924+R924+T924+V924+W924+X924+Y924+Z924+AA924+AB924+AC924+AD924+AE924+AF924+AG924</f>
        <v>635832.67000000004</v>
      </c>
      <c r="G924" s="5">
        <v>0</v>
      </c>
      <c r="H924" s="5">
        <v>0</v>
      </c>
      <c r="I924" s="7">
        <v>0</v>
      </c>
      <c r="J924" s="5">
        <f>523667.25+102768.88</f>
        <v>626436.13</v>
      </c>
      <c r="K924" s="5">
        <v>0</v>
      </c>
      <c r="L924" s="5">
        <v>0</v>
      </c>
      <c r="M924" s="241">
        <v>0</v>
      </c>
      <c r="N924" s="5">
        <v>0</v>
      </c>
      <c r="O924" s="7">
        <v>0</v>
      </c>
      <c r="P924" s="7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f>ROUND((G924+H924+I924+J924+K924+L924)*1.5%,2)</f>
        <v>9396.5400000000009</v>
      </c>
      <c r="AF924" s="5">
        <v>0</v>
      </c>
      <c r="AG924" s="5">
        <v>0</v>
      </c>
      <c r="AH924" s="246" t="s">
        <v>49</v>
      </c>
      <c r="AI924" s="246">
        <v>2021</v>
      </c>
      <c r="AJ924" s="6">
        <v>2021</v>
      </c>
      <c r="CB924" s="236"/>
      <c r="CF924" s="2" t="e">
        <f t="shared" si="226"/>
        <v>#N/A</v>
      </c>
    </row>
    <row r="925" spans="1:262" ht="61.5" x14ac:dyDescent="0.85">
      <c r="B925" s="3" t="s">
        <v>1361</v>
      </c>
      <c r="C925" s="3"/>
      <c r="D925" s="244">
        <v>2311215.4500000002</v>
      </c>
      <c r="E925" s="233">
        <f t="shared" si="230"/>
        <v>0</v>
      </c>
      <c r="F925" s="244">
        <f t="shared" ref="F925:AG925" si="242">F926</f>
        <v>2311215.4500000002</v>
      </c>
      <c r="G925" s="5">
        <f t="shared" si="242"/>
        <v>0</v>
      </c>
      <c r="H925" s="5">
        <f t="shared" si="242"/>
        <v>0</v>
      </c>
      <c r="I925" s="5">
        <f t="shared" si="242"/>
        <v>0</v>
      </c>
      <c r="J925" s="5">
        <f t="shared" si="242"/>
        <v>0</v>
      </c>
      <c r="K925" s="5">
        <f t="shared" si="242"/>
        <v>0</v>
      </c>
      <c r="L925" s="5">
        <f t="shared" si="242"/>
        <v>0</v>
      </c>
      <c r="M925" s="241">
        <f t="shared" si="242"/>
        <v>0</v>
      </c>
      <c r="N925" s="5">
        <f t="shared" si="242"/>
        <v>0</v>
      </c>
      <c r="O925" s="5">
        <f t="shared" si="242"/>
        <v>444</v>
      </c>
      <c r="P925" s="5">
        <f t="shared" si="242"/>
        <v>2158832.96</v>
      </c>
      <c r="Q925" s="5">
        <f t="shared" si="242"/>
        <v>0</v>
      </c>
      <c r="R925" s="5">
        <f t="shared" si="242"/>
        <v>0</v>
      </c>
      <c r="S925" s="5">
        <f t="shared" si="242"/>
        <v>0</v>
      </c>
      <c r="T925" s="5">
        <f t="shared" si="242"/>
        <v>0</v>
      </c>
      <c r="U925" s="5">
        <f t="shared" si="242"/>
        <v>0</v>
      </c>
      <c r="V925" s="5">
        <f t="shared" si="242"/>
        <v>0</v>
      </c>
      <c r="W925" s="5">
        <f t="shared" si="242"/>
        <v>0</v>
      </c>
      <c r="X925" s="5">
        <f t="shared" si="242"/>
        <v>0</v>
      </c>
      <c r="Y925" s="5">
        <f t="shared" si="242"/>
        <v>0</v>
      </c>
      <c r="Z925" s="5">
        <f t="shared" si="242"/>
        <v>0</v>
      </c>
      <c r="AA925" s="5">
        <f t="shared" si="242"/>
        <v>0</v>
      </c>
      <c r="AB925" s="5">
        <f t="shared" si="242"/>
        <v>0</v>
      </c>
      <c r="AC925" s="5">
        <f t="shared" si="242"/>
        <v>0</v>
      </c>
      <c r="AD925" s="5">
        <f t="shared" si="242"/>
        <v>0</v>
      </c>
      <c r="AE925" s="5">
        <f t="shared" si="242"/>
        <v>32382.49</v>
      </c>
      <c r="AF925" s="5">
        <f t="shared" si="242"/>
        <v>120000</v>
      </c>
      <c r="AG925" s="5">
        <f t="shared" si="242"/>
        <v>0</v>
      </c>
      <c r="AH925" s="23" t="s">
        <v>90</v>
      </c>
      <c r="AI925" s="23" t="s">
        <v>90</v>
      </c>
      <c r="AJ925" s="27" t="s">
        <v>90</v>
      </c>
      <c r="AV925" s="2" t="e">
        <f t="shared" ref="AV925:AV932" si="243">VLOOKUP(C925,AY:AZ,2,FALSE)</f>
        <v>#N/A</v>
      </c>
      <c r="CB925" s="236">
        <v>2311215.4500000002</v>
      </c>
      <c r="CF925" s="2" t="e">
        <f t="shared" si="226"/>
        <v>#N/A</v>
      </c>
    </row>
    <row r="926" spans="1:262" ht="61.5" x14ac:dyDescent="0.85">
      <c r="A926" s="2">
        <v>1</v>
      </c>
      <c r="B926" s="18">
        <f>SUBTOTAL(103,$A$558:A926)</f>
        <v>327</v>
      </c>
      <c r="C926" s="3" t="s">
        <v>1665</v>
      </c>
      <c r="D926" s="5">
        <v>2311215.4500000002</v>
      </c>
      <c r="E926" s="5">
        <f t="shared" si="230"/>
        <v>0</v>
      </c>
      <c r="F926" s="5">
        <f>G926+H926+I926+J926+K926+L926+N926+P926+R926+T926+V926+W926+X926+Y926+Z926+AA926+AB926+AC926+AD926+AE926+AF926+AG926</f>
        <v>2311215.4500000002</v>
      </c>
      <c r="G926" s="5">
        <v>0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241">
        <v>0</v>
      </c>
      <c r="N926" s="5">
        <v>0</v>
      </c>
      <c r="O926" s="5">
        <v>444</v>
      </c>
      <c r="P926" s="5">
        <v>2158832.96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f>ROUND(P926*1.5%,2)</f>
        <v>32382.49</v>
      </c>
      <c r="AF926" s="5">
        <v>120000</v>
      </c>
      <c r="AG926" s="5">
        <v>0</v>
      </c>
      <c r="AH926" s="246">
        <v>2021</v>
      </c>
      <c r="AI926" s="246">
        <v>2021</v>
      </c>
      <c r="AJ926" s="6">
        <v>2021</v>
      </c>
      <c r="AV926" s="2" t="e">
        <f t="shared" si="243"/>
        <v>#N/A</v>
      </c>
      <c r="CB926" s="236"/>
      <c r="CF926" s="2" t="e">
        <f t="shared" si="226"/>
        <v>#N/A</v>
      </c>
    </row>
    <row r="927" spans="1:262" ht="61.5" x14ac:dyDescent="0.85">
      <c r="B927" s="3" t="s">
        <v>113</v>
      </c>
      <c r="C927" s="3"/>
      <c r="D927" s="244">
        <v>16487311.32</v>
      </c>
      <c r="E927" s="233">
        <f t="shared" si="230"/>
        <v>-10208209.530000001</v>
      </c>
      <c r="F927" s="244">
        <f t="shared" ref="F927:AG927" si="244">SUM(F928:F934)</f>
        <v>26695520.850000001</v>
      </c>
      <c r="G927" s="5">
        <f t="shared" si="244"/>
        <v>0</v>
      </c>
      <c r="H927" s="5">
        <f t="shared" si="244"/>
        <v>0</v>
      </c>
      <c r="I927" s="5">
        <f t="shared" si="244"/>
        <v>0</v>
      </c>
      <c r="J927" s="5">
        <f t="shared" si="244"/>
        <v>0</v>
      </c>
      <c r="K927" s="5">
        <f t="shared" si="244"/>
        <v>0</v>
      </c>
      <c r="L927" s="5">
        <f t="shared" si="244"/>
        <v>0</v>
      </c>
      <c r="M927" s="241">
        <f t="shared" si="244"/>
        <v>0</v>
      </c>
      <c r="N927" s="5">
        <f t="shared" si="244"/>
        <v>0</v>
      </c>
      <c r="O927" s="5">
        <f t="shared" si="244"/>
        <v>4054.2999999999997</v>
      </c>
      <c r="P927" s="5">
        <f t="shared" si="244"/>
        <v>21549137.510000002</v>
      </c>
      <c r="Q927" s="5">
        <f t="shared" si="244"/>
        <v>0</v>
      </c>
      <c r="R927" s="5">
        <f t="shared" si="244"/>
        <v>0</v>
      </c>
      <c r="S927" s="5">
        <f t="shared" si="244"/>
        <v>2886.45</v>
      </c>
      <c r="T927" s="5">
        <f t="shared" si="244"/>
        <v>4308518.51</v>
      </c>
      <c r="U927" s="5">
        <f t="shared" si="244"/>
        <v>0</v>
      </c>
      <c r="V927" s="5">
        <f t="shared" si="244"/>
        <v>0</v>
      </c>
      <c r="W927" s="5">
        <f t="shared" si="244"/>
        <v>0</v>
      </c>
      <c r="X927" s="5">
        <f t="shared" si="244"/>
        <v>0</v>
      </c>
      <c r="Y927" s="5">
        <f t="shared" si="244"/>
        <v>0</v>
      </c>
      <c r="Z927" s="5">
        <f t="shared" si="244"/>
        <v>0</v>
      </c>
      <c r="AA927" s="5">
        <f t="shared" si="244"/>
        <v>0</v>
      </c>
      <c r="AB927" s="5">
        <f t="shared" si="244"/>
        <v>0</v>
      </c>
      <c r="AC927" s="5">
        <f t="shared" si="244"/>
        <v>0</v>
      </c>
      <c r="AD927" s="5">
        <f t="shared" si="244"/>
        <v>0</v>
      </c>
      <c r="AE927" s="5">
        <f t="shared" si="244"/>
        <v>387864.82999999996</v>
      </c>
      <c r="AF927" s="5">
        <f t="shared" si="244"/>
        <v>450000</v>
      </c>
      <c r="AG927" s="5">
        <f t="shared" si="244"/>
        <v>0</v>
      </c>
      <c r="AH927" s="23" t="s">
        <v>90</v>
      </c>
      <c r="AI927" s="23" t="s">
        <v>90</v>
      </c>
      <c r="AJ927" s="27" t="s">
        <v>90</v>
      </c>
      <c r="AV927" s="2" t="e">
        <f t="shared" si="243"/>
        <v>#N/A</v>
      </c>
      <c r="CB927" s="236">
        <v>16487311.32</v>
      </c>
      <c r="CF927" s="2" t="e">
        <f t="shared" si="226"/>
        <v>#N/A</v>
      </c>
    </row>
    <row r="928" spans="1:262" ht="61.5" x14ac:dyDescent="0.85">
      <c r="A928" s="2">
        <v>1</v>
      </c>
      <c r="B928" s="18">
        <f>SUBTOTAL(103,$A$558:A928)</f>
        <v>328</v>
      </c>
      <c r="C928" s="3" t="s">
        <v>1666</v>
      </c>
      <c r="D928" s="5">
        <v>3462053.4</v>
      </c>
      <c r="E928" s="5">
        <f t="shared" si="230"/>
        <v>-507500</v>
      </c>
      <c r="F928" s="5">
        <f>G928+H928+I928+J928+K928+L928+N928+P928+R928+T928+V928+W928+X928+Y928+Z928+AA928+AB928+AC928+AD928+AE928+AF928+AG928</f>
        <v>3969553.4</v>
      </c>
      <c r="G928" s="5">
        <v>0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241">
        <v>0</v>
      </c>
      <c r="N928" s="5">
        <v>0</v>
      </c>
      <c r="O928" s="5">
        <v>663</v>
      </c>
      <c r="P928" s="5">
        <f>3263106.8+500000</f>
        <v>3763106.8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f>ROUND(P928*1.5%,2)</f>
        <v>56446.6</v>
      </c>
      <c r="AF928" s="5">
        <v>150000</v>
      </c>
      <c r="AG928" s="5">
        <v>0</v>
      </c>
      <c r="AH928" s="246">
        <v>2021</v>
      </c>
      <c r="AI928" s="246">
        <v>2021</v>
      </c>
      <c r="AJ928" s="6">
        <v>2021</v>
      </c>
      <c r="AV928" s="2" t="e">
        <f t="shared" si="243"/>
        <v>#N/A</v>
      </c>
      <c r="CB928" s="236"/>
      <c r="CF928" s="2" t="e">
        <f t="shared" si="226"/>
        <v>#N/A</v>
      </c>
    </row>
    <row r="929" spans="1:262" ht="61.5" x14ac:dyDescent="0.85">
      <c r="A929" s="2">
        <v>1</v>
      </c>
      <c r="B929" s="18">
        <f>SUBTOTAL(103,$A$558:A929)</f>
        <v>329</v>
      </c>
      <c r="C929" s="3" t="s">
        <v>1667</v>
      </c>
      <c r="D929" s="5">
        <v>3446388</v>
      </c>
      <c r="E929" s="5">
        <f t="shared" si="230"/>
        <v>-388382.50000000047</v>
      </c>
      <c r="F929" s="5">
        <f>G929+H929+I929+J929+K929+L929+N929+P929+R929+T929+V929+W929+X929+Y929+Z929+AA929+AB929+AC929+AD929+AE929+AF929+AG929</f>
        <v>3834770.5000000005</v>
      </c>
      <c r="G929" s="5">
        <v>0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241">
        <v>0</v>
      </c>
      <c r="N929" s="5">
        <v>0</v>
      </c>
      <c r="O929" s="5">
        <v>660</v>
      </c>
      <c r="P929" s="5">
        <f>3247672.91+382642.85</f>
        <v>3630315.7600000002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f>ROUND(P929*1.5%,2)</f>
        <v>54454.74</v>
      </c>
      <c r="AF929" s="5">
        <v>150000</v>
      </c>
      <c r="AG929" s="5">
        <v>0</v>
      </c>
      <c r="AH929" s="246">
        <v>2021</v>
      </c>
      <c r="AI929" s="246">
        <v>2021</v>
      </c>
      <c r="AJ929" s="6">
        <v>2021</v>
      </c>
      <c r="AV929" s="2" t="e">
        <f t="shared" si="243"/>
        <v>#N/A</v>
      </c>
      <c r="CB929" s="236"/>
      <c r="CF929" s="2" t="e">
        <f t="shared" si="226"/>
        <v>#N/A</v>
      </c>
    </row>
    <row r="930" spans="1:262" ht="61.5" x14ac:dyDescent="0.85">
      <c r="A930" s="2">
        <v>1</v>
      </c>
      <c r="B930" s="18">
        <f>SUBTOTAL(103,$A$558:A930)</f>
        <v>330</v>
      </c>
      <c r="C930" s="3" t="s">
        <v>1368</v>
      </c>
      <c r="D930" s="5">
        <v>3378504.6</v>
      </c>
      <c r="E930" s="5">
        <f t="shared" si="230"/>
        <v>87189.549999999814</v>
      </c>
      <c r="F930" s="5">
        <f>G930+H930+I930+J930+K930+L930+N930+P930+R930+T930+V930+W930+X930+Y930+Z930+AA930+AB930+AC930+AD930+AE930+AF930+AG930</f>
        <v>3291315.0500000003</v>
      </c>
      <c r="G930" s="5">
        <v>0</v>
      </c>
      <c r="H930" s="5">
        <v>0</v>
      </c>
      <c r="I930" s="5">
        <v>0</v>
      </c>
      <c r="J930" s="5">
        <v>0</v>
      </c>
      <c r="K930" s="5">
        <v>0</v>
      </c>
      <c r="L930" s="5">
        <v>0</v>
      </c>
      <c r="M930" s="241">
        <v>0</v>
      </c>
      <c r="N930" s="5">
        <v>0</v>
      </c>
      <c r="O930" s="5">
        <v>647</v>
      </c>
      <c r="P930" s="5">
        <f>3180792.71+61882.22</f>
        <v>3242674.93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f>ROUND(P930*1.5%,2)</f>
        <v>48640.12</v>
      </c>
      <c r="AF930" s="5">
        <v>0</v>
      </c>
      <c r="AG930" s="5">
        <v>0</v>
      </c>
      <c r="AH930" s="246" t="s">
        <v>49</v>
      </c>
      <c r="AI930" s="246">
        <v>2021</v>
      </c>
      <c r="AJ930" s="6">
        <v>2021</v>
      </c>
      <c r="AV930" s="2" t="e">
        <f t="shared" si="243"/>
        <v>#N/A</v>
      </c>
      <c r="CB930" s="236"/>
      <c r="CF930" s="2" t="e">
        <f t="shared" si="226"/>
        <v>#N/A</v>
      </c>
    </row>
    <row r="931" spans="1:262" ht="61.5" x14ac:dyDescent="0.85">
      <c r="A931" s="2">
        <v>1</v>
      </c>
      <c r="B931" s="18">
        <f>SUBTOTAL(103,$A$558:A931)</f>
        <v>331</v>
      </c>
      <c r="C931" s="3" t="s">
        <v>1668</v>
      </c>
      <c r="D931" s="5">
        <v>2799929.1599999997</v>
      </c>
      <c r="E931" s="5">
        <f t="shared" si="230"/>
        <v>0</v>
      </c>
      <c r="F931" s="5">
        <f>G931+H931+I931+J931+K931+L931+N931+P931+R931+T931+V931+W931+X931+Y931+Z931+AA931+AB931+AC931+AD931+AE931+AF931+AG931</f>
        <v>2799929.1599999997</v>
      </c>
      <c r="G931" s="5">
        <v>0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241">
        <v>0</v>
      </c>
      <c r="N931" s="5">
        <v>0</v>
      </c>
      <c r="O931" s="5">
        <v>536.20000000000005</v>
      </c>
      <c r="P931" s="5">
        <v>2610767.65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f>ROUND(P931*1.5%,2)</f>
        <v>39161.51</v>
      </c>
      <c r="AF931" s="5">
        <v>150000</v>
      </c>
      <c r="AG931" s="5">
        <v>0</v>
      </c>
      <c r="AH931" s="246">
        <v>2021</v>
      </c>
      <c r="AI931" s="246">
        <v>2021</v>
      </c>
      <c r="AJ931" s="6">
        <v>2021</v>
      </c>
      <c r="AV931" s="2" t="e">
        <f t="shared" si="243"/>
        <v>#N/A</v>
      </c>
      <c r="CB931" s="236"/>
      <c r="CF931" s="2" t="e">
        <f t="shared" si="226"/>
        <v>#N/A</v>
      </c>
    </row>
    <row r="932" spans="1:262" ht="61.5" x14ac:dyDescent="0.85">
      <c r="A932" s="2">
        <v>1</v>
      </c>
      <c r="B932" s="18">
        <f>SUBTOTAL(103,$A$558:A932)</f>
        <v>332</v>
      </c>
      <c r="C932" s="3" t="s">
        <v>1367</v>
      </c>
      <c r="D932" s="5">
        <v>3400436.16</v>
      </c>
      <c r="E932" s="5">
        <f t="shared" si="230"/>
        <v>87656.100000000093</v>
      </c>
      <c r="F932" s="5">
        <f>G932+H932+I932+J932+K932+L932+N932+P932+R932+T932+V932+W932+X932+Y932+Z932+AA932+AB932+AC932+AD932+AE932+AF932+AG932</f>
        <v>3312780.06</v>
      </c>
      <c r="G932" s="5">
        <v>0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241">
        <v>0</v>
      </c>
      <c r="N932" s="5">
        <v>0</v>
      </c>
      <c r="O932" s="5">
        <v>651.20000000000005</v>
      </c>
      <c r="P932" s="5">
        <f>3202400.16+61422.56</f>
        <v>3263822.72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f>ROUND(P932*1.5%,2)</f>
        <v>48957.34</v>
      </c>
      <c r="AF932" s="5">
        <v>0</v>
      </c>
      <c r="AG932" s="5">
        <v>0</v>
      </c>
      <c r="AH932" s="246" t="s">
        <v>49</v>
      </c>
      <c r="AI932" s="246">
        <v>2021</v>
      </c>
      <c r="AJ932" s="6">
        <v>2021</v>
      </c>
      <c r="AV932" s="2" t="e">
        <f t="shared" si="243"/>
        <v>#N/A</v>
      </c>
      <c r="CB932" s="236"/>
      <c r="CF932" s="2" t="e">
        <f t="shared" si="226"/>
        <v>#N/A</v>
      </c>
    </row>
    <row r="933" spans="1:262" s="239" customFormat="1" ht="61.5" x14ac:dyDescent="0.85">
      <c r="A933" s="239">
        <v>1</v>
      </c>
      <c r="B933" s="18">
        <f>SUBTOTAL(103,$A$558:A933)</f>
        <v>333</v>
      </c>
      <c r="C933" s="3" t="s">
        <v>1669</v>
      </c>
      <c r="D933" s="5">
        <v>4373146.29</v>
      </c>
      <c r="E933" s="5">
        <f t="shared" si="230"/>
        <v>0</v>
      </c>
      <c r="F933" s="5">
        <f t="shared" ref="F933:F934" si="245">G933+H933+I933+J933+K933+L933+N933+P933+R933+T933+V933+W933+X933+Y933+Z933+AA933+AB933+AC933+AD933+AE933+AF933+AG933</f>
        <v>4373146.29</v>
      </c>
      <c r="G933" s="5">
        <v>0</v>
      </c>
      <c r="H933" s="5">
        <v>0</v>
      </c>
      <c r="I933" s="5">
        <v>0</v>
      </c>
      <c r="J933" s="5">
        <v>0</v>
      </c>
      <c r="K933" s="5">
        <v>0</v>
      </c>
      <c r="L933" s="5">
        <v>0</v>
      </c>
      <c r="M933" s="2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2886.45</v>
      </c>
      <c r="T933" s="5">
        <v>4308518.51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f>ROUND(T933*1.5%,2)</f>
        <v>64627.78</v>
      </c>
      <c r="AF933" s="5">
        <v>0</v>
      </c>
      <c r="AG933" s="5">
        <v>0</v>
      </c>
      <c r="AH933" s="246" t="s">
        <v>49</v>
      </c>
      <c r="AI933" s="246">
        <v>2021</v>
      </c>
      <c r="AJ933" s="6">
        <v>2021</v>
      </c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36"/>
      <c r="CC933" s="2"/>
      <c r="CD933" s="2"/>
      <c r="CE933" s="2"/>
      <c r="CF933" s="2" t="e">
        <f t="shared" si="226"/>
        <v>#N/A</v>
      </c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</row>
    <row r="934" spans="1:262" s="239" customFormat="1" ht="61.5" x14ac:dyDescent="0.85">
      <c r="A934" s="239">
        <v>1</v>
      </c>
      <c r="B934" s="18">
        <f>SUBTOTAL(103,$A$558:A934)</f>
        <v>334</v>
      </c>
      <c r="C934" s="3" t="s">
        <v>1365</v>
      </c>
      <c r="D934" s="5">
        <v>5245064.0000000009</v>
      </c>
      <c r="E934" s="5">
        <v>0</v>
      </c>
      <c r="F934" s="5">
        <f t="shared" si="245"/>
        <v>5114026.3900000006</v>
      </c>
      <c r="G934" s="5">
        <v>0</v>
      </c>
      <c r="H934" s="5">
        <v>0</v>
      </c>
      <c r="I934" s="5">
        <v>0</v>
      </c>
      <c r="J934" s="5">
        <v>0</v>
      </c>
      <c r="K934" s="5">
        <v>0</v>
      </c>
      <c r="L934" s="5">
        <v>0</v>
      </c>
      <c r="M934" s="25">
        <v>0</v>
      </c>
      <c r="N934" s="5">
        <v>0</v>
      </c>
      <c r="O934" s="5">
        <v>896.9</v>
      </c>
      <c r="P934" s="5">
        <v>5038449.6500000004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f t="shared" ref="AE934" si="246">ROUND(P934*1.5%,2)</f>
        <v>75576.740000000005</v>
      </c>
      <c r="AF934" s="5">
        <v>0</v>
      </c>
      <c r="AG934" s="5">
        <v>0</v>
      </c>
      <c r="AH934" s="246" t="s">
        <v>49</v>
      </c>
      <c r="AI934" s="246">
        <v>2021</v>
      </c>
      <c r="AJ934" s="6">
        <v>2021</v>
      </c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>
        <v>1</v>
      </c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36"/>
      <c r="CC934" s="2"/>
      <c r="CD934" s="2"/>
      <c r="CE934" s="2"/>
      <c r="CF934" s="2" t="e">
        <v>#N/A</v>
      </c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</row>
    <row r="935" spans="1:262" ht="61.5" x14ac:dyDescent="0.85">
      <c r="B935" s="3" t="s">
        <v>1369</v>
      </c>
      <c r="C935" s="442"/>
      <c r="D935" s="244">
        <v>8165392.25</v>
      </c>
      <c r="E935" s="233">
        <f t="shared" ref="E935:E998" si="247">D935-F935</f>
        <v>0</v>
      </c>
      <c r="F935" s="244">
        <f>SUM(F936:F938)</f>
        <v>8165392.25</v>
      </c>
      <c r="G935" s="5">
        <f t="shared" ref="G935:AG935" si="248">SUM(G936:G938)</f>
        <v>0</v>
      </c>
      <c r="H935" s="5">
        <f t="shared" si="248"/>
        <v>0</v>
      </c>
      <c r="I935" s="5">
        <f t="shared" si="248"/>
        <v>0</v>
      </c>
      <c r="J935" s="5">
        <f t="shared" si="248"/>
        <v>0</v>
      </c>
      <c r="K935" s="5">
        <f t="shared" si="248"/>
        <v>0</v>
      </c>
      <c r="L935" s="5">
        <f t="shared" si="248"/>
        <v>0</v>
      </c>
      <c r="M935" s="241">
        <f t="shared" si="248"/>
        <v>0</v>
      </c>
      <c r="N935" s="5">
        <f t="shared" si="248"/>
        <v>0</v>
      </c>
      <c r="O935" s="5">
        <f t="shared" si="248"/>
        <v>1783</v>
      </c>
      <c r="P935" s="5">
        <f t="shared" si="248"/>
        <v>7630928.3300000001</v>
      </c>
      <c r="Q935" s="5">
        <f t="shared" si="248"/>
        <v>0</v>
      </c>
      <c r="R935" s="5">
        <f t="shared" si="248"/>
        <v>0</v>
      </c>
      <c r="S935" s="5">
        <f t="shared" si="248"/>
        <v>0</v>
      </c>
      <c r="T935" s="5">
        <f t="shared" si="248"/>
        <v>0</v>
      </c>
      <c r="U935" s="5">
        <f t="shared" si="248"/>
        <v>0</v>
      </c>
      <c r="V935" s="5">
        <f t="shared" si="248"/>
        <v>0</v>
      </c>
      <c r="W935" s="5">
        <f t="shared" si="248"/>
        <v>0</v>
      </c>
      <c r="X935" s="5">
        <f t="shared" si="248"/>
        <v>0</v>
      </c>
      <c r="Y935" s="5">
        <f t="shared" si="248"/>
        <v>0</v>
      </c>
      <c r="Z935" s="5">
        <f t="shared" si="248"/>
        <v>0</v>
      </c>
      <c r="AA935" s="5">
        <f t="shared" si="248"/>
        <v>0</v>
      </c>
      <c r="AB935" s="5">
        <f t="shared" si="248"/>
        <v>0</v>
      </c>
      <c r="AC935" s="5">
        <f t="shared" si="248"/>
        <v>0</v>
      </c>
      <c r="AD935" s="5">
        <f t="shared" si="248"/>
        <v>0</v>
      </c>
      <c r="AE935" s="5">
        <f t="shared" si="248"/>
        <v>114463.92</v>
      </c>
      <c r="AF935" s="5">
        <f t="shared" si="248"/>
        <v>420000</v>
      </c>
      <c r="AG935" s="5">
        <f t="shared" si="248"/>
        <v>0</v>
      </c>
      <c r="AH935" s="23" t="s">
        <v>90</v>
      </c>
      <c r="AI935" s="23" t="s">
        <v>90</v>
      </c>
      <c r="AJ935" s="27" t="s">
        <v>90</v>
      </c>
      <c r="AV935" s="2" t="e">
        <f>VLOOKUP(C935,AY:AZ,2,FALSE)</f>
        <v>#N/A</v>
      </c>
      <c r="CB935" s="236">
        <v>6032850.6600000001</v>
      </c>
      <c r="CF935" s="2" t="e">
        <f t="shared" ref="CF935:CF942" si="249">VLOOKUP(C935,CG:CH,2,FALSE)</f>
        <v>#N/A</v>
      </c>
    </row>
    <row r="936" spans="1:262" ht="61.5" x14ac:dyDescent="0.85">
      <c r="A936" s="2">
        <v>1</v>
      </c>
      <c r="B936" s="18">
        <f>SUBTOTAL(103,$A$558:A936)</f>
        <v>335</v>
      </c>
      <c r="C936" s="3" t="s">
        <v>1670</v>
      </c>
      <c r="D936" s="5">
        <v>4231329.66</v>
      </c>
      <c r="E936" s="5">
        <f t="shared" si="247"/>
        <v>0</v>
      </c>
      <c r="F936" s="5">
        <f>G936+H936+I936+J936+K936+L936+N936+P936+R936+T936+V936+W936+X936+Y936+Z936+AA936+AB936+AC936+AD936+AE936+AF936+AG936</f>
        <v>4231329.66</v>
      </c>
      <c r="G936" s="5">
        <v>0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241">
        <v>0</v>
      </c>
      <c r="N936" s="5">
        <v>0</v>
      </c>
      <c r="O936" s="5">
        <v>858</v>
      </c>
      <c r="P936" s="5">
        <v>4021014.44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f>ROUND(P936*1.5%,2)</f>
        <v>60315.22</v>
      </c>
      <c r="AF936" s="5">
        <v>150000</v>
      </c>
      <c r="AG936" s="5">
        <v>0</v>
      </c>
      <c r="AH936" s="246">
        <v>2021</v>
      </c>
      <c r="AI936" s="246">
        <v>2021</v>
      </c>
      <c r="AJ936" s="6">
        <v>2021</v>
      </c>
      <c r="AV936" s="2" t="e">
        <f>VLOOKUP(C936,AY:AZ,2,FALSE)</f>
        <v>#N/A</v>
      </c>
      <c r="CB936" s="236"/>
      <c r="CF936" s="2" t="e">
        <f t="shared" si="249"/>
        <v>#N/A</v>
      </c>
    </row>
    <row r="937" spans="1:262" ht="61.5" x14ac:dyDescent="0.85">
      <c r="A937" s="2">
        <v>1</v>
      </c>
      <c r="B937" s="18">
        <f>SUBTOTAL(103,$A$558:A937)</f>
        <v>336</v>
      </c>
      <c r="C937" s="3" t="s">
        <v>1671</v>
      </c>
      <c r="D937" s="5">
        <v>1801521</v>
      </c>
      <c r="E937" s="5">
        <f t="shared" si="247"/>
        <v>0</v>
      </c>
      <c r="F937" s="5">
        <f>G937+H937+I937+J937+K937+L937+N937+P937+R937+T937+V937+W937+X937+Y937+Z937+AA937+AB937+AC937+AD937+AE937+AF937+AG937</f>
        <v>1801521</v>
      </c>
      <c r="G937" s="5">
        <v>0</v>
      </c>
      <c r="H937" s="5">
        <v>0</v>
      </c>
      <c r="I937" s="5">
        <v>0</v>
      </c>
      <c r="J937" s="5">
        <v>0</v>
      </c>
      <c r="K937" s="5">
        <v>0</v>
      </c>
      <c r="L937" s="5">
        <v>0</v>
      </c>
      <c r="M937" s="241">
        <v>0</v>
      </c>
      <c r="N937" s="5">
        <v>0</v>
      </c>
      <c r="O937" s="5">
        <v>345</v>
      </c>
      <c r="P937" s="5">
        <v>1656670.94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f>ROUND(P937*1.5%,2)</f>
        <v>24850.06</v>
      </c>
      <c r="AF937" s="5">
        <v>120000</v>
      </c>
      <c r="AG937" s="5">
        <v>0</v>
      </c>
      <c r="AH937" s="246">
        <v>2021</v>
      </c>
      <c r="AI937" s="246">
        <v>2021</v>
      </c>
      <c r="AJ937" s="6">
        <v>2021</v>
      </c>
      <c r="AV937" s="2" t="e">
        <f>VLOOKUP(C937,AY:AZ,2,FALSE)</f>
        <v>#N/A</v>
      </c>
      <c r="CB937" s="236"/>
      <c r="CF937" s="2" t="e">
        <f t="shared" si="249"/>
        <v>#N/A</v>
      </c>
    </row>
    <row r="938" spans="1:262" ht="61.5" x14ac:dyDescent="0.85">
      <c r="A938" s="2">
        <v>1</v>
      </c>
      <c r="B938" s="18">
        <f>SUBTOTAL(103,$A$558:A938)</f>
        <v>337</v>
      </c>
      <c r="C938" s="3" t="s">
        <v>1672</v>
      </c>
      <c r="D938" s="5">
        <v>2132541.59</v>
      </c>
      <c r="E938" s="5">
        <f t="shared" si="247"/>
        <v>0</v>
      </c>
      <c r="F938" s="5">
        <f>G938+H938+I938+J938+K938+L938+N938+P938+R938+T938+V938+W938+X938+Y938+Z938+AA938+AB938+AC938+AD938+AE938+AF938+AG938</f>
        <v>2132541.59</v>
      </c>
      <c r="G938" s="5">
        <v>0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241">
        <v>0</v>
      </c>
      <c r="N938" s="5">
        <v>0</v>
      </c>
      <c r="O938" s="5">
        <v>580</v>
      </c>
      <c r="P938" s="5">
        <v>1953242.95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f>ROUND(P938*1.5%,2)</f>
        <v>29298.639999999999</v>
      </c>
      <c r="AF938" s="5">
        <v>150000</v>
      </c>
      <c r="AG938" s="5">
        <v>0</v>
      </c>
      <c r="AH938" s="246">
        <v>2021</v>
      </c>
      <c r="AI938" s="246">
        <v>2021</v>
      </c>
      <c r="AJ938" s="6">
        <v>2021</v>
      </c>
      <c r="AV938" s="2" t="e">
        <f>VLOOKUP(C938,AY:AZ,2,FALSE)</f>
        <v>#N/A</v>
      </c>
      <c r="CB938" s="236"/>
      <c r="CF938" s="2" t="e">
        <f t="shared" si="249"/>
        <v>#N/A</v>
      </c>
    </row>
    <row r="939" spans="1:262" ht="61.5" x14ac:dyDescent="0.85">
      <c r="B939" s="3" t="s">
        <v>237</v>
      </c>
      <c r="C939" s="442"/>
      <c r="D939" s="244">
        <v>0</v>
      </c>
      <c r="E939" s="233">
        <f t="shared" si="247"/>
        <v>-4934808.43</v>
      </c>
      <c r="F939" s="244">
        <f t="shared" ref="F939:AG939" si="250">F940</f>
        <v>4934808.43</v>
      </c>
      <c r="G939" s="5">
        <f t="shared" si="250"/>
        <v>0</v>
      </c>
      <c r="H939" s="5">
        <f t="shared" si="250"/>
        <v>0</v>
      </c>
      <c r="I939" s="5">
        <f t="shared" si="250"/>
        <v>0</v>
      </c>
      <c r="J939" s="5">
        <f t="shared" si="250"/>
        <v>0</v>
      </c>
      <c r="K939" s="5">
        <f t="shared" si="250"/>
        <v>0</v>
      </c>
      <c r="L939" s="5">
        <f t="shared" si="250"/>
        <v>0</v>
      </c>
      <c r="M939" s="241">
        <f t="shared" si="250"/>
        <v>0</v>
      </c>
      <c r="N939" s="5">
        <f t="shared" si="250"/>
        <v>0</v>
      </c>
      <c r="O939" s="5">
        <f t="shared" si="250"/>
        <v>735</v>
      </c>
      <c r="P939" s="5">
        <f t="shared" si="250"/>
        <v>4861880.2299999995</v>
      </c>
      <c r="Q939" s="5">
        <f t="shared" si="250"/>
        <v>0</v>
      </c>
      <c r="R939" s="5">
        <f t="shared" si="250"/>
        <v>0</v>
      </c>
      <c r="S939" s="5">
        <f t="shared" si="250"/>
        <v>0</v>
      </c>
      <c r="T939" s="5">
        <f t="shared" si="250"/>
        <v>0</v>
      </c>
      <c r="U939" s="5">
        <f t="shared" si="250"/>
        <v>0</v>
      </c>
      <c r="V939" s="5">
        <f t="shared" si="250"/>
        <v>0</v>
      </c>
      <c r="W939" s="5">
        <f t="shared" si="250"/>
        <v>0</v>
      </c>
      <c r="X939" s="5">
        <f t="shared" si="250"/>
        <v>0</v>
      </c>
      <c r="Y939" s="5">
        <f t="shared" si="250"/>
        <v>0</v>
      </c>
      <c r="Z939" s="5">
        <f t="shared" si="250"/>
        <v>0</v>
      </c>
      <c r="AA939" s="5">
        <f t="shared" si="250"/>
        <v>0</v>
      </c>
      <c r="AB939" s="5">
        <f t="shared" si="250"/>
        <v>0</v>
      </c>
      <c r="AC939" s="5">
        <f t="shared" si="250"/>
        <v>0</v>
      </c>
      <c r="AD939" s="5">
        <f t="shared" si="250"/>
        <v>0</v>
      </c>
      <c r="AE939" s="5">
        <f t="shared" si="250"/>
        <v>72928.2</v>
      </c>
      <c r="AF939" s="5">
        <f t="shared" si="250"/>
        <v>0</v>
      </c>
      <c r="AG939" s="5">
        <f t="shared" si="250"/>
        <v>0</v>
      </c>
      <c r="AH939" s="23" t="s">
        <v>90</v>
      </c>
      <c r="AI939" s="23" t="s">
        <v>90</v>
      </c>
      <c r="AJ939" s="27" t="s">
        <v>90</v>
      </c>
      <c r="AV939" s="2" t="e">
        <f>VLOOKUP(C939,AY:AZ,2,FALSE)</f>
        <v>#N/A</v>
      </c>
      <c r="CB939" s="236">
        <v>1799918.22</v>
      </c>
      <c r="CF939" s="2" t="e">
        <f t="shared" si="249"/>
        <v>#N/A</v>
      </c>
    </row>
    <row r="940" spans="1:262" s="239" customFormat="1" ht="61.5" x14ac:dyDescent="0.85">
      <c r="A940" s="239">
        <v>1</v>
      </c>
      <c r="B940" s="18">
        <f>SUBTOTAL(103,$A$558:A940)</f>
        <v>338</v>
      </c>
      <c r="C940" s="3" t="s">
        <v>1370</v>
      </c>
      <c r="D940" s="5">
        <v>0</v>
      </c>
      <c r="E940" s="5">
        <f t="shared" si="247"/>
        <v>-4934808.43</v>
      </c>
      <c r="F940" s="5">
        <f>G940+H940+I940+J940+K940+L940+N940+P940+R940+T940+V940+W940+X940+Y940+Z940+AA940+AB940+AC940+AD940+AE940+AF940+AG940</f>
        <v>4934808.43</v>
      </c>
      <c r="G940" s="5">
        <v>0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25">
        <v>0</v>
      </c>
      <c r="N940" s="5">
        <v>0</v>
      </c>
      <c r="O940" s="5">
        <v>735</v>
      </c>
      <c r="P940" s="5">
        <f>4393152.47+ROUND(365920.58*100/101.5,2)+108214.87</f>
        <v>4861880.2299999995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0</v>
      </c>
      <c r="AC940" s="5">
        <v>0</v>
      </c>
      <c r="AD940" s="5">
        <v>0</v>
      </c>
      <c r="AE940" s="5">
        <f>ROUND(P940*1.5%,2)</f>
        <v>72928.2</v>
      </c>
      <c r="AF940" s="5">
        <v>0</v>
      </c>
      <c r="AG940" s="5">
        <v>0</v>
      </c>
      <c r="AH940" s="246" t="s">
        <v>49</v>
      </c>
      <c r="AI940" s="246">
        <v>2021</v>
      </c>
      <c r="AJ940" s="6">
        <v>2021</v>
      </c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36"/>
      <c r="CC940" s="2"/>
      <c r="CD940" s="2"/>
      <c r="CE940" s="2"/>
      <c r="CF940" s="2">
        <f t="shared" si="249"/>
        <v>735</v>
      </c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</row>
    <row r="941" spans="1:262" ht="61.5" x14ac:dyDescent="0.85">
      <c r="B941" s="3" t="s">
        <v>1371</v>
      </c>
      <c r="C941" s="442"/>
      <c r="D941" s="244">
        <v>1799918.22</v>
      </c>
      <c r="E941" s="233">
        <f t="shared" si="247"/>
        <v>-5240689.8000000007</v>
      </c>
      <c r="F941" s="244">
        <f>SUM(F942:F943)</f>
        <v>7040608.0200000005</v>
      </c>
      <c r="G941" s="5">
        <f t="shared" ref="G941:AG941" si="251">SUM(G942:G943)</f>
        <v>0</v>
      </c>
      <c r="H941" s="5">
        <f t="shared" si="251"/>
        <v>0</v>
      </c>
      <c r="I941" s="5">
        <f t="shared" si="251"/>
        <v>0</v>
      </c>
      <c r="J941" s="5">
        <f t="shared" si="251"/>
        <v>0</v>
      </c>
      <c r="K941" s="5">
        <f t="shared" si="251"/>
        <v>367412.22</v>
      </c>
      <c r="L941" s="5">
        <f t="shared" si="251"/>
        <v>0</v>
      </c>
      <c r="M941" s="241">
        <f t="shared" si="251"/>
        <v>0</v>
      </c>
      <c r="N941" s="5">
        <f t="shared" si="251"/>
        <v>0</v>
      </c>
      <c r="O941" s="5">
        <f t="shared" si="251"/>
        <v>1280</v>
      </c>
      <c r="P941" s="5">
        <f t="shared" si="251"/>
        <v>6450920.7999999998</v>
      </c>
      <c r="Q941" s="5">
        <f t="shared" si="251"/>
        <v>0</v>
      </c>
      <c r="R941" s="5">
        <f t="shared" si="251"/>
        <v>0</v>
      </c>
      <c r="S941" s="5">
        <f t="shared" si="251"/>
        <v>0</v>
      </c>
      <c r="T941" s="5">
        <f t="shared" si="251"/>
        <v>0</v>
      </c>
      <c r="U941" s="5">
        <f t="shared" si="251"/>
        <v>0</v>
      </c>
      <c r="V941" s="5">
        <f t="shared" si="251"/>
        <v>0</v>
      </c>
      <c r="W941" s="5">
        <f t="shared" si="251"/>
        <v>0</v>
      </c>
      <c r="X941" s="5">
        <f t="shared" si="251"/>
        <v>0</v>
      </c>
      <c r="Y941" s="5">
        <f t="shared" si="251"/>
        <v>0</v>
      </c>
      <c r="Z941" s="5">
        <f t="shared" si="251"/>
        <v>0</v>
      </c>
      <c r="AA941" s="5">
        <f t="shared" si="251"/>
        <v>0</v>
      </c>
      <c r="AB941" s="5">
        <f t="shared" si="251"/>
        <v>0</v>
      </c>
      <c r="AC941" s="5">
        <f t="shared" si="251"/>
        <v>0</v>
      </c>
      <c r="AD941" s="5">
        <f t="shared" si="251"/>
        <v>0</v>
      </c>
      <c r="AE941" s="5">
        <f t="shared" si="251"/>
        <v>102275</v>
      </c>
      <c r="AF941" s="5">
        <f t="shared" si="251"/>
        <v>120000</v>
      </c>
      <c r="AG941" s="5">
        <f t="shared" si="251"/>
        <v>0</v>
      </c>
      <c r="AH941" s="23" t="s">
        <v>90</v>
      </c>
      <c r="AI941" s="23" t="s">
        <v>90</v>
      </c>
      <c r="AJ941" s="27" t="s">
        <v>90</v>
      </c>
      <c r="AV941" s="2" t="e">
        <f>VLOOKUP(C941,AY:AZ,2,FALSE)</f>
        <v>#N/A</v>
      </c>
      <c r="CB941" s="236">
        <v>1799918.22</v>
      </c>
      <c r="CF941" s="2" t="e">
        <f t="shared" si="249"/>
        <v>#N/A</v>
      </c>
    </row>
    <row r="942" spans="1:262" ht="61.5" x14ac:dyDescent="0.85">
      <c r="A942" s="2">
        <v>1</v>
      </c>
      <c r="B942" s="18">
        <f>SUBTOTAL(103,$A$558:A942)</f>
        <v>339</v>
      </c>
      <c r="C942" s="3" t="s">
        <v>1673</v>
      </c>
      <c r="D942" s="5">
        <v>1799918.22</v>
      </c>
      <c r="E942" s="5">
        <f t="shared" si="247"/>
        <v>-22122.40000000014</v>
      </c>
      <c r="F942" s="5">
        <f>G942+H942+I942+J942+K942+L942+N942+P942+R942+T942+V942+W942+X942+Y942+Z942+AA942+AB942+AC942+AD942+AE942+AF942+AG942</f>
        <v>1822040.62</v>
      </c>
      <c r="G942" s="5">
        <v>0</v>
      </c>
      <c r="H942" s="5">
        <v>0</v>
      </c>
      <c r="I942" s="5">
        <v>0</v>
      </c>
      <c r="J942" s="5">
        <v>0</v>
      </c>
      <c r="K942" s="5">
        <v>367412.22</v>
      </c>
      <c r="L942" s="5">
        <v>0</v>
      </c>
      <c r="M942" s="241">
        <v>0</v>
      </c>
      <c r="N942" s="5">
        <v>0</v>
      </c>
      <c r="O942" s="5">
        <v>300</v>
      </c>
      <c r="P942" s="5">
        <f>1287679.62+21795.47</f>
        <v>1309475.0900000001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f>ROUND((P942+K942)*1.5%,2)</f>
        <v>25153.31</v>
      </c>
      <c r="AF942" s="5">
        <v>120000</v>
      </c>
      <c r="AG942" s="5">
        <v>0</v>
      </c>
      <c r="AH942" s="246">
        <v>2021</v>
      </c>
      <c r="AI942" s="246">
        <v>2021</v>
      </c>
      <c r="AJ942" s="6">
        <v>2021</v>
      </c>
      <c r="AV942" s="2" t="e">
        <f>VLOOKUP(C942,AY:AZ,2,FALSE)</f>
        <v>#N/A</v>
      </c>
      <c r="CB942" s="236"/>
      <c r="CF942" s="2" t="e">
        <f t="shared" si="249"/>
        <v>#N/A</v>
      </c>
    </row>
    <row r="943" spans="1:262" s="239" customFormat="1" ht="61.5" x14ac:dyDescent="0.85">
      <c r="A943" s="239">
        <v>1</v>
      </c>
      <c r="B943" s="18">
        <f>SUBTOTAL(103,$A$558:A943)</f>
        <v>340</v>
      </c>
      <c r="C943" s="3" t="s">
        <v>1372</v>
      </c>
      <c r="D943" s="5">
        <v>5368567.4000000004</v>
      </c>
      <c r="E943" s="5">
        <f t="shared" si="247"/>
        <v>150000</v>
      </c>
      <c r="F943" s="5">
        <f>G943+H943+I943+J943+K943+L943+N943+P943+R943+T943+V943+W943+X943+Y943+Z943+AA943+AB943+AC943+AD943+AE943+AF943+AG943</f>
        <v>5218567.4000000004</v>
      </c>
      <c r="G943" s="5">
        <v>0</v>
      </c>
      <c r="H943" s="5">
        <v>0</v>
      </c>
      <c r="I943" s="5">
        <v>0</v>
      </c>
      <c r="J943" s="5">
        <v>0</v>
      </c>
      <c r="K943" s="5">
        <v>0</v>
      </c>
      <c r="L943" s="5">
        <v>0</v>
      </c>
      <c r="M943" s="25">
        <v>0</v>
      </c>
      <c r="N943" s="5">
        <v>0</v>
      </c>
      <c r="O943" s="5">
        <v>980</v>
      </c>
      <c r="P943" s="5">
        <v>5141445.71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f>ROUND(P943*1.5%,2)</f>
        <v>77121.69</v>
      </c>
      <c r="AF943" s="5">
        <v>0</v>
      </c>
      <c r="AG943" s="5">
        <v>0</v>
      </c>
      <c r="AH943" s="246" t="s">
        <v>49</v>
      </c>
      <c r="AI943" s="246">
        <v>2021</v>
      </c>
      <c r="AJ943" s="6">
        <v>2021</v>
      </c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 t="e">
        <v>#N/A</v>
      </c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36"/>
      <c r="CC943" s="2"/>
      <c r="CD943" s="2"/>
      <c r="CE943" s="2"/>
      <c r="CF943" s="2" t="e">
        <v>#N/A</v>
      </c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</row>
    <row r="944" spans="1:262" ht="61.5" x14ac:dyDescent="0.85">
      <c r="B944" s="3" t="s">
        <v>1674</v>
      </c>
      <c r="C944" s="3"/>
      <c r="D944" s="244">
        <v>3974620.0799999996</v>
      </c>
      <c r="E944" s="233">
        <f t="shared" si="247"/>
        <v>0</v>
      </c>
      <c r="F944" s="244">
        <f t="shared" ref="F944:AG944" si="252">F945</f>
        <v>3974620.0799999996</v>
      </c>
      <c r="G944" s="5">
        <f t="shared" si="252"/>
        <v>0</v>
      </c>
      <c r="H944" s="5">
        <f t="shared" si="252"/>
        <v>0</v>
      </c>
      <c r="I944" s="5">
        <f t="shared" si="252"/>
        <v>0</v>
      </c>
      <c r="J944" s="5">
        <f t="shared" si="252"/>
        <v>0</v>
      </c>
      <c r="K944" s="5">
        <f t="shared" si="252"/>
        <v>0</v>
      </c>
      <c r="L944" s="5">
        <f t="shared" si="252"/>
        <v>0</v>
      </c>
      <c r="M944" s="241">
        <f t="shared" si="252"/>
        <v>0</v>
      </c>
      <c r="N944" s="5">
        <f t="shared" si="252"/>
        <v>0</v>
      </c>
      <c r="O944" s="5">
        <f t="shared" si="252"/>
        <v>660</v>
      </c>
      <c r="P944" s="5">
        <f t="shared" si="252"/>
        <v>3768098.5999999996</v>
      </c>
      <c r="Q944" s="5">
        <f t="shared" si="252"/>
        <v>0</v>
      </c>
      <c r="R944" s="5">
        <f t="shared" si="252"/>
        <v>0</v>
      </c>
      <c r="S944" s="5">
        <f t="shared" si="252"/>
        <v>0</v>
      </c>
      <c r="T944" s="5">
        <f t="shared" si="252"/>
        <v>0</v>
      </c>
      <c r="U944" s="5">
        <f t="shared" si="252"/>
        <v>0</v>
      </c>
      <c r="V944" s="5">
        <f t="shared" si="252"/>
        <v>0</v>
      </c>
      <c r="W944" s="5">
        <f t="shared" si="252"/>
        <v>0</v>
      </c>
      <c r="X944" s="5">
        <f t="shared" si="252"/>
        <v>0</v>
      </c>
      <c r="Y944" s="5">
        <f t="shared" si="252"/>
        <v>0</v>
      </c>
      <c r="Z944" s="5">
        <f t="shared" si="252"/>
        <v>0</v>
      </c>
      <c r="AA944" s="5">
        <f t="shared" si="252"/>
        <v>0</v>
      </c>
      <c r="AB944" s="5">
        <f t="shared" si="252"/>
        <v>0</v>
      </c>
      <c r="AC944" s="5">
        <f t="shared" si="252"/>
        <v>0</v>
      </c>
      <c r="AD944" s="5">
        <f t="shared" si="252"/>
        <v>0</v>
      </c>
      <c r="AE944" s="5">
        <f t="shared" si="252"/>
        <v>56521.48</v>
      </c>
      <c r="AF944" s="5">
        <f t="shared" si="252"/>
        <v>150000</v>
      </c>
      <c r="AG944" s="5">
        <f t="shared" si="252"/>
        <v>0</v>
      </c>
      <c r="AH944" s="23" t="s">
        <v>90</v>
      </c>
      <c r="AI944" s="23" t="s">
        <v>90</v>
      </c>
      <c r="AJ944" s="27" t="s">
        <v>90</v>
      </c>
      <c r="AV944" s="2" t="e">
        <f>VLOOKUP(C944,AY:AZ,2,FALSE)</f>
        <v>#N/A</v>
      </c>
      <c r="CB944" s="236">
        <v>3974620.0799999996</v>
      </c>
      <c r="CF944" s="2" t="e">
        <f>VLOOKUP(C944,CG:CH,2,FALSE)</f>
        <v>#N/A</v>
      </c>
    </row>
    <row r="945" spans="1:262" ht="61.5" x14ac:dyDescent="0.85">
      <c r="A945" s="2">
        <v>1</v>
      </c>
      <c r="B945" s="18">
        <f>SUBTOTAL(103,$A$558:A945)</f>
        <v>341</v>
      </c>
      <c r="C945" s="3" t="s">
        <v>1675</v>
      </c>
      <c r="D945" s="5">
        <v>3974620.0799999996</v>
      </c>
      <c r="E945" s="5">
        <f t="shared" si="247"/>
        <v>0</v>
      </c>
      <c r="F945" s="5">
        <f>G945+H945+I945+J945+K945+L945+N945+P945+R945+T945+V945+W945+X945+Y945+Z945+AA945+AB945+AC945+AD945+AE945+AF945+AG945</f>
        <v>3974620.0799999996</v>
      </c>
      <c r="G945" s="5">
        <v>0</v>
      </c>
      <c r="H945" s="5">
        <v>0</v>
      </c>
      <c r="I945" s="5">
        <v>0</v>
      </c>
      <c r="J945" s="5">
        <v>0</v>
      </c>
      <c r="K945" s="5">
        <v>0</v>
      </c>
      <c r="L945" s="5">
        <v>0</v>
      </c>
      <c r="M945" s="241">
        <v>0</v>
      </c>
      <c r="N945" s="5">
        <v>0</v>
      </c>
      <c r="O945" s="5">
        <v>660</v>
      </c>
      <c r="P945" s="5">
        <f>3247692.88+520405.72</f>
        <v>3768098.5999999996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f>ROUND(P945*1.5%,2)</f>
        <v>56521.48</v>
      </c>
      <c r="AF945" s="5">
        <v>150000</v>
      </c>
      <c r="AG945" s="5">
        <v>0</v>
      </c>
      <c r="AH945" s="246">
        <v>2021</v>
      </c>
      <c r="AI945" s="246">
        <v>2021</v>
      </c>
      <c r="AJ945" s="6">
        <v>2021</v>
      </c>
      <c r="AV945" s="2" t="e">
        <f>VLOOKUP(C945,AY:AZ,2,FALSE)</f>
        <v>#N/A</v>
      </c>
      <c r="CB945" s="236"/>
      <c r="CF945" s="2" t="e">
        <f>VLOOKUP(C945,CG:CH,2,FALSE)</f>
        <v>#N/A</v>
      </c>
    </row>
    <row r="946" spans="1:262" ht="61.5" x14ac:dyDescent="0.85">
      <c r="B946" s="3" t="s">
        <v>1676</v>
      </c>
      <c r="C946" s="3"/>
      <c r="D946" s="244">
        <v>2957808</v>
      </c>
      <c r="E946" s="233">
        <f t="shared" si="247"/>
        <v>0</v>
      </c>
      <c r="F946" s="244">
        <f t="shared" ref="F946:AG948" si="253">F947</f>
        <v>2957808</v>
      </c>
      <c r="G946" s="5">
        <f t="shared" si="253"/>
        <v>0</v>
      </c>
      <c r="H946" s="5">
        <f t="shared" si="253"/>
        <v>0</v>
      </c>
      <c r="I946" s="5">
        <f t="shared" si="253"/>
        <v>0</v>
      </c>
      <c r="J946" s="5">
        <f t="shared" si="253"/>
        <v>0</v>
      </c>
      <c r="K946" s="5">
        <f t="shared" si="253"/>
        <v>0</v>
      </c>
      <c r="L946" s="5">
        <f t="shared" si="253"/>
        <v>0</v>
      </c>
      <c r="M946" s="241">
        <f t="shared" si="253"/>
        <v>0</v>
      </c>
      <c r="N946" s="5">
        <f t="shared" si="253"/>
        <v>0</v>
      </c>
      <c r="O946" s="5">
        <f t="shared" si="253"/>
        <v>600</v>
      </c>
      <c r="P946" s="5">
        <f t="shared" si="253"/>
        <v>2766313.3</v>
      </c>
      <c r="Q946" s="5">
        <f t="shared" si="253"/>
        <v>0</v>
      </c>
      <c r="R946" s="5">
        <f t="shared" si="253"/>
        <v>0</v>
      </c>
      <c r="S946" s="5">
        <f t="shared" si="253"/>
        <v>0</v>
      </c>
      <c r="T946" s="5">
        <f t="shared" si="253"/>
        <v>0</v>
      </c>
      <c r="U946" s="5">
        <f t="shared" si="253"/>
        <v>0</v>
      </c>
      <c r="V946" s="5">
        <f t="shared" si="253"/>
        <v>0</v>
      </c>
      <c r="W946" s="5">
        <f t="shared" si="253"/>
        <v>0</v>
      </c>
      <c r="X946" s="5">
        <f t="shared" si="253"/>
        <v>0</v>
      </c>
      <c r="Y946" s="5">
        <f t="shared" si="253"/>
        <v>0</v>
      </c>
      <c r="Z946" s="5">
        <f t="shared" si="253"/>
        <v>0</v>
      </c>
      <c r="AA946" s="5">
        <f t="shared" si="253"/>
        <v>0</v>
      </c>
      <c r="AB946" s="5">
        <f t="shared" si="253"/>
        <v>0</v>
      </c>
      <c r="AC946" s="5">
        <f t="shared" si="253"/>
        <v>0</v>
      </c>
      <c r="AD946" s="5">
        <f t="shared" si="253"/>
        <v>0</v>
      </c>
      <c r="AE946" s="5">
        <f t="shared" si="253"/>
        <v>41494.699999999997</v>
      </c>
      <c r="AF946" s="5">
        <f t="shared" si="253"/>
        <v>150000</v>
      </c>
      <c r="AG946" s="5">
        <f t="shared" si="253"/>
        <v>0</v>
      </c>
      <c r="AH946" s="23" t="s">
        <v>90</v>
      </c>
      <c r="AI946" s="23" t="s">
        <v>90</v>
      </c>
      <c r="AJ946" s="27" t="s">
        <v>90</v>
      </c>
      <c r="AV946" s="2" t="e">
        <f>VLOOKUP(C946,AY:AZ,2,FALSE)</f>
        <v>#N/A</v>
      </c>
      <c r="CB946" s="236">
        <v>2957808</v>
      </c>
      <c r="CF946" s="2" t="e">
        <f>VLOOKUP(C946,CG:CH,2,FALSE)</f>
        <v>#N/A</v>
      </c>
    </row>
    <row r="947" spans="1:262" ht="61.5" x14ac:dyDescent="0.85">
      <c r="A947" s="2">
        <v>1</v>
      </c>
      <c r="B947" s="18">
        <f>SUBTOTAL(103,$A$558:A947)</f>
        <v>342</v>
      </c>
      <c r="C947" s="3" t="s">
        <v>1677</v>
      </c>
      <c r="D947" s="5">
        <v>2957808</v>
      </c>
      <c r="E947" s="5">
        <f t="shared" si="247"/>
        <v>0</v>
      </c>
      <c r="F947" s="5">
        <f>G947+H947+I947+J947+K947+L947+N947+P947+R947+T947+V947+W947+X947+Y947+Z947+AA947+AB947+AC947+AD947+AE947+AF947+AG947</f>
        <v>2957808</v>
      </c>
      <c r="G947" s="5">
        <v>0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241">
        <v>0</v>
      </c>
      <c r="N947" s="5">
        <v>0</v>
      </c>
      <c r="O947" s="5">
        <v>600</v>
      </c>
      <c r="P947" s="5">
        <v>2766313.3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f>ROUND(P947*1.5%,2)</f>
        <v>41494.699999999997</v>
      </c>
      <c r="AF947" s="5">
        <v>150000</v>
      </c>
      <c r="AG947" s="5">
        <v>0</v>
      </c>
      <c r="AH947" s="246">
        <v>2021</v>
      </c>
      <c r="AI947" s="246">
        <v>2021</v>
      </c>
      <c r="AJ947" s="6">
        <v>2021</v>
      </c>
      <c r="AV947" s="2" t="e">
        <f>VLOOKUP(C947,AY:AZ,2,FALSE)</f>
        <v>#N/A</v>
      </c>
      <c r="CB947" s="236"/>
      <c r="CF947" s="2" t="e">
        <f>VLOOKUP(C947,CG:CH,2,FALSE)</f>
        <v>#N/A</v>
      </c>
    </row>
    <row r="948" spans="1:262" ht="61.5" x14ac:dyDescent="0.85">
      <c r="B948" s="3" t="s">
        <v>1373</v>
      </c>
      <c r="C948" s="3"/>
      <c r="D948" s="244">
        <v>0</v>
      </c>
      <c r="E948" s="233">
        <f t="shared" si="247"/>
        <v>-2594808.33</v>
      </c>
      <c r="F948" s="244">
        <f t="shared" si="253"/>
        <v>2594808.33</v>
      </c>
      <c r="G948" s="5">
        <f t="shared" si="253"/>
        <v>0</v>
      </c>
      <c r="H948" s="5">
        <f t="shared" si="253"/>
        <v>0</v>
      </c>
      <c r="I948" s="5">
        <f t="shared" si="253"/>
        <v>0</v>
      </c>
      <c r="J948" s="5">
        <f t="shared" si="253"/>
        <v>0</v>
      </c>
      <c r="K948" s="5">
        <f t="shared" si="253"/>
        <v>0</v>
      </c>
      <c r="L948" s="5">
        <f t="shared" si="253"/>
        <v>0</v>
      </c>
      <c r="M948" s="241">
        <f t="shared" si="253"/>
        <v>0</v>
      </c>
      <c r="N948" s="5">
        <f t="shared" si="253"/>
        <v>0</v>
      </c>
      <c r="O948" s="5">
        <f t="shared" si="253"/>
        <v>629.1</v>
      </c>
      <c r="P948" s="5">
        <f t="shared" si="253"/>
        <v>2556461.41</v>
      </c>
      <c r="Q948" s="5">
        <f t="shared" si="253"/>
        <v>0</v>
      </c>
      <c r="R948" s="5">
        <f t="shared" si="253"/>
        <v>0</v>
      </c>
      <c r="S948" s="5">
        <f t="shared" si="253"/>
        <v>0</v>
      </c>
      <c r="T948" s="5">
        <f t="shared" si="253"/>
        <v>0</v>
      </c>
      <c r="U948" s="5">
        <f t="shared" si="253"/>
        <v>0</v>
      </c>
      <c r="V948" s="5">
        <f t="shared" si="253"/>
        <v>0</v>
      </c>
      <c r="W948" s="5">
        <f t="shared" si="253"/>
        <v>0</v>
      </c>
      <c r="X948" s="5">
        <f t="shared" si="253"/>
        <v>0</v>
      </c>
      <c r="Y948" s="5">
        <f t="shared" si="253"/>
        <v>0</v>
      </c>
      <c r="Z948" s="5">
        <f t="shared" si="253"/>
        <v>0</v>
      </c>
      <c r="AA948" s="5">
        <f t="shared" si="253"/>
        <v>0</v>
      </c>
      <c r="AB948" s="5">
        <f t="shared" si="253"/>
        <v>0</v>
      </c>
      <c r="AC948" s="5">
        <f t="shared" si="253"/>
        <v>0</v>
      </c>
      <c r="AD948" s="5">
        <f t="shared" si="253"/>
        <v>0</v>
      </c>
      <c r="AE948" s="5">
        <f t="shared" si="253"/>
        <v>38346.92</v>
      </c>
      <c r="AF948" s="5">
        <f t="shared" si="253"/>
        <v>0</v>
      </c>
      <c r="AG948" s="5">
        <f t="shared" si="253"/>
        <v>0</v>
      </c>
      <c r="AH948" s="23" t="s">
        <v>90</v>
      </c>
      <c r="AI948" s="23" t="s">
        <v>90</v>
      </c>
      <c r="AJ948" s="27" t="s">
        <v>90</v>
      </c>
      <c r="AV948" s="2" t="e">
        <f>VLOOKUP(C948,AY:AZ,2,FALSE)</f>
        <v>#N/A</v>
      </c>
      <c r="CB948" s="236">
        <v>2957808</v>
      </c>
      <c r="CF948" s="2" t="e">
        <f>VLOOKUP(C948,CG:CH,2,FALSE)</f>
        <v>#N/A</v>
      </c>
    </row>
    <row r="949" spans="1:262" s="239" customFormat="1" ht="61.5" x14ac:dyDescent="0.85">
      <c r="A949" s="239">
        <v>1</v>
      </c>
      <c r="B949" s="18">
        <f>SUBTOTAL(103,$A$558:A949)</f>
        <v>343</v>
      </c>
      <c r="C949" s="3" t="s">
        <v>1374</v>
      </c>
      <c r="D949" s="5">
        <v>0</v>
      </c>
      <c r="E949" s="5">
        <f t="shared" si="247"/>
        <v>-2594808.33</v>
      </c>
      <c r="F949" s="5">
        <f>G949+H949+I949+J949+K949+L949+N949+P949+R949+T949+V949+W949+X949+Y949+Z949+AA949+AB949+AC949+AD949+AE949+AF949+AG949</f>
        <v>2594808.33</v>
      </c>
      <c r="G949" s="5">
        <v>0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25">
        <v>0</v>
      </c>
      <c r="N949" s="5">
        <v>0</v>
      </c>
      <c r="O949" s="5">
        <v>629.1</v>
      </c>
      <c r="P949" s="5">
        <f>2494957.68+61503.73</f>
        <v>2556461.41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f>ROUND(P949*1.5%,2)</f>
        <v>38346.92</v>
      </c>
      <c r="AF949" s="5">
        <v>0</v>
      </c>
      <c r="AG949" s="5">
        <v>0</v>
      </c>
      <c r="AH949" s="246" t="s">
        <v>49</v>
      </c>
      <c r="AI949" s="246">
        <v>2021</v>
      </c>
      <c r="AJ949" s="6">
        <v>2021</v>
      </c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 t="e">
        <v>#N/A</v>
      </c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36"/>
      <c r="CC949" s="2"/>
      <c r="CD949" s="2"/>
      <c r="CE949" s="2"/>
      <c r="CF949" s="2" t="e">
        <v>#N/A</v>
      </c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</row>
    <row r="950" spans="1:262" ht="61.5" x14ac:dyDescent="0.85">
      <c r="B950" s="3" t="s">
        <v>115</v>
      </c>
      <c r="C950" s="3"/>
      <c r="D950" s="244">
        <v>4651054.3499999996</v>
      </c>
      <c r="E950" s="233">
        <f t="shared" si="247"/>
        <v>-7201138.75</v>
      </c>
      <c r="F950" s="244">
        <f>SUM(F951:F953)</f>
        <v>11852193.1</v>
      </c>
      <c r="G950" s="5">
        <f t="shared" ref="G950:AG950" si="254">SUM(G951:G953)</f>
        <v>0</v>
      </c>
      <c r="H950" s="5">
        <f t="shared" si="254"/>
        <v>0</v>
      </c>
      <c r="I950" s="5">
        <f t="shared" si="254"/>
        <v>0</v>
      </c>
      <c r="J950" s="5">
        <f t="shared" si="254"/>
        <v>0</v>
      </c>
      <c r="K950" s="5">
        <f t="shared" si="254"/>
        <v>0</v>
      </c>
      <c r="L950" s="5">
        <f t="shared" si="254"/>
        <v>0</v>
      </c>
      <c r="M950" s="241">
        <f t="shared" si="254"/>
        <v>0</v>
      </c>
      <c r="N950" s="5">
        <f t="shared" si="254"/>
        <v>0</v>
      </c>
      <c r="O950" s="5">
        <f t="shared" si="254"/>
        <v>1381.8</v>
      </c>
      <c r="P950" s="5">
        <f t="shared" si="254"/>
        <v>6801924.4900000002</v>
      </c>
      <c r="Q950" s="5">
        <f t="shared" si="254"/>
        <v>0</v>
      </c>
      <c r="R950" s="5">
        <f t="shared" si="254"/>
        <v>0</v>
      </c>
      <c r="S950" s="5">
        <f t="shared" si="254"/>
        <v>0</v>
      </c>
      <c r="T950" s="5">
        <f t="shared" si="254"/>
        <v>0</v>
      </c>
      <c r="U950" s="5">
        <f t="shared" si="254"/>
        <v>0</v>
      </c>
      <c r="V950" s="5">
        <f t="shared" si="254"/>
        <v>0</v>
      </c>
      <c r="W950" s="5">
        <f t="shared" si="254"/>
        <v>4756801.37</v>
      </c>
      <c r="X950" s="5">
        <f t="shared" si="254"/>
        <v>0</v>
      </c>
      <c r="Y950" s="5">
        <f t="shared" si="254"/>
        <v>0</v>
      </c>
      <c r="Z950" s="5">
        <f t="shared" si="254"/>
        <v>0</v>
      </c>
      <c r="AA950" s="5">
        <f t="shared" si="254"/>
        <v>0</v>
      </c>
      <c r="AB950" s="5">
        <f t="shared" si="254"/>
        <v>0</v>
      </c>
      <c r="AC950" s="5">
        <f t="shared" si="254"/>
        <v>0</v>
      </c>
      <c r="AD950" s="5">
        <f t="shared" si="254"/>
        <v>0</v>
      </c>
      <c r="AE950" s="5">
        <f t="shared" si="254"/>
        <v>173380.88</v>
      </c>
      <c r="AF950" s="5">
        <f t="shared" si="254"/>
        <v>120086.36</v>
      </c>
      <c r="AG950" s="5">
        <f t="shared" si="254"/>
        <v>0</v>
      </c>
      <c r="AH950" s="23" t="s">
        <v>90</v>
      </c>
      <c r="AI950" s="23" t="s">
        <v>90</v>
      </c>
      <c r="AJ950" s="27" t="s">
        <v>90</v>
      </c>
      <c r="AV950" s="2" t="e">
        <f>VLOOKUP(C950,AY:AZ,2,FALSE)</f>
        <v>#N/A</v>
      </c>
      <c r="CB950" s="236">
        <v>4651054.3499999996</v>
      </c>
      <c r="CF950" s="2" t="e">
        <f>VLOOKUP(C950,CG:CH,2,FALSE)</f>
        <v>#N/A</v>
      </c>
    </row>
    <row r="951" spans="1:262" ht="61.5" x14ac:dyDescent="0.85">
      <c r="A951" s="2">
        <v>1</v>
      </c>
      <c r="B951" s="18">
        <f>SUBTOTAL(103,$A$558:A951)</f>
        <v>344</v>
      </c>
      <c r="C951" s="3" t="s">
        <v>1678</v>
      </c>
      <c r="D951" s="5">
        <v>4651054.3499999996</v>
      </c>
      <c r="E951" s="5">
        <f t="shared" si="247"/>
        <v>29913.639999999665</v>
      </c>
      <c r="F951" s="5">
        <f>G951+H951+I951+J951+K951+L951+N951+P951+R951+T951+V951+W951+X951+Y951+Z951+AA951+AB951+AC951+AD951+AE951+AF951+AG951</f>
        <v>4621140.71</v>
      </c>
      <c r="G951" s="5">
        <v>0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241">
        <v>0</v>
      </c>
      <c r="N951" s="5">
        <v>0</v>
      </c>
      <c r="O951" s="5">
        <v>785</v>
      </c>
      <c r="P951" s="5">
        <v>4434536.3099999996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f>ROUND(P951*1.5%,2)</f>
        <v>66518.039999999994</v>
      </c>
      <c r="AF951" s="5">
        <v>120086.36</v>
      </c>
      <c r="AG951" s="5">
        <v>0</v>
      </c>
      <c r="AH951" s="246">
        <v>2021</v>
      </c>
      <c r="AI951" s="246">
        <v>2021</v>
      </c>
      <c r="AJ951" s="6">
        <v>2021</v>
      </c>
      <c r="AV951" s="2" t="e">
        <f>VLOOKUP(C951,AY:AZ,2,FALSE)</f>
        <v>#N/A</v>
      </c>
      <c r="CB951" s="236"/>
      <c r="CF951" s="2" t="e">
        <f>VLOOKUP(C951,CG:CH,2,FALSE)</f>
        <v>#N/A</v>
      </c>
    </row>
    <row r="952" spans="1:262" s="239" customFormat="1" ht="61.5" x14ac:dyDescent="0.85">
      <c r="A952" s="239">
        <v>1</v>
      </c>
      <c r="B952" s="18">
        <f>SUBTOTAL(103,$A$558:A952)</f>
        <v>345</v>
      </c>
      <c r="C952" s="3" t="s">
        <v>1375</v>
      </c>
      <c r="D952" s="5">
        <v>4201814.5599999996</v>
      </c>
      <c r="E952" s="5">
        <f t="shared" si="247"/>
        <v>-626338.83000000007</v>
      </c>
      <c r="F952" s="5">
        <f>G952+H952+I952+J952+K952+L952+N952+P952+R952+T952+V952+W952+X952+Y952+Z952+AA952+AB952+AC952+AD952+AE952+AF952+AG952</f>
        <v>4828153.3899999997</v>
      </c>
      <c r="G952" s="5">
        <v>0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2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f>4750000-23149.57+29950.94</f>
        <v>4756801.37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f>ROUND(W952*1.5%,2)</f>
        <v>71352.02</v>
      </c>
      <c r="AF952" s="5">
        <v>0</v>
      </c>
      <c r="AG952" s="5">
        <v>0</v>
      </c>
      <c r="AH952" s="246" t="s">
        <v>49</v>
      </c>
      <c r="AI952" s="246">
        <v>2021</v>
      </c>
      <c r="AJ952" s="6">
        <v>2021</v>
      </c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 t="e">
        <v>#N/A</v>
      </c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36"/>
      <c r="CC952" s="2"/>
      <c r="CD952" s="2"/>
      <c r="CE952" s="2"/>
      <c r="CF952" s="2" t="e">
        <v>#N/A</v>
      </c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</row>
    <row r="953" spans="1:262" s="239" customFormat="1" ht="61.5" x14ac:dyDescent="0.85">
      <c r="A953" s="239">
        <v>1</v>
      </c>
      <c r="B953" s="18">
        <f>SUBTOTAL(103,$A$558:A953)</f>
        <v>346</v>
      </c>
      <c r="C953" s="3" t="s">
        <v>1377</v>
      </c>
      <c r="D953" s="5">
        <v>2945278.41</v>
      </c>
      <c r="E953" s="5">
        <f t="shared" si="247"/>
        <v>542379.41000000015</v>
      </c>
      <c r="F953" s="5">
        <f>G953+H953+I953+J953+K953+L953+N953+P953+R953+T953+V953+W953+X953+Y953+Z953+AA953+AB953+AC953+AD953+AE953+AF953+AG953</f>
        <v>2402899</v>
      </c>
      <c r="G953" s="5">
        <v>0</v>
      </c>
      <c r="H953" s="5">
        <v>0</v>
      </c>
      <c r="I953" s="5">
        <v>0</v>
      </c>
      <c r="J953" s="5">
        <v>0</v>
      </c>
      <c r="K953" s="5">
        <v>0</v>
      </c>
      <c r="L953" s="5">
        <v>0</v>
      </c>
      <c r="M953" s="25">
        <v>0</v>
      </c>
      <c r="N953" s="5">
        <v>0</v>
      </c>
      <c r="O953" s="5">
        <v>596.79999999999995</v>
      </c>
      <c r="P953" s="5">
        <f>2367388.18</f>
        <v>2367388.1800000002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f>ROUND(P953*1.5%,2)</f>
        <v>35510.82</v>
      </c>
      <c r="AF953" s="5">
        <v>0</v>
      </c>
      <c r="AG953" s="5">
        <v>0</v>
      </c>
      <c r="AH953" s="246" t="s">
        <v>49</v>
      </c>
      <c r="AI953" s="246">
        <v>2021</v>
      </c>
      <c r="AJ953" s="6">
        <v>2021</v>
      </c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36"/>
      <c r="CC953" s="2"/>
      <c r="CD953" s="2"/>
      <c r="CE953" s="2"/>
      <c r="CF953" s="2" t="e">
        <f t="shared" ref="CF953:CF962" si="255">VLOOKUP(C953,CG:CH,2,FALSE)</f>
        <v>#N/A</v>
      </c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</row>
    <row r="954" spans="1:262" ht="61.5" x14ac:dyDescent="0.85">
      <c r="B954" s="3" t="s">
        <v>116</v>
      </c>
      <c r="C954" s="3"/>
      <c r="D954" s="244">
        <v>3145116.58</v>
      </c>
      <c r="E954" s="233">
        <f t="shared" si="247"/>
        <v>-14019180.659999998</v>
      </c>
      <c r="F954" s="244">
        <f t="shared" ref="F954:AG954" si="256">SUM(F955:F959)</f>
        <v>17164297.239999998</v>
      </c>
      <c r="G954" s="5">
        <f t="shared" si="256"/>
        <v>0</v>
      </c>
      <c r="H954" s="5">
        <f t="shared" si="256"/>
        <v>0</v>
      </c>
      <c r="I954" s="5">
        <f t="shared" si="256"/>
        <v>0</v>
      </c>
      <c r="J954" s="5">
        <f t="shared" si="256"/>
        <v>0</v>
      </c>
      <c r="K954" s="5">
        <f t="shared" si="256"/>
        <v>0</v>
      </c>
      <c r="L954" s="5">
        <f t="shared" si="256"/>
        <v>0</v>
      </c>
      <c r="M954" s="241">
        <f t="shared" si="256"/>
        <v>0</v>
      </c>
      <c r="N954" s="5">
        <f t="shared" si="256"/>
        <v>0</v>
      </c>
      <c r="O954" s="5">
        <f t="shared" si="256"/>
        <v>3179.1099999999997</v>
      </c>
      <c r="P954" s="5">
        <f t="shared" si="256"/>
        <v>16086992.350000001</v>
      </c>
      <c r="Q954" s="5">
        <f t="shared" si="256"/>
        <v>0</v>
      </c>
      <c r="R954" s="5">
        <f t="shared" si="256"/>
        <v>0</v>
      </c>
      <c r="S954" s="5">
        <f t="shared" si="256"/>
        <v>0</v>
      </c>
      <c r="T954" s="5">
        <f t="shared" si="256"/>
        <v>0</v>
      </c>
      <c r="U954" s="5">
        <f t="shared" si="256"/>
        <v>0</v>
      </c>
      <c r="V954" s="5">
        <f t="shared" si="256"/>
        <v>0</v>
      </c>
      <c r="W954" s="5">
        <f t="shared" si="256"/>
        <v>0</v>
      </c>
      <c r="X954" s="5">
        <f t="shared" si="256"/>
        <v>0</v>
      </c>
      <c r="Y954" s="5">
        <f t="shared" si="256"/>
        <v>0</v>
      </c>
      <c r="Z954" s="5">
        <f t="shared" si="256"/>
        <v>0</v>
      </c>
      <c r="AA954" s="5">
        <f t="shared" si="256"/>
        <v>0</v>
      </c>
      <c r="AB954" s="5">
        <f t="shared" si="256"/>
        <v>0</v>
      </c>
      <c r="AC954" s="5">
        <f t="shared" si="256"/>
        <v>400000</v>
      </c>
      <c r="AD954" s="5">
        <f t="shared" si="256"/>
        <v>0</v>
      </c>
      <c r="AE954" s="5">
        <f t="shared" si="256"/>
        <v>247304.89</v>
      </c>
      <c r="AF954" s="5">
        <f t="shared" si="256"/>
        <v>430000</v>
      </c>
      <c r="AG954" s="5">
        <f t="shared" si="256"/>
        <v>0</v>
      </c>
      <c r="AH954" s="23" t="s">
        <v>90</v>
      </c>
      <c r="AI954" s="23" t="s">
        <v>90</v>
      </c>
      <c r="AJ954" s="27" t="s">
        <v>90</v>
      </c>
      <c r="AV954" s="2" t="e">
        <f>VLOOKUP(C954,AY:AZ,2,FALSE)</f>
        <v>#N/A</v>
      </c>
      <c r="CB954" s="5">
        <v>3145116.58</v>
      </c>
      <c r="CC954" s="5"/>
      <c r="CD954" s="5">
        <f>CB954-F954</f>
        <v>-14019180.659999998</v>
      </c>
      <c r="CF954" s="2" t="e">
        <f t="shared" si="255"/>
        <v>#N/A</v>
      </c>
    </row>
    <row r="955" spans="1:262" ht="61.5" x14ac:dyDescent="0.85">
      <c r="A955" s="2">
        <v>1</v>
      </c>
      <c r="B955" s="18">
        <f>SUBTOTAL(103,$A$558:A955)</f>
        <v>347</v>
      </c>
      <c r="C955" s="3" t="s">
        <v>1679</v>
      </c>
      <c r="D955" s="5">
        <v>3145116.58</v>
      </c>
      <c r="E955" s="5">
        <f t="shared" si="247"/>
        <v>0</v>
      </c>
      <c r="F955" s="5">
        <f>G955+H955+I955+J955+K955+L955+N955+P955+R955+T955+V955+W955+X955+Y955+Z955+AA955+AB955+AC955+AD955+AE955+AF955+AG955</f>
        <v>3145116.58</v>
      </c>
      <c r="G955" s="5">
        <v>0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241">
        <v>0</v>
      </c>
      <c r="N955" s="5">
        <v>0</v>
      </c>
      <c r="O955" s="5">
        <v>602.30999999999995</v>
      </c>
      <c r="P955" s="5">
        <v>2950853.77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f>ROUND(P955*1.5%,2)</f>
        <v>44262.81</v>
      </c>
      <c r="AF955" s="5">
        <v>150000</v>
      </c>
      <c r="AG955" s="5">
        <v>0</v>
      </c>
      <c r="AH955" s="246">
        <v>2021</v>
      </c>
      <c r="AI955" s="246">
        <v>2021</v>
      </c>
      <c r="AJ955" s="6">
        <v>2021</v>
      </c>
      <c r="AV955" s="2" t="e">
        <f>VLOOKUP(C955,AY:AZ,2,FALSE)</f>
        <v>#N/A</v>
      </c>
      <c r="CB955" s="236"/>
      <c r="CF955" s="2" t="e">
        <f t="shared" si="255"/>
        <v>#N/A</v>
      </c>
    </row>
    <row r="956" spans="1:262" ht="61.5" x14ac:dyDescent="0.85">
      <c r="A956" s="2">
        <v>1</v>
      </c>
      <c r="B956" s="18">
        <f>SUBTOTAL(103,$A$558:A956)</f>
        <v>348</v>
      </c>
      <c r="C956" s="3" t="s">
        <v>1381</v>
      </c>
      <c r="D956" s="5">
        <v>1409084.5899999999</v>
      </c>
      <c r="E956" s="5">
        <f t="shared" si="247"/>
        <v>903084.58999999985</v>
      </c>
      <c r="F956" s="5">
        <f t="shared" ref="F956:F957" si="257">G956+H956+I956+J956+K956+L956+N956+P956+R956+T956+V956+W956+X956+Y956+Z956+AA956+AB956+AC956+AD956+AE956+AF956+AG956</f>
        <v>506000</v>
      </c>
      <c r="G956" s="5">
        <v>0</v>
      </c>
      <c r="H956" s="5">
        <v>0</v>
      </c>
      <c r="I956" s="5">
        <v>0</v>
      </c>
      <c r="J956" s="5">
        <v>0</v>
      </c>
      <c r="K956" s="5">
        <v>0</v>
      </c>
      <c r="L956" s="5">
        <v>0</v>
      </c>
      <c r="M956" s="241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400000</v>
      </c>
      <c r="AD956" s="5">
        <v>0</v>
      </c>
      <c r="AE956" s="5">
        <f>ROUND(AC956*1.5%,2)</f>
        <v>6000</v>
      </c>
      <c r="AF956" s="5">
        <v>100000</v>
      </c>
      <c r="AG956" s="5">
        <v>0</v>
      </c>
      <c r="AH956" s="246">
        <v>2021</v>
      </c>
      <c r="AI956" s="246">
        <v>2021</v>
      </c>
      <c r="AJ956" s="6">
        <v>2021</v>
      </c>
      <c r="CB956" s="236"/>
      <c r="CF956" s="2" t="e">
        <f t="shared" si="255"/>
        <v>#N/A</v>
      </c>
    </row>
    <row r="957" spans="1:262" s="239" customFormat="1" ht="61.5" x14ac:dyDescent="0.85">
      <c r="A957" s="239">
        <v>1</v>
      </c>
      <c r="B957" s="18">
        <f>SUBTOTAL(103,$A$558:A957)</f>
        <v>349</v>
      </c>
      <c r="C957" s="3" t="s">
        <v>1133</v>
      </c>
      <c r="D957" s="5">
        <v>3832203.62</v>
      </c>
      <c r="E957" s="5">
        <f t="shared" si="247"/>
        <v>55068.520000000019</v>
      </c>
      <c r="F957" s="5">
        <f t="shared" si="257"/>
        <v>3777135.1</v>
      </c>
      <c r="G957" s="5">
        <v>0</v>
      </c>
      <c r="H957" s="5">
        <v>0</v>
      </c>
      <c r="I957" s="5">
        <v>0</v>
      </c>
      <c r="J957" s="5">
        <v>0</v>
      </c>
      <c r="K957" s="5">
        <v>0</v>
      </c>
      <c r="L957" s="5">
        <v>0</v>
      </c>
      <c r="M957" s="25">
        <v>0</v>
      </c>
      <c r="N957" s="5">
        <v>0</v>
      </c>
      <c r="O957" s="5">
        <v>500</v>
      </c>
      <c r="P957" s="5">
        <v>3721315.37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f>ROUND(P957*1.5%,2)</f>
        <v>55819.73</v>
      </c>
      <c r="AF957" s="5">
        <v>0</v>
      </c>
      <c r="AG957" s="5">
        <v>0</v>
      </c>
      <c r="AH957" s="246" t="s">
        <v>49</v>
      </c>
      <c r="AI957" s="246">
        <v>2021</v>
      </c>
      <c r="AJ957" s="6">
        <v>2021</v>
      </c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36"/>
      <c r="CC957" s="2"/>
      <c r="CD957" s="2"/>
      <c r="CE957" s="2"/>
      <c r="CF957" s="2">
        <f t="shared" si="255"/>
        <v>500</v>
      </c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</row>
    <row r="958" spans="1:262" s="239" customFormat="1" ht="61.5" x14ac:dyDescent="0.85">
      <c r="A958" s="239">
        <v>1</v>
      </c>
      <c r="B958" s="18">
        <f>SUBTOTAL(103,$A$558:A958)</f>
        <v>350</v>
      </c>
      <c r="C958" s="3" t="s">
        <v>1177</v>
      </c>
      <c r="D958" s="5">
        <v>4994309.25</v>
      </c>
      <c r="E958" s="5">
        <f t="shared" si="247"/>
        <v>98964.25</v>
      </c>
      <c r="F958" s="5">
        <f>G958+H958+I958+J958+K958+L958+N958+P958+R958+T958+V958+W958+X958+Y958+Z958+AA958+AB958+AC958+AD958+AE958+AF958+AG958</f>
        <v>4895345</v>
      </c>
      <c r="G958" s="5">
        <v>0</v>
      </c>
      <c r="H958" s="5">
        <v>0</v>
      </c>
      <c r="I958" s="5">
        <v>0</v>
      </c>
      <c r="J958" s="5">
        <v>0</v>
      </c>
      <c r="K958" s="5">
        <v>0</v>
      </c>
      <c r="L958" s="5">
        <v>0</v>
      </c>
      <c r="M958" s="25">
        <v>0</v>
      </c>
      <c r="N958" s="5">
        <v>0</v>
      </c>
      <c r="O958" s="5">
        <v>958</v>
      </c>
      <c r="P958" s="5">
        <v>4823000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f>ROUND(P958*1.5%,2)</f>
        <v>72345</v>
      </c>
      <c r="AF958" s="5">
        <v>0</v>
      </c>
      <c r="AG958" s="5">
        <v>0</v>
      </c>
      <c r="AH958" s="246" t="s">
        <v>49</v>
      </c>
      <c r="AI958" s="246">
        <v>2021</v>
      </c>
      <c r="AJ958" s="6">
        <v>2021</v>
      </c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36"/>
      <c r="CC958" s="2"/>
      <c r="CD958" s="2"/>
      <c r="CE958" s="2"/>
      <c r="CF958" s="2">
        <f t="shared" si="255"/>
        <v>958</v>
      </c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</row>
    <row r="959" spans="1:262" ht="61.5" x14ac:dyDescent="0.85">
      <c r="A959" s="2">
        <v>1</v>
      </c>
      <c r="B959" s="18">
        <f>SUBTOTAL(103,$A$558:A959)</f>
        <v>351</v>
      </c>
      <c r="C959" s="3" t="s">
        <v>1680</v>
      </c>
      <c r="D959" s="5"/>
      <c r="E959" s="5">
        <f t="shared" si="247"/>
        <v>-4840700.5599999996</v>
      </c>
      <c r="F959" s="5">
        <f>G959+H959+I959+J959+K959+L959+N959+P959+R959+T959+V959+W959+X959+Y959+Z959+AA959+AB959+AC959+AD959+AE959+AF959+AG959</f>
        <v>4840700.5599999996</v>
      </c>
      <c r="G959" s="5">
        <v>0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241">
        <v>0</v>
      </c>
      <c r="N959" s="5">
        <v>0</v>
      </c>
      <c r="O959" s="5">
        <v>1118.8</v>
      </c>
      <c r="P959" s="5">
        <f>4264392.52+327430.69</f>
        <v>4591823.21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f>ROUND(P959*1.5%,2)</f>
        <v>68877.350000000006</v>
      </c>
      <c r="AF959" s="5">
        <v>180000</v>
      </c>
      <c r="AG959" s="5">
        <v>0</v>
      </c>
      <c r="AH959" s="246">
        <v>2021</v>
      </c>
      <c r="AI959" s="246">
        <v>2021</v>
      </c>
      <c r="AJ959" s="6">
        <v>2021</v>
      </c>
      <c r="AV959" s="2" t="e">
        <f>VLOOKUP(C959,AY:AZ,2,FALSE)</f>
        <v>#N/A</v>
      </c>
      <c r="CB959" s="236"/>
      <c r="CF959" s="2" t="e">
        <f t="shared" si="255"/>
        <v>#N/A</v>
      </c>
    </row>
    <row r="960" spans="1:262" ht="61.5" x14ac:dyDescent="0.85">
      <c r="B960" s="3" t="s">
        <v>117</v>
      </c>
      <c r="C960" s="3"/>
      <c r="D960" s="244">
        <v>17099543.050000001</v>
      </c>
      <c r="E960" s="233">
        <f t="shared" si="247"/>
        <v>-10925546.890000001</v>
      </c>
      <c r="F960" s="244">
        <f t="shared" ref="F960:AG960" si="258">SUM(F961:F965)</f>
        <v>28025089.940000001</v>
      </c>
      <c r="G960" s="5">
        <f t="shared" si="258"/>
        <v>0</v>
      </c>
      <c r="H960" s="5">
        <f t="shared" si="258"/>
        <v>0</v>
      </c>
      <c r="I960" s="5">
        <f t="shared" si="258"/>
        <v>0</v>
      </c>
      <c r="J960" s="5">
        <f t="shared" si="258"/>
        <v>0</v>
      </c>
      <c r="K960" s="5">
        <f t="shared" si="258"/>
        <v>0</v>
      </c>
      <c r="L960" s="5">
        <f t="shared" si="258"/>
        <v>0</v>
      </c>
      <c r="M960" s="26">
        <f t="shared" si="258"/>
        <v>0</v>
      </c>
      <c r="N960" s="5">
        <f t="shared" si="258"/>
        <v>0</v>
      </c>
      <c r="O960" s="5">
        <f t="shared" si="258"/>
        <v>5723.66</v>
      </c>
      <c r="P960" s="5">
        <f t="shared" si="258"/>
        <v>27010653.23</v>
      </c>
      <c r="Q960" s="5">
        <f t="shared" si="258"/>
        <v>0</v>
      </c>
      <c r="R960" s="5">
        <f t="shared" si="258"/>
        <v>0</v>
      </c>
      <c r="S960" s="5">
        <f t="shared" si="258"/>
        <v>0</v>
      </c>
      <c r="T960" s="5">
        <f t="shared" si="258"/>
        <v>0</v>
      </c>
      <c r="U960" s="5">
        <f t="shared" si="258"/>
        <v>0</v>
      </c>
      <c r="V960" s="5">
        <f t="shared" si="258"/>
        <v>0</v>
      </c>
      <c r="W960" s="5">
        <f t="shared" si="258"/>
        <v>0</v>
      </c>
      <c r="X960" s="5">
        <f t="shared" si="258"/>
        <v>0</v>
      </c>
      <c r="Y960" s="5">
        <f t="shared" si="258"/>
        <v>0</v>
      </c>
      <c r="Z960" s="5">
        <f t="shared" si="258"/>
        <v>0</v>
      </c>
      <c r="AA960" s="5">
        <f t="shared" si="258"/>
        <v>0</v>
      </c>
      <c r="AB960" s="5">
        <f t="shared" si="258"/>
        <v>0</v>
      </c>
      <c r="AC960" s="5">
        <f t="shared" si="258"/>
        <v>0</v>
      </c>
      <c r="AD960" s="5">
        <f t="shared" si="258"/>
        <v>0</v>
      </c>
      <c r="AE960" s="5">
        <f t="shared" si="258"/>
        <v>405159.79</v>
      </c>
      <c r="AF960" s="5">
        <f t="shared" si="258"/>
        <v>489276.92</v>
      </c>
      <c r="AG960" s="5">
        <f t="shared" si="258"/>
        <v>120000</v>
      </c>
      <c r="AH960" s="23" t="s">
        <v>90</v>
      </c>
      <c r="AI960" s="23" t="s">
        <v>90</v>
      </c>
      <c r="AJ960" s="27" t="s">
        <v>90</v>
      </c>
      <c r="AV960" s="2" t="e">
        <f>VLOOKUP(C960,AY:AZ,2,FALSE)</f>
        <v>#N/A</v>
      </c>
      <c r="CB960" s="236">
        <v>13767321.040000001</v>
      </c>
      <c r="CF960" s="2" t="e">
        <f t="shared" si="255"/>
        <v>#N/A</v>
      </c>
    </row>
    <row r="961" spans="1:262" ht="61.5" x14ac:dyDescent="0.85">
      <c r="A961" s="2">
        <v>1</v>
      </c>
      <c r="B961" s="18">
        <f>SUBTOTAL(103,$A$558:A961)</f>
        <v>352</v>
      </c>
      <c r="C961" s="3" t="s">
        <v>1681</v>
      </c>
      <c r="D961" s="5">
        <v>6391288.3800000008</v>
      </c>
      <c r="E961" s="5">
        <f t="shared" si="247"/>
        <v>59812.719999999739</v>
      </c>
      <c r="F961" s="5">
        <f>G961+H961+I961+J961+K961+L961+N961+P961+R961+T961+V961+W961+X961+Y961+Z961+AA961+AB961+AC961+AD961+AE961+AF961+AG961</f>
        <v>6331475.6600000011</v>
      </c>
      <c r="G961" s="5">
        <v>0</v>
      </c>
      <c r="H961" s="5">
        <v>0</v>
      </c>
      <c r="I961" s="5">
        <v>0</v>
      </c>
      <c r="J961" s="5">
        <v>0</v>
      </c>
      <c r="K961" s="5">
        <v>0</v>
      </c>
      <c r="L961" s="5">
        <v>0</v>
      </c>
      <c r="M961" s="241">
        <v>0</v>
      </c>
      <c r="N961" s="5">
        <v>0</v>
      </c>
      <c r="O961" s="5">
        <v>1101.8</v>
      </c>
      <c r="P961" s="5">
        <v>6119495.9400000004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f>ROUND(P961*1.5%,2)</f>
        <v>91792.44</v>
      </c>
      <c r="AF961" s="5">
        <v>120187.28</v>
      </c>
      <c r="AG961" s="5">
        <v>0</v>
      </c>
      <c r="AH961" s="246">
        <v>2021</v>
      </c>
      <c r="AI961" s="246">
        <v>2021</v>
      </c>
      <c r="AJ961" s="6">
        <v>2021</v>
      </c>
      <c r="AV961" s="2" t="e">
        <f>VLOOKUP(C961,AY:AZ,2,FALSE)</f>
        <v>#N/A</v>
      </c>
      <c r="CB961" s="236"/>
      <c r="CF961" s="2" t="e">
        <f t="shared" si="255"/>
        <v>#N/A</v>
      </c>
    </row>
    <row r="962" spans="1:262" ht="61.5" x14ac:dyDescent="0.85">
      <c r="A962" s="2">
        <v>1</v>
      </c>
      <c r="B962" s="18">
        <f>SUBTOTAL(103,$A$558:A962)</f>
        <v>353</v>
      </c>
      <c r="C962" s="3" t="s">
        <v>1682</v>
      </c>
      <c r="D962" s="5">
        <v>6834775.6500000004</v>
      </c>
      <c r="E962" s="5">
        <f t="shared" si="247"/>
        <v>59895.589999999851</v>
      </c>
      <c r="F962" s="5">
        <f>G962+H962+I962+J962+K962+L962+N962+P962+R962+T962+V962+W962+X962+Y962+Z962+AA962+AB962+AC962+AD962+AE962+AF962+AG962</f>
        <v>6774880.0600000005</v>
      </c>
      <c r="G962" s="5">
        <v>0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241">
        <v>0</v>
      </c>
      <c r="N962" s="5">
        <v>0</v>
      </c>
      <c r="O962" s="5">
        <v>1541.85</v>
      </c>
      <c r="P962" s="5">
        <v>6556429.21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f>ROUND(P962*1.5%,2)</f>
        <v>98346.44</v>
      </c>
      <c r="AF962" s="5">
        <v>120104.41</v>
      </c>
      <c r="AG962" s="5">
        <v>0</v>
      </c>
      <c r="AH962" s="246">
        <v>2021</v>
      </c>
      <c r="AI962" s="246">
        <v>2021</v>
      </c>
      <c r="AJ962" s="6">
        <v>2021</v>
      </c>
      <c r="AV962" s="2" t="e">
        <f>VLOOKUP(C962,AY$962:AZ$962,2,FALSE)</f>
        <v>#N/A</v>
      </c>
      <c r="CB962" s="236"/>
      <c r="CF962" s="2" t="e">
        <f t="shared" si="255"/>
        <v>#N/A</v>
      </c>
    </row>
    <row r="963" spans="1:262" ht="61.5" x14ac:dyDescent="0.85">
      <c r="A963" s="2">
        <v>1</v>
      </c>
      <c r="B963" s="18">
        <f>SUBTOTAL(103,$A$558:A963)</f>
        <v>354</v>
      </c>
      <c r="C963" s="290" t="s">
        <v>1683</v>
      </c>
      <c r="D963" s="5">
        <v>3873479.02</v>
      </c>
      <c r="E963" s="5">
        <f t="shared" si="247"/>
        <v>51014.770000000019</v>
      </c>
      <c r="F963" s="5">
        <f>G963+H963+I963+J963+K963+L963+N963+P963+R963+T963+V963+W963+X963+Y963+Z963+AA963+AB963+AC963+AD963+AE963+AF963+AG963</f>
        <v>3822464.25</v>
      </c>
      <c r="G963" s="5">
        <v>0</v>
      </c>
      <c r="H963" s="5">
        <v>0</v>
      </c>
      <c r="I963" s="5">
        <v>0</v>
      </c>
      <c r="J963" s="5">
        <v>0</v>
      </c>
      <c r="K963" s="5">
        <v>0</v>
      </c>
      <c r="L963" s="5">
        <v>0</v>
      </c>
      <c r="M963" s="241">
        <v>0</v>
      </c>
      <c r="N963" s="5">
        <v>0</v>
      </c>
      <c r="O963" s="5">
        <v>741.79</v>
      </c>
      <c r="P963" s="5">
        <f>3668452.24</f>
        <v>3668452.24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f>ROUND(P963*1.5%,2)</f>
        <v>55026.78</v>
      </c>
      <c r="AF963" s="5">
        <v>98985.23</v>
      </c>
      <c r="AG963" s="5">
        <v>0</v>
      </c>
      <c r="AH963" s="246">
        <v>2021</v>
      </c>
      <c r="AI963" s="246">
        <v>2021</v>
      </c>
      <c r="AJ963" s="6">
        <v>2021</v>
      </c>
      <c r="AV963" s="2" t="e">
        <f>VLOOKUP(C963,AY:AZ,2,FALSE)</f>
        <v>#N/A</v>
      </c>
      <c r="CB963" s="236"/>
    </row>
    <row r="964" spans="1:262" s="239" customFormat="1" ht="61.5" x14ac:dyDescent="0.85">
      <c r="A964" s="239">
        <v>1</v>
      </c>
      <c r="B964" s="18">
        <f>SUBTOTAL(103,$A$558:A964)</f>
        <v>355</v>
      </c>
      <c r="C964" s="3" t="s">
        <v>1107</v>
      </c>
      <c r="D964" s="5">
        <v>5276306.63</v>
      </c>
      <c r="E964" s="5">
        <f t="shared" si="247"/>
        <v>526354.8200000003</v>
      </c>
      <c r="F964" s="5">
        <f t="shared" ref="F964:F965" si="259">G964+H964+I964+J964+K964+L964+N964+P964+R964+T964+V964+W964+X964+Y964+Z964+AA964+AB964+AC964+AD964+AE964+AF964+AG964</f>
        <v>4749951.8099999996</v>
      </c>
      <c r="G964" s="5">
        <v>0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25">
        <v>0</v>
      </c>
      <c r="N964" s="5">
        <v>0</v>
      </c>
      <c r="O964" s="5">
        <v>1105</v>
      </c>
      <c r="P964" s="5">
        <f>4517697.52+533230.86-489399.5</f>
        <v>4561528.88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f t="shared" ref="AE964" si="260">ROUND(P964*1.5%,2)</f>
        <v>68422.929999999993</v>
      </c>
      <c r="AF964" s="7">
        <v>0</v>
      </c>
      <c r="AG964" s="5">
        <v>120000</v>
      </c>
      <c r="AH964" s="246" t="s">
        <v>49</v>
      </c>
      <c r="AI964" s="246">
        <v>2021</v>
      </c>
      <c r="AJ964" s="6">
        <v>2021</v>
      </c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36"/>
      <c r="CC964" s="2"/>
      <c r="CD964" s="2"/>
      <c r="CE964" s="2"/>
      <c r="CF964" s="2">
        <f t="shared" ref="CF964:CF996" si="261">VLOOKUP(C964,CG:CH,2,FALSE)</f>
        <v>1105</v>
      </c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</row>
    <row r="965" spans="1:262" ht="61.5" x14ac:dyDescent="0.85">
      <c r="A965" s="2">
        <v>1</v>
      </c>
      <c r="B965" s="18">
        <f>SUBTOTAL(103,$A$558:A965)</f>
        <v>356</v>
      </c>
      <c r="C965" s="290" t="s">
        <v>1684</v>
      </c>
      <c r="D965" s="5"/>
      <c r="E965" s="5">
        <f t="shared" si="247"/>
        <v>-6346318.1600000001</v>
      </c>
      <c r="F965" s="5">
        <f t="shared" si="259"/>
        <v>6346318.1600000001</v>
      </c>
      <c r="G965" s="5">
        <v>0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241">
        <v>0</v>
      </c>
      <c r="N965" s="5">
        <v>0</v>
      </c>
      <c r="O965" s="5">
        <v>1233.22</v>
      </c>
      <c r="P965" s="5">
        <v>6104746.96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0</v>
      </c>
      <c r="AC965" s="5">
        <v>0</v>
      </c>
      <c r="AD965" s="5">
        <v>0</v>
      </c>
      <c r="AE965" s="5">
        <f>ROUND(P965*1.5%,2)</f>
        <v>91571.199999999997</v>
      </c>
      <c r="AF965" s="5">
        <v>150000</v>
      </c>
      <c r="AG965" s="5">
        <v>0</v>
      </c>
      <c r="AH965" s="246">
        <v>2021</v>
      </c>
      <c r="AI965" s="246">
        <v>2021</v>
      </c>
      <c r="AJ965" s="6">
        <v>2021</v>
      </c>
      <c r="AV965" s="2" t="e">
        <f>VLOOKUP(C965,AY:AZ,2,FALSE)</f>
        <v>#N/A</v>
      </c>
      <c r="CB965" s="236"/>
      <c r="CF965" s="2" t="e">
        <f t="shared" si="261"/>
        <v>#N/A</v>
      </c>
    </row>
    <row r="966" spans="1:262" ht="61.5" x14ac:dyDescent="0.85">
      <c r="B966" s="3" t="s">
        <v>1392</v>
      </c>
      <c r="C966" s="442"/>
      <c r="D966" s="244">
        <v>11170130.879999999</v>
      </c>
      <c r="E966" s="233">
        <f t="shared" si="247"/>
        <v>-3635672.4299999997</v>
      </c>
      <c r="F966" s="244">
        <f>SUM(F967:F969)</f>
        <v>14805803.309999999</v>
      </c>
      <c r="G966" s="5">
        <f t="shared" ref="G966:AG966" si="262">SUM(G967:G969)</f>
        <v>0</v>
      </c>
      <c r="H966" s="5">
        <f t="shared" si="262"/>
        <v>0</v>
      </c>
      <c r="I966" s="5">
        <f t="shared" si="262"/>
        <v>0</v>
      </c>
      <c r="J966" s="5">
        <f t="shared" si="262"/>
        <v>0</v>
      </c>
      <c r="K966" s="5">
        <f t="shared" si="262"/>
        <v>0</v>
      </c>
      <c r="L966" s="5">
        <f t="shared" si="262"/>
        <v>0</v>
      </c>
      <c r="M966" s="241">
        <f t="shared" si="262"/>
        <v>0</v>
      </c>
      <c r="N966" s="5">
        <f t="shared" si="262"/>
        <v>0</v>
      </c>
      <c r="O966" s="5">
        <f t="shared" si="262"/>
        <v>2086.42</v>
      </c>
      <c r="P966" s="5">
        <f t="shared" si="262"/>
        <v>11551700.469999999</v>
      </c>
      <c r="Q966" s="5">
        <f t="shared" si="262"/>
        <v>0</v>
      </c>
      <c r="R966" s="5">
        <f t="shared" si="262"/>
        <v>0</v>
      </c>
      <c r="S966" s="5">
        <f t="shared" si="262"/>
        <v>729.1</v>
      </c>
      <c r="T966" s="5">
        <f t="shared" si="262"/>
        <v>2503278.17</v>
      </c>
      <c r="U966" s="5">
        <f t="shared" si="262"/>
        <v>0</v>
      </c>
      <c r="V966" s="5">
        <f t="shared" si="262"/>
        <v>0</v>
      </c>
      <c r="W966" s="5">
        <f t="shared" si="262"/>
        <v>0</v>
      </c>
      <c r="X966" s="5">
        <f t="shared" si="262"/>
        <v>0</v>
      </c>
      <c r="Y966" s="5">
        <f t="shared" si="262"/>
        <v>0</v>
      </c>
      <c r="Z966" s="5">
        <f t="shared" si="262"/>
        <v>0</v>
      </c>
      <c r="AA966" s="5">
        <f t="shared" si="262"/>
        <v>0</v>
      </c>
      <c r="AB966" s="5">
        <f t="shared" si="262"/>
        <v>0</v>
      </c>
      <c r="AC966" s="5">
        <f t="shared" si="262"/>
        <v>0</v>
      </c>
      <c r="AD966" s="5">
        <f t="shared" si="262"/>
        <v>0</v>
      </c>
      <c r="AE966" s="5">
        <f t="shared" si="262"/>
        <v>210824.67</v>
      </c>
      <c r="AF966" s="5">
        <f t="shared" si="262"/>
        <v>300000</v>
      </c>
      <c r="AG966" s="5">
        <f t="shared" si="262"/>
        <v>240000</v>
      </c>
      <c r="AH966" s="23" t="s">
        <v>90</v>
      </c>
      <c r="AI966" s="23" t="s">
        <v>90</v>
      </c>
      <c r="AJ966" s="27" t="s">
        <v>90</v>
      </c>
      <c r="AV966" s="2" t="e">
        <f>VLOOKUP(C966,AY:AZ,2,FALSE)</f>
        <v>#N/A</v>
      </c>
      <c r="CB966" s="236">
        <v>9023270.3999999985</v>
      </c>
      <c r="CF966" s="2" t="e">
        <f t="shared" si="261"/>
        <v>#N/A</v>
      </c>
    </row>
    <row r="967" spans="1:262" ht="61.5" x14ac:dyDescent="0.85">
      <c r="A967" s="2">
        <v>1</v>
      </c>
      <c r="B967" s="18">
        <f>SUBTOTAL(103,$A$558:A967)</f>
        <v>357</v>
      </c>
      <c r="C967" s="3" t="s">
        <v>1685</v>
      </c>
      <c r="D967" s="5">
        <v>4020786</v>
      </c>
      <c r="E967" s="5">
        <f t="shared" si="247"/>
        <v>0</v>
      </c>
      <c r="F967" s="5">
        <f>G967+H967+I967+J967+K967+L967+N967+P967+R967+T967+V967+W967+X967+Y967+Z967+AA967+AB967+AC967+AD967+AE967+AF967+AG967</f>
        <v>4020786</v>
      </c>
      <c r="G967" s="5">
        <v>0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241">
        <v>0</v>
      </c>
      <c r="N967" s="5">
        <v>0</v>
      </c>
      <c r="O967" s="5">
        <v>770</v>
      </c>
      <c r="P967" s="5">
        <v>3813582.27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f>ROUND(P967*1.5%,2)</f>
        <v>57203.73</v>
      </c>
      <c r="AF967" s="5">
        <v>150000</v>
      </c>
      <c r="AG967" s="5">
        <v>0</v>
      </c>
      <c r="AH967" s="246">
        <v>2021</v>
      </c>
      <c r="AI967" s="246">
        <v>2021</v>
      </c>
      <c r="AJ967" s="6">
        <v>2021</v>
      </c>
      <c r="AV967" s="2" t="e">
        <f>VLOOKUP(C967,AY:AZ,2,FALSE)</f>
        <v>#N/A</v>
      </c>
      <c r="CB967" s="236"/>
      <c r="CF967" s="2" t="e">
        <f t="shared" si="261"/>
        <v>#N/A</v>
      </c>
    </row>
    <row r="968" spans="1:262" ht="61.5" x14ac:dyDescent="0.85">
      <c r="A968" s="2">
        <v>1</v>
      </c>
      <c r="B968" s="18">
        <f>SUBTOTAL(103,$A$558:A968)</f>
        <v>358</v>
      </c>
      <c r="C968" s="3" t="s">
        <v>1686</v>
      </c>
      <c r="D968" s="5">
        <v>5002484.3999999994</v>
      </c>
      <c r="E968" s="5">
        <f t="shared" si="247"/>
        <v>0</v>
      </c>
      <c r="F968" s="5">
        <f>G968+H968+I968+J968+K968+L968+N968+P968+R968+T968+V968+W968+X968+Y968+Z968+AA968+AB968+AC968+AD968+AE968+AF968+AG968</f>
        <v>5002484.3999999994</v>
      </c>
      <c r="G968" s="5">
        <v>0</v>
      </c>
      <c r="H968" s="5">
        <v>0</v>
      </c>
      <c r="I968" s="5">
        <v>0</v>
      </c>
      <c r="J968" s="5">
        <v>0</v>
      </c>
      <c r="K968" s="5">
        <v>0</v>
      </c>
      <c r="L968" s="5">
        <v>0</v>
      </c>
      <c r="M968" s="241">
        <v>0</v>
      </c>
      <c r="N968" s="5">
        <v>0</v>
      </c>
      <c r="O968" s="5">
        <v>958</v>
      </c>
      <c r="P968" s="5">
        <v>4780772.8099999996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f>ROUND(P968*1.5%,2)</f>
        <v>71711.59</v>
      </c>
      <c r="AF968" s="5">
        <v>150000</v>
      </c>
      <c r="AG968" s="5">
        <v>0</v>
      </c>
      <c r="AH968" s="246">
        <v>2021</v>
      </c>
      <c r="AI968" s="246">
        <v>2021</v>
      </c>
      <c r="AJ968" s="6">
        <v>2021</v>
      </c>
      <c r="AV968" s="2" t="e">
        <f>VLOOKUP(C968,AY:AZ,2,FALSE)</f>
        <v>#N/A</v>
      </c>
      <c r="CB968" s="236"/>
      <c r="CF968" s="2" t="e">
        <f t="shared" si="261"/>
        <v>#N/A</v>
      </c>
    </row>
    <row r="969" spans="1:262" s="243" customFormat="1" ht="61.5" x14ac:dyDescent="0.85">
      <c r="A969" s="243">
        <v>1</v>
      </c>
      <c r="B969" s="18">
        <f>SUBTOTAL(103,$A$558:A969)</f>
        <v>359</v>
      </c>
      <c r="C969" s="3" t="s">
        <v>1396</v>
      </c>
      <c r="D969" s="5">
        <v>2146860.48</v>
      </c>
      <c r="E969" s="5">
        <f t="shared" si="247"/>
        <v>-3635672.4299999992</v>
      </c>
      <c r="F969" s="5">
        <f>G969+H969+I969+J969+K969+L969+N969+P969+R969+T969+V969+W969+X969+Y969+Z969+AA969+AB969+AC969+AD969+AE969+AF969+AG969</f>
        <v>5782532.9099999992</v>
      </c>
      <c r="G969" s="5">
        <v>0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241">
        <v>0</v>
      </c>
      <c r="N969" s="5">
        <v>0</v>
      </c>
      <c r="O969" s="5">
        <v>358.42</v>
      </c>
      <c r="P969" s="5">
        <f>1852079.29+1040558.72+64707.38</f>
        <v>2957345.3899999997</v>
      </c>
      <c r="Q969" s="5">
        <v>0</v>
      </c>
      <c r="R969" s="5">
        <v>0</v>
      </c>
      <c r="S969" s="5">
        <v>729.1</v>
      </c>
      <c r="T969" s="5">
        <f>1721236.56+ROUND(1721236.56*0.15,2)+523856.13</f>
        <v>2503278.17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f>ROUND((P969+T969)*1.5%,2)</f>
        <v>81909.350000000006</v>
      </c>
      <c r="AF969" s="5">
        <v>0</v>
      </c>
      <c r="AG969" s="5">
        <v>240000</v>
      </c>
      <c r="AH969" s="246" t="s">
        <v>49</v>
      </c>
      <c r="AI969" s="246">
        <v>2021</v>
      </c>
      <c r="AJ969" s="6">
        <v>2021</v>
      </c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36"/>
      <c r="CC969" s="2"/>
      <c r="CD969" s="2"/>
      <c r="CE969" s="2"/>
      <c r="CF969" s="2" t="e">
        <f t="shared" si="261"/>
        <v>#N/A</v>
      </c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</row>
    <row r="970" spans="1:262" ht="61.5" x14ac:dyDescent="0.85">
      <c r="B970" s="3" t="s">
        <v>1398</v>
      </c>
      <c r="C970" s="3"/>
      <c r="D970" s="244">
        <v>3103317.94</v>
      </c>
      <c r="E970" s="233">
        <f t="shared" si="247"/>
        <v>83405.149999999907</v>
      </c>
      <c r="F970" s="244">
        <f>F971</f>
        <v>3019912.79</v>
      </c>
      <c r="G970" s="5">
        <f t="shared" ref="G970:AG970" si="263">G971</f>
        <v>0</v>
      </c>
      <c r="H970" s="5">
        <f t="shared" si="263"/>
        <v>0</v>
      </c>
      <c r="I970" s="5">
        <f t="shared" si="263"/>
        <v>0</v>
      </c>
      <c r="J970" s="5">
        <f t="shared" si="263"/>
        <v>0</v>
      </c>
      <c r="K970" s="5">
        <f t="shared" si="263"/>
        <v>0</v>
      </c>
      <c r="L970" s="5">
        <f t="shared" si="263"/>
        <v>0</v>
      </c>
      <c r="M970" s="241">
        <f t="shared" si="263"/>
        <v>0</v>
      </c>
      <c r="N970" s="5">
        <f t="shared" si="263"/>
        <v>0</v>
      </c>
      <c r="O970" s="5">
        <f t="shared" si="263"/>
        <v>590</v>
      </c>
      <c r="P970" s="5">
        <f t="shared" si="263"/>
        <v>2975283.54</v>
      </c>
      <c r="Q970" s="5">
        <f t="shared" si="263"/>
        <v>0</v>
      </c>
      <c r="R970" s="5">
        <f t="shared" si="263"/>
        <v>0</v>
      </c>
      <c r="S970" s="5">
        <f t="shared" si="263"/>
        <v>0</v>
      </c>
      <c r="T970" s="5">
        <f t="shared" si="263"/>
        <v>0</v>
      </c>
      <c r="U970" s="5">
        <f t="shared" si="263"/>
        <v>0</v>
      </c>
      <c r="V970" s="5">
        <f t="shared" si="263"/>
        <v>0</v>
      </c>
      <c r="W970" s="5">
        <f t="shared" si="263"/>
        <v>0</v>
      </c>
      <c r="X970" s="5">
        <f t="shared" si="263"/>
        <v>0</v>
      </c>
      <c r="Y970" s="5">
        <f t="shared" si="263"/>
        <v>0</v>
      </c>
      <c r="Z970" s="5">
        <f t="shared" si="263"/>
        <v>0</v>
      </c>
      <c r="AA970" s="5">
        <f t="shared" si="263"/>
        <v>0</v>
      </c>
      <c r="AB970" s="5">
        <f t="shared" si="263"/>
        <v>0</v>
      </c>
      <c r="AC970" s="5">
        <f t="shared" si="263"/>
        <v>0</v>
      </c>
      <c r="AD970" s="5">
        <f t="shared" si="263"/>
        <v>0</v>
      </c>
      <c r="AE970" s="5">
        <f t="shared" si="263"/>
        <v>44629.25</v>
      </c>
      <c r="AF970" s="5">
        <f t="shared" si="263"/>
        <v>0</v>
      </c>
      <c r="AG970" s="5">
        <f t="shared" si="263"/>
        <v>0</v>
      </c>
      <c r="AH970" s="23" t="s">
        <v>90</v>
      </c>
      <c r="AI970" s="23" t="s">
        <v>90</v>
      </c>
      <c r="AJ970" s="27" t="s">
        <v>90</v>
      </c>
      <c r="AV970" s="2" t="e">
        <f>VLOOKUP(C970,AY:AZ,2,FALSE)</f>
        <v>#N/A</v>
      </c>
      <c r="CB970" s="236">
        <v>3080862</v>
      </c>
      <c r="CF970" s="2" t="e">
        <f t="shared" si="261"/>
        <v>#N/A</v>
      </c>
    </row>
    <row r="971" spans="1:262" ht="61.5" x14ac:dyDescent="0.85">
      <c r="A971" s="2">
        <v>1</v>
      </c>
      <c r="B971" s="18">
        <f>SUBTOTAL(103,$A$558:A971)</f>
        <v>360</v>
      </c>
      <c r="C971" s="3" t="s">
        <v>1400</v>
      </c>
      <c r="D971" s="5">
        <v>3103317.94</v>
      </c>
      <c r="E971" s="5">
        <f t="shared" si="247"/>
        <v>83405.149999999907</v>
      </c>
      <c r="F971" s="5">
        <f>G971+H971+I971+J971+K971+L971+N971+P971+R971+T971+V971+W971+X971+Y971+Z971+AA971+AB971+AC971+AD971+AE971+AF971+AG971</f>
        <v>3019912.79</v>
      </c>
      <c r="G971" s="5">
        <v>0</v>
      </c>
      <c r="H971" s="5">
        <v>0</v>
      </c>
      <c r="I971" s="5">
        <v>0</v>
      </c>
      <c r="J971" s="5">
        <v>0</v>
      </c>
      <c r="K971" s="5">
        <v>0</v>
      </c>
      <c r="L971" s="5">
        <v>0</v>
      </c>
      <c r="M971" s="241">
        <v>0</v>
      </c>
      <c r="N971" s="5">
        <v>0</v>
      </c>
      <c r="O971" s="5">
        <v>590</v>
      </c>
      <c r="P971" s="5">
        <f>2887548.77+22124.08+1669+62272.69+1669</f>
        <v>2975283.54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f>ROUND(P971*1.5%,2)</f>
        <v>44629.25</v>
      </c>
      <c r="AF971" s="5">
        <v>0</v>
      </c>
      <c r="AG971" s="5">
        <v>0</v>
      </c>
      <c r="AH971" s="246" t="s">
        <v>49</v>
      </c>
      <c r="AI971" s="246">
        <v>2021</v>
      </c>
      <c r="AJ971" s="6">
        <v>2021</v>
      </c>
      <c r="AV971" s="2" t="e">
        <f>VLOOKUP(C971,AY:AZ,2,FALSE)</f>
        <v>#N/A</v>
      </c>
      <c r="CB971" s="236"/>
      <c r="CF971" s="2" t="e">
        <f t="shared" si="261"/>
        <v>#N/A</v>
      </c>
    </row>
    <row r="972" spans="1:262" ht="61.5" x14ac:dyDescent="0.85">
      <c r="B972" s="3" t="s">
        <v>1687</v>
      </c>
      <c r="C972" s="3"/>
      <c r="D972" s="244">
        <v>3655260</v>
      </c>
      <c r="E972" s="233">
        <f t="shared" si="247"/>
        <v>87282.820000000298</v>
      </c>
      <c r="F972" s="244">
        <f>F973</f>
        <v>3567977.1799999997</v>
      </c>
      <c r="G972" s="5">
        <f t="shared" ref="G972:AC972" si="264">G973</f>
        <v>0</v>
      </c>
      <c r="H972" s="5">
        <f t="shared" si="264"/>
        <v>0</v>
      </c>
      <c r="I972" s="5">
        <f t="shared" si="264"/>
        <v>0</v>
      </c>
      <c r="J972" s="5">
        <f t="shared" si="264"/>
        <v>0</v>
      </c>
      <c r="K972" s="5">
        <f t="shared" si="264"/>
        <v>0</v>
      </c>
      <c r="L972" s="5">
        <f t="shared" si="264"/>
        <v>0</v>
      </c>
      <c r="M972" s="241">
        <f t="shared" si="264"/>
        <v>0</v>
      </c>
      <c r="N972" s="5">
        <f t="shared" si="264"/>
        <v>0</v>
      </c>
      <c r="O972" s="5">
        <f t="shared" si="264"/>
        <v>700</v>
      </c>
      <c r="P972" s="5">
        <f t="shared" si="264"/>
        <v>3515248.4499999997</v>
      </c>
      <c r="Q972" s="5">
        <f t="shared" si="264"/>
        <v>0</v>
      </c>
      <c r="R972" s="5">
        <f t="shared" si="264"/>
        <v>0</v>
      </c>
      <c r="S972" s="5">
        <f t="shared" si="264"/>
        <v>0</v>
      </c>
      <c r="T972" s="5">
        <f t="shared" si="264"/>
        <v>0</v>
      </c>
      <c r="U972" s="5">
        <f t="shared" si="264"/>
        <v>0</v>
      </c>
      <c r="V972" s="5">
        <f t="shared" si="264"/>
        <v>0</v>
      </c>
      <c r="W972" s="5">
        <f t="shared" si="264"/>
        <v>0</v>
      </c>
      <c r="X972" s="5">
        <f t="shared" si="264"/>
        <v>0</v>
      </c>
      <c r="Y972" s="5">
        <f t="shared" si="264"/>
        <v>0</v>
      </c>
      <c r="Z972" s="5">
        <f t="shared" si="264"/>
        <v>0</v>
      </c>
      <c r="AA972" s="5">
        <f t="shared" si="264"/>
        <v>0</v>
      </c>
      <c r="AB972" s="5">
        <f t="shared" si="264"/>
        <v>0</v>
      </c>
      <c r="AC972" s="5">
        <f t="shared" si="264"/>
        <v>0</v>
      </c>
      <c r="AD972" s="5">
        <f>AD973</f>
        <v>0</v>
      </c>
      <c r="AE972" s="5">
        <f>AE973</f>
        <v>52728.73</v>
      </c>
      <c r="AF972" s="5">
        <f>AF973</f>
        <v>0</v>
      </c>
      <c r="AG972" s="5">
        <f>AG973</f>
        <v>0</v>
      </c>
      <c r="AH972" s="23" t="s">
        <v>90</v>
      </c>
      <c r="AI972" s="23" t="s">
        <v>90</v>
      </c>
      <c r="AJ972" s="27" t="s">
        <v>90</v>
      </c>
      <c r="AV972" s="2" t="e">
        <f>VLOOKUP(C972,AY:AZ,2,FALSE)</f>
        <v>#N/A</v>
      </c>
      <c r="CB972" s="236">
        <v>3655260</v>
      </c>
      <c r="CF972" s="2" t="e">
        <f t="shared" si="261"/>
        <v>#N/A</v>
      </c>
    </row>
    <row r="973" spans="1:262" ht="61.5" x14ac:dyDescent="0.85">
      <c r="A973" s="2">
        <v>1</v>
      </c>
      <c r="B973" s="18">
        <f>SUBTOTAL(103,$A$558:A973)</f>
        <v>361</v>
      </c>
      <c r="C973" s="3" t="s">
        <v>1406</v>
      </c>
      <c r="D973" s="5">
        <v>3655260</v>
      </c>
      <c r="E973" s="5">
        <f t="shared" si="247"/>
        <v>87282.820000000298</v>
      </c>
      <c r="F973" s="5">
        <f>G973+H973+I973+J973+K973+L973+N973+P973+R973+T973+V973+W973+X973+Y973+Z973+AA973+AB973+AC973+AD973+AE973+AF973+AG973</f>
        <v>3567977.1799999997</v>
      </c>
      <c r="G973" s="5">
        <v>0</v>
      </c>
      <c r="H973" s="5">
        <v>0</v>
      </c>
      <c r="I973" s="5">
        <v>0</v>
      </c>
      <c r="J973" s="5">
        <v>0</v>
      </c>
      <c r="K973" s="5">
        <v>0</v>
      </c>
      <c r="L973" s="5">
        <v>0</v>
      </c>
      <c r="M973" s="241">
        <v>0</v>
      </c>
      <c r="N973" s="5">
        <v>0</v>
      </c>
      <c r="O973" s="5">
        <v>700</v>
      </c>
      <c r="P973" s="5">
        <f>3453458.13+61790.32</f>
        <v>3515248.4499999997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f>ROUND(P973*1.5%,2)</f>
        <v>52728.73</v>
      </c>
      <c r="AF973" s="5">
        <v>0</v>
      </c>
      <c r="AG973" s="5">
        <v>0</v>
      </c>
      <c r="AH973" s="246" t="s">
        <v>49</v>
      </c>
      <c r="AI973" s="246">
        <v>2021</v>
      </c>
      <c r="AJ973" s="6">
        <v>2021</v>
      </c>
      <c r="AV973" s="2" t="e">
        <f>VLOOKUP(C973,AY:AZ,2,FALSE)</f>
        <v>#N/A</v>
      </c>
      <c r="CB973" s="236"/>
      <c r="CF973" s="2" t="e">
        <f t="shared" si="261"/>
        <v>#N/A</v>
      </c>
    </row>
    <row r="974" spans="1:262" ht="61.5" x14ac:dyDescent="0.85">
      <c r="B974" s="3" t="s">
        <v>118</v>
      </c>
      <c r="C974" s="3"/>
      <c r="D974" s="244">
        <v>0</v>
      </c>
      <c r="E974" s="233">
        <f t="shared" si="247"/>
        <v>-877727.45000000007</v>
      </c>
      <c r="F974" s="244">
        <f>F975</f>
        <v>877727.45000000007</v>
      </c>
      <c r="G974" s="5">
        <f t="shared" ref="G974:AG976" si="265">G975</f>
        <v>0</v>
      </c>
      <c r="H974" s="5">
        <f t="shared" si="265"/>
        <v>0</v>
      </c>
      <c r="I974" s="5">
        <f t="shared" si="265"/>
        <v>0</v>
      </c>
      <c r="J974" s="5">
        <f t="shared" si="265"/>
        <v>864756.1100000001</v>
      </c>
      <c r="K974" s="5">
        <f t="shared" si="265"/>
        <v>0</v>
      </c>
      <c r="L974" s="5">
        <f t="shared" si="265"/>
        <v>0</v>
      </c>
      <c r="M974" s="241">
        <f t="shared" si="265"/>
        <v>0</v>
      </c>
      <c r="N974" s="5">
        <f t="shared" si="265"/>
        <v>0</v>
      </c>
      <c r="O974" s="5">
        <f t="shared" si="265"/>
        <v>0</v>
      </c>
      <c r="P974" s="5">
        <f t="shared" si="265"/>
        <v>0</v>
      </c>
      <c r="Q974" s="5">
        <f t="shared" si="265"/>
        <v>0</v>
      </c>
      <c r="R974" s="5">
        <f t="shared" si="265"/>
        <v>0</v>
      </c>
      <c r="S974" s="5">
        <f t="shared" si="265"/>
        <v>0</v>
      </c>
      <c r="T974" s="5">
        <f t="shared" si="265"/>
        <v>0</v>
      </c>
      <c r="U974" s="5">
        <f t="shared" si="265"/>
        <v>0</v>
      </c>
      <c r="V974" s="5">
        <f t="shared" si="265"/>
        <v>0</v>
      </c>
      <c r="W974" s="5">
        <f t="shared" si="265"/>
        <v>0</v>
      </c>
      <c r="X974" s="5">
        <f t="shared" si="265"/>
        <v>0</v>
      </c>
      <c r="Y974" s="5">
        <f t="shared" si="265"/>
        <v>0</v>
      </c>
      <c r="Z974" s="5">
        <f t="shared" si="265"/>
        <v>0</v>
      </c>
      <c r="AA974" s="5">
        <f t="shared" si="265"/>
        <v>0</v>
      </c>
      <c r="AB974" s="5">
        <f t="shared" si="265"/>
        <v>0</v>
      </c>
      <c r="AC974" s="5">
        <f t="shared" si="265"/>
        <v>0</v>
      </c>
      <c r="AD974" s="5">
        <f t="shared" si="265"/>
        <v>0</v>
      </c>
      <c r="AE974" s="5">
        <f t="shared" si="265"/>
        <v>12971.34</v>
      </c>
      <c r="AF974" s="5">
        <f t="shared" si="265"/>
        <v>0</v>
      </c>
      <c r="AG974" s="5">
        <f t="shared" si="265"/>
        <v>0</v>
      </c>
      <c r="AH974" s="23" t="s">
        <v>90</v>
      </c>
      <c r="AI974" s="23" t="s">
        <v>90</v>
      </c>
      <c r="AJ974" s="27" t="s">
        <v>90</v>
      </c>
      <c r="AV974" s="2" t="e">
        <f>VLOOKUP(C974,AY:AZ,2,FALSE)</f>
        <v>#N/A</v>
      </c>
      <c r="CB974" s="236">
        <v>3080862</v>
      </c>
      <c r="CF974" s="2" t="e">
        <f t="shared" si="261"/>
        <v>#N/A</v>
      </c>
    </row>
    <row r="975" spans="1:262" s="239" customFormat="1" ht="61.5" x14ac:dyDescent="0.85">
      <c r="A975" s="239">
        <v>1</v>
      </c>
      <c r="B975" s="18">
        <f>SUBTOTAL(103,$A$558:A975)</f>
        <v>362</v>
      </c>
      <c r="C975" s="3" t="s">
        <v>1402</v>
      </c>
      <c r="D975" s="5">
        <v>915027.65</v>
      </c>
      <c r="E975" s="5">
        <f t="shared" si="247"/>
        <v>37300.199999999953</v>
      </c>
      <c r="F975" s="5">
        <f>G975+H975+I975+J975+K975+L975+N975+P975+R975+T975+V975+W975+X975+Y975+Z975+AA975+AB975+AC975+AD975+AE975+AF975+AG975</f>
        <v>877727.45000000007</v>
      </c>
      <c r="G975" s="5">
        <v>0</v>
      </c>
      <c r="H975" s="5">
        <v>0</v>
      </c>
      <c r="I975" s="5">
        <v>0</v>
      </c>
      <c r="J975" s="5">
        <f>818295.28+39111.04+7349.79</f>
        <v>864756.1100000001</v>
      </c>
      <c r="K975" s="5">
        <v>0</v>
      </c>
      <c r="L975" s="5">
        <v>0</v>
      </c>
      <c r="M975" s="2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f>ROUND(J975*1.5%,2)</f>
        <v>12971.34</v>
      </c>
      <c r="AF975" s="5">
        <v>0</v>
      </c>
      <c r="AG975" s="5">
        <v>0</v>
      </c>
      <c r="AH975" s="246" t="s">
        <v>49</v>
      </c>
      <c r="AI975" s="246">
        <v>2021</v>
      </c>
      <c r="AJ975" s="6">
        <v>2021</v>
      </c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36"/>
      <c r="CC975" s="2"/>
      <c r="CD975" s="2"/>
      <c r="CE975" s="2"/>
      <c r="CF975" s="2" t="e">
        <f t="shared" si="261"/>
        <v>#N/A</v>
      </c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</row>
    <row r="976" spans="1:262" ht="61.5" x14ac:dyDescent="0.85">
      <c r="B976" s="3" t="s">
        <v>119</v>
      </c>
      <c r="C976" s="3"/>
      <c r="D976" s="244">
        <v>3080862</v>
      </c>
      <c r="E976" s="233">
        <f t="shared" si="247"/>
        <v>-27613.729999999981</v>
      </c>
      <c r="F976" s="244">
        <f>F977</f>
        <v>3108475.73</v>
      </c>
      <c r="G976" s="5">
        <f t="shared" si="265"/>
        <v>0</v>
      </c>
      <c r="H976" s="5">
        <f t="shared" si="265"/>
        <v>0</v>
      </c>
      <c r="I976" s="5">
        <f t="shared" si="265"/>
        <v>0</v>
      </c>
      <c r="J976" s="5">
        <f t="shared" si="265"/>
        <v>0</v>
      </c>
      <c r="K976" s="5">
        <f t="shared" si="265"/>
        <v>0</v>
      </c>
      <c r="L976" s="5">
        <f t="shared" si="265"/>
        <v>0</v>
      </c>
      <c r="M976" s="241">
        <f t="shared" si="265"/>
        <v>0</v>
      </c>
      <c r="N976" s="5">
        <f t="shared" si="265"/>
        <v>0</v>
      </c>
      <c r="O976" s="5">
        <f t="shared" si="265"/>
        <v>590</v>
      </c>
      <c r="P976" s="5">
        <f t="shared" si="265"/>
        <v>2914754.41</v>
      </c>
      <c r="Q976" s="5">
        <f t="shared" si="265"/>
        <v>0</v>
      </c>
      <c r="R976" s="5">
        <f t="shared" si="265"/>
        <v>0</v>
      </c>
      <c r="S976" s="5">
        <f t="shared" si="265"/>
        <v>0</v>
      </c>
      <c r="T976" s="5">
        <f t="shared" si="265"/>
        <v>0</v>
      </c>
      <c r="U976" s="5">
        <f t="shared" si="265"/>
        <v>0</v>
      </c>
      <c r="V976" s="5">
        <f t="shared" si="265"/>
        <v>0</v>
      </c>
      <c r="W976" s="5">
        <f t="shared" si="265"/>
        <v>0</v>
      </c>
      <c r="X976" s="5">
        <f t="shared" si="265"/>
        <v>0</v>
      </c>
      <c r="Y976" s="5">
        <f t="shared" si="265"/>
        <v>0</v>
      </c>
      <c r="Z976" s="5">
        <f t="shared" si="265"/>
        <v>0</v>
      </c>
      <c r="AA976" s="5">
        <f t="shared" si="265"/>
        <v>0</v>
      </c>
      <c r="AB976" s="5">
        <f t="shared" si="265"/>
        <v>0</v>
      </c>
      <c r="AC976" s="5">
        <f t="shared" si="265"/>
        <v>0</v>
      </c>
      <c r="AD976" s="5">
        <f t="shared" si="265"/>
        <v>0</v>
      </c>
      <c r="AE976" s="5">
        <f t="shared" si="265"/>
        <v>43721.32</v>
      </c>
      <c r="AF976" s="5">
        <f t="shared" si="265"/>
        <v>150000</v>
      </c>
      <c r="AG976" s="5">
        <f t="shared" si="265"/>
        <v>0</v>
      </c>
      <c r="AH976" s="23" t="s">
        <v>90</v>
      </c>
      <c r="AI976" s="23" t="s">
        <v>90</v>
      </c>
      <c r="AJ976" s="27" t="s">
        <v>90</v>
      </c>
      <c r="AV976" s="2" t="e">
        <f t="shared" ref="AV976:AV982" si="266">VLOOKUP(C976,AY:AZ,2,FALSE)</f>
        <v>#N/A</v>
      </c>
      <c r="CB976" s="236">
        <v>3080862</v>
      </c>
      <c r="CF976" s="2" t="e">
        <f t="shared" si="261"/>
        <v>#N/A</v>
      </c>
    </row>
    <row r="977" spans="1:262" ht="61.5" x14ac:dyDescent="0.85">
      <c r="A977" s="2">
        <v>1</v>
      </c>
      <c r="B977" s="18">
        <f>SUBTOTAL(103,$A$558:A977)</f>
        <v>363</v>
      </c>
      <c r="C977" s="3" t="s">
        <v>1688</v>
      </c>
      <c r="D977" s="5">
        <v>3080862</v>
      </c>
      <c r="E977" s="5">
        <f t="shared" si="247"/>
        <v>-27613.729999999981</v>
      </c>
      <c r="F977" s="5">
        <f>G977+H977+I977+J977+K977+L977+N977+P977+R977+T977+V977+W977+X977+Y977+Z977+AA977+AB977+AC977+AD977+AE977+AF977+AG977</f>
        <v>3108475.73</v>
      </c>
      <c r="G977" s="5">
        <v>0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241">
        <v>0</v>
      </c>
      <c r="N977" s="5">
        <v>0</v>
      </c>
      <c r="O977" s="5">
        <v>590</v>
      </c>
      <c r="P977" s="5">
        <f>2887548.77+27205.64</f>
        <v>2914754.41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f>ROUND(P977*1.5%,2)</f>
        <v>43721.32</v>
      </c>
      <c r="AF977" s="5">
        <v>150000</v>
      </c>
      <c r="AG977" s="5">
        <v>0</v>
      </c>
      <c r="AH977" s="246">
        <v>2021</v>
      </c>
      <c r="AI977" s="246">
        <v>2021</v>
      </c>
      <c r="AJ977" s="6">
        <v>2021</v>
      </c>
      <c r="AV977" s="2" t="e">
        <f t="shared" si="266"/>
        <v>#N/A</v>
      </c>
      <c r="CB977" s="236"/>
      <c r="CF977" s="2" t="e">
        <f t="shared" si="261"/>
        <v>#N/A</v>
      </c>
    </row>
    <row r="978" spans="1:262" ht="61.5" x14ac:dyDescent="0.85">
      <c r="B978" s="3" t="s">
        <v>120</v>
      </c>
      <c r="C978" s="442"/>
      <c r="D978" s="244">
        <v>9374338.0300000012</v>
      </c>
      <c r="E978" s="233">
        <f t="shared" si="247"/>
        <v>-732600.75</v>
      </c>
      <c r="F978" s="244">
        <f>SUM(F979:F983)</f>
        <v>10106938.780000001</v>
      </c>
      <c r="G978" s="5">
        <f t="shared" ref="G978:AG978" si="267">SUM(G979:G983)</f>
        <v>0</v>
      </c>
      <c r="H978" s="5">
        <f t="shared" si="267"/>
        <v>0</v>
      </c>
      <c r="I978" s="5">
        <f t="shared" si="267"/>
        <v>0</v>
      </c>
      <c r="J978" s="5">
        <f t="shared" si="267"/>
        <v>0</v>
      </c>
      <c r="K978" s="5">
        <f t="shared" si="267"/>
        <v>715768.27</v>
      </c>
      <c r="L978" s="5">
        <f t="shared" si="267"/>
        <v>0</v>
      </c>
      <c r="M978" s="241">
        <f t="shared" si="267"/>
        <v>0</v>
      </c>
      <c r="N978" s="5">
        <f t="shared" si="267"/>
        <v>0</v>
      </c>
      <c r="O978" s="5">
        <f t="shared" si="267"/>
        <v>1508</v>
      </c>
      <c r="P978" s="5">
        <f t="shared" si="267"/>
        <v>7153995.5300000003</v>
      </c>
      <c r="Q978" s="5">
        <f t="shared" si="267"/>
        <v>0</v>
      </c>
      <c r="R978" s="5">
        <f t="shared" si="267"/>
        <v>0</v>
      </c>
      <c r="S978" s="5">
        <f t="shared" si="267"/>
        <v>531</v>
      </c>
      <c r="T978" s="5">
        <f t="shared" si="267"/>
        <v>1471743.09</v>
      </c>
      <c r="U978" s="5">
        <f t="shared" si="267"/>
        <v>0</v>
      </c>
      <c r="V978" s="5">
        <f t="shared" si="267"/>
        <v>0</v>
      </c>
      <c r="W978" s="5">
        <f t="shared" si="267"/>
        <v>0</v>
      </c>
      <c r="X978" s="5">
        <f t="shared" si="267"/>
        <v>0</v>
      </c>
      <c r="Y978" s="5">
        <f t="shared" si="267"/>
        <v>0</v>
      </c>
      <c r="Z978" s="5">
        <f t="shared" si="267"/>
        <v>0</v>
      </c>
      <c r="AA978" s="5">
        <f t="shared" si="267"/>
        <v>0</v>
      </c>
      <c r="AB978" s="5">
        <f t="shared" si="267"/>
        <v>0</v>
      </c>
      <c r="AC978" s="5">
        <f t="shared" si="267"/>
        <v>0</v>
      </c>
      <c r="AD978" s="5">
        <f t="shared" si="267"/>
        <v>0</v>
      </c>
      <c r="AE978" s="5">
        <f t="shared" si="267"/>
        <v>140122.6</v>
      </c>
      <c r="AF978" s="5">
        <f t="shared" si="267"/>
        <v>385309.29000000004</v>
      </c>
      <c r="AG978" s="5">
        <f t="shared" si="267"/>
        <v>240000</v>
      </c>
      <c r="AH978" s="23" t="s">
        <v>90</v>
      </c>
      <c r="AI978" s="23" t="s">
        <v>90</v>
      </c>
      <c r="AJ978" s="27" t="s">
        <v>90</v>
      </c>
      <c r="AV978" s="2" t="e">
        <f t="shared" si="266"/>
        <v>#N/A</v>
      </c>
      <c r="CB978" s="236">
        <v>7774419.2400000002</v>
      </c>
      <c r="CF978" s="2" t="e">
        <f t="shared" si="261"/>
        <v>#N/A</v>
      </c>
    </row>
    <row r="979" spans="1:262" ht="61.5" x14ac:dyDescent="0.85">
      <c r="A979" s="2">
        <v>1</v>
      </c>
      <c r="B979" s="18">
        <f>SUBTOTAL(103,$A$558:A979)</f>
        <v>364</v>
      </c>
      <c r="C979" s="3" t="s">
        <v>1689</v>
      </c>
      <c r="D979" s="5">
        <v>3524909.29</v>
      </c>
      <c r="E979" s="5">
        <f t="shared" si="247"/>
        <v>0</v>
      </c>
      <c r="F979" s="5">
        <f>G979+H979+I979+J979+K979+L979+N979+P979+R979+T979+V979+W979+X979+Y979+Z979+AA979+AB979+AC979+AD979+AE979+AF979+AG979</f>
        <v>3524909.29</v>
      </c>
      <c r="G979" s="5">
        <v>0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241">
        <v>0</v>
      </c>
      <c r="N979" s="5">
        <v>0</v>
      </c>
      <c r="O979" s="5">
        <v>696</v>
      </c>
      <c r="P979" s="5">
        <v>3349359.61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f>ROUND(P979*1.5%,2)</f>
        <v>50240.39</v>
      </c>
      <c r="AF979" s="5">
        <f>150000-24690.71</f>
        <v>125309.29000000001</v>
      </c>
      <c r="AG979" s="5">
        <v>0</v>
      </c>
      <c r="AH979" s="246">
        <v>2021</v>
      </c>
      <c r="AI979" s="246">
        <v>2021</v>
      </c>
      <c r="AJ979" s="6">
        <v>2021</v>
      </c>
      <c r="AV979" s="2" t="e">
        <f t="shared" si="266"/>
        <v>#N/A</v>
      </c>
      <c r="CB979" s="236"/>
      <c r="CF979" s="2" t="e">
        <f t="shared" si="261"/>
        <v>#N/A</v>
      </c>
    </row>
    <row r="980" spans="1:262" ht="61.5" x14ac:dyDescent="0.85">
      <c r="A980" s="2">
        <v>1</v>
      </c>
      <c r="B980" s="18">
        <f>SUBTOTAL(103,$A$558:A980)</f>
        <v>365</v>
      </c>
      <c r="C980" s="3" t="s">
        <v>1690</v>
      </c>
      <c r="D980" s="5">
        <v>2601000</v>
      </c>
      <c r="E980" s="5">
        <f t="shared" si="247"/>
        <v>0</v>
      </c>
      <c r="F980" s="5">
        <f>G980+H980+I980+J980+K980+L980+N980+P980+R980+T980+V980+W980+X980+Y980+Z980+AA980+AB980+AC980+AD980+AE980+AF980+AG980</f>
        <v>2601000</v>
      </c>
      <c r="G980" s="5">
        <v>0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241">
        <v>0</v>
      </c>
      <c r="N980" s="5">
        <v>0</v>
      </c>
      <c r="O980" s="5">
        <v>510</v>
      </c>
      <c r="P980" s="5">
        <f>2414778.33-118226.61</f>
        <v>2296551.7200000002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f>ROUND(P980*1.5%,2)</f>
        <v>34448.28</v>
      </c>
      <c r="AF980" s="5">
        <v>150000</v>
      </c>
      <c r="AG980" s="5">
        <v>120000</v>
      </c>
      <c r="AH980" s="246">
        <v>2021</v>
      </c>
      <c r="AI980" s="246">
        <v>2021</v>
      </c>
      <c r="AJ980" s="6">
        <v>2021</v>
      </c>
      <c r="AV980" s="2" t="e">
        <f t="shared" si="266"/>
        <v>#N/A</v>
      </c>
      <c r="CB980" s="236"/>
      <c r="CF980" s="2" t="e">
        <f t="shared" si="261"/>
        <v>#N/A</v>
      </c>
    </row>
    <row r="981" spans="1:262" ht="61.5" x14ac:dyDescent="0.85">
      <c r="A981" s="2">
        <v>1</v>
      </c>
      <c r="B981" s="18">
        <f>SUBTOTAL(103,$A$558:A981)</f>
        <v>366</v>
      </c>
      <c r="C981" s="3" t="s">
        <v>1691</v>
      </c>
      <c r="D981" s="5">
        <v>1603819.24</v>
      </c>
      <c r="E981" s="5">
        <f t="shared" si="247"/>
        <v>0</v>
      </c>
      <c r="F981" s="5">
        <f>G981+H981+I981+J981+K981+L981+N981+P981+R981+T981+V981+W981+X981+Y981+Z981+AA981+AB981+AC981+AD981+AE981+AF981+AG981</f>
        <v>1603819.24</v>
      </c>
      <c r="G981" s="5">
        <v>0</v>
      </c>
      <c r="H981" s="5">
        <v>0</v>
      </c>
      <c r="I981" s="5">
        <v>0</v>
      </c>
      <c r="J981" s="5">
        <v>0</v>
      </c>
      <c r="K981" s="5">
        <v>0</v>
      </c>
      <c r="L981" s="5">
        <v>0</v>
      </c>
      <c r="M981" s="241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531</v>
      </c>
      <c r="T981" s="5">
        <v>1471743.09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f>ROUND(T981*1.5%,2)</f>
        <v>22076.15</v>
      </c>
      <c r="AF981" s="5">
        <v>110000</v>
      </c>
      <c r="AG981" s="5">
        <v>0</v>
      </c>
      <c r="AH981" s="246">
        <v>2021</v>
      </c>
      <c r="AI981" s="246">
        <v>2021</v>
      </c>
      <c r="AJ981" s="6">
        <v>2021</v>
      </c>
      <c r="AV981" s="2" t="e">
        <f t="shared" si="266"/>
        <v>#N/A</v>
      </c>
      <c r="CB981" s="236"/>
      <c r="CF981" s="2" t="e">
        <f t="shared" si="261"/>
        <v>#N/A</v>
      </c>
    </row>
    <row r="982" spans="1:262" ht="61.5" x14ac:dyDescent="0.85">
      <c r="A982" s="2">
        <v>1</v>
      </c>
      <c r="B982" s="18">
        <f>SUBTOTAL(103,$A$558:A982)</f>
        <v>367</v>
      </c>
      <c r="C982" s="3" t="s">
        <v>1407</v>
      </c>
      <c r="D982" s="5">
        <v>1644609.5</v>
      </c>
      <c r="E982" s="5">
        <f t="shared" si="247"/>
        <v>-6095.9600000001956</v>
      </c>
      <c r="F982" s="5">
        <f t="shared" ref="F982:F983" si="268">G982+H982+I982+J982+K982+L982+N982+P982+R982+T982+V982+W982+X982+Y982+Z982+AA982+AB982+AC982+AD982+AE982+AF982+AG982</f>
        <v>1650705.4600000002</v>
      </c>
      <c r="G982" s="5">
        <v>0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241">
        <v>0</v>
      </c>
      <c r="N982" s="5">
        <v>0</v>
      </c>
      <c r="O982" s="5">
        <v>302</v>
      </c>
      <c r="P982" s="5">
        <f>1502078.33+6005.87</f>
        <v>1508084.2000000002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f>ROUND(P982*1.5%,2)</f>
        <v>22621.26</v>
      </c>
      <c r="AF982" s="7">
        <v>0</v>
      </c>
      <c r="AG982" s="5">
        <v>120000</v>
      </c>
      <c r="AH982" s="246" t="s">
        <v>49</v>
      </c>
      <c r="AI982" s="246">
        <v>2021</v>
      </c>
      <c r="AJ982" s="246">
        <v>2021</v>
      </c>
      <c r="AV982" s="2" t="e">
        <f t="shared" si="266"/>
        <v>#N/A</v>
      </c>
      <c r="CB982" s="236"/>
      <c r="CF982" s="2" t="e">
        <f t="shared" si="261"/>
        <v>#N/A</v>
      </c>
    </row>
    <row r="983" spans="1:262" s="239" customFormat="1" ht="61.5" x14ac:dyDescent="0.85">
      <c r="A983" s="239">
        <v>1</v>
      </c>
      <c r="B983" s="18">
        <f>SUBTOTAL(103,$A$558:A983)</f>
        <v>368</v>
      </c>
      <c r="C983" s="3" t="s">
        <v>1692</v>
      </c>
      <c r="D983" s="5">
        <v>726504.79</v>
      </c>
      <c r="E983" s="5">
        <f t="shared" si="247"/>
        <v>0</v>
      </c>
      <c r="F983" s="5">
        <f t="shared" si="268"/>
        <v>726504.79</v>
      </c>
      <c r="G983" s="5">
        <v>0</v>
      </c>
      <c r="H983" s="5">
        <v>0</v>
      </c>
      <c r="I983" s="5">
        <v>0</v>
      </c>
      <c r="J983" s="5">
        <v>0</v>
      </c>
      <c r="K983" s="5">
        <v>715768.27</v>
      </c>
      <c r="L983" s="5">
        <v>0</v>
      </c>
      <c r="M983" s="2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f>ROUND(K983*1.5%,2)</f>
        <v>10736.52</v>
      </c>
      <c r="AF983" s="5">
        <v>0</v>
      </c>
      <c r="AG983" s="5">
        <v>0</v>
      </c>
      <c r="AH983" s="246" t="s">
        <v>49</v>
      </c>
      <c r="AI983" s="246">
        <v>2021</v>
      </c>
      <c r="AJ983" s="6">
        <v>2021</v>
      </c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36"/>
      <c r="CC983" s="2"/>
      <c r="CD983" s="2"/>
      <c r="CE983" s="2"/>
      <c r="CF983" s="2" t="e">
        <f t="shared" si="261"/>
        <v>#N/A</v>
      </c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</row>
    <row r="984" spans="1:262" ht="61.5" x14ac:dyDescent="0.85">
      <c r="B984" s="3" t="s">
        <v>122</v>
      </c>
      <c r="C984" s="3"/>
      <c r="D984" s="244">
        <v>4275483</v>
      </c>
      <c r="E984" s="233">
        <f t="shared" si="247"/>
        <v>-482574.87000000011</v>
      </c>
      <c r="F984" s="244">
        <f>F985</f>
        <v>4758057.87</v>
      </c>
      <c r="G984" s="5">
        <f t="shared" ref="G984:AG986" si="269">G985</f>
        <v>0</v>
      </c>
      <c r="H984" s="5">
        <f t="shared" si="269"/>
        <v>0</v>
      </c>
      <c r="I984" s="5">
        <f t="shared" si="269"/>
        <v>0</v>
      </c>
      <c r="J984" s="5">
        <f t="shared" si="269"/>
        <v>0</v>
      </c>
      <c r="K984" s="5">
        <f t="shared" si="269"/>
        <v>0</v>
      </c>
      <c r="L984" s="5">
        <f t="shared" si="269"/>
        <v>0</v>
      </c>
      <c r="M984" s="241">
        <f t="shared" si="269"/>
        <v>0</v>
      </c>
      <c r="N984" s="5">
        <f t="shared" si="269"/>
        <v>0</v>
      </c>
      <c r="O984" s="5">
        <f t="shared" si="269"/>
        <v>838.33</v>
      </c>
      <c r="P984" s="5">
        <f t="shared" si="269"/>
        <v>4539958.49</v>
      </c>
      <c r="Q984" s="5">
        <f t="shared" si="269"/>
        <v>0</v>
      </c>
      <c r="R984" s="5">
        <f t="shared" si="269"/>
        <v>0</v>
      </c>
      <c r="S984" s="5">
        <f t="shared" si="269"/>
        <v>0</v>
      </c>
      <c r="T984" s="5">
        <f t="shared" si="269"/>
        <v>0</v>
      </c>
      <c r="U984" s="5">
        <f t="shared" si="269"/>
        <v>0</v>
      </c>
      <c r="V984" s="5">
        <f t="shared" si="269"/>
        <v>0</v>
      </c>
      <c r="W984" s="5">
        <f t="shared" si="269"/>
        <v>0</v>
      </c>
      <c r="X984" s="5">
        <f t="shared" si="269"/>
        <v>0</v>
      </c>
      <c r="Y984" s="5">
        <f t="shared" si="269"/>
        <v>0</v>
      </c>
      <c r="Z984" s="5">
        <f t="shared" si="269"/>
        <v>0</v>
      </c>
      <c r="AA984" s="5">
        <f t="shared" si="269"/>
        <v>0</v>
      </c>
      <c r="AB984" s="5">
        <f t="shared" si="269"/>
        <v>0</v>
      </c>
      <c r="AC984" s="5">
        <f t="shared" si="269"/>
        <v>0</v>
      </c>
      <c r="AD984" s="5">
        <f t="shared" si="269"/>
        <v>0</v>
      </c>
      <c r="AE984" s="5">
        <f t="shared" si="269"/>
        <v>68099.38</v>
      </c>
      <c r="AF984" s="5">
        <f t="shared" si="269"/>
        <v>150000</v>
      </c>
      <c r="AG984" s="5">
        <f t="shared" si="269"/>
        <v>0</v>
      </c>
      <c r="AH984" s="23" t="s">
        <v>90</v>
      </c>
      <c r="AI984" s="23" t="s">
        <v>90</v>
      </c>
      <c r="AJ984" s="27" t="s">
        <v>90</v>
      </c>
      <c r="AV984" s="2" t="e">
        <f t="shared" ref="AV984:AV991" si="270">VLOOKUP(C984,AY:AZ,2,FALSE)</f>
        <v>#N/A</v>
      </c>
      <c r="CB984" s="236">
        <v>4275483</v>
      </c>
      <c r="CF984" s="2" t="e">
        <f t="shared" si="261"/>
        <v>#N/A</v>
      </c>
    </row>
    <row r="985" spans="1:262" ht="61.5" x14ac:dyDescent="0.85">
      <c r="A985" s="2">
        <v>1</v>
      </c>
      <c r="B985" s="18">
        <f>SUBTOTAL(103,$A$558:A985)</f>
        <v>369</v>
      </c>
      <c r="C985" s="3" t="s">
        <v>1693</v>
      </c>
      <c r="D985" s="5">
        <v>4275483</v>
      </c>
      <c r="E985" s="5">
        <f t="shared" si="247"/>
        <v>-482574.87000000011</v>
      </c>
      <c r="F985" s="5">
        <f>G985+H985+I985+J985+K985+L985+N985+P985+R985+T985+V985+W985+X985+Y985+Z985+AA985+AB985+AC985+AD985+AE985+AF985+AG985</f>
        <v>4758057.87</v>
      </c>
      <c r="G985" s="5">
        <v>0</v>
      </c>
      <c r="H985" s="5">
        <v>0</v>
      </c>
      <c r="I985" s="5">
        <v>0</v>
      </c>
      <c r="J985" s="5">
        <v>0</v>
      </c>
      <c r="K985" s="5">
        <v>0</v>
      </c>
      <c r="L985" s="5">
        <v>0</v>
      </c>
      <c r="M985" s="241">
        <v>0</v>
      </c>
      <c r="N985" s="5">
        <v>0</v>
      </c>
      <c r="O985" s="5">
        <v>838.33</v>
      </c>
      <c r="P985" s="5">
        <f>4064515.27+475443.22</f>
        <v>4539958.49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f>ROUND(P985*1.5%,2)</f>
        <v>68099.38</v>
      </c>
      <c r="AF985" s="5">
        <v>150000</v>
      </c>
      <c r="AG985" s="5">
        <v>0</v>
      </c>
      <c r="AH985" s="246">
        <v>2021</v>
      </c>
      <c r="AI985" s="246">
        <v>2021</v>
      </c>
      <c r="AJ985" s="6">
        <v>2021</v>
      </c>
      <c r="AV985" s="2" t="e">
        <f t="shared" si="270"/>
        <v>#N/A</v>
      </c>
      <c r="CB985" s="236"/>
      <c r="CF985" s="2" t="e">
        <f t="shared" si="261"/>
        <v>#N/A</v>
      </c>
    </row>
    <row r="986" spans="1:262" ht="61.5" x14ac:dyDescent="0.85">
      <c r="B986" s="3" t="s">
        <v>1411</v>
      </c>
      <c r="C986" s="3"/>
      <c r="D986" s="244">
        <v>1403643.06</v>
      </c>
      <c r="E986" s="233">
        <f t="shared" si="247"/>
        <v>0</v>
      </c>
      <c r="F986" s="244">
        <f>F987</f>
        <v>1403643.06</v>
      </c>
      <c r="G986" s="5">
        <f t="shared" si="269"/>
        <v>0</v>
      </c>
      <c r="H986" s="5">
        <f t="shared" si="269"/>
        <v>0</v>
      </c>
      <c r="I986" s="5">
        <f t="shared" si="269"/>
        <v>0</v>
      </c>
      <c r="J986" s="5">
        <f t="shared" si="269"/>
        <v>0</v>
      </c>
      <c r="K986" s="5">
        <f t="shared" si="269"/>
        <v>0</v>
      </c>
      <c r="L986" s="5">
        <f t="shared" si="269"/>
        <v>0</v>
      </c>
      <c r="M986" s="241">
        <f t="shared" si="269"/>
        <v>0</v>
      </c>
      <c r="N986" s="5">
        <f t="shared" si="269"/>
        <v>0</v>
      </c>
      <c r="O986" s="5">
        <f t="shared" si="269"/>
        <v>333.73</v>
      </c>
      <c r="P986" s="5">
        <f t="shared" si="269"/>
        <v>1235116.32</v>
      </c>
      <c r="Q986" s="5">
        <f t="shared" si="269"/>
        <v>0</v>
      </c>
      <c r="R986" s="5">
        <f t="shared" si="269"/>
        <v>0</v>
      </c>
      <c r="S986" s="5">
        <f t="shared" si="269"/>
        <v>0</v>
      </c>
      <c r="T986" s="5">
        <f t="shared" si="269"/>
        <v>0</v>
      </c>
      <c r="U986" s="5">
        <f t="shared" si="269"/>
        <v>0</v>
      </c>
      <c r="V986" s="5">
        <f t="shared" si="269"/>
        <v>0</v>
      </c>
      <c r="W986" s="5">
        <f t="shared" si="269"/>
        <v>0</v>
      </c>
      <c r="X986" s="5">
        <f t="shared" si="269"/>
        <v>0</v>
      </c>
      <c r="Y986" s="5">
        <f t="shared" si="269"/>
        <v>0</v>
      </c>
      <c r="Z986" s="5">
        <f t="shared" si="269"/>
        <v>0</v>
      </c>
      <c r="AA986" s="5">
        <f t="shared" si="269"/>
        <v>0</v>
      </c>
      <c r="AB986" s="5">
        <f t="shared" si="269"/>
        <v>0</v>
      </c>
      <c r="AC986" s="5">
        <f t="shared" si="269"/>
        <v>0</v>
      </c>
      <c r="AD986" s="5">
        <f t="shared" si="269"/>
        <v>0</v>
      </c>
      <c r="AE986" s="5">
        <f t="shared" si="269"/>
        <v>18526.740000000002</v>
      </c>
      <c r="AF986" s="5">
        <f t="shared" si="269"/>
        <v>150000</v>
      </c>
      <c r="AG986" s="5">
        <f t="shared" si="269"/>
        <v>0</v>
      </c>
      <c r="AH986" s="23" t="s">
        <v>90</v>
      </c>
      <c r="AI986" s="23" t="s">
        <v>90</v>
      </c>
      <c r="AJ986" s="27" t="s">
        <v>90</v>
      </c>
      <c r="AV986" s="2" t="e">
        <f t="shared" si="270"/>
        <v>#N/A</v>
      </c>
      <c r="CB986" s="236">
        <v>4275483</v>
      </c>
      <c r="CF986" s="2" t="e">
        <f t="shared" si="261"/>
        <v>#N/A</v>
      </c>
    </row>
    <row r="987" spans="1:262" ht="61.5" x14ac:dyDescent="0.85">
      <c r="A987" s="2">
        <v>1</v>
      </c>
      <c r="B987" s="18">
        <f>SUBTOTAL(103,$A$558:A987)</f>
        <v>370</v>
      </c>
      <c r="C987" s="3" t="s">
        <v>1694</v>
      </c>
      <c r="D987" s="5">
        <v>1403643.06</v>
      </c>
      <c r="E987" s="5">
        <f t="shared" si="247"/>
        <v>0</v>
      </c>
      <c r="F987" s="5">
        <f>G987+H987+I987+J987+K987+L987+N987+P987+R987+T987+V987+W987+X987+Y987+Z987+AA987+AB987+AC987+AD987+AE987+AF987+AG987</f>
        <v>1403643.06</v>
      </c>
      <c r="G987" s="5">
        <v>0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241">
        <v>0</v>
      </c>
      <c r="N987" s="5">
        <v>0</v>
      </c>
      <c r="O987" s="5">
        <v>333.73</v>
      </c>
      <c r="P987" s="5">
        <v>1235116.32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f>ROUND(P987*1.5%,2)</f>
        <v>18526.740000000002</v>
      </c>
      <c r="AF987" s="5">
        <v>150000</v>
      </c>
      <c r="AG987" s="5">
        <v>0</v>
      </c>
      <c r="AH987" s="246">
        <v>2021</v>
      </c>
      <c r="AI987" s="246">
        <v>2021</v>
      </c>
      <c r="AJ987" s="6">
        <v>2021</v>
      </c>
      <c r="AV987" s="2" t="e">
        <f t="shared" si="270"/>
        <v>#N/A</v>
      </c>
      <c r="CB987" s="236"/>
      <c r="CF987" s="2" t="e">
        <f t="shared" si="261"/>
        <v>#N/A</v>
      </c>
    </row>
    <row r="988" spans="1:262" ht="61.5" x14ac:dyDescent="0.85">
      <c r="B988" s="3" t="s">
        <v>123</v>
      </c>
      <c r="C988" s="442"/>
      <c r="D988" s="244">
        <v>11001949.310000001</v>
      </c>
      <c r="E988" s="233">
        <f t="shared" si="247"/>
        <v>-4227726.93</v>
      </c>
      <c r="F988" s="244">
        <f>SUM(F989:F994)</f>
        <v>15229676.24</v>
      </c>
      <c r="G988" s="5">
        <f t="shared" ref="G988:AG988" si="271">SUM(G989:G994)</f>
        <v>0</v>
      </c>
      <c r="H988" s="5">
        <f t="shared" si="271"/>
        <v>0</v>
      </c>
      <c r="I988" s="5">
        <f t="shared" si="271"/>
        <v>6135136.5800000001</v>
      </c>
      <c r="J988" s="5">
        <f t="shared" si="271"/>
        <v>0</v>
      </c>
      <c r="K988" s="5">
        <f t="shared" si="271"/>
        <v>0</v>
      </c>
      <c r="L988" s="5">
        <f t="shared" si="271"/>
        <v>0</v>
      </c>
      <c r="M988" s="241">
        <f t="shared" si="271"/>
        <v>0</v>
      </c>
      <c r="N988" s="5">
        <f t="shared" si="271"/>
        <v>0</v>
      </c>
      <c r="O988" s="5">
        <f t="shared" si="271"/>
        <v>1787</v>
      </c>
      <c r="P988" s="5">
        <f t="shared" si="271"/>
        <v>8869470.5499999989</v>
      </c>
      <c r="Q988" s="5">
        <f t="shared" si="271"/>
        <v>0</v>
      </c>
      <c r="R988" s="5">
        <f t="shared" si="271"/>
        <v>0</v>
      </c>
      <c r="S988" s="5">
        <f t="shared" si="271"/>
        <v>0</v>
      </c>
      <c r="T988" s="5">
        <f t="shared" si="271"/>
        <v>0</v>
      </c>
      <c r="U988" s="5">
        <f t="shared" si="271"/>
        <v>0</v>
      </c>
      <c r="V988" s="5">
        <f t="shared" si="271"/>
        <v>0</v>
      </c>
      <c r="W988" s="5">
        <f t="shared" si="271"/>
        <v>0</v>
      </c>
      <c r="X988" s="5">
        <f t="shared" si="271"/>
        <v>0</v>
      </c>
      <c r="Y988" s="5">
        <f t="shared" si="271"/>
        <v>0</v>
      </c>
      <c r="Z988" s="5">
        <f t="shared" si="271"/>
        <v>0</v>
      </c>
      <c r="AA988" s="5">
        <f t="shared" si="271"/>
        <v>0</v>
      </c>
      <c r="AB988" s="5">
        <f t="shared" si="271"/>
        <v>0</v>
      </c>
      <c r="AC988" s="5">
        <f t="shared" si="271"/>
        <v>0</v>
      </c>
      <c r="AD988" s="5">
        <f t="shared" si="271"/>
        <v>0</v>
      </c>
      <c r="AE988" s="5">
        <f t="shared" si="271"/>
        <v>225069.11000000002</v>
      </c>
      <c r="AF988" s="5">
        <f t="shared" si="271"/>
        <v>0</v>
      </c>
      <c r="AG988" s="5">
        <f t="shared" si="271"/>
        <v>0</v>
      </c>
      <c r="AH988" s="23" t="s">
        <v>90</v>
      </c>
      <c r="AI988" s="23" t="s">
        <v>90</v>
      </c>
      <c r="AJ988" s="27" t="s">
        <v>90</v>
      </c>
      <c r="AV988" s="2" t="e">
        <f t="shared" si="270"/>
        <v>#N/A</v>
      </c>
      <c r="CB988" s="236">
        <v>9113700</v>
      </c>
      <c r="CF988" s="2" t="e">
        <f t="shared" si="261"/>
        <v>#N/A</v>
      </c>
    </row>
    <row r="989" spans="1:262" ht="61.5" x14ac:dyDescent="0.85">
      <c r="A989" s="2">
        <v>1</v>
      </c>
      <c r="B989" s="18">
        <f>SUBTOTAL(103,$A$558:A989)</f>
        <v>371</v>
      </c>
      <c r="C989" s="3" t="s">
        <v>1418</v>
      </c>
      <c r="D989" s="5">
        <v>6135300</v>
      </c>
      <c r="E989" s="5">
        <f t="shared" si="247"/>
        <v>77010.040000000969</v>
      </c>
      <c r="F989" s="5">
        <f>G989+H989+I989+J989+K989+L989+N989+P989+R989+T989+V989+W989+X989+Y989+Z989+AA989+AB989+AC989+AD989+AE989+AF989+AG989</f>
        <v>6058289.959999999</v>
      </c>
      <c r="G989" s="5">
        <v>0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241">
        <v>0</v>
      </c>
      <c r="N989" s="5">
        <v>0</v>
      </c>
      <c r="O989" s="5">
        <v>1203</v>
      </c>
      <c r="P989" s="5">
        <f>5867290.64+30001.55+71466.39</f>
        <v>5968758.5799999991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f>ROUND(P989*1.5%,2)</f>
        <v>89531.38</v>
      </c>
      <c r="AF989" s="5">
        <v>0</v>
      </c>
      <c r="AG989" s="5">
        <v>0</v>
      </c>
      <c r="AH989" s="246" t="s">
        <v>49</v>
      </c>
      <c r="AI989" s="246">
        <v>2021</v>
      </c>
      <c r="AJ989" s="6">
        <v>2021</v>
      </c>
      <c r="AV989" s="2" t="e">
        <f t="shared" si="270"/>
        <v>#N/A</v>
      </c>
      <c r="CB989" s="236"/>
      <c r="CF989" s="2" t="e">
        <f t="shared" si="261"/>
        <v>#N/A</v>
      </c>
    </row>
    <row r="990" spans="1:262" ht="61.5" x14ac:dyDescent="0.85">
      <c r="A990" s="2">
        <v>1</v>
      </c>
      <c r="B990" s="18">
        <f>SUBTOTAL(103,$A$558:A990)</f>
        <v>372</v>
      </c>
      <c r="C990" s="3" t="s">
        <v>1419</v>
      </c>
      <c r="D990" s="5">
        <v>2978400</v>
      </c>
      <c r="E990" s="5">
        <f t="shared" si="247"/>
        <v>34177.349999999627</v>
      </c>
      <c r="F990" s="5">
        <f>G990+H990+I990+J990+K990+L990+N990+P990+R990+T990+V990+W990+X990+Y990+Z990+AA990+AB990+AC990+AD990+AE990+AF990+AG990</f>
        <v>2944222.6500000004</v>
      </c>
      <c r="G990" s="5">
        <v>0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241">
        <v>0</v>
      </c>
      <c r="N990" s="5">
        <v>0</v>
      </c>
      <c r="O990" s="5">
        <v>584</v>
      </c>
      <c r="P990" s="5">
        <f>2786600.99+82393.91+31717.07</f>
        <v>2900711.97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f>ROUND(P990*1.5%,2)</f>
        <v>43510.68</v>
      </c>
      <c r="AF990" s="5">
        <v>0</v>
      </c>
      <c r="AG990" s="5">
        <v>0</v>
      </c>
      <c r="AH990" s="246" t="s">
        <v>49</v>
      </c>
      <c r="AI990" s="246">
        <v>2021</v>
      </c>
      <c r="AJ990" s="6">
        <v>2021</v>
      </c>
      <c r="AV990" s="2" t="e">
        <f t="shared" si="270"/>
        <v>#N/A</v>
      </c>
      <c r="CB990" s="236"/>
      <c r="CF990" s="2" t="e">
        <f t="shared" si="261"/>
        <v>#N/A</v>
      </c>
    </row>
    <row r="991" spans="1:262" ht="61.5" x14ac:dyDescent="0.85">
      <c r="A991" s="2">
        <v>1</v>
      </c>
      <c r="B991" s="18">
        <f>SUBTOTAL(103,$A$558:A991)</f>
        <v>373</v>
      </c>
      <c r="C991" s="3" t="s">
        <v>1415</v>
      </c>
      <c r="D991" s="5">
        <v>653859.32000000007</v>
      </c>
      <c r="E991" s="5">
        <f t="shared" si="247"/>
        <v>0</v>
      </c>
      <c r="F991" s="5">
        <f>G991+H991+I991+J991+K991+L991+N991+P991+R991+T991+V991+W991+X991+Y991+Z991+AA991+AB991+AC991+AD991+AE991+AF991+AG991</f>
        <v>653859.32000000007</v>
      </c>
      <c r="G991" s="5">
        <v>0</v>
      </c>
      <c r="H991" s="5">
        <v>0</v>
      </c>
      <c r="I991" s="5">
        <f>378568.09+265628.28</f>
        <v>644196.37000000011</v>
      </c>
      <c r="J991" s="5">
        <v>0</v>
      </c>
      <c r="K991" s="5">
        <v>0</v>
      </c>
      <c r="L991" s="5">
        <v>0</v>
      </c>
      <c r="M991" s="241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f>ROUND((G991+H991+I991+J991+K991+L991)*1.5%,2)</f>
        <v>9662.9500000000007</v>
      </c>
      <c r="AF991" s="5">
        <v>0</v>
      </c>
      <c r="AG991" s="5">
        <v>0</v>
      </c>
      <c r="AH991" s="246" t="s">
        <v>49</v>
      </c>
      <c r="AI991" s="246">
        <v>2021</v>
      </c>
      <c r="AJ991" s="246">
        <v>2021</v>
      </c>
      <c r="AV991" s="2" t="e">
        <f t="shared" si="270"/>
        <v>#N/A</v>
      </c>
      <c r="CB991" s="236"/>
      <c r="CF991" s="2" t="e">
        <f t="shared" si="261"/>
        <v>#N/A</v>
      </c>
    </row>
    <row r="992" spans="1:262" ht="61.5" x14ac:dyDescent="0.85">
      <c r="A992" s="2">
        <v>1</v>
      </c>
      <c r="B992" s="18">
        <f>SUBTOTAL(103,$A$558:A992)</f>
        <v>374</v>
      </c>
      <c r="C992" s="3" t="s">
        <v>1416</v>
      </c>
      <c r="D992" s="5">
        <v>574655</v>
      </c>
      <c r="E992" s="5">
        <f t="shared" si="247"/>
        <v>-440345</v>
      </c>
      <c r="F992" s="5">
        <f t="shared" ref="F992:F999" si="272">G992+H992+I992+J992+K992+L992+N992+P992+R992+T992+V992+W992+X992+Y992+Z992+AA992+AB992+AC992+AD992+AE992+AF992+AG992</f>
        <v>1015000</v>
      </c>
      <c r="G992" s="5">
        <v>0</v>
      </c>
      <c r="H992" s="5">
        <v>0</v>
      </c>
      <c r="I992" s="5">
        <v>1000000</v>
      </c>
      <c r="J992" s="5">
        <v>0</v>
      </c>
      <c r="K992" s="5">
        <v>0</v>
      </c>
      <c r="L992" s="5">
        <v>0</v>
      </c>
      <c r="M992" s="241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f t="shared" ref="AE992:AE994" si="273">ROUND((G992+H992+I992+J992+K992+L992)*1.5%,2)</f>
        <v>15000</v>
      </c>
      <c r="AF992" s="5">
        <v>0</v>
      </c>
      <c r="AG992" s="5">
        <v>0</v>
      </c>
      <c r="AH992" s="246" t="s">
        <v>49</v>
      </c>
      <c r="AI992" s="246">
        <v>2021</v>
      </c>
      <c r="AJ992" s="246">
        <v>2021</v>
      </c>
      <c r="CB992" s="236"/>
      <c r="CF992" s="2" t="e">
        <f t="shared" si="261"/>
        <v>#N/A</v>
      </c>
    </row>
    <row r="993" spans="1:262" ht="61.5" x14ac:dyDescent="0.85">
      <c r="A993" s="2">
        <v>1</v>
      </c>
      <c r="B993" s="18">
        <f>SUBTOTAL(103,$A$558:A993)</f>
        <v>375</v>
      </c>
      <c r="C993" s="3" t="s">
        <v>1417</v>
      </c>
      <c r="D993" s="5">
        <v>659734.99</v>
      </c>
      <c r="E993" s="5">
        <f t="shared" si="247"/>
        <v>-304515.01</v>
      </c>
      <c r="F993" s="5">
        <f t="shared" si="272"/>
        <v>964250</v>
      </c>
      <c r="G993" s="5">
        <v>0</v>
      </c>
      <c r="H993" s="5">
        <v>0</v>
      </c>
      <c r="I993" s="5">
        <v>950000</v>
      </c>
      <c r="J993" s="5">
        <v>0</v>
      </c>
      <c r="K993" s="5">
        <v>0</v>
      </c>
      <c r="L993" s="5">
        <v>0</v>
      </c>
      <c r="M993" s="241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f t="shared" si="273"/>
        <v>14250</v>
      </c>
      <c r="AF993" s="5">
        <v>0</v>
      </c>
      <c r="AG993" s="5">
        <v>0</v>
      </c>
      <c r="AH993" s="246" t="s">
        <v>49</v>
      </c>
      <c r="AI993" s="246">
        <v>2021</v>
      </c>
      <c r="AJ993" s="246">
        <v>2021</v>
      </c>
      <c r="CB993" s="236"/>
      <c r="CF993" s="2" t="e">
        <f t="shared" si="261"/>
        <v>#N/A</v>
      </c>
    </row>
    <row r="994" spans="1:262" s="239" customFormat="1" ht="61.5" x14ac:dyDescent="0.85">
      <c r="A994" s="239">
        <v>1</v>
      </c>
      <c r="B994" s="18">
        <f>SUBTOTAL(103,$A$558:A994)</f>
        <v>376</v>
      </c>
      <c r="C994" s="3" t="s">
        <v>1695</v>
      </c>
      <c r="D994" s="5">
        <v>3594054.31</v>
      </c>
      <c r="E994" s="5">
        <f t="shared" si="247"/>
        <v>0</v>
      </c>
      <c r="F994" s="5">
        <f t="shared" si="272"/>
        <v>3594054.31</v>
      </c>
      <c r="G994" s="5">
        <v>0</v>
      </c>
      <c r="H994" s="5">
        <v>0</v>
      </c>
      <c r="I994" s="5">
        <f>2877345.15+663595.06</f>
        <v>3540940.21</v>
      </c>
      <c r="J994" s="5">
        <v>0</v>
      </c>
      <c r="K994" s="5">
        <v>0</v>
      </c>
      <c r="L994" s="5">
        <v>0</v>
      </c>
      <c r="M994" s="2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f t="shared" si="273"/>
        <v>53114.1</v>
      </c>
      <c r="AF994" s="5">
        <v>0</v>
      </c>
      <c r="AG994" s="5">
        <v>0</v>
      </c>
      <c r="AH994" s="246" t="s">
        <v>49</v>
      </c>
      <c r="AI994" s="246">
        <v>2021</v>
      </c>
      <c r="AJ994" s="246">
        <v>2021</v>
      </c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36"/>
      <c r="CC994" s="2"/>
      <c r="CD994" s="2"/>
      <c r="CE994" s="2"/>
      <c r="CF994" s="2" t="e">
        <f t="shared" si="261"/>
        <v>#N/A</v>
      </c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</row>
    <row r="995" spans="1:262" ht="61.5" x14ac:dyDescent="0.85">
      <c r="B995" s="3" t="s">
        <v>1420</v>
      </c>
      <c r="C995" s="3"/>
      <c r="D995" s="244">
        <v>3498600</v>
      </c>
      <c r="E995" s="233">
        <f t="shared" si="247"/>
        <v>-4547105.7599999988</v>
      </c>
      <c r="F995" s="244">
        <f>SUM(F996:F999)</f>
        <v>8045705.7599999988</v>
      </c>
      <c r="G995" s="5">
        <f t="shared" ref="G995:AG995" si="274">SUM(G996:G999)</f>
        <v>0</v>
      </c>
      <c r="H995" s="5">
        <f t="shared" si="274"/>
        <v>0</v>
      </c>
      <c r="I995" s="5">
        <f t="shared" si="274"/>
        <v>0</v>
      </c>
      <c r="J995" s="5">
        <f t="shared" si="274"/>
        <v>1068632.7</v>
      </c>
      <c r="K995" s="5">
        <f t="shared" si="274"/>
        <v>0</v>
      </c>
      <c r="L995" s="5">
        <f t="shared" si="274"/>
        <v>0</v>
      </c>
      <c r="M995" s="241">
        <f t="shared" si="274"/>
        <v>0</v>
      </c>
      <c r="N995" s="5">
        <f t="shared" si="274"/>
        <v>0</v>
      </c>
      <c r="O995" s="5">
        <f t="shared" si="274"/>
        <v>686</v>
      </c>
      <c r="P995" s="5">
        <f t="shared" si="274"/>
        <v>3522194.38</v>
      </c>
      <c r="Q995" s="5">
        <f t="shared" si="274"/>
        <v>0</v>
      </c>
      <c r="R995" s="5">
        <f t="shared" si="274"/>
        <v>0</v>
      </c>
      <c r="S995" s="5">
        <f t="shared" si="274"/>
        <v>0</v>
      </c>
      <c r="T995" s="5">
        <f t="shared" si="274"/>
        <v>0</v>
      </c>
      <c r="U995" s="5">
        <f t="shared" si="274"/>
        <v>0</v>
      </c>
      <c r="V995" s="5">
        <f t="shared" si="274"/>
        <v>0</v>
      </c>
      <c r="W995" s="5">
        <f t="shared" si="274"/>
        <v>3336026.4299999997</v>
      </c>
      <c r="X995" s="5">
        <f t="shared" si="274"/>
        <v>0</v>
      </c>
      <c r="Y995" s="5">
        <f t="shared" si="274"/>
        <v>0</v>
      </c>
      <c r="Z995" s="5">
        <f t="shared" si="274"/>
        <v>0</v>
      </c>
      <c r="AA995" s="5">
        <f t="shared" si="274"/>
        <v>0</v>
      </c>
      <c r="AB995" s="5">
        <f t="shared" si="274"/>
        <v>0</v>
      </c>
      <c r="AC995" s="5">
        <f t="shared" si="274"/>
        <v>0</v>
      </c>
      <c r="AD995" s="5">
        <f t="shared" si="274"/>
        <v>0</v>
      </c>
      <c r="AE995" s="5">
        <f t="shared" si="274"/>
        <v>118852.25</v>
      </c>
      <c r="AF995" s="5">
        <f t="shared" si="274"/>
        <v>0</v>
      </c>
      <c r="AG995" s="5">
        <f t="shared" si="274"/>
        <v>0</v>
      </c>
      <c r="AH995" s="23" t="s">
        <v>90</v>
      </c>
      <c r="AI995" s="23" t="s">
        <v>90</v>
      </c>
      <c r="AJ995" s="27" t="s">
        <v>90</v>
      </c>
      <c r="AV995" s="2" t="e">
        <f>VLOOKUP(C995,AY:AZ,2,FALSE)</f>
        <v>#N/A</v>
      </c>
      <c r="CB995" s="236">
        <v>3498600</v>
      </c>
      <c r="CF995" s="2" t="e">
        <f t="shared" si="261"/>
        <v>#N/A</v>
      </c>
    </row>
    <row r="996" spans="1:262" ht="61.5" x14ac:dyDescent="0.85">
      <c r="A996" s="2">
        <v>1</v>
      </c>
      <c r="B996" s="18">
        <f>SUBTOTAL(103,$A$558:A996)</f>
        <v>377</v>
      </c>
      <c r="C996" s="3" t="s">
        <v>1423</v>
      </c>
      <c r="D996" s="5">
        <v>3498600</v>
      </c>
      <c r="E996" s="5">
        <f t="shared" si="247"/>
        <v>-76427.299999999814</v>
      </c>
      <c r="F996" s="5">
        <f t="shared" si="272"/>
        <v>3575027.3</v>
      </c>
      <c r="G996" s="5">
        <v>0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241">
        <v>0</v>
      </c>
      <c r="N996" s="5">
        <v>0</v>
      </c>
      <c r="O996" s="5">
        <v>686</v>
      </c>
      <c r="P996" s="5">
        <f>3299113.3+78032.85+33832.39+111215.84</f>
        <v>3522194.38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f>ROUND(P996*1.5%,2)</f>
        <v>52832.92</v>
      </c>
      <c r="AF996" s="5">
        <v>0</v>
      </c>
      <c r="AG996" s="5">
        <v>0</v>
      </c>
      <c r="AH996" s="246" t="s">
        <v>49</v>
      </c>
      <c r="AI996" s="246">
        <v>2021</v>
      </c>
      <c r="AJ996" s="6">
        <v>2021</v>
      </c>
      <c r="AV996" s="2" t="e">
        <f>VLOOKUP(C996,AY:AZ,2,FALSE)</f>
        <v>#N/A</v>
      </c>
      <c r="CB996" s="236"/>
      <c r="CF996" s="2" t="e">
        <f t="shared" si="261"/>
        <v>#N/A</v>
      </c>
    </row>
    <row r="997" spans="1:262" s="239" customFormat="1" ht="61.5" x14ac:dyDescent="0.85">
      <c r="A997" s="239">
        <v>1</v>
      </c>
      <c r="B997" s="18">
        <f>SUBTOTAL(103,$A$558:A997)</f>
        <v>378</v>
      </c>
      <c r="C997" s="3" t="s">
        <v>1696</v>
      </c>
      <c r="D997" s="5">
        <v>400289.33999999997</v>
      </c>
      <c r="E997" s="5">
        <f t="shared" si="247"/>
        <v>0</v>
      </c>
      <c r="F997" s="5">
        <f t="shared" si="272"/>
        <v>400289.33999999997</v>
      </c>
      <c r="G997" s="5">
        <v>0</v>
      </c>
      <c r="H997" s="5">
        <v>0</v>
      </c>
      <c r="I997" s="5">
        <v>0</v>
      </c>
      <c r="J997" s="5">
        <v>394373.73</v>
      </c>
      <c r="K997" s="5">
        <v>0</v>
      </c>
      <c r="L997" s="5">
        <v>0</v>
      </c>
      <c r="M997" s="2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5915.61</v>
      </c>
      <c r="AF997" s="5">
        <v>0</v>
      </c>
      <c r="AG997" s="5">
        <v>0</v>
      </c>
      <c r="AH997" s="246" t="s">
        <v>49</v>
      </c>
      <c r="AI997" s="246">
        <v>2021</v>
      </c>
      <c r="AJ997" s="6">
        <v>2021</v>
      </c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 t="e">
        <v>#N/A</v>
      </c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36"/>
      <c r="CC997" s="2"/>
      <c r="CD997" s="2"/>
      <c r="CE997" s="2"/>
      <c r="CF997" s="2" t="e">
        <v>#N/A</v>
      </c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</row>
    <row r="998" spans="1:262" s="239" customFormat="1" ht="61.5" x14ac:dyDescent="0.85">
      <c r="A998" s="239">
        <v>1</v>
      </c>
      <c r="B998" s="18">
        <f>SUBTOTAL(103,$A$558:A998)</f>
        <v>379</v>
      </c>
      <c r="C998" s="3" t="s">
        <v>1421</v>
      </c>
      <c r="D998" s="5">
        <v>3498950.9099999997</v>
      </c>
      <c r="E998" s="5">
        <f t="shared" si="247"/>
        <v>112884.08000000007</v>
      </c>
      <c r="F998" s="5">
        <f t="shared" si="272"/>
        <v>3386066.8299999996</v>
      </c>
      <c r="G998" s="5">
        <v>0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2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3336026.4299999997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50040.4</v>
      </c>
      <c r="AF998" s="5">
        <v>0</v>
      </c>
      <c r="AG998" s="5">
        <v>0</v>
      </c>
      <c r="AH998" s="246" t="s">
        <v>49</v>
      </c>
      <c r="AI998" s="246">
        <v>2021</v>
      </c>
      <c r="AJ998" s="6">
        <v>2021</v>
      </c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 t="e">
        <v>#N/A</v>
      </c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36"/>
      <c r="CC998" s="2"/>
      <c r="CD998" s="2"/>
      <c r="CE998" s="2"/>
      <c r="CF998" s="2" t="e">
        <v>#N/A</v>
      </c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</row>
    <row r="999" spans="1:262" s="239" customFormat="1" ht="61.5" x14ac:dyDescent="0.85">
      <c r="A999" s="239">
        <v>1</v>
      </c>
      <c r="B999" s="18">
        <f>SUBTOTAL(103,$A$558:A999)</f>
        <v>380</v>
      </c>
      <c r="C999" s="3" t="s">
        <v>1697</v>
      </c>
      <c r="D999" s="5">
        <v>684322.28999999992</v>
      </c>
      <c r="E999" s="5">
        <f t="shared" ref="E999:E1062" si="275">D999-F999</f>
        <v>0</v>
      </c>
      <c r="F999" s="5">
        <f t="shared" si="272"/>
        <v>684322.28999999992</v>
      </c>
      <c r="G999" s="5">
        <v>0</v>
      </c>
      <c r="H999" s="5">
        <v>0</v>
      </c>
      <c r="I999" s="5">
        <v>0</v>
      </c>
      <c r="J999" s="5">
        <v>674258.97</v>
      </c>
      <c r="K999" s="5">
        <v>0</v>
      </c>
      <c r="L999" s="5">
        <v>0</v>
      </c>
      <c r="M999" s="2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10063.32</v>
      </c>
      <c r="AF999" s="5">
        <v>0</v>
      </c>
      <c r="AG999" s="5">
        <v>0</v>
      </c>
      <c r="AH999" s="246" t="s">
        <v>49</v>
      </c>
      <c r="AI999" s="246">
        <v>2021</v>
      </c>
      <c r="AJ999" s="6">
        <v>2021</v>
      </c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36"/>
      <c r="CC999" s="2"/>
      <c r="CD999" s="2"/>
      <c r="CE999" s="2"/>
      <c r="CF999" s="2" t="e">
        <v>#N/A</v>
      </c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</row>
    <row r="1000" spans="1:262" ht="61.5" x14ac:dyDescent="0.85">
      <c r="B1000" s="3" t="s">
        <v>1427</v>
      </c>
      <c r="C1000" s="3"/>
      <c r="D1000" s="244">
        <v>3451696.55</v>
      </c>
      <c r="E1000" s="233">
        <f t="shared" si="275"/>
        <v>35717.629999999423</v>
      </c>
      <c r="F1000" s="244">
        <f>F1001</f>
        <v>3415978.9200000004</v>
      </c>
      <c r="G1000" s="5">
        <f t="shared" ref="G1000:AG1002" si="276">G1001</f>
        <v>0</v>
      </c>
      <c r="H1000" s="5">
        <f t="shared" si="276"/>
        <v>0</v>
      </c>
      <c r="I1000" s="5">
        <f t="shared" si="276"/>
        <v>0</v>
      </c>
      <c r="J1000" s="5">
        <f t="shared" si="276"/>
        <v>0</v>
      </c>
      <c r="K1000" s="5">
        <f t="shared" si="276"/>
        <v>0</v>
      </c>
      <c r="L1000" s="5">
        <f t="shared" si="276"/>
        <v>0</v>
      </c>
      <c r="M1000" s="241">
        <f t="shared" si="276"/>
        <v>0</v>
      </c>
      <c r="N1000" s="5">
        <f t="shared" si="276"/>
        <v>0</v>
      </c>
      <c r="O1000" s="5">
        <f t="shared" si="276"/>
        <v>633.4</v>
      </c>
      <c r="P1000" s="5">
        <f t="shared" si="276"/>
        <v>3365496.47</v>
      </c>
      <c r="Q1000" s="5">
        <f t="shared" si="276"/>
        <v>0</v>
      </c>
      <c r="R1000" s="5">
        <f t="shared" si="276"/>
        <v>0</v>
      </c>
      <c r="S1000" s="5">
        <f t="shared" si="276"/>
        <v>0</v>
      </c>
      <c r="T1000" s="5">
        <f t="shared" si="276"/>
        <v>0</v>
      </c>
      <c r="U1000" s="5">
        <f t="shared" si="276"/>
        <v>0</v>
      </c>
      <c r="V1000" s="5">
        <f t="shared" si="276"/>
        <v>0</v>
      </c>
      <c r="W1000" s="5">
        <f t="shared" si="276"/>
        <v>0</v>
      </c>
      <c r="X1000" s="5">
        <f t="shared" si="276"/>
        <v>0</v>
      </c>
      <c r="Y1000" s="5">
        <f t="shared" si="276"/>
        <v>0</v>
      </c>
      <c r="Z1000" s="5">
        <f t="shared" si="276"/>
        <v>0</v>
      </c>
      <c r="AA1000" s="5">
        <f t="shared" si="276"/>
        <v>0</v>
      </c>
      <c r="AB1000" s="5">
        <f t="shared" si="276"/>
        <v>0</v>
      </c>
      <c r="AC1000" s="5">
        <f t="shared" si="276"/>
        <v>0</v>
      </c>
      <c r="AD1000" s="5">
        <f t="shared" si="276"/>
        <v>0</v>
      </c>
      <c r="AE1000" s="5">
        <f t="shared" si="276"/>
        <v>50482.45</v>
      </c>
      <c r="AF1000" s="5">
        <f t="shared" si="276"/>
        <v>0</v>
      </c>
      <c r="AG1000" s="5">
        <f t="shared" si="276"/>
        <v>0</v>
      </c>
      <c r="AH1000" s="23" t="s">
        <v>90</v>
      </c>
      <c r="AI1000" s="23" t="s">
        <v>90</v>
      </c>
      <c r="AJ1000" s="27" t="s">
        <v>90</v>
      </c>
      <c r="AV1000" s="2" t="e">
        <f t="shared" ref="AV1000:AV1010" si="277">VLOOKUP(C1000,AY:AZ,2,FALSE)</f>
        <v>#N/A</v>
      </c>
      <c r="CB1000" s="236">
        <v>3230340</v>
      </c>
      <c r="CF1000" s="2" t="e">
        <f>VLOOKUP(C1000,CG:CH,2,FALSE)</f>
        <v>#N/A</v>
      </c>
    </row>
    <row r="1001" spans="1:262" ht="61.5" x14ac:dyDescent="0.85">
      <c r="A1001" s="2">
        <v>1</v>
      </c>
      <c r="B1001" s="18">
        <f>SUBTOTAL(103,$A$558:A1001)</f>
        <v>381</v>
      </c>
      <c r="C1001" s="3" t="s">
        <v>1428</v>
      </c>
      <c r="D1001" s="5">
        <v>3451696.55</v>
      </c>
      <c r="E1001" s="5">
        <f t="shared" si="275"/>
        <v>35717.629999999423</v>
      </c>
      <c r="F1001" s="5">
        <f>G1001+H1001+I1001+J1001+K1001+L1001+N1001+P1001+R1001+T1001+V1001+W1001+X1001+Y1001+Z1001+AA1001+AB1001+AC1001+AD1001+AE1001+AF1001+AG1001</f>
        <v>3415978.9200000004</v>
      </c>
      <c r="G1001" s="5">
        <v>0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241">
        <v>0</v>
      </c>
      <c r="N1001" s="5">
        <v>0</v>
      </c>
      <c r="O1001" s="5">
        <v>633.4</v>
      </c>
      <c r="P1001" s="5">
        <f>3034817.73+218085.27+79447+33146.47</f>
        <v>3365496.47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f>ROUND(P1001*1.5%,2)</f>
        <v>50482.45</v>
      </c>
      <c r="AF1001" s="5">
        <v>0</v>
      </c>
      <c r="AG1001" s="5">
        <v>0</v>
      </c>
      <c r="AH1001" s="246" t="s">
        <v>49</v>
      </c>
      <c r="AI1001" s="246">
        <v>2021</v>
      </c>
      <c r="AJ1001" s="6">
        <v>2021</v>
      </c>
      <c r="AV1001" s="2" t="e">
        <f t="shared" si="277"/>
        <v>#N/A</v>
      </c>
      <c r="CB1001" s="236"/>
      <c r="CF1001" s="2" t="e">
        <f>VLOOKUP(C1001,CG:CH,2,FALSE)</f>
        <v>#N/A</v>
      </c>
    </row>
    <row r="1002" spans="1:262" ht="61.5" x14ac:dyDescent="0.85">
      <c r="B1002" s="3" t="s">
        <v>1424</v>
      </c>
      <c r="C1002" s="3"/>
      <c r="D1002" s="244">
        <v>0</v>
      </c>
      <c r="E1002" s="233">
        <f t="shared" si="275"/>
        <v>-236034.47</v>
      </c>
      <c r="F1002" s="244">
        <f>F1003</f>
        <v>236034.47</v>
      </c>
      <c r="G1002" s="5">
        <f t="shared" si="276"/>
        <v>0</v>
      </c>
      <c r="H1002" s="5">
        <f t="shared" si="276"/>
        <v>0</v>
      </c>
      <c r="I1002" s="5">
        <f t="shared" si="276"/>
        <v>0</v>
      </c>
      <c r="J1002" s="5">
        <f t="shared" si="276"/>
        <v>178359.08</v>
      </c>
      <c r="K1002" s="5">
        <f t="shared" si="276"/>
        <v>0</v>
      </c>
      <c r="L1002" s="5">
        <f t="shared" si="276"/>
        <v>0</v>
      </c>
      <c r="M1002" s="241">
        <f t="shared" si="276"/>
        <v>0</v>
      </c>
      <c r="N1002" s="5">
        <f t="shared" si="276"/>
        <v>0</v>
      </c>
      <c r="O1002" s="5">
        <f t="shared" si="276"/>
        <v>0</v>
      </c>
      <c r="P1002" s="5">
        <f t="shared" si="276"/>
        <v>0</v>
      </c>
      <c r="Q1002" s="5">
        <f t="shared" si="276"/>
        <v>0</v>
      </c>
      <c r="R1002" s="5">
        <f t="shared" si="276"/>
        <v>0</v>
      </c>
      <c r="S1002" s="5">
        <f t="shared" si="276"/>
        <v>0</v>
      </c>
      <c r="T1002" s="5">
        <f t="shared" si="276"/>
        <v>0</v>
      </c>
      <c r="U1002" s="5">
        <f t="shared" si="276"/>
        <v>0</v>
      </c>
      <c r="V1002" s="5">
        <f t="shared" si="276"/>
        <v>0</v>
      </c>
      <c r="W1002" s="5">
        <f t="shared" si="276"/>
        <v>0</v>
      </c>
      <c r="X1002" s="5">
        <f t="shared" si="276"/>
        <v>0</v>
      </c>
      <c r="Y1002" s="5">
        <f t="shared" si="276"/>
        <v>0</v>
      </c>
      <c r="Z1002" s="5">
        <f t="shared" si="276"/>
        <v>0</v>
      </c>
      <c r="AA1002" s="5">
        <f t="shared" si="276"/>
        <v>0</v>
      </c>
      <c r="AB1002" s="5">
        <f t="shared" si="276"/>
        <v>0</v>
      </c>
      <c r="AC1002" s="5">
        <f t="shared" si="276"/>
        <v>0</v>
      </c>
      <c r="AD1002" s="5">
        <f t="shared" si="276"/>
        <v>0</v>
      </c>
      <c r="AE1002" s="5">
        <f t="shared" si="276"/>
        <v>2675.39</v>
      </c>
      <c r="AF1002" s="5">
        <f t="shared" si="276"/>
        <v>55000</v>
      </c>
      <c r="AG1002" s="5">
        <f t="shared" si="276"/>
        <v>0</v>
      </c>
      <c r="AH1002" s="23" t="s">
        <v>90</v>
      </c>
      <c r="AI1002" s="23" t="s">
        <v>90</v>
      </c>
      <c r="AJ1002" s="27" t="s">
        <v>90</v>
      </c>
      <c r="AV1002" s="2" t="e">
        <f t="shared" si="277"/>
        <v>#N/A</v>
      </c>
      <c r="CB1002" s="236">
        <v>3230340</v>
      </c>
      <c r="CF1002" s="2" t="e">
        <f>VLOOKUP(C1002,CG:CH,2,FALSE)</f>
        <v>#N/A</v>
      </c>
    </row>
    <row r="1003" spans="1:262" s="239" customFormat="1" ht="61.5" x14ac:dyDescent="0.85">
      <c r="A1003" s="239">
        <v>1</v>
      </c>
      <c r="B1003" s="18">
        <f>SUBTOTAL(103,$A$558:A1003)</f>
        <v>382</v>
      </c>
      <c r="C1003" s="3" t="s">
        <v>1698</v>
      </c>
      <c r="D1003" s="5">
        <v>0</v>
      </c>
      <c r="E1003" s="5">
        <f t="shared" si="275"/>
        <v>-236034.47</v>
      </c>
      <c r="F1003" s="5">
        <f>G1003+H1003+I1003+J1003+K1003+L1003+N1003+P1003+R1003+T1003+V1003+W1003+X1003+Y1003+Z1003+AA1003+AB1003+AC1003+AD1003+AE1003+AF1003+AG1003</f>
        <v>236034.47</v>
      </c>
      <c r="G1003" s="5">
        <v>0</v>
      </c>
      <c r="H1003" s="5">
        <v>0</v>
      </c>
      <c r="I1003" s="5">
        <v>0</v>
      </c>
      <c r="J1003" s="5">
        <v>178359.08</v>
      </c>
      <c r="K1003" s="5">
        <v>0</v>
      </c>
      <c r="L1003" s="5">
        <v>0</v>
      </c>
      <c r="M1003" s="2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f>ROUND((G1003+H1003+I1003+J1003+K1003+L1003)*1.5%,2)</f>
        <v>2675.39</v>
      </c>
      <c r="AF1003" s="5">
        <v>55000</v>
      </c>
      <c r="AG1003" s="5">
        <v>0</v>
      </c>
      <c r="AH1003" s="246">
        <v>2021</v>
      </c>
      <c r="AI1003" s="246">
        <v>2021</v>
      </c>
      <c r="AJ1003" s="6">
        <v>2021</v>
      </c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 t="e">
        <f t="shared" si="277"/>
        <v>#N/A</v>
      </c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36"/>
      <c r="CC1003" s="2"/>
      <c r="CD1003" s="2"/>
      <c r="CE1003" s="2"/>
      <c r="CF1003" s="2" t="e">
        <f>VLOOKUP(C1003,CG:CH,2,FALSE)</f>
        <v>#N/A</v>
      </c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</row>
    <row r="1004" spans="1:262" ht="61.5" x14ac:dyDescent="0.85">
      <c r="B1004" s="3" t="s">
        <v>1699</v>
      </c>
      <c r="C1004" s="232"/>
      <c r="D1004" s="244">
        <v>794968208.19000018</v>
      </c>
      <c r="E1004" s="233">
        <f t="shared" si="275"/>
        <v>-19511353.609999776</v>
      </c>
      <c r="F1004" s="244">
        <f t="shared" ref="F1004:AG1004" si="278">F1005+F1068+F1083+F1110+F1122+F1125+F1134+F1137+F1141+F1144+F1146+F1148+F1151+F1153+F1155+F1162+F1166+F1168+F1170+F1172+F1175+F1178+F1180+F1182+F1184+F1191+F1194+F1198+F1201+F1203+F1207+F1209+F1211+F1213+F1215+F1217+F1219+F1223+F1225+F1227+F1229+F1233+F1235+F1237+F1239+F1242+F1246+F1250+F1254+F1257+F1259+F1261+F1264+F1268+F1270+F1272+F1274+F1278</f>
        <v>814479561.79999995</v>
      </c>
      <c r="G1004" s="5">
        <f t="shared" si="278"/>
        <v>1015422.23</v>
      </c>
      <c r="H1004" s="5">
        <f t="shared" si="278"/>
        <v>2755384.36</v>
      </c>
      <c r="I1004" s="5">
        <f t="shared" si="278"/>
        <v>10264339.09</v>
      </c>
      <c r="J1004" s="5">
        <f t="shared" si="278"/>
        <v>2723250.25</v>
      </c>
      <c r="K1004" s="5">
        <f t="shared" si="278"/>
        <v>4417203.72</v>
      </c>
      <c r="L1004" s="5">
        <f t="shared" si="278"/>
        <v>0</v>
      </c>
      <c r="M1004" s="241">
        <f t="shared" si="278"/>
        <v>16</v>
      </c>
      <c r="N1004" s="5">
        <f t="shared" si="278"/>
        <v>34130593.200000003</v>
      </c>
      <c r="O1004" s="5">
        <f t="shared" si="278"/>
        <v>133198.45000000001</v>
      </c>
      <c r="P1004" s="5">
        <f t="shared" si="278"/>
        <v>620159070.55000007</v>
      </c>
      <c r="Q1004" s="5">
        <f t="shared" si="278"/>
        <v>146</v>
      </c>
      <c r="R1004" s="5">
        <f t="shared" si="278"/>
        <v>565939.61</v>
      </c>
      <c r="S1004" s="5">
        <f t="shared" si="278"/>
        <v>25909.71</v>
      </c>
      <c r="T1004" s="5">
        <f t="shared" si="278"/>
        <v>80689605.590000004</v>
      </c>
      <c r="U1004" s="5">
        <f t="shared" si="278"/>
        <v>395.77</v>
      </c>
      <c r="V1004" s="5">
        <f t="shared" si="278"/>
        <v>10221223.84</v>
      </c>
      <c r="W1004" s="5">
        <f t="shared" si="278"/>
        <v>7702861.6199999992</v>
      </c>
      <c r="X1004" s="5">
        <f t="shared" si="278"/>
        <v>0</v>
      </c>
      <c r="Y1004" s="5">
        <f t="shared" si="278"/>
        <v>0</v>
      </c>
      <c r="Z1004" s="5">
        <f t="shared" si="278"/>
        <v>0</v>
      </c>
      <c r="AA1004" s="5">
        <f t="shared" si="278"/>
        <v>0</v>
      </c>
      <c r="AB1004" s="5">
        <f t="shared" si="278"/>
        <v>0</v>
      </c>
      <c r="AC1004" s="5">
        <f t="shared" si="278"/>
        <v>0</v>
      </c>
      <c r="AD1004" s="5">
        <f t="shared" si="278"/>
        <v>0</v>
      </c>
      <c r="AE1004" s="5">
        <f t="shared" si="278"/>
        <v>11109320.870000001</v>
      </c>
      <c r="AF1004" s="5">
        <f t="shared" si="278"/>
        <v>28365346.870000001</v>
      </c>
      <c r="AG1004" s="5">
        <f t="shared" si="278"/>
        <v>360000</v>
      </c>
      <c r="AH1004" s="23" t="s">
        <v>90</v>
      </c>
      <c r="AI1004" s="23" t="s">
        <v>90</v>
      </c>
      <c r="AJ1004" s="27" t="s">
        <v>90</v>
      </c>
      <c r="AV1004" s="2" t="e">
        <f t="shared" si="277"/>
        <v>#N/A</v>
      </c>
      <c r="CB1004" s="236">
        <v>791169161.6500001</v>
      </c>
    </row>
    <row r="1005" spans="1:262" ht="61.5" x14ac:dyDescent="0.85">
      <c r="B1005" s="3" t="s">
        <v>912</v>
      </c>
      <c r="C1005" s="442"/>
      <c r="D1005" s="244">
        <v>231389035.93000004</v>
      </c>
      <c r="E1005" s="233">
        <f t="shared" si="275"/>
        <v>-18669011.189999968</v>
      </c>
      <c r="F1005" s="244">
        <f t="shared" ref="F1005:AG1005" si="279">SUM(F1006:F1067)</f>
        <v>250058047.12</v>
      </c>
      <c r="G1005" s="5">
        <f t="shared" si="279"/>
        <v>0</v>
      </c>
      <c r="H1005" s="5">
        <f t="shared" si="279"/>
        <v>0</v>
      </c>
      <c r="I1005" s="5">
        <f t="shared" si="279"/>
        <v>0</v>
      </c>
      <c r="J1005" s="5">
        <f t="shared" si="279"/>
        <v>0</v>
      </c>
      <c r="K1005" s="5">
        <f t="shared" si="279"/>
        <v>0</v>
      </c>
      <c r="L1005" s="5">
        <f t="shared" si="279"/>
        <v>0</v>
      </c>
      <c r="M1005" s="241">
        <f t="shared" si="279"/>
        <v>5</v>
      </c>
      <c r="N1005" s="5">
        <f t="shared" si="279"/>
        <v>10649559.609999999</v>
      </c>
      <c r="O1005" s="5">
        <f t="shared" si="279"/>
        <v>43037.590000000004</v>
      </c>
      <c r="P1005" s="5">
        <f t="shared" si="279"/>
        <v>192707107.78999999</v>
      </c>
      <c r="Q1005" s="5">
        <f t="shared" si="279"/>
        <v>0</v>
      </c>
      <c r="R1005" s="5">
        <f t="shared" si="279"/>
        <v>0</v>
      </c>
      <c r="S1005" s="5">
        <f t="shared" si="279"/>
        <v>11932.55</v>
      </c>
      <c r="T1005" s="5">
        <f t="shared" si="279"/>
        <v>36998837.310000002</v>
      </c>
      <c r="U1005" s="5">
        <f t="shared" si="279"/>
        <v>0</v>
      </c>
      <c r="V1005" s="5">
        <f t="shared" si="279"/>
        <v>0</v>
      </c>
      <c r="W1005" s="5">
        <f t="shared" si="279"/>
        <v>0</v>
      </c>
      <c r="X1005" s="5">
        <f t="shared" si="279"/>
        <v>0</v>
      </c>
      <c r="Y1005" s="5">
        <f t="shared" si="279"/>
        <v>0</v>
      </c>
      <c r="Z1005" s="5">
        <f t="shared" si="279"/>
        <v>0</v>
      </c>
      <c r="AA1005" s="5">
        <f t="shared" si="279"/>
        <v>0</v>
      </c>
      <c r="AB1005" s="5">
        <f t="shared" si="279"/>
        <v>0</v>
      </c>
      <c r="AC1005" s="5">
        <f t="shared" si="279"/>
        <v>0</v>
      </c>
      <c r="AD1005" s="5">
        <f t="shared" si="279"/>
        <v>0</v>
      </c>
      <c r="AE1005" s="5">
        <f t="shared" si="279"/>
        <v>3447195.5400000005</v>
      </c>
      <c r="AF1005" s="5">
        <f t="shared" si="279"/>
        <v>6255346.8700000001</v>
      </c>
      <c r="AG1005" s="5">
        <f t="shared" si="279"/>
        <v>0</v>
      </c>
      <c r="AH1005" s="23" t="s">
        <v>90</v>
      </c>
      <c r="AI1005" s="23" t="s">
        <v>90</v>
      </c>
      <c r="AJ1005" s="27" t="s">
        <v>90</v>
      </c>
      <c r="AV1005" s="2" t="e">
        <f t="shared" si="277"/>
        <v>#N/A</v>
      </c>
      <c r="CB1005" s="236">
        <v>216853215.33000001</v>
      </c>
    </row>
    <row r="1006" spans="1:262" ht="61.5" x14ac:dyDescent="0.85">
      <c r="A1006" s="2">
        <v>1</v>
      </c>
      <c r="B1006" s="18">
        <f>SUBTOTAL(103,$A$1006:A1006)</f>
        <v>1</v>
      </c>
      <c r="C1006" s="3" t="s">
        <v>1700</v>
      </c>
      <c r="D1006" s="5">
        <v>2100000</v>
      </c>
      <c r="E1006" s="5">
        <f t="shared" si="275"/>
        <v>-100000</v>
      </c>
      <c r="F1006" s="5">
        <f t="shared" ref="F1006:F1069" si="280">G1006+H1006+I1006+J1006+K1006+L1006+N1006+P1006+R1006+T1006+V1006+W1006+X1006+Y1006+Z1006+AA1006+AB1006+AC1006+AD1006+AE1006+AF1006+AG1006</f>
        <v>2200000</v>
      </c>
      <c r="G1006" s="5">
        <v>0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241">
        <v>0</v>
      </c>
      <c r="N1006" s="5">
        <v>0</v>
      </c>
      <c r="O1006" s="5">
        <v>412</v>
      </c>
      <c r="P1006" s="5">
        <v>2068965.52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31034.48</v>
      </c>
      <c r="AF1006" s="5">
        <v>100000</v>
      </c>
      <c r="AG1006" s="5">
        <v>0</v>
      </c>
      <c r="AH1006" s="246">
        <v>2022</v>
      </c>
      <c r="AI1006" s="246">
        <v>2022</v>
      </c>
      <c r="AJ1006" s="6">
        <v>2022</v>
      </c>
      <c r="AV1006" s="2" t="e">
        <f t="shared" si="277"/>
        <v>#N/A</v>
      </c>
      <c r="CB1006" s="236"/>
    </row>
    <row r="1007" spans="1:262" ht="61.5" x14ac:dyDescent="0.85">
      <c r="A1007" s="2">
        <v>1</v>
      </c>
      <c r="B1007" s="18">
        <f>SUBTOTAL(103,$A$1006:A1007)</f>
        <v>2</v>
      </c>
      <c r="C1007" s="3" t="s">
        <v>1701</v>
      </c>
      <c r="D1007" s="5">
        <v>3183875.94</v>
      </c>
      <c r="E1007" s="5">
        <f t="shared" si="275"/>
        <v>-100000</v>
      </c>
      <c r="F1007" s="5">
        <f t="shared" si="280"/>
        <v>3283875.94</v>
      </c>
      <c r="G1007" s="5">
        <v>0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241">
        <v>0</v>
      </c>
      <c r="N1007" s="5">
        <v>0</v>
      </c>
      <c r="O1007" s="5">
        <v>722</v>
      </c>
      <c r="P1007" s="5">
        <v>3136823.59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47052.35</v>
      </c>
      <c r="AF1007" s="5">
        <v>100000</v>
      </c>
      <c r="AG1007" s="5">
        <v>0</v>
      </c>
      <c r="AH1007" s="246">
        <v>2022</v>
      </c>
      <c r="AI1007" s="246">
        <v>2022</v>
      </c>
      <c r="AJ1007" s="6">
        <v>2022</v>
      </c>
      <c r="AV1007" s="2" t="e">
        <f t="shared" si="277"/>
        <v>#N/A</v>
      </c>
      <c r="CB1007" s="236"/>
    </row>
    <row r="1008" spans="1:262" ht="61.5" x14ac:dyDescent="0.85">
      <c r="A1008" s="2">
        <v>1</v>
      </c>
      <c r="B1008" s="18">
        <f>SUBTOTAL(103,$A$1006:A1008)</f>
        <v>3</v>
      </c>
      <c r="C1008" s="3" t="s">
        <v>1702</v>
      </c>
      <c r="D1008" s="5">
        <v>5391207.6599999992</v>
      </c>
      <c r="E1008" s="5">
        <f t="shared" si="275"/>
        <v>-100000</v>
      </c>
      <c r="F1008" s="5">
        <f t="shared" si="280"/>
        <v>5491207.6599999992</v>
      </c>
      <c r="G1008" s="5">
        <v>0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241">
        <v>0</v>
      </c>
      <c r="N1008" s="5">
        <v>0</v>
      </c>
      <c r="O1008" s="5">
        <v>1200</v>
      </c>
      <c r="P1008" s="5">
        <v>5311534.6399999997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79673.02</v>
      </c>
      <c r="AF1008" s="5">
        <v>100000</v>
      </c>
      <c r="AG1008" s="5">
        <v>0</v>
      </c>
      <c r="AH1008" s="246">
        <v>2022</v>
      </c>
      <c r="AI1008" s="246">
        <v>2022</v>
      </c>
      <c r="AJ1008" s="6">
        <v>2022</v>
      </c>
      <c r="AV1008" s="2" t="e">
        <f t="shared" si="277"/>
        <v>#N/A</v>
      </c>
      <c r="CB1008" s="236"/>
    </row>
    <row r="1009" spans="1:80" ht="61.5" x14ac:dyDescent="0.85">
      <c r="A1009" s="2">
        <v>1</v>
      </c>
      <c r="B1009" s="18">
        <f>SUBTOTAL(103,$A$1006:A1009)</f>
        <v>4</v>
      </c>
      <c r="C1009" s="3" t="s">
        <v>1703</v>
      </c>
      <c r="D1009" s="5">
        <v>1896320.0799999998</v>
      </c>
      <c r="E1009" s="5">
        <f t="shared" si="275"/>
        <v>-100000</v>
      </c>
      <c r="F1009" s="5">
        <f t="shared" si="280"/>
        <v>1996320.0799999998</v>
      </c>
      <c r="G1009" s="5">
        <v>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241">
        <v>0</v>
      </c>
      <c r="N1009" s="5">
        <v>0</v>
      </c>
      <c r="O1009" s="5">
        <v>420</v>
      </c>
      <c r="P1009" s="5">
        <v>1868295.65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28024.43</v>
      </c>
      <c r="AF1009" s="5">
        <v>100000</v>
      </c>
      <c r="AG1009" s="5">
        <v>0</v>
      </c>
      <c r="AH1009" s="246">
        <v>2022</v>
      </c>
      <c r="AI1009" s="246">
        <v>2022</v>
      </c>
      <c r="AJ1009" s="6">
        <v>2022</v>
      </c>
      <c r="AV1009" s="2" t="e">
        <f t="shared" si="277"/>
        <v>#N/A</v>
      </c>
      <c r="CB1009" s="236"/>
    </row>
    <row r="1010" spans="1:80" ht="61.5" x14ac:dyDescent="0.85">
      <c r="A1010" s="2">
        <v>1</v>
      </c>
      <c r="B1010" s="18">
        <f>SUBTOTAL(103,$A$1006:A1010)</f>
        <v>5</v>
      </c>
      <c r="C1010" s="3" t="s">
        <v>1704</v>
      </c>
      <c r="D1010" s="5">
        <v>2718609.5</v>
      </c>
      <c r="E1010" s="5">
        <f t="shared" si="275"/>
        <v>-100000</v>
      </c>
      <c r="F1010" s="5">
        <f t="shared" si="280"/>
        <v>2818609.5</v>
      </c>
      <c r="G1010" s="5">
        <v>0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241">
        <v>0</v>
      </c>
      <c r="N1010" s="5">
        <v>0</v>
      </c>
      <c r="O1010" s="5">
        <v>593</v>
      </c>
      <c r="P1010" s="5">
        <v>2678433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40176.5</v>
      </c>
      <c r="AF1010" s="5">
        <v>100000</v>
      </c>
      <c r="AG1010" s="5">
        <v>0</v>
      </c>
      <c r="AH1010" s="246">
        <v>2022</v>
      </c>
      <c r="AI1010" s="246">
        <v>2022</v>
      </c>
      <c r="AJ1010" s="6">
        <v>2022</v>
      </c>
      <c r="AV1010" s="2" t="e">
        <f t="shared" si="277"/>
        <v>#N/A</v>
      </c>
      <c r="CB1010" s="236"/>
    </row>
    <row r="1011" spans="1:80" ht="61.5" x14ac:dyDescent="0.85">
      <c r="A1011" s="2">
        <v>1</v>
      </c>
      <c r="B1011" s="18">
        <f>SUBTOTAL(103,$A$1006:A1011)</f>
        <v>6</v>
      </c>
      <c r="C1011" s="3" t="s">
        <v>1705</v>
      </c>
      <c r="D1011" s="5">
        <v>2863861.07</v>
      </c>
      <c r="E1011" s="5">
        <f t="shared" si="275"/>
        <v>-100001.91999999993</v>
      </c>
      <c r="F1011" s="5">
        <f t="shared" si="280"/>
        <v>2963862.9899999998</v>
      </c>
      <c r="G1011" s="5">
        <v>0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241">
        <v>0</v>
      </c>
      <c r="N1011" s="5">
        <v>0</v>
      </c>
      <c r="O1011" s="5">
        <v>559</v>
      </c>
      <c r="P1011" s="5">
        <v>2821538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42323.07</v>
      </c>
      <c r="AF1011" s="5">
        <v>100001.92</v>
      </c>
      <c r="AG1011" s="5">
        <v>0</v>
      </c>
      <c r="AH1011" s="246">
        <v>2022</v>
      </c>
      <c r="AI1011" s="246">
        <v>2022</v>
      </c>
      <c r="AJ1011" s="6">
        <v>2022</v>
      </c>
      <c r="CB1011" s="236"/>
    </row>
    <row r="1012" spans="1:80" ht="61.5" x14ac:dyDescent="0.85">
      <c r="A1012" s="2">
        <v>1</v>
      </c>
      <c r="B1012" s="18">
        <f>SUBTOTAL(103,$A$1006:A1012)</f>
        <v>7</v>
      </c>
      <c r="C1012" s="3" t="s">
        <v>1706</v>
      </c>
      <c r="D1012" s="5">
        <v>3653990.26</v>
      </c>
      <c r="E1012" s="5">
        <f t="shared" si="275"/>
        <v>-100000</v>
      </c>
      <c r="F1012" s="5">
        <f t="shared" si="280"/>
        <v>3753990.26</v>
      </c>
      <c r="G1012" s="5">
        <v>0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241">
        <v>0</v>
      </c>
      <c r="N1012" s="5">
        <v>0</v>
      </c>
      <c r="O1012" s="5">
        <v>794</v>
      </c>
      <c r="P1012" s="5">
        <v>3599990.4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53999.86</v>
      </c>
      <c r="AF1012" s="5">
        <v>100000</v>
      </c>
      <c r="AG1012" s="5">
        <v>0</v>
      </c>
      <c r="AH1012" s="246">
        <v>2022</v>
      </c>
      <c r="AI1012" s="246">
        <v>2022</v>
      </c>
      <c r="AJ1012" s="6">
        <v>2022</v>
      </c>
      <c r="AV1012" s="2" t="e">
        <f>VLOOKUP(C1012,AY:AZ,2,FALSE)</f>
        <v>#N/A</v>
      </c>
      <c r="CB1012" s="236"/>
    </row>
    <row r="1013" spans="1:80" ht="61.5" x14ac:dyDescent="0.85">
      <c r="A1013" s="2">
        <v>1</v>
      </c>
      <c r="B1013" s="18">
        <f>SUBTOTAL(103,$A$1006:A1013)</f>
        <v>8</v>
      </c>
      <c r="C1013" s="3" t="s">
        <v>1707</v>
      </c>
      <c r="D1013" s="5">
        <v>5582500</v>
      </c>
      <c r="E1013" s="5">
        <f t="shared" si="275"/>
        <v>-100000</v>
      </c>
      <c r="F1013" s="5">
        <f t="shared" si="280"/>
        <v>5682500</v>
      </c>
      <c r="G1013" s="5">
        <v>0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241">
        <v>0</v>
      </c>
      <c r="N1013" s="5">
        <v>0</v>
      </c>
      <c r="O1013" s="5">
        <v>1338</v>
      </c>
      <c r="P1013" s="5">
        <v>5500000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82500</v>
      </c>
      <c r="AF1013" s="5">
        <v>100000</v>
      </c>
      <c r="AG1013" s="5">
        <v>0</v>
      </c>
      <c r="AH1013" s="246">
        <v>2022</v>
      </c>
      <c r="AI1013" s="246">
        <v>2022</v>
      </c>
      <c r="AJ1013" s="6">
        <v>2022</v>
      </c>
      <c r="CB1013" s="236"/>
    </row>
    <row r="1014" spans="1:80" ht="61.5" x14ac:dyDescent="0.85">
      <c r="A1014" s="2">
        <v>1</v>
      </c>
      <c r="B1014" s="18">
        <f>SUBTOTAL(103,$A$1006:A1014)</f>
        <v>9</v>
      </c>
      <c r="C1014" s="3" t="s">
        <v>1708</v>
      </c>
      <c r="D1014" s="5">
        <v>3493332.35</v>
      </c>
      <c r="E1014" s="5">
        <f t="shared" si="275"/>
        <v>-100000</v>
      </c>
      <c r="F1014" s="5">
        <f t="shared" si="280"/>
        <v>3593332.35</v>
      </c>
      <c r="G1014" s="5">
        <v>0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241">
        <v>0</v>
      </c>
      <c r="N1014" s="5">
        <v>0</v>
      </c>
      <c r="O1014" s="5">
        <v>760.2</v>
      </c>
      <c r="P1014" s="5">
        <v>3441706.75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51625.599999999999</v>
      </c>
      <c r="AF1014" s="5">
        <v>100000</v>
      </c>
      <c r="AG1014" s="5">
        <v>0</v>
      </c>
      <c r="AH1014" s="246">
        <v>2022</v>
      </c>
      <c r="AI1014" s="246">
        <v>2022</v>
      </c>
      <c r="AJ1014" s="6">
        <v>2022</v>
      </c>
      <c r="AV1014" s="2" t="e">
        <f>VLOOKUP(C1014,AY:AZ,2,FALSE)</f>
        <v>#N/A</v>
      </c>
      <c r="CB1014" s="236"/>
    </row>
    <row r="1015" spans="1:80" ht="61.5" x14ac:dyDescent="0.85">
      <c r="A1015" s="2">
        <v>1</v>
      </c>
      <c r="B1015" s="18">
        <f>SUBTOTAL(103,$A$1006:A1015)</f>
        <v>10</v>
      </c>
      <c r="C1015" s="3" t="s">
        <v>1709</v>
      </c>
      <c r="D1015" s="5">
        <v>5751539.1200000001</v>
      </c>
      <c r="E1015" s="5">
        <f t="shared" si="275"/>
        <v>-100000</v>
      </c>
      <c r="F1015" s="5">
        <f t="shared" si="280"/>
        <v>5851539.1200000001</v>
      </c>
      <c r="G1015" s="5">
        <v>0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241">
        <v>0</v>
      </c>
      <c r="N1015" s="5">
        <v>0</v>
      </c>
      <c r="O1015" s="5">
        <v>1260.4000000000001</v>
      </c>
      <c r="P1015" s="5">
        <v>5666541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84998.12</v>
      </c>
      <c r="AF1015" s="5">
        <v>100000</v>
      </c>
      <c r="AG1015" s="5">
        <v>0</v>
      </c>
      <c r="AH1015" s="246">
        <v>2022</v>
      </c>
      <c r="AI1015" s="246">
        <v>2022</v>
      </c>
      <c r="AJ1015" s="6">
        <v>2022</v>
      </c>
      <c r="AV1015" s="2" t="e">
        <f>VLOOKUP(C1015,AY:AZ,2,FALSE)</f>
        <v>#N/A</v>
      </c>
      <c r="CB1015" s="236"/>
    </row>
    <row r="1016" spans="1:80" ht="61.5" x14ac:dyDescent="0.85">
      <c r="A1016" s="2">
        <v>1</v>
      </c>
      <c r="B1016" s="18">
        <f>SUBTOTAL(103,$A$1006:A1016)</f>
        <v>11</v>
      </c>
      <c r="C1016" s="3" t="s">
        <v>1710</v>
      </c>
      <c r="D1016" s="5">
        <v>5350859.32</v>
      </c>
      <c r="E1016" s="5">
        <f t="shared" si="275"/>
        <v>-100000</v>
      </c>
      <c r="F1016" s="5">
        <f t="shared" si="280"/>
        <v>5450859.3200000003</v>
      </c>
      <c r="G1016" s="5">
        <v>0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241">
        <v>0</v>
      </c>
      <c r="N1016" s="5">
        <v>0</v>
      </c>
      <c r="O1016" s="5">
        <v>1151</v>
      </c>
      <c r="P1016" s="5">
        <v>5271782.58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79076.740000000005</v>
      </c>
      <c r="AF1016" s="5">
        <v>100000</v>
      </c>
      <c r="AG1016" s="5">
        <v>0</v>
      </c>
      <c r="AH1016" s="246">
        <v>2022</v>
      </c>
      <c r="AI1016" s="246">
        <v>2022</v>
      </c>
      <c r="AJ1016" s="6">
        <v>2022</v>
      </c>
      <c r="AV1016" s="2" t="e">
        <f>VLOOKUP(C1016,AY:AZ,2,FALSE)</f>
        <v>#N/A</v>
      </c>
      <c r="CB1016" s="236"/>
    </row>
    <row r="1017" spans="1:80" ht="61.5" x14ac:dyDescent="0.85">
      <c r="A1017" s="2">
        <v>1</v>
      </c>
      <c r="B1017" s="18">
        <f>SUBTOTAL(103,$A$1006:A1017)</f>
        <v>12</v>
      </c>
      <c r="C1017" s="3" t="s">
        <v>1711</v>
      </c>
      <c r="D1017" s="5">
        <v>2108786.08</v>
      </c>
      <c r="E1017" s="5">
        <f t="shared" si="275"/>
        <v>-750555.46</v>
      </c>
      <c r="F1017" s="5">
        <f t="shared" si="280"/>
        <v>2859341.54</v>
      </c>
      <c r="G1017" s="5">
        <v>0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241">
        <v>0</v>
      </c>
      <c r="N1017" s="5">
        <v>0</v>
      </c>
      <c r="O1017" s="5">
        <v>464.7</v>
      </c>
      <c r="P1017" s="5">
        <v>2718415.31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40926.230000000003</v>
      </c>
      <c r="AF1017" s="5">
        <v>100000</v>
      </c>
      <c r="AG1017" s="5">
        <v>0</v>
      </c>
      <c r="AH1017" s="246">
        <v>2022</v>
      </c>
      <c r="AI1017" s="246">
        <v>2022</v>
      </c>
      <c r="AJ1017" s="6">
        <v>2022</v>
      </c>
      <c r="AV1017" s="2" t="e">
        <f>VLOOKUP(C1017,AY:AZ,2,FALSE)</f>
        <v>#N/A</v>
      </c>
      <c r="CB1017" s="236"/>
    </row>
    <row r="1018" spans="1:80" ht="61.5" x14ac:dyDescent="0.85">
      <c r="A1018" s="2">
        <v>1</v>
      </c>
      <c r="B1018" s="18">
        <f>SUBTOTAL(103,$A$1006:A1018)</f>
        <v>13</v>
      </c>
      <c r="C1018" s="3" t="s">
        <v>1712</v>
      </c>
      <c r="D1018" s="5">
        <v>2108788.0499999998</v>
      </c>
      <c r="E1018" s="5">
        <f t="shared" si="275"/>
        <v>-750553.49000000022</v>
      </c>
      <c r="F1018" s="5">
        <f t="shared" si="280"/>
        <v>2859341.54</v>
      </c>
      <c r="G1018" s="5">
        <v>0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241">
        <v>0</v>
      </c>
      <c r="N1018" s="5">
        <v>0</v>
      </c>
      <c r="O1018" s="5">
        <v>464.68</v>
      </c>
      <c r="P1018" s="5">
        <v>2718415.31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40926.230000000003</v>
      </c>
      <c r="AF1018" s="5">
        <v>100000</v>
      </c>
      <c r="AG1018" s="5">
        <v>0</v>
      </c>
      <c r="AH1018" s="246">
        <v>2022</v>
      </c>
      <c r="AI1018" s="246">
        <v>2022</v>
      </c>
      <c r="AJ1018" s="6">
        <v>2022</v>
      </c>
      <c r="AV1018" s="2" t="e">
        <f>VLOOKUP(C1018,AY:AZ,2,FALSE)</f>
        <v>#N/A</v>
      </c>
      <c r="CB1018" s="236"/>
    </row>
    <row r="1019" spans="1:80" ht="61.5" x14ac:dyDescent="0.85">
      <c r="A1019" s="2">
        <v>1</v>
      </c>
      <c r="B1019" s="18">
        <f>SUBTOTAL(103,$A$1006:A1019)</f>
        <v>14</v>
      </c>
      <c r="C1019" s="3" t="s">
        <v>1713</v>
      </c>
      <c r="D1019" s="5">
        <v>4161500</v>
      </c>
      <c r="E1019" s="5">
        <f t="shared" si="275"/>
        <v>-100000</v>
      </c>
      <c r="F1019" s="5">
        <f t="shared" si="280"/>
        <v>4261500</v>
      </c>
      <c r="G1019" s="5">
        <v>0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241">
        <v>0</v>
      </c>
      <c r="N1019" s="5">
        <v>0</v>
      </c>
      <c r="O1019" s="5">
        <v>828</v>
      </c>
      <c r="P1019" s="5">
        <v>4100000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61500</v>
      </c>
      <c r="AF1019" s="5">
        <v>100000</v>
      </c>
      <c r="AG1019" s="5">
        <v>0</v>
      </c>
      <c r="AH1019" s="246">
        <v>2022</v>
      </c>
      <c r="AI1019" s="246">
        <v>2022</v>
      </c>
      <c r="AJ1019" s="6">
        <v>2022</v>
      </c>
      <c r="CB1019" s="236"/>
    </row>
    <row r="1020" spans="1:80" ht="61.5" x14ac:dyDescent="0.85">
      <c r="A1020" s="2">
        <v>1</v>
      </c>
      <c r="B1020" s="18">
        <f>SUBTOTAL(103,$A$1006:A1020)</f>
        <v>15</v>
      </c>
      <c r="C1020" s="3" t="s">
        <v>1714</v>
      </c>
      <c r="D1020" s="5">
        <v>3514995.2</v>
      </c>
      <c r="E1020" s="5">
        <f t="shared" si="275"/>
        <v>-100000</v>
      </c>
      <c r="F1020" s="5">
        <f t="shared" si="280"/>
        <v>3614995.2</v>
      </c>
      <c r="G1020" s="5">
        <v>0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241">
        <v>0</v>
      </c>
      <c r="N1020" s="5">
        <v>0</v>
      </c>
      <c r="O1020" s="5">
        <v>775</v>
      </c>
      <c r="P1020" s="5">
        <v>3463049.46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51945.74</v>
      </c>
      <c r="AF1020" s="5">
        <v>100000</v>
      </c>
      <c r="AG1020" s="5">
        <v>0</v>
      </c>
      <c r="AH1020" s="246">
        <v>2022</v>
      </c>
      <c r="AI1020" s="246">
        <v>2022</v>
      </c>
      <c r="AJ1020" s="6">
        <v>2022</v>
      </c>
      <c r="AV1020" s="2" t="e">
        <f t="shared" ref="AV1020:AV1027" si="281">VLOOKUP(C1020,AY:AZ,2,FALSE)</f>
        <v>#N/A</v>
      </c>
      <c r="CB1020" s="236"/>
    </row>
    <row r="1021" spans="1:80" ht="61.5" x14ac:dyDescent="0.85">
      <c r="A1021" s="2">
        <v>1</v>
      </c>
      <c r="B1021" s="18">
        <f>SUBTOTAL(103,$A$1006:A1021)</f>
        <v>16</v>
      </c>
      <c r="C1021" s="3" t="s">
        <v>1715</v>
      </c>
      <c r="D1021" s="5">
        <v>974208.66</v>
      </c>
      <c r="E1021" s="5">
        <f t="shared" si="275"/>
        <v>-100000.00000000012</v>
      </c>
      <c r="F1021" s="5">
        <f t="shared" si="280"/>
        <v>1074208.6600000001</v>
      </c>
      <c r="G1021" s="5">
        <v>0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241">
        <v>0</v>
      </c>
      <c r="N1021" s="5">
        <v>0</v>
      </c>
      <c r="O1021" s="5">
        <v>226</v>
      </c>
      <c r="P1021" s="5">
        <v>959811.49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14397.17</v>
      </c>
      <c r="AF1021" s="5">
        <v>100000</v>
      </c>
      <c r="AG1021" s="5">
        <v>0</v>
      </c>
      <c r="AH1021" s="246">
        <v>2022</v>
      </c>
      <c r="AI1021" s="246">
        <v>2022</v>
      </c>
      <c r="AJ1021" s="6">
        <v>2022</v>
      </c>
      <c r="AV1021" s="2" t="e">
        <f t="shared" si="281"/>
        <v>#N/A</v>
      </c>
      <c r="CB1021" s="236"/>
    </row>
    <row r="1022" spans="1:80" ht="61.5" x14ac:dyDescent="0.85">
      <c r="A1022" s="2">
        <v>1</v>
      </c>
      <c r="B1022" s="18">
        <f>SUBTOTAL(103,$A$1006:A1022)</f>
        <v>17</v>
      </c>
      <c r="C1022" s="3" t="s">
        <v>1716</v>
      </c>
      <c r="D1022" s="5">
        <v>2883983.08</v>
      </c>
      <c r="E1022" s="5">
        <f t="shared" si="275"/>
        <v>-100000</v>
      </c>
      <c r="F1022" s="5">
        <f t="shared" si="280"/>
        <v>2983983.08</v>
      </c>
      <c r="G1022" s="5">
        <v>0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241">
        <v>0</v>
      </c>
      <c r="N1022" s="5">
        <v>0</v>
      </c>
      <c r="O1022" s="5">
        <v>632</v>
      </c>
      <c r="P1022" s="5">
        <v>2841362.64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42620.44</v>
      </c>
      <c r="AF1022" s="5">
        <v>100000</v>
      </c>
      <c r="AG1022" s="5">
        <v>0</v>
      </c>
      <c r="AH1022" s="246">
        <v>2022</v>
      </c>
      <c r="AI1022" s="246">
        <v>2022</v>
      </c>
      <c r="AJ1022" s="6">
        <v>2022</v>
      </c>
      <c r="AV1022" s="2" t="e">
        <f t="shared" si="281"/>
        <v>#N/A</v>
      </c>
      <c r="CB1022" s="236"/>
    </row>
    <row r="1023" spans="1:80" ht="61.5" x14ac:dyDescent="0.85">
      <c r="A1023" s="2">
        <v>1</v>
      </c>
      <c r="B1023" s="18">
        <f>SUBTOTAL(103,$A$1006:A1023)</f>
        <v>18</v>
      </c>
      <c r="C1023" s="3" t="s">
        <v>1717</v>
      </c>
      <c r="D1023" s="5">
        <v>2883983.08</v>
      </c>
      <c r="E1023" s="5">
        <f t="shared" si="275"/>
        <v>-100000</v>
      </c>
      <c r="F1023" s="5">
        <f t="shared" si="280"/>
        <v>2983983.08</v>
      </c>
      <c r="G1023" s="5">
        <v>0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241">
        <v>0</v>
      </c>
      <c r="N1023" s="5">
        <v>0</v>
      </c>
      <c r="O1023" s="5">
        <v>632</v>
      </c>
      <c r="P1023" s="5">
        <v>2841362.64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42620.44</v>
      </c>
      <c r="AF1023" s="5">
        <v>100000</v>
      </c>
      <c r="AG1023" s="5">
        <v>0</v>
      </c>
      <c r="AH1023" s="246">
        <v>2022</v>
      </c>
      <c r="AI1023" s="246">
        <v>2022</v>
      </c>
      <c r="AJ1023" s="6">
        <v>2022</v>
      </c>
      <c r="AV1023" s="2" t="e">
        <f t="shared" si="281"/>
        <v>#N/A</v>
      </c>
      <c r="CB1023" s="236"/>
    </row>
    <row r="1024" spans="1:80" ht="61.5" x14ac:dyDescent="0.85">
      <c r="A1024" s="2">
        <v>1</v>
      </c>
      <c r="B1024" s="18">
        <f>SUBTOTAL(103,$A$1006:A1024)</f>
        <v>19</v>
      </c>
      <c r="C1024" s="3" t="s">
        <v>1718</v>
      </c>
      <c r="D1024" s="5">
        <v>3302263</v>
      </c>
      <c r="E1024" s="5">
        <f t="shared" si="275"/>
        <v>-100000</v>
      </c>
      <c r="F1024" s="5">
        <f t="shared" si="280"/>
        <v>3402263</v>
      </c>
      <c r="G1024" s="5">
        <v>0</v>
      </c>
      <c r="H1024" s="5">
        <v>0</v>
      </c>
      <c r="I1024" s="5">
        <v>0</v>
      </c>
      <c r="J1024" s="5">
        <v>0</v>
      </c>
      <c r="K1024" s="5">
        <v>0</v>
      </c>
      <c r="L1024" s="5">
        <v>0</v>
      </c>
      <c r="M1024" s="241">
        <v>0</v>
      </c>
      <c r="N1024" s="5">
        <v>0</v>
      </c>
      <c r="O1024" s="5">
        <v>720</v>
      </c>
      <c r="P1024" s="5">
        <v>3253461.08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48801.919999999998</v>
      </c>
      <c r="AF1024" s="5">
        <v>100000</v>
      </c>
      <c r="AG1024" s="5">
        <v>0</v>
      </c>
      <c r="AH1024" s="246">
        <v>2022</v>
      </c>
      <c r="AI1024" s="246">
        <v>2022</v>
      </c>
      <c r="AJ1024" s="6">
        <v>2022</v>
      </c>
      <c r="AV1024" s="2" t="e">
        <f t="shared" si="281"/>
        <v>#N/A</v>
      </c>
      <c r="CB1024" s="236"/>
    </row>
    <row r="1025" spans="1:80" ht="61.5" x14ac:dyDescent="0.85">
      <c r="A1025" s="2">
        <v>1</v>
      </c>
      <c r="B1025" s="18">
        <f>SUBTOTAL(103,$A$1006:A1025)</f>
        <v>20</v>
      </c>
      <c r="C1025" s="3" t="s">
        <v>1719</v>
      </c>
      <c r="D1025" s="5">
        <v>4323303.57</v>
      </c>
      <c r="E1025" s="5">
        <f t="shared" si="275"/>
        <v>-100000</v>
      </c>
      <c r="F1025" s="5">
        <f t="shared" si="280"/>
        <v>4423303.57</v>
      </c>
      <c r="G1025" s="5">
        <v>0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241">
        <v>0</v>
      </c>
      <c r="N1025" s="5">
        <v>0</v>
      </c>
      <c r="O1025" s="5">
        <v>971</v>
      </c>
      <c r="P1025" s="5">
        <v>4259412.38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63891.19</v>
      </c>
      <c r="AF1025" s="5">
        <v>100000</v>
      </c>
      <c r="AG1025" s="5">
        <v>0</v>
      </c>
      <c r="AH1025" s="246">
        <v>2022</v>
      </c>
      <c r="AI1025" s="246">
        <v>2022</v>
      </c>
      <c r="AJ1025" s="6">
        <v>2022</v>
      </c>
      <c r="AV1025" s="2" t="e">
        <f t="shared" si="281"/>
        <v>#N/A</v>
      </c>
      <c r="CB1025" s="236"/>
    </row>
    <row r="1026" spans="1:80" ht="61.5" x14ac:dyDescent="0.85">
      <c r="A1026" s="2">
        <v>1</v>
      </c>
      <c r="B1026" s="18">
        <f>SUBTOTAL(103,$A$1006:A1026)</f>
        <v>21</v>
      </c>
      <c r="C1026" s="3" t="s">
        <v>1720</v>
      </c>
      <c r="D1026" s="5">
        <v>2249559.61</v>
      </c>
      <c r="E1026" s="5">
        <f t="shared" si="275"/>
        <v>-100000</v>
      </c>
      <c r="F1026" s="5">
        <f t="shared" si="280"/>
        <v>2349559.61</v>
      </c>
      <c r="G1026" s="5">
        <v>0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241">
        <v>1</v>
      </c>
      <c r="N1026" s="5">
        <v>2249559.61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100000</v>
      </c>
      <c r="AG1026" s="5">
        <v>0</v>
      </c>
      <c r="AH1026" s="246">
        <v>2022</v>
      </c>
      <c r="AI1026" s="246">
        <v>2022</v>
      </c>
      <c r="AJ1026" s="6" t="s">
        <v>49</v>
      </c>
      <c r="AV1026" s="2" t="e">
        <f t="shared" si="281"/>
        <v>#N/A</v>
      </c>
      <c r="CB1026" s="236"/>
    </row>
    <row r="1027" spans="1:80" ht="61.5" x14ac:dyDescent="0.85">
      <c r="A1027" s="2">
        <v>1</v>
      </c>
      <c r="B1027" s="18">
        <f>SUBTOTAL(103,$A$1006:A1027)</f>
        <v>22</v>
      </c>
      <c r="C1027" s="3" t="s">
        <v>1721</v>
      </c>
      <c r="D1027" s="5">
        <v>3899114.33</v>
      </c>
      <c r="E1027" s="5">
        <f t="shared" si="275"/>
        <v>-100000</v>
      </c>
      <c r="F1027" s="5">
        <f t="shared" si="280"/>
        <v>3999114.33</v>
      </c>
      <c r="G1027" s="5">
        <v>0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241">
        <v>0</v>
      </c>
      <c r="N1027" s="5">
        <v>0</v>
      </c>
      <c r="O1027" s="5">
        <v>844</v>
      </c>
      <c r="P1027" s="5">
        <v>3841491.95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57622.38</v>
      </c>
      <c r="AF1027" s="5">
        <v>100000</v>
      </c>
      <c r="AG1027" s="5">
        <v>0</v>
      </c>
      <c r="AH1027" s="246">
        <v>2022</v>
      </c>
      <c r="AI1027" s="246">
        <v>2022</v>
      </c>
      <c r="AJ1027" s="6">
        <v>2022</v>
      </c>
      <c r="AV1027" s="2" t="e">
        <f t="shared" si="281"/>
        <v>#N/A</v>
      </c>
      <c r="CB1027" s="236"/>
    </row>
    <row r="1028" spans="1:80" ht="61.5" x14ac:dyDescent="0.85">
      <c r="A1028" s="2">
        <v>1</v>
      </c>
      <c r="B1028" s="18">
        <f>SUBTOTAL(103,$A$1006:A1028)</f>
        <v>23</v>
      </c>
      <c r="C1028" s="3" t="s">
        <v>1722</v>
      </c>
      <c r="D1028" s="5">
        <v>4374650</v>
      </c>
      <c r="E1028" s="5">
        <f t="shared" si="275"/>
        <v>-100000</v>
      </c>
      <c r="F1028" s="5">
        <f t="shared" si="280"/>
        <v>4474650</v>
      </c>
      <c r="G1028" s="5">
        <v>0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241">
        <v>0</v>
      </c>
      <c r="N1028" s="5">
        <v>0</v>
      </c>
      <c r="O1028" s="5">
        <v>960</v>
      </c>
      <c r="P1028" s="5">
        <v>4310000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64650</v>
      </c>
      <c r="AF1028" s="5">
        <v>100000</v>
      </c>
      <c r="AG1028" s="5">
        <v>0</v>
      </c>
      <c r="AH1028" s="246">
        <v>2022</v>
      </c>
      <c r="AI1028" s="246">
        <v>2022</v>
      </c>
      <c r="AJ1028" s="6">
        <v>2022</v>
      </c>
      <c r="CB1028" s="236"/>
    </row>
    <row r="1029" spans="1:80" ht="61.5" x14ac:dyDescent="0.85">
      <c r="A1029" s="2">
        <v>1</v>
      </c>
      <c r="B1029" s="18">
        <f>SUBTOTAL(103,$A$1006:A1029)</f>
        <v>24</v>
      </c>
      <c r="C1029" s="3" t="s">
        <v>1723</v>
      </c>
      <c r="D1029" s="5">
        <v>5613232.8199999994</v>
      </c>
      <c r="E1029" s="5">
        <f t="shared" si="275"/>
        <v>-100000</v>
      </c>
      <c r="F1029" s="5">
        <f t="shared" si="280"/>
        <v>5713232.8199999994</v>
      </c>
      <c r="G1029" s="5">
        <v>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241">
        <v>0</v>
      </c>
      <c r="N1029" s="5">
        <v>0</v>
      </c>
      <c r="O1029" s="5">
        <v>1075</v>
      </c>
      <c r="P1029" s="5">
        <v>5530278.6399999997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82954.179999999993</v>
      </c>
      <c r="AF1029" s="5">
        <v>100000</v>
      </c>
      <c r="AG1029" s="5">
        <v>0</v>
      </c>
      <c r="AH1029" s="246">
        <v>2022</v>
      </c>
      <c r="AI1029" s="246">
        <v>2022</v>
      </c>
      <c r="AJ1029" s="6">
        <v>2022</v>
      </c>
      <c r="CB1029" s="236"/>
    </row>
    <row r="1030" spans="1:80" ht="61.5" x14ac:dyDescent="0.85">
      <c r="A1030" s="2">
        <v>1</v>
      </c>
      <c r="B1030" s="18">
        <f>SUBTOTAL(103,$A$1006:A1030)</f>
        <v>25</v>
      </c>
      <c r="C1030" s="3" t="s">
        <v>1724</v>
      </c>
      <c r="D1030" s="5">
        <v>3834609.35</v>
      </c>
      <c r="E1030" s="5">
        <f t="shared" si="275"/>
        <v>-100000</v>
      </c>
      <c r="F1030" s="5">
        <f t="shared" si="280"/>
        <v>3934609.35</v>
      </c>
      <c r="G1030" s="5">
        <v>0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241">
        <v>0</v>
      </c>
      <c r="N1030" s="5">
        <v>0</v>
      </c>
      <c r="O1030" s="5">
        <v>832</v>
      </c>
      <c r="P1030" s="5">
        <v>3777940.25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56669.1</v>
      </c>
      <c r="AF1030" s="5">
        <v>100000</v>
      </c>
      <c r="AG1030" s="5">
        <v>0</v>
      </c>
      <c r="AH1030" s="246">
        <v>2022</v>
      </c>
      <c r="AI1030" s="246">
        <v>2022</v>
      </c>
      <c r="AJ1030" s="6">
        <v>2022</v>
      </c>
      <c r="AV1030" s="2" t="e">
        <f t="shared" ref="AV1030:AV1043" si="282">VLOOKUP(C1030,AY:AZ,2,FALSE)</f>
        <v>#N/A</v>
      </c>
      <c r="CB1030" s="236"/>
    </row>
    <row r="1031" spans="1:80" ht="61.5" x14ac:dyDescent="0.85">
      <c r="A1031" s="2">
        <v>1</v>
      </c>
      <c r="B1031" s="18">
        <f>SUBTOTAL(103,$A$1006:A1031)</f>
        <v>26</v>
      </c>
      <c r="C1031" s="3" t="s">
        <v>1725</v>
      </c>
      <c r="D1031" s="5">
        <v>6697616.7399999993</v>
      </c>
      <c r="E1031" s="5">
        <f t="shared" si="275"/>
        <v>0</v>
      </c>
      <c r="F1031" s="5">
        <f t="shared" si="280"/>
        <v>6697616.7399999993</v>
      </c>
      <c r="G1031" s="5">
        <v>0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241">
        <v>0</v>
      </c>
      <c r="N1031" s="5">
        <v>0</v>
      </c>
      <c r="O1031" s="5">
        <v>1447</v>
      </c>
      <c r="P1031" s="5">
        <v>6498637.1799999997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98979.56</v>
      </c>
      <c r="AF1031" s="5">
        <v>100000</v>
      </c>
      <c r="AG1031" s="5">
        <v>0</v>
      </c>
      <c r="AH1031" s="246">
        <v>2022</v>
      </c>
      <c r="AI1031" s="246">
        <v>2022</v>
      </c>
      <c r="AJ1031" s="6">
        <v>2022</v>
      </c>
      <c r="AV1031" s="2" t="e">
        <f t="shared" si="282"/>
        <v>#N/A</v>
      </c>
      <c r="CB1031" s="236"/>
    </row>
    <row r="1032" spans="1:80" ht="61.5" x14ac:dyDescent="0.85">
      <c r="A1032" s="2">
        <v>1</v>
      </c>
      <c r="B1032" s="18">
        <f>SUBTOTAL(103,$A$1006:A1032)</f>
        <v>27</v>
      </c>
      <c r="C1032" s="3" t="s">
        <v>1726</v>
      </c>
      <c r="D1032" s="5">
        <v>5163885</v>
      </c>
      <c r="E1032" s="5">
        <f t="shared" si="275"/>
        <v>-100000</v>
      </c>
      <c r="F1032" s="5">
        <f t="shared" si="280"/>
        <v>5263885</v>
      </c>
      <c r="G1032" s="5">
        <v>0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241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1536</v>
      </c>
      <c r="T1032" s="5">
        <v>5087571.43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76313.570000000007</v>
      </c>
      <c r="AF1032" s="5">
        <v>100000</v>
      </c>
      <c r="AG1032" s="5">
        <v>0</v>
      </c>
      <c r="AH1032" s="246">
        <v>2022</v>
      </c>
      <c r="AI1032" s="246">
        <v>2022</v>
      </c>
      <c r="AJ1032" s="6">
        <v>2022</v>
      </c>
      <c r="AV1032" s="2" t="e">
        <f t="shared" si="282"/>
        <v>#N/A</v>
      </c>
      <c r="CB1032" s="236"/>
    </row>
    <row r="1033" spans="1:80" ht="61.5" x14ac:dyDescent="0.85">
      <c r="A1033" s="2">
        <v>1</v>
      </c>
      <c r="B1033" s="18">
        <f>SUBTOTAL(103,$A$1006:A1033)</f>
        <v>28</v>
      </c>
      <c r="C1033" s="3" t="s">
        <v>1727</v>
      </c>
      <c r="D1033" s="5">
        <v>4343671.0699999994</v>
      </c>
      <c r="E1033" s="5">
        <f t="shared" si="275"/>
        <v>-100000</v>
      </c>
      <c r="F1033" s="5">
        <f t="shared" si="280"/>
        <v>4443671.0699999994</v>
      </c>
      <c r="G1033" s="5">
        <v>0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241">
        <v>0</v>
      </c>
      <c r="N1033" s="5">
        <v>0</v>
      </c>
      <c r="O1033" s="5">
        <v>939.1</v>
      </c>
      <c r="P1033" s="5">
        <v>4279478.8899999997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64192.18</v>
      </c>
      <c r="AF1033" s="5">
        <v>100000</v>
      </c>
      <c r="AG1033" s="5">
        <v>0</v>
      </c>
      <c r="AH1033" s="246">
        <v>2022</v>
      </c>
      <c r="AI1033" s="246">
        <v>2022</v>
      </c>
      <c r="AJ1033" s="6">
        <v>2022</v>
      </c>
      <c r="AV1033" s="2" t="e">
        <f t="shared" si="282"/>
        <v>#N/A</v>
      </c>
      <c r="CB1033" s="236"/>
    </row>
    <row r="1034" spans="1:80" ht="61.5" x14ac:dyDescent="0.85">
      <c r="A1034" s="2">
        <v>1</v>
      </c>
      <c r="B1034" s="18">
        <f>SUBTOTAL(103,$A$1006:A1034)</f>
        <v>29</v>
      </c>
      <c r="C1034" s="3" t="s">
        <v>1728</v>
      </c>
      <c r="D1034" s="5">
        <v>2694844.11</v>
      </c>
      <c r="E1034" s="5">
        <f t="shared" si="275"/>
        <v>-1115012.02</v>
      </c>
      <c r="F1034" s="5">
        <f t="shared" si="280"/>
        <v>3809856.13</v>
      </c>
      <c r="G1034" s="5">
        <v>0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241">
        <v>0</v>
      </c>
      <c r="N1034" s="5">
        <v>0</v>
      </c>
      <c r="O1034" s="5">
        <v>588</v>
      </c>
      <c r="P1034" s="5">
        <v>3655018.83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54837.3</v>
      </c>
      <c r="AF1034" s="5">
        <v>100000</v>
      </c>
      <c r="AG1034" s="5">
        <v>0</v>
      </c>
      <c r="AH1034" s="246">
        <v>2022</v>
      </c>
      <c r="AI1034" s="246">
        <v>2022</v>
      </c>
      <c r="AJ1034" s="6">
        <v>2022</v>
      </c>
      <c r="AV1034" s="2" t="e">
        <f t="shared" si="282"/>
        <v>#N/A</v>
      </c>
      <c r="CB1034" s="236"/>
    </row>
    <row r="1035" spans="1:80" ht="61.5" x14ac:dyDescent="0.85">
      <c r="A1035" s="2">
        <v>1</v>
      </c>
      <c r="B1035" s="18">
        <f>SUBTOTAL(103,$A$1006:A1035)</f>
        <v>30</v>
      </c>
      <c r="C1035" s="3" t="s">
        <v>1729</v>
      </c>
      <c r="D1035" s="5">
        <v>4820291</v>
      </c>
      <c r="E1035" s="5">
        <f t="shared" si="275"/>
        <v>-120000.25</v>
      </c>
      <c r="F1035" s="5">
        <f t="shared" si="280"/>
        <v>4940291.25</v>
      </c>
      <c r="G1035" s="5">
        <v>0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241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1425</v>
      </c>
      <c r="T1035" s="5">
        <v>4749055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71236</v>
      </c>
      <c r="AF1035" s="5">
        <v>120000.25</v>
      </c>
      <c r="AG1035" s="5">
        <v>0</v>
      </c>
      <c r="AH1035" s="246">
        <v>2022</v>
      </c>
      <c r="AI1035" s="246">
        <v>2022</v>
      </c>
      <c r="AJ1035" s="6">
        <v>2022</v>
      </c>
      <c r="AV1035" s="2" t="e">
        <f t="shared" si="282"/>
        <v>#N/A</v>
      </c>
      <c r="CB1035" s="236"/>
    </row>
    <row r="1036" spans="1:80" ht="61.5" x14ac:dyDescent="0.85">
      <c r="A1036" s="2">
        <v>1</v>
      </c>
      <c r="B1036" s="18">
        <f>SUBTOTAL(103,$A$1006:A1036)</f>
        <v>31</v>
      </c>
      <c r="C1036" s="3" t="s">
        <v>1730</v>
      </c>
      <c r="D1036" s="5">
        <v>1989100.53</v>
      </c>
      <c r="E1036" s="5">
        <f t="shared" si="275"/>
        <v>-100000</v>
      </c>
      <c r="F1036" s="5">
        <f t="shared" si="280"/>
        <v>2089100.53</v>
      </c>
      <c r="G1036" s="5">
        <v>0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241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400</v>
      </c>
      <c r="T1036" s="5">
        <v>1959704.96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29395.57</v>
      </c>
      <c r="AF1036" s="5">
        <v>100000</v>
      </c>
      <c r="AG1036" s="5">
        <v>0</v>
      </c>
      <c r="AH1036" s="246">
        <v>2022</v>
      </c>
      <c r="AI1036" s="246">
        <v>2022</v>
      </c>
      <c r="AJ1036" s="6">
        <v>2022</v>
      </c>
      <c r="AV1036" s="2" t="e">
        <f t="shared" si="282"/>
        <v>#N/A</v>
      </c>
      <c r="CB1036" s="236"/>
    </row>
    <row r="1037" spans="1:80" ht="61.5" x14ac:dyDescent="0.85">
      <c r="A1037" s="2">
        <v>1</v>
      </c>
      <c r="B1037" s="18">
        <f>SUBTOTAL(103,$A$1006:A1037)</f>
        <v>32</v>
      </c>
      <c r="C1037" s="3" t="s">
        <v>1731</v>
      </c>
      <c r="D1037" s="5">
        <v>4272967.33</v>
      </c>
      <c r="E1037" s="5">
        <f t="shared" si="275"/>
        <v>-100000</v>
      </c>
      <c r="F1037" s="5">
        <f t="shared" si="280"/>
        <v>4372967.33</v>
      </c>
      <c r="G1037" s="5">
        <v>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241">
        <v>0</v>
      </c>
      <c r="N1037" s="5">
        <v>0</v>
      </c>
      <c r="O1037" s="5">
        <v>960</v>
      </c>
      <c r="P1037" s="5">
        <v>4209820.03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63147.3</v>
      </c>
      <c r="AF1037" s="5">
        <v>100000</v>
      </c>
      <c r="AG1037" s="5">
        <v>0</v>
      </c>
      <c r="AH1037" s="246">
        <v>2022</v>
      </c>
      <c r="AI1037" s="246">
        <v>2022</v>
      </c>
      <c r="AJ1037" s="6">
        <v>2022</v>
      </c>
      <c r="AV1037" s="2" t="e">
        <f t="shared" si="282"/>
        <v>#N/A</v>
      </c>
      <c r="CB1037" s="236"/>
    </row>
    <row r="1038" spans="1:80" ht="61.5" x14ac:dyDescent="0.85">
      <c r="A1038" s="2">
        <v>1</v>
      </c>
      <c r="B1038" s="18">
        <f>SUBTOTAL(103,$A$1006:A1038)</f>
        <v>33</v>
      </c>
      <c r="C1038" s="3" t="s">
        <v>1732</v>
      </c>
      <c r="D1038" s="5">
        <v>4272967.33</v>
      </c>
      <c r="E1038" s="5">
        <f t="shared" si="275"/>
        <v>-100000</v>
      </c>
      <c r="F1038" s="5">
        <f t="shared" si="280"/>
        <v>4372967.33</v>
      </c>
      <c r="G1038" s="5">
        <v>0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241">
        <v>0</v>
      </c>
      <c r="N1038" s="5">
        <v>0</v>
      </c>
      <c r="O1038" s="5">
        <v>960</v>
      </c>
      <c r="P1038" s="5">
        <v>4209820.03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63147.3</v>
      </c>
      <c r="AF1038" s="5">
        <v>100000</v>
      </c>
      <c r="AG1038" s="5">
        <v>0</v>
      </c>
      <c r="AH1038" s="246">
        <v>2022</v>
      </c>
      <c r="AI1038" s="246">
        <v>2022</v>
      </c>
      <c r="AJ1038" s="6">
        <v>2022</v>
      </c>
      <c r="AV1038" s="2" t="e">
        <f t="shared" si="282"/>
        <v>#N/A</v>
      </c>
      <c r="CB1038" s="236"/>
    </row>
    <row r="1039" spans="1:80" ht="61.5" x14ac:dyDescent="0.85">
      <c r="A1039" s="2">
        <v>1</v>
      </c>
      <c r="B1039" s="18">
        <f>SUBTOTAL(103,$A$1006:A1039)</f>
        <v>34</v>
      </c>
      <c r="C1039" s="3" t="s">
        <v>1733</v>
      </c>
      <c r="D1039" s="5">
        <v>1633943.5899999999</v>
      </c>
      <c r="E1039" s="5">
        <f t="shared" si="275"/>
        <v>-100000</v>
      </c>
      <c r="F1039" s="5">
        <f t="shared" si="280"/>
        <v>1733943.5899999999</v>
      </c>
      <c r="G1039" s="5">
        <v>0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241">
        <v>0</v>
      </c>
      <c r="N1039" s="5">
        <v>0</v>
      </c>
      <c r="O1039" s="5">
        <v>364.8</v>
      </c>
      <c r="P1039" s="5">
        <v>1609796.64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24146.95</v>
      </c>
      <c r="AF1039" s="5">
        <v>100000</v>
      </c>
      <c r="AG1039" s="5">
        <v>0</v>
      </c>
      <c r="AH1039" s="246">
        <v>2022</v>
      </c>
      <c r="AI1039" s="246">
        <v>2022</v>
      </c>
      <c r="AJ1039" s="6">
        <v>2022</v>
      </c>
      <c r="AV1039" s="2" t="e">
        <f t="shared" si="282"/>
        <v>#N/A</v>
      </c>
      <c r="CB1039" s="236"/>
    </row>
    <row r="1040" spans="1:80" ht="61.5" x14ac:dyDescent="0.85">
      <c r="A1040" s="2">
        <v>1</v>
      </c>
      <c r="B1040" s="18">
        <f>SUBTOTAL(103,$A$1006:A1040)</f>
        <v>35</v>
      </c>
      <c r="C1040" s="3" t="s">
        <v>1734</v>
      </c>
      <c r="D1040" s="5">
        <v>4272967.33</v>
      </c>
      <c r="E1040" s="5">
        <f t="shared" si="275"/>
        <v>-100000</v>
      </c>
      <c r="F1040" s="5">
        <f t="shared" si="280"/>
        <v>4372967.33</v>
      </c>
      <c r="G1040" s="5">
        <v>0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241">
        <v>0</v>
      </c>
      <c r="N1040" s="5">
        <v>0</v>
      </c>
      <c r="O1040" s="5">
        <v>960</v>
      </c>
      <c r="P1040" s="5">
        <v>4209820.03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5">
        <v>0</v>
      </c>
      <c r="AB1040" s="5">
        <v>0</v>
      </c>
      <c r="AC1040" s="5">
        <v>0</v>
      </c>
      <c r="AD1040" s="5">
        <v>0</v>
      </c>
      <c r="AE1040" s="5">
        <v>63147.3</v>
      </c>
      <c r="AF1040" s="5">
        <v>100000</v>
      </c>
      <c r="AG1040" s="5">
        <v>0</v>
      </c>
      <c r="AH1040" s="246">
        <v>2022</v>
      </c>
      <c r="AI1040" s="246">
        <v>2022</v>
      </c>
      <c r="AJ1040" s="6">
        <v>2022</v>
      </c>
      <c r="AV1040" s="2" t="e">
        <f t="shared" si="282"/>
        <v>#N/A</v>
      </c>
      <c r="CB1040" s="236"/>
    </row>
    <row r="1041" spans="1:262" ht="61.5" x14ac:dyDescent="0.85">
      <c r="A1041" s="2">
        <v>1</v>
      </c>
      <c r="B1041" s="18">
        <f>SUBTOTAL(103,$A$1006:A1041)</f>
        <v>36</v>
      </c>
      <c r="C1041" s="3" t="s">
        <v>1735</v>
      </c>
      <c r="D1041" s="5">
        <v>3064601.1799999997</v>
      </c>
      <c r="E1041" s="5">
        <f t="shared" si="275"/>
        <v>-100000</v>
      </c>
      <c r="F1041" s="5">
        <f t="shared" si="280"/>
        <v>3164601.1799999997</v>
      </c>
      <c r="G1041" s="5">
        <v>0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241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1670</v>
      </c>
      <c r="T1041" s="5">
        <v>3019311.51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45289.67</v>
      </c>
      <c r="AF1041" s="5">
        <v>100000</v>
      </c>
      <c r="AG1041" s="5">
        <v>0</v>
      </c>
      <c r="AH1041" s="246">
        <v>2022</v>
      </c>
      <c r="AI1041" s="246">
        <v>2022</v>
      </c>
      <c r="AJ1041" s="6">
        <v>2022</v>
      </c>
      <c r="AV1041" s="2" t="e">
        <f t="shared" si="282"/>
        <v>#N/A</v>
      </c>
      <c r="CB1041" s="236"/>
    </row>
    <row r="1042" spans="1:262" ht="61.5" x14ac:dyDescent="0.85">
      <c r="A1042" s="2">
        <v>1</v>
      </c>
      <c r="B1042" s="18">
        <f>SUBTOTAL(103,$A$1006:A1042)</f>
        <v>37</v>
      </c>
      <c r="C1042" s="3" t="s">
        <v>1736</v>
      </c>
      <c r="D1042" s="5">
        <v>1046986.94</v>
      </c>
      <c r="E1042" s="5">
        <f t="shared" si="275"/>
        <v>-100000</v>
      </c>
      <c r="F1042" s="5">
        <f t="shared" si="280"/>
        <v>1146986.94</v>
      </c>
      <c r="G1042" s="5">
        <v>0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241">
        <v>0</v>
      </c>
      <c r="N1042" s="5">
        <v>0</v>
      </c>
      <c r="O1042" s="5">
        <v>235</v>
      </c>
      <c r="P1042" s="5">
        <v>1031514.23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15472.71</v>
      </c>
      <c r="AF1042" s="5">
        <v>100000</v>
      </c>
      <c r="AG1042" s="5">
        <v>0</v>
      </c>
      <c r="AH1042" s="246">
        <v>2022</v>
      </c>
      <c r="AI1042" s="246">
        <v>2022</v>
      </c>
      <c r="AJ1042" s="6">
        <v>2022</v>
      </c>
      <c r="AV1042" s="2" t="e">
        <f t="shared" si="282"/>
        <v>#N/A</v>
      </c>
      <c r="CB1042" s="236"/>
    </row>
    <row r="1043" spans="1:262" ht="61.5" x14ac:dyDescent="0.85">
      <c r="A1043" s="2">
        <v>1</v>
      </c>
      <c r="B1043" s="18">
        <f>SUBTOTAL(103,$A$1006:A1043)</f>
        <v>38</v>
      </c>
      <c r="C1043" s="3" t="s">
        <v>1737</v>
      </c>
      <c r="D1043" s="5">
        <v>3516149.44</v>
      </c>
      <c r="E1043" s="5">
        <f t="shared" si="275"/>
        <v>-100000</v>
      </c>
      <c r="F1043" s="5">
        <f t="shared" si="280"/>
        <v>3616149.44</v>
      </c>
      <c r="G1043" s="5">
        <v>0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241">
        <v>0</v>
      </c>
      <c r="N1043" s="5">
        <v>0</v>
      </c>
      <c r="O1043" s="5">
        <v>765</v>
      </c>
      <c r="P1043" s="5">
        <v>3464186.64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51962.8</v>
      </c>
      <c r="AF1043" s="5">
        <v>100000</v>
      </c>
      <c r="AG1043" s="5">
        <v>0</v>
      </c>
      <c r="AH1043" s="246">
        <v>2022</v>
      </c>
      <c r="AI1043" s="246">
        <v>2022</v>
      </c>
      <c r="AJ1043" s="6">
        <v>2022</v>
      </c>
      <c r="AV1043" s="2" t="e">
        <f t="shared" si="282"/>
        <v>#N/A</v>
      </c>
      <c r="CB1043" s="236"/>
    </row>
    <row r="1044" spans="1:262" ht="61.5" x14ac:dyDescent="0.85">
      <c r="A1044" s="2">
        <v>1</v>
      </c>
      <c r="B1044" s="18">
        <f>SUBTOTAL(103,$A$1006:A1044)</f>
        <v>39</v>
      </c>
      <c r="C1044" s="3" t="s">
        <v>1738</v>
      </c>
      <c r="D1044" s="5">
        <v>7840331.7599999998</v>
      </c>
      <c r="E1044" s="5">
        <f t="shared" si="275"/>
        <v>-163844.70000000019</v>
      </c>
      <c r="F1044" s="5">
        <f t="shared" si="280"/>
        <v>8004176.46</v>
      </c>
      <c r="G1044" s="5">
        <v>0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241">
        <v>0</v>
      </c>
      <c r="N1044" s="5">
        <v>0</v>
      </c>
      <c r="O1044" s="5">
        <v>2314</v>
      </c>
      <c r="P1044" s="5">
        <v>7724464.79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115866.97</v>
      </c>
      <c r="AF1044" s="5">
        <v>163844.70000000001</v>
      </c>
      <c r="AG1044" s="5">
        <v>0</v>
      </c>
      <c r="AH1044" s="246">
        <v>2022</v>
      </c>
      <c r="AI1044" s="246">
        <v>2022</v>
      </c>
      <c r="AJ1044" s="6">
        <v>2022</v>
      </c>
      <c r="CB1044" s="236"/>
    </row>
    <row r="1045" spans="1:262" ht="61.5" x14ac:dyDescent="0.85">
      <c r="A1045" s="2">
        <v>1</v>
      </c>
      <c r="B1045" s="18">
        <f>SUBTOTAL(103,$A$1006:A1045)</f>
        <v>40</v>
      </c>
      <c r="C1045" s="3" t="s">
        <v>1739</v>
      </c>
      <c r="D1045" s="5">
        <v>5836250</v>
      </c>
      <c r="E1045" s="5">
        <f t="shared" si="275"/>
        <v>-150000</v>
      </c>
      <c r="F1045" s="5">
        <f t="shared" si="280"/>
        <v>5986250</v>
      </c>
      <c r="G1045" s="5">
        <v>0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241">
        <v>0</v>
      </c>
      <c r="N1045" s="5">
        <v>0</v>
      </c>
      <c r="O1045" s="5">
        <v>1196</v>
      </c>
      <c r="P1045" s="5">
        <v>5750000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86250</v>
      </c>
      <c r="AF1045" s="5">
        <v>150000</v>
      </c>
      <c r="AG1045" s="5">
        <v>0</v>
      </c>
      <c r="AH1045" s="246">
        <v>2022</v>
      </c>
      <c r="AI1045" s="246">
        <v>2022</v>
      </c>
      <c r="AJ1045" s="6">
        <v>2022</v>
      </c>
      <c r="CB1045" s="236"/>
    </row>
    <row r="1046" spans="1:262" ht="61.5" x14ac:dyDescent="0.85">
      <c r="A1046" s="2">
        <v>1</v>
      </c>
      <c r="B1046" s="18">
        <f>SUBTOTAL(103,$A$1006:A1046)</f>
        <v>41</v>
      </c>
      <c r="C1046" s="3" t="s">
        <v>1740</v>
      </c>
      <c r="D1046" s="5">
        <v>7371186.2199999997</v>
      </c>
      <c r="E1046" s="5">
        <f t="shared" si="275"/>
        <v>-100000</v>
      </c>
      <c r="F1046" s="5">
        <f t="shared" si="280"/>
        <v>7471186.2199999997</v>
      </c>
      <c r="G1046" s="5">
        <v>0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241">
        <v>0</v>
      </c>
      <c r="N1046" s="5">
        <v>0</v>
      </c>
      <c r="O1046" s="5">
        <v>1626.8</v>
      </c>
      <c r="P1046" s="5">
        <v>7262252.4299999997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108933.79</v>
      </c>
      <c r="AF1046" s="5">
        <v>100000</v>
      </c>
      <c r="AG1046" s="5">
        <v>0</v>
      </c>
      <c r="AH1046" s="246">
        <v>2022</v>
      </c>
      <c r="AI1046" s="246">
        <v>2022</v>
      </c>
      <c r="AJ1046" s="6">
        <v>2022</v>
      </c>
      <c r="CB1046" s="236"/>
    </row>
    <row r="1047" spans="1:262" ht="61.5" x14ac:dyDescent="0.85">
      <c r="A1047" s="2">
        <v>1</v>
      </c>
      <c r="B1047" s="18">
        <f>SUBTOTAL(103,$A$1006:A1047)</f>
        <v>42</v>
      </c>
      <c r="C1047" s="3" t="s">
        <v>1741</v>
      </c>
      <c r="D1047" s="5">
        <v>3550462.6100000003</v>
      </c>
      <c r="E1047" s="5">
        <f t="shared" si="275"/>
        <v>-100000</v>
      </c>
      <c r="F1047" s="5">
        <f t="shared" si="280"/>
        <v>3650462.6100000003</v>
      </c>
      <c r="G1047" s="5">
        <v>0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241">
        <v>0</v>
      </c>
      <c r="N1047" s="5">
        <v>0</v>
      </c>
      <c r="O1047" s="5">
        <v>807.01</v>
      </c>
      <c r="P1047" s="5">
        <v>3497992.72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52469.89</v>
      </c>
      <c r="AF1047" s="5">
        <v>100000</v>
      </c>
      <c r="AG1047" s="5">
        <v>0</v>
      </c>
      <c r="AH1047" s="246">
        <v>2022</v>
      </c>
      <c r="AI1047" s="246">
        <v>2022</v>
      </c>
      <c r="AJ1047" s="6">
        <v>2022</v>
      </c>
      <c r="AV1047" s="2" t="e">
        <f t="shared" ref="AV1047:AV1057" si="283">VLOOKUP(C1047,AY:AZ,2,FALSE)</f>
        <v>#N/A</v>
      </c>
      <c r="CB1047" s="236"/>
    </row>
    <row r="1048" spans="1:262" ht="61.5" x14ac:dyDescent="0.85">
      <c r="A1048" s="2">
        <v>1</v>
      </c>
      <c r="B1048" s="18">
        <f>SUBTOTAL(103,$A$1006:A1048)</f>
        <v>43</v>
      </c>
      <c r="C1048" s="3" t="s">
        <v>1742</v>
      </c>
      <c r="D1048" s="5">
        <v>4265711.66</v>
      </c>
      <c r="E1048" s="5">
        <f t="shared" si="275"/>
        <v>-100000</v>
      </c>
      <c r="F1048" s="5">
        <f t="shared" si="280"/>
        <v>4365711.66</v>
      </c>
      <c r="G1048" s="5">
        <v>0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241">
        <v>0</v>
      </c>
      <c r="N1048" s="5">
        <v>0</v>
      </c>
      <c r="O1048" s="5">
        <v>975</v>
      </c>
      <c r="P1048" s="5">
        <v>4202671.59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63040.07</v>
      </c>
      <c r="AF1048" s="5">
        <v>100000</v>
      </c>
      <c r="AG1048" s="5">
        <v>0</v>
      </c>
      <c r="AH1048" s="246">
        <v>2022</v>
      </c>
      <c r="AI1048" s="246">
        <v>2022</v>
      </c>
      <c r="AJ1048" s="6">
        <v>2022</v>
      </c>
      <c r="AV1048" s="2" t="e">
        <f t="shared" si="283"/>
        <v>#N/A</v>
      </c>
      <c r="CB1048" s="236"/>
    </row>
    <row r="1049" spans="1:262" ht="61.5" x14ac:dyDescent="0.85">
      <c r="A1049" s="2">
        <v>1</v>
      </c>
      <c r="B1049" s="18">
        <f>SUBTOTAL(103,$A$1006:A1049)</f>
        <v>44</v>
      </c>
      <c r="C1049" s="3" t="s">
        <v>1743</v>
      </c>
      <c r="D1049" s="5">
        <v>3545858.66</v>
      </c>
      <c r="E1049" s="5">
        <f t="shared" si="275"/>
        <v>-100000</v>
      </c>
      <c r="F1049" s="5">
        <f t="shared" si="280"/>
        <v>3645858.66</v>
      </c>
      <c r="G1049" s="5">
        <v>0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241">
        <v>0</v>
      </c>
      <c r="N1049" s="5">
        <v>0</v>
      </c>
      <c r="O1049" s="5">
        <v>771.25</v>
      </c>
      <c r="P1049" s="5">
        <v>3493456.81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52401.85</v>
      </c>
      <c r="AF1049" s="5">
        <v>100000</v>
      </c>
      <c r="AG1049" s="5">
        <v>0</v>
      </c>
      <c r="AH1049" s="246">
        <v>2022</v>
      </c>
      <c r="AI1049" s="246">
        <v>2022</v>
      </c>
      <c r="AJ1049" s="6">
        <v>2022</v>
      </c>
      <c r="AV1049" s="2" t="e">
        <f t="shared" si="283"/>
        <v>#N/A</v>
      </c>
      <c r="CB1049" s="236"/>
    </row>
    <row r="1050" spans="1:262" ht="61.5" x14ac:dyDescent="0.85">
      <c r="A1050" s="2">
        <v>1</v>
      </c>
      <c r="B1050" s="18">
        <f>SUBTOTAL(103,$A$1006:A1050)</f>
        <v>45</v>
      </c>
      <c r="C1050" s="3" t="s">
        <v>1744</v>
      </c>
      <c r="D1050" s="5">
        <v>4460834.87</v>
      </c>
      <c r="E1050" s="5">
        <f t="shared" si="275"/>
        <v>-100000</v>
      </c>
      <c r="F1050" s="5">
        <f t="shared" si="280"/>
        <v>4560834.87</v>
      </c>
      <c r="G1050" s="5">
        <v>0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241">
        <v>0</v>
      </c>
      <c r="N1050" s="5">
        <v>0</v>
      </c>
      <c r="O1050" s="5">
        <v>963.75</v>
      </c>
      <c r="P1050" s="5">
        <v>4394911.2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65923.67</v>
      </c>
      <c r="AF1050" s="5">
        <v>100000</v>
      </c>
      <c r="AG1050" s="5">
        <v>0</v>
      </c>
      <c r="AH1050" s="246">
        <v>2022</v>
      </c>
      <c r="AI1050" s="246">
        <v>2022</v>
      </c>
      <c r="AJ1050" s="6">
        <v>2022</v>
      </c>
      <c r="AV1050" s="2" t="e">
        <f t="shared" si="283"/>
        <v>#N/A</v>
      </c>
      <c r="CB1050" s="236"/>
    </row>
    <row r="1051" spans="1:262" ht="61.5" x14ac:dyDescent="0.85">
      <c r="A1051" s="2">
        <v>1</v>
      </c>
      <c r="B1051" s="18">
        <f>SUBTOTAL(103,$A$1006:A1051)</f>
        <v>46</v>
      </c>
      <c r="C1051" s="3" t="s">
        <v>1476</v>
      </c>
      <c r="D1051" s="5">
        <v>2100000</v>
      </c>
      <c r="E1051" s="5">
        <f t="shared" si="275"/>
        <v>-100000</v>
      </c>
      <c r="F1051" s="5">
        <f t="shared" si="280"/>
        <v>2200000</v>
      </c>
      <c r="G1051" s="5">
        <v>0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241">
        <v>1</v>
      </c>
      <c r="N1051" s="5">
        <v>2100000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100000</v>
      </c>
      <c r="AG1051" s="5">
        <v>0</v>
      </c>
      <c r="AH1051" s="246">
        <v>2022</v>
      </c>
      <c r="AI1051" s="246">
        <v>2022</v>
      </c>
      <c r="AJ1051" s="6" t="s">
        <v>49</v>
      </c>
      <c r="AV1051" s="2" t="e">
        <f t="shared" si="283"/>
        <v>#N/A</v>
      </c>
      <c r="CB1051" s="236"/>
    </row>
    <row r="1052" spans="1:262" ht="61.5" x14ac:dyDescent="0.85">
      <c r="A1052" s="2">
        <v>1</v>
      </c>
      <c r="B1052" s="18">
        <f>SUBTOTAL(103,$A$1006:A1052)</f>
        <v>47</v>
      </c>
      <c r="C1052" s="3" t="s">
        <v>1745</v>
      </c>
      <c r="D1052" s="5">
        <v>6300000</v>
      </c>
      <c r="E1052" s="5">
        <f t="shared" si="275"/>
        <v>-100000</v>
      </c>
      <c r="F1052" s="5">
        <f t="shared" si="280"/>
        <v>6400000</v>
      </c>
      <c r="G1052" s="5">
        <v>0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241">
        <v>3</v>
      </c>
      <c r="N1052" s="5">
        <v>6300000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100000</v>
      </c>
      <c r="AG1052" s="5">
        <v>0</v>
      </c>
      <c r="AH1052" s="246">
        <v>2022</v>
      </c>
      <c r="AI1052" s="246">
        <v>2022</v>
      </c>
      <c r="AJ1052" s="6" t="s">
        <v>49</v>
      </c>
      <c r="AV1052" s="2" t="e">
        <f t="shared" si="283"/>
        <v>#N/A</v>
      </c>
      <c r="CB1052" s="236"/>
    </row>
    <row r="1053" spans="1:262" s="243" customFormat="1" ht="61.5" x14ac:dyDescent="0.85">
      <c r="A1053" s="243">
        <v>1</v>
      </c>
      <c r="B1053" s="18">
        <f>SUBTOTAL(103,$A$1006:A1053)</f>
        <v>48</v>
      </c>
      <c r="C1053" s="3" t="s">
        <v>1746</v>
      </c>
      <c r="D1053" s="5">
        <v>5062636.5</v>
      </c>
      <c r="E1053" s="5">
        <f t="shared" si="275"/>
        <v>-101500</v>
      </c>
      <c r="F1053" s="5">
        <f t="shared" si="280"/>
        <v>5164136.5</v>
      </c>
      <c r="G1053" s="5">
        <v>0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241">
        <v>0</v>
      </c>
      <c r="N1053" s="5">
        <v>0</v>
      </c>
      <c r="O1053" s="5">
        <v>1234</v>
      </c>
      <c r="P1053" s="5">
        <v>4987819.21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74817.289999999994</v>
      </c>
      <c r="AF1053" s="5">
        <v>101500</v>
      </c>
      <c r="AG1053" s="5">
        <v>0</v>
      </c>
      <c r="AH1053" s="246">
        <v>2022</v>
      </c>
      <c r="AI1053" s="246">
        <v>2022</v>
      </c>
      <c r="AJ1053" s="6">
        <v>2022</v>
      </c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 t="e">
        <f t="shared" si="283"/>
        <v>#N/A</v>
      </c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36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</row>
    <row r="1054" spans="1:262" s="243" customFormat="1" ht="61.5" x14ac:dyDescent="0.85">
      <c r="A1054" s="243">
        <v>1</v>
      </c>
      <c r="B1054" s="18">
        <f>SUBTOTAL(103,$A$1006:A1054)</f>
        <v>49</v>
      </c>
      <c r="C1054" s="3" t="s">
        <v>1747</v>
      </c>
      <c r="D1054" s="5">
        <v>4800259.8</v>
      </c>
      <c r="E1054" s="5">
        <f t="shared" si="275"/>
        <v>-100000</v>
      </c>
      <c r="F1054" s="5">
        <f t="shared" si="280"/>
        <v>4900259.8</v>
      </c>
      <c r="G1054" s="5">
        <v>0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241">
        <v>0</v>
      </c>
      <c r="N1054" s="5">
        <v>0</v>
      </c>
      <c r="O1054" s="5">
        <v>1200</v>
      </c>
      <c r="P1054" s="5">
        <v>4729320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70939.8</v>
      </c>
      <c r="AF1054" s="5">
        <v>100000</v>
      </c>
      <c r="AG1054" s="5">
        <v>0</v>
      </c>
      <c r="AH1054" s="246">
        <v>2022</v>
      </c>
      <c r="AI1054" s="246">
        <v>2022</v>
      </c>
      <c r="AJ1054" s="6">
        <v>2022</v>
      </c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 t="e">
        <f t="shared" si="283"/>
        <v>#N/A</v>
      </c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36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</row>
    <row r="1055" spans="1:262" ht="61.5" x14ac:dyDescent="0.85">
      <c r="A1055" s="2">
        <v>1</v>
      </c>
      <c r="B1055" s="18">
        <f>SUBTOTAL(103,$A$1006:A1055)</f>
        <v>50</v>
      </c>
      <c r="C1055" s="3" t="s">
        <v>1748</v>
      </c>
      <c r="D1055" s="5">
        <v>3129425.65</v>
      </c>
      <c r="E1055" s="5">
        <f t="shared" si="275"/>
        <v>-100000</v>
      </c>
      <c r="F1055" s="5">
        <f t="shared" si="280"/>
        <v>3229425.65</v>
      </c>
      <c r="G1055" s="5">
        <v>0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241">
        <v>0</v>
      </c>
      <c r="N1055" s="5">
        <v>0</v>
      </c>
      <c r="O1055" s="5">
        <v>650</v>
      </c>
      <c r="P1055" s="5">
        <v>3083177.98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46247.67</v>
      </c>
      <c r="AF1055" s="5">
        <v>100000</v>
      </c>
      <c r="AG1055" s="5">
        <v>0</v>
      </c>
      <c r="AH1055" s="246">
        <v>2022</v>
      </c>
      <c r="AI1055" s="246">
        <v>2022</v>
      </c>
      <c r="AJ1055" s="6">
        <v>2022</v>
      </c>
      <c r="AV1055" s="2" t="e">
        <f t="shared" si="283"/>
        <v>#N/A</v>
      </c>
      <c r="CB1055" s="236"/>
      <c r="CF1055" s="2" t="e">
        <f t="shared" ref="CF1055:CF1067" si="284">VLOOKUP(C1055,CG:CH,2,FALSE)</f>
        <v>#N/A</v>
      </c>
    </row>
    <row r="1056" spans="1:262" ht="61.5" x14ac:dyDescent="0.85">
      <c r="A1056" s="2">
        <v>1</v>
      </c>
      <c r="B1056" s="18">
        <f>SUBTOTAL(103,$A$1006:A1056)</f>
        <v>51</v>
      </c>
      <c r="C1056" s="3" t="s">
        <v>1749</v>
      </c>
      <c r="D1056" s="5">
        <v>4417275.3499999996</v>
      </c>
      <c r="E1056" s="5">
        <f t="shared" si="275"/>
        <v>-100000</v>
      </c>
      <c r="F1056" s="5">
        <f t="shared" si="280"/>
        <v>4517275.3499999996</v>
      </c>
      <c r="G1056" s="5">
        <v>0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241">
        <v>0</v>
      </c>
      <c r="N1056" s="5">
        <v>0</v>
      </c>
      <c r="O1056" s="5">
        <v>980</v>
      </c>
      <c r="P1056" s="5">
        <v>4351995.42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0</v>
      </c>
      <c r="AE1056" s="5">
        <v>65279.93</v>
      </c>
      <c r="AF1056" s="5">
        <v>100000</v>
      </c>
      <c r="AG1056" s="5">
        <v>0</v>
      </c>
      <c r="AH1056" s="246">
        <v>2022</v>
      </c>
      <c r="AI1056" s="246">
        <v>2022</v>
      </c>
      <c r="AJ1056" s="6">
        <v>2022</v>
      </c>
      <c r="AV1056" s="2" t="e">
        <f t="shared" si="283"/>
        <v>#N/A</v>
      </c>
      <c r="CB1056" s="236"/>
      <c r="CF1056" s="2" t="e">
        <f t="shared" si="284"/>
        <v>#N/A</v>
      </c>
    </row>
    <row r="1057" spans="1:262" ht="61.5" x14ac:dyDescent="0.85">
      <c r="A1057" s="2">
        <v>1</v>
      </c>
      <c r="B1057" s="18">
        <f>SUBTOTAL(103,$A$1006:A1057)</f>
        <v>52</v>
      </c>
      <c r="C1057" s="3" t="s">
        <v>1750</v>
      </c>
      <c r="D1057" s="5">
        <v>4525631.57</v>
      </c>
      <c r="E1057" s="5">
        <f t="shared" si="275"/>
        <v>-100000</v>
      </c>
      <c r="F1057" s="5">
        <f t="shared" si="280"/>
        <v>4625631.57</v>
      </c>
      <c r="G1057" s="5">
        <v>0</v>
      </c>
      <c r="H1057" s="5">
        <v>0</v>
      </c>
      <c r="I1057" s="5">
        <v>0</v>
      </c>
      <c r="J1057" s="5">
        <v>0</v>
      </c>
      <c r="K1057" s="5">
        <v>0</v>
      </c>
      <c r="L1057" s="5">
        <v>0</v>
      </c>
      <c r="M1057" s="241">
        <v>0</v>
      </c>
      <c r="N1057" s="5">
        <v>0</v>
      </c>
      <c r="O1057" s="5">
        <v>940</v>
      </c>
      <c r="P1057" s="5">
        <v>4458750.32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66881.25</v>
      </c>
      <c r="AF1057" s="5">
        <v>100000</v>
      </c>
      <c r="AG1057" s="5">
        <v>0</v>
      </c>
      <c r="AH1057" s="246">
        <v>2022</v>
      </c>
      <c r="AI1057" s="246">
        <v>2022</v>
      </c>
      <c r="AJ1057" s="6">
        <v>2022</v>
      </c>
      <c r="AV1057" s="2" t="e">
        <f t="shared" si="283"/>
        <v>#N/A</v>
      </c>
      <c r="CB1057" s="236"/>
      <c r="CF1057" s="2" t="e">
        <f t="shared" si="284"/>
        <v>#N/A</v>
      </c>
    </row>
    <row r="1058" spans="1:262" ht="61.5" x14ac:dyDescent="0.85">
      <c r="A1058" s="2">
        <v>1</v>
      </c>
      <c r="B1058" s="18">
        <f>SUBTOTAL(103,$A$1006:A1058)</f>
        <v>53</v>
      </c>
      <c r="C1058" s="3" t="s">
        <v>1751</v>
      </c>
      <c r="D1058" s="5">
        <v>4542018.24</v>
      </c>
      <c r="E1058" s="5">
        <f t="shared" si="275"/>
        <v>-100000</v>
      </c>
      <c r="F1058" s="5">
        <f t="shared" si="280"/>
        <v>4642018.24</v>
      </c>
      <c r="G1058" s="5">
        <v>0</v>
      </c>
      <c r="H1058" s="5">
        <v>0</v>
      </c>
      <c r="I1058" s="5">
        <v>0</v>
      </c>
      <c r="J1058" s="5">
        <v>0</v>
      </c>
      <c r="K1058" s="5">
        <v>0</v>
      </c>
      <c r="L1058" s="5">
        <v>0</v>
      </c>
      <c r="M1058" s="241">
        <v>0</v>
      </c>
      <c r="N1058" s="5">
        <v>0</v>
      </c>
      <c r="O1058" s="5">
        <v>980</v>
      </c>
      <c r="P1058" s="5">
        <v>4474894.82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67123.42</v>
      </c>
      <c r="AF1058" s="5">
        <v>100000</v>
      </c>
      <c r="AG1058" s="5">
        <v>0</v>
      </c>
      <c r="AH1058" s="246">
        <v>2022</v>
      </c>
      <c r="AI1058" s="246">
        <v>2022</v>
      </c>
      <c r="AJ1058" s="6">
        <v>2022</v>
      </c>
      <c r="CB1058" s="236"/>
      <c r="CF1058" s="2" t="e">
        <f t="shared" si="284"/>
        <v>#N/A</v>
      </c>
    </row>
    <row r="1059" spans="1:262" ht="61.5" x14ac:dyDescent="0.85">
      <c r="A1059" s="2">
        <v>1</v>
      </c>
      <c r="B1059" s="18">
        <f>SUBTOTAL(103,$A$1006:A1059)</f>
        <v>54</v>
      </c>
      <c r="C1059" s="3" t="s">
        <v>1752</v>
      </c>
      <c r="D1059" s="5">
        <v>4262836.3</v>
      </c>
      <c r="E1059" s="5">
        <f t="shared" si="275"/>
        <v>-150000</v>
      </c>
      <c r="F1059" s="5">
        <f t="shared" si="280"/>
        <v>4412836.3</v>
      </c>
      <c r="G1059" s="5">
        <v>0</v>
      </c>
      <c r="H1059" s="5">
        <v>0</v>
      </c>
      <c r="I1059" s="5">
        <v>0</v>
      </c>
      <c r="J1059" s="5">
        <v>0</v>
      </c>
      <c r="K1059" s="5">
        <v>0</v>
      </c>
      <c r="L1059" s="5">
        <v>0</v>
      </c>
      <c r="M1059" s="241">
        <v>0</v>
      </c>
      <c r="N1059" s="5">
        <v>0</v>
      </c>
      <c r="O1059" s="5">
        <v>897.3</v>
      </c>
      <c r="P1059" s="5">
        <v>4199838.72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62997.58</v>
      </c>
      <c r="AF1059" s="5">
        <v>150000</v>
      </c>
      <c r="AG1059" s="5">
        <v>0</v>
      </c>
      <c r="AH1059" s="246">
        <v>2022</v>
      </c>
      <c r="AI1059" s="246">
        <v>2022</v>
      </c>
      <c r="AJ1059" s="6">
        <v>2022</v>
      </c>
      <c r="AV1059" s="2" t="e">
        <f>VLOOKUP(C1059,AY:AZ,2,FALSE)</f>
        <v>#N/A</v>
      </c>
      <c r="CB1059" s="236"/>
      <c r="CF1059" s="2" t="e">
        <f t="shared" si="284"/>
        <v>#N/A</v>
      </c>
    </row>
    <row r="1060" spans="1:262" s="239" customFormat="1" ht="61.5" x14ac:dyDescent="0.85">
      <c r="A1060" s="239">
        <v>1</v>
      </c>
      <c r="B1060" s="18">
        <f>SUBTOTAL(103,$A$1006:A1060)</f>
        <v>55</v>
      </c>
      <c r="C1060" s="3" t="s">
        <v>1085</v>
      </c>
      <c r="D1060" s="5">
        <v>4371676.9000000004</v>
      </c>
      <c r="E1060" s="5">
        <f t="shared" si="275"/>
        <v>101031.40000000037</v>
      </c>
      <c r="F1060" s="5">
        <f t="shared" si="280"/>
        <v>4270645.5</v>
      </c>
      <c r="G1060" s="5">
        <v>0</v>
      </c>
      <c r="H1060" s="5">
        <v>0</v>
      </c>
      <c r="I1060" s="5">
        <v>0</v>
      </c>
      <c r="J1060" s="5">
        <v>0</v>
      </c>
      <c r="K1060" s="5">
        <v>0</v>
      </c>
      <c r="L1060" s="5">
        <v>0</v>
      </c>
      <c r="M1060" s="25">
        <v>0</v>
      </c>
      <c r="N1060" s="5">
        <v>0</v>
      </c>
      <c r="O1060" s="5">
        <v>1089.5999999999999</v>
      </c>
      <c r="P1060" s="5">
        <v>4207532.51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63112.99</v>
      </c>
      <c r="AF1060" s="5">
        <v>0</v>
      </c>
      <c r="AG1060" s="5">
        <v>0</v>
      </c>
      <c r="AH1060" s="246" t="s">
        <v>49</v>
      </c>
      <c r="AI1060" s="246">
        <v>2022</v>
      </c>
      <c r="AJ1060" s="6">
        <v>2022</v>
      </c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36"/>
      <c r="CC1060" s="2"/>
      <c r="CD1060" s="2"/>
      <c r="CE1060" s="2"/>
      <c r="CF1060" s="2" t="e">
        <f t="shared" si="284"/>
        <v>#N/A</v>
      </c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</row>
    <row r="1061" spans="1:262" s="239" customFormat="1" ht="61.5" x14ac:dyDescent="0.85">
      <c r="A1061" s="239">
        <v>1</v>
      </c>
      <c r="B1061" s="18">
        <f>SUBTOTAL(103,$A$1006:A1061)</f>
        <v>56</v>
      </c>
      <c r="C1061" s="3" t="s">
        <v>1753</v>
      </c>
      <c r="D1061" s="5">
        <v>2292500.0499999998</v>
      </c>
      <c r="E1061" s="5">
        <f t="shared" si="275"/>
        <v>-20000</v>
      </c>
      <c r="F1061" s="5">
        <f t="shared" si="280"/>
        <v>2312500.0499999998</v>
      </c>
      <c r="G1061" s="5">
        <v>0</v>
      </c>
      <c r="H1061" s="5">
        <v>0</v>
      </c>
      <c r="I1061" s="5">
        <v>0</v>
      </c>
      <c r="J1061" s="5">
        <v>0</v>
      </c>
      <c r="K1061" s="5">
        <v>0</v>
      </c>
      <c r="L1061" s="5">
        <v>0</v>
      </c>
      <c r="M1061" s="2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840</v>
      </c>
      <c r="T1061" s="5">
        <v>2179803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32697.05</v>
      </c>
      <c r="AF1061" s="5">
        <v>100000</v>
      </c>
      <c r="AG1061" s="5">
        <v>0</v>
      </c>
      <c r="AH1061" s="246">
        <v>2022</v>
      </c>
      <c r="AI1061" s="246">
        <v>2022</v>
      </c>
      <c r="AJ1061" s="6">
        <v>2022</v>
      </c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36"/>
      <c r="CC1061" s="2"/>
      <c r="CD1061" s="2"/>
      <c r="CE1061" s="2"/>
      <c r="CF1061" s="2" t="e">
        <f t="shared" si="284"/>
        <v>#N/A</v>
      </c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</row>
    <row r="1062" spans="1:262" s="239" customFormat="1" ht="61.5" x14ac:dyDescent="0.85">
      <c r="A1062" s="239">
        <v>1</v>
      </c>
      <c r="B1062" s="18">
        <f>SUBTOTAL(103,$A$1006:A1062)</f>
        <v>57</v>
      </c>
      <c r="C1062" s="3" t="s">
        <v>235</v>
      </c>
      <c r="D1062" s="5">
        <v>4348142.72</v>
      </c>
      <c r="E1062" s="5">
        <f t="shared" si="275"/>
        <v>0</v>
      </c>
      <c r="F1062" s="5">
        <f t="shared" si="280"/>
        <v>4348142.72</v>
      </c>
      <c r="G1062" s="5">
        <v>0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2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1389</v>
      </c>
      <c r="T1062" s="5">
        <v>4165657.85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62484.87</v>
      </c>
      <c r="AF1062" s="5">
        <v>120000</v>
      </c>
      <c r="AG1062" s="5">
        <v>0</v>
      </c>
      <c r="AH1062" s="246">
        <v>2022</v>
      </c>
      <c r="AI1062" s="246">
        <v>2022</v>
      </c>
      <c r="AJ1062" s="6">
        <v>2022</v>
      </c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36"/>
      <c r="CC1062" s="2"/>
      <c r="CD1062" s="2"/>
      <c r="CE1062" s="2"/>
      <c r="CF1062" s="2" t="e">
        <f t="shared" si="284"/>
        <v>#N/A</v>
      </c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</row>
    <row r="1063" spans="1:262" s="239" customFormat="1" ht="61.5" x14ac:dyDescent="0.85">
      <c r="A1063" s="239">
        <v>1</v>
      </c>
      <c r="B1063" s="18">
        <f>SUBTOTAL(103,$A$1006:A1063)</f>
        <v>58</v>
      </c>
      <c r="C1063" s="3" t="s">
        <v>1754</v>
      </c>
      <c r="D1063" s="5">
        <v>2785299.21</v>
      </c>
      <c r="E1063" s="5">
        <f t="shared" ref="E1063:E1126" si="285">D1063-F1063</f>
        <v>0</v>
      </c>
      <c r="F1063" s="5">
        <f t="shared" si="280"/>
        <v>2785299.21</v>
      </c>
      <c r="G1063" s="5">
        <v>0</v>
      </c>
      <c r="H1063" s="5">
        <v>0</v>
      </c>
      <c r="I1063" s="5">
        <v>0</v>
      </c>
      <c r="J1063" s="5">
        <v>0</v>
      </c>
      <c r="K1063" s="5">
        <v>0</v>
      </c>
      <c r="L1063" s="5">
        <v>0</v>
      </c>
      <c r="M1063" s="2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1524.32</v>
      </c>
      <c r="T1063" s="5">
        <v>2744339.94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40959.269999999997</v>
      </c>
      <c r="AF1063" s="5">
        <v>0</v>
      </c>
      <c r="AG1063" s="5">
        <v>0</v>
      </c>
      <c r="AH1063" s="246" t="s">
        <v>49</v>
      </c>
      <c r="AI1063" s="246">
        <v>2022</v>
      </c>
      <c r="AJ1063" s="6">
        <v>2022</v>
      </c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36"/>
      <c r="CC1063" s="2"/>
      <c r="CD1063" s="2"/>
      <c r="CE1063" s="2"/>
      <c r="CF1063" s="2" t="e">
        <f t="shared" si="284"/>
        <v>#N/A</v>
      </c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</row>
    <row r="1064" spans="1:262" s="239" customFormat="1" ht="61.5" x14ac:dyDescent="0.85">
      <c r="A1064" s="239">
        <v>1</v>
      </c>
      <c r="B1064" s="18">
        <f>SUBTOTAL(103,$A$1006:A1064)</f>
        <v>59</v>
      </c>
      <c r="C1064" s="3" t="s">
        <v>1755</v>
      </c>
      <c r="D1064" s="5">
        <v>4057359.23</v>
      </c>
      <c r="E1064" s="5">
        <f t="shared" si="285"/>
        <v>0</v>
      </c>
      <c r="F1064" s="5">
        <f t="shared" si="280"/>
        <v>4057359.23</v>
      </c>
      <c r="G1064" s="5">
        <v>0</v>
      </c>
      <c r="H1064" s="5">
        <v>0</v>
      </c>
      <c r="I1064" s="5">
        <v>0</v>
      </c>
      <c r="J1064" s="5">
        <v>0</v>
      </c>
      <c r="K1064" s="5">
        <v>0</v>
      </c>
      <c r="L1064" s="5">
        <v>0</v>
      </c>
      <c r="M1064" s="2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940.98</v>
      </c>
      <c r="T1064" s="5">
        <v>3849615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57744.23</v>
      </c>
      <c r="AF1064" s="5">
        <v>150000</v>
      </c>
      <c r="AG1064" s="5">
        <v>0</v>
      </c>
      <c r="AH1064" s="246">
        <v>2022</v>
      </c>
      <c r="AI1064" s="246">
        <v>2022</v>
      </c>
      <c r="AJ1064" s="6">
        <v>2022</v>
      </c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 t="e">
        <f t="shared" ref="AV1064:AV1081" si="286">VLOOKUP(C1064,AY:AZ,2,FALSE)</f>
        <v>#N/A</v>
      </c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36"/>
      <c r="CC1064" s="2"/>
      <c r="CD1064" s="2"/>
      <c r="CE1064" s="2"/>
      <c r="CF1064" s="2" t="e">
        <f t="shared" si="284"/>
        <v>#N/A</v>
      </c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</row>
    <row r="1065" spans="1:262" s="239" customFormat="1" ht="61.5" x14ac:dyDescent="0.85">
      <c r="A1065" s="239">
        <v>1</v>
      </c>
      <c r="B1065" s="18">
        <f>SUBTOTAL(103,$A$1006:A1065)</f>
        <v>60</v>
      </c>
      <c r="C1065" s="3" t="s">
        <v>1756</v>
      </c>
      <c r="D1065" s="5">
        <v>4448638.5999999996</v>
      </c>
      <c r="E1065" s="5">
        <f t="shared" si="285"/>
        <v>0</v>
      </c>
      <c r="F1065" s="5">
        <f t="shared" si="280"/>
        <v>4448638.5999999996</v>
      </c>
      <c r="G1065" s="5">
        <v>0</v>
      </c>
      <c r="H1065" s="5">
        <v>0</v>
      </c>
      <c r="I1065" s="5">
        <v>0</v>
      </c>
      <c r="J1065" s="5">
        <v>0</v>
      </c>
      <c r="K1065" s="5">
        <v>0</v>
      </c>
      <c r="L1065" s="5">
        <v>0</v>
      </c>
      <c r="M1065" s="2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1047.25</v>
      </c>
      <c r="T1065" s="5">
        <v>4284373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64265.599999999999</v>
      </c>
      <c r="AF1065" s="5">
        <v>100000</v>
      </c>
      <c r="AG1065" s="5">
        <v>0</v>
      </c>
      <c r="AH1065" s="246">
        <v>2022</v>
      </c>
      <c r="AI1065" s="246">
        <v>2022</v>
      </c>
      <c r="AJ1065" s="6">
        <v>2022</v>
      </c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 t="e">
        <f t="shared" si="286"/>
        <v>#N/A</v>
      </c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36"/>
      <c r="CC1065" s="2"/>
      <c r="CD1065" s="2"/>
      <c r="CE1065" s="2"/>
      <c r="CF1065" s="2" t="e">
        <f t="shared" si="284"/>
        <v>#N/A</v>
      </c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</row>
    <row r="1066" spans="1:262" s="239" customFormat="1" ht="61.5" x14ac:dyDescent="0.85">
      <c r="A1066" s="239">
        <v>1</v>
      </c>
      <c r="B1066" s="18">
        <f>SUBTOTAL(103,$A$1006:A1066)</f>
        <v>61</v>
      </c>
      <c r="C1066" s="3" t="s">
        <v>1757</v>
      </c>
      <c r="D1066" s="5">
        <v>5133796.7</v>
      </c>
      <c r="E1066" s="5">
        <f t="shared" si="285"/>
        <v>0</v>
      </c>
      <c r="F1066" s="5">
        <f t="shared" si="280"/>
        <v>5133796.7</v>
      </c>
      <c r="G1066" s="5">
        <v>0</v>
      </c>
      <c r="H1066" s="5">
        <v>0</v>
      </c>
      <c r="I1066" s="5">
        <v>0</v>
      </c>
      <c r="J1066" s="5">
        <v>0</v>
      </c>
      <c r="K1066" s="5">
        <v>0</v>
      </c>
      <c r="L1066" s="5">
        <v>0</v>
      </c>
      <c r="M1066" s="25">
        <v>0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1160</v>
      </c>
      <c r="T1066" s="5">
        <v>4959405.62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74391.08</v>
      </c>
      <c r="AF1066" s="5">
        <v>100000</v>
      </c>
      <c r="AG1066" s="5">
        <v>0</v>
      </c>
      <c r="AH1066" s="246">
        <v>2022</v>
      </c>
      <c r="AI1066" s="246">
        <v>2022</v>
      </c>
      <c r="AJ1066" s="6">
        <v>2022</v>
      </c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 t="e">
        <f t="shared" si="286"/>
        <v>#N/A</v>
      </c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36"/>
      <c r="CC1066" s="2"/>
      <c r="CD1066" s="2"/>
      <c r="CE1066" s="2"/>
      <c r="CF1066" s="2" t="e">
        <f t="shared" si="284"/>
        <v>#N/A</v>
      </c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</row>
    <row r="1067" spans="1:262" s="239" customFormat="1" ht="61.5" x14ac:dyDescent="0.85">
      <c r="A1067" s="239">
        <v>1</v>
      </c>
      <c r="B1067" s="18">
        <f>SUBTOTAL(103,$A$1006:A1067)</f>
        <v>62</v>
      </c>
      <c r="C1067" s="3" t="s">
        <v>1758</v>
      </c>
      <c r="D1067" s="5">
        <v>2760412.39</v>
      </c>
      <c r="E1067" s="5">
        <f t="shared" si="285"/>
        <v>-120001.9700000002</v>
      </c>
      <c r="F1067" s="5">
        <f t="shared" si="280"/>
        <v>2880414.3600000003</v>
      </c>
      <c r="G1067" s="5">
        <v>0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25">
        <v>0</v>
      </c>
      <c r="N1067" s="5">
        <v>0</v>
      </c>
      <c r="O1067" s="5">
        <v>560</v>
      </c>
      <c r="P1067" s="5">
        <v>2739324.49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41089.870000000003</v>
      </c>
      <c r="AF1067" s="5">
        <v>100000</v>
      </c>
      <c r="AG1067" s="5">
        <v>0</v>
      </c>
      <c r="AH1067" s="246">
        <v>2022</v>
      </c>
      <c r="AI1067" s="246">
        <v>2022</v>
      </c>
      <c r="AJ1067" s="6">
        <v>2022</v>
      </c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 t="e">
        <f t="shared" si="286"/>
        <v>#N/A</v>
      </c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36"/>
      <c r="CC1067" s="2"/>
      <c r="CD1067" s="2"/>
      <c r="CE1067" s="2"/>
      <c r="CF1067" s="2" t="e">
        <f t="shared" si="284"/>
        <v>#N/A</v>
      </c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</row>
    <row r="1068" spans="1:262" ht="61.5" x14ac:dyDescent="0.85">
      <c r="B1068" s="3" t="s">
        <v>1092</v>
      </c>
      <c r="C1068" s="442"/>
      <c r="D1068" s="244">
        <v>44764760.649999999</v>
      </c>
      <c r="E1068" s="233">
        <f t="shared" si="285"/>
        <v>0</v>
      </c>
      <c r="F1068" s="244">
        <f>SUM(F1069:F1082)</f>
        <v>44764760.649999999</v>
      </c>
      <c r="G1068" s="5">
        <f t="shared" ref="G1068:AG1068" si="287">SUM(G1069:G1082)</f>
        <v>0</v>
      </c>
      <c r="H1068" s="5">
        <f t="shared" si="287"/>
        <v>0</v>
      </c>
      <c r="I1068" s="5">
        <f t="shared" si="287"/>
        <v>0</v>
      </c>
      <c r="J1068" s="5">
        <f t="shared" si="287"/>
        <v>415281.24</v>
      </c>
      <c r="K1068" s="5">
        <f t="shared" si="287"/>
        <v>0</v>
      </c>
      <c r="L1068" s="5">
        <f t="shared" si="287"/>
        <v>0</v>
      </c>
      <c r="M1068" s="241">
        <f t="shared" si="287"/>
        <v>0</v>
      </c>
      <c r="N1068" s="5">
        <f t="shared" si="287"/>
        <v>0</v>
      </c>
      <c r="O1068" s="5">
        <f t="shared" si="287"/>
        <v>7727.4100000000008</v>
      </c>
      <c r="P1068" s="5">
        <f t="shared" si="287"/>
        <v>41638670.140000008</v>
      </c>
      <c r="Q1068" s="5">
        <f t="shared" si="287"/>
        <v>0</v>
      </c>
      <c r="R1068" s="5">
        <f t="shared" si="287"/>
        <v>0</v>
      </c>
      <c r="S1068" s="5">
        <f t="shared" si="287"/>
        <v>0</v>
      </c>
      <c r="T1068" s="5">
        <f t="shared" si="287"/>
        <v>0</v>
      </c>
      <c r="U1068" s="5">
        <f t="shared" si="287"/>
        <v>0</v>
      </c>
      <c r="V1068" s="5">
        <f t="shared" si="287"/>
        <v>0</v>
      </c>
      <c r="W1068" s="5">
        <f t="shared" si="287"/>
        <v>0</v>
      </c>
      <c r="X1068" s="5">
        <f t="shared" si="287"/>
        <v>0</v>
      </c>
      <c r="Y1068" s="5">
        <f t="shared" si="287"/>
        <v>0</v>
      </c>
      <c r="Z1068" s="5">
        <f t="shared" si="287"/>
        <v>0</v>
      </c>
      <c r="AA1068" s="5">
        <f t="shared" si="287"/>
        <v>0</v>
      </c>
      <c r="AB1068" s="5">
        <f t="shared" si="287"/>
        <v>0</v>
      </c>
      <c r="AC1068" s="5">
        <f t="shared" si="287"/>
        <v>0</v>
      </c>
      <c r="AD1068" s="5">
        <f t="shared" si="287"/>
        <v>0</v>
      </c>
      <c r="AE1068" s="5">
        <f t="shared" si="287"/>
        <v>630809.27</v>
      </c>
      <c r="AF1068" s="5">
        <f t="shared" si="287"/>
        <v>1960000</v>
      </c>
      <c r="AG1068" s="5">
        <f t="shared" si="287"/>
        <v>120000</v>
      </c>
      <c r="AH1068" s="23" t="s">
        <v>90</v>
      </c>
      <c r="AI1068" s="23" t="s">
        <v>90</v>
      </c>
      <c r="AJ1068" s="27" t="s">
        <v>90</v>
      </c>
      <c r="AV1068" s="2" t="e">
        <f t="shared" si="286"/>
        <v>#N/A</v>
      </c>
      <c r="CB1068" s="5">
        <v>45048314.759999998</v>
      </c>
      <c r="CC1068" s="5"/>
      <c r="CD1068" s="5">
        <f>CB1068-F1068</f>
        <v>283554.1099999994</v>
      </c>
    </row>
    <row r="1069" spans="1:262" ht="61.5" x14ac:dyDescent="0.85">
      <c r="A1069" s="2">
        <v>1</v>
      </c>
      <c r="B1069" s="18">
        <f>SUBTOTAL(103,$A$1006:A1069)</f>
        <v>63</v>
      </c>
      <c r="C1069" s="3" t="s">
        <v>1759</v>
      </c>
      <c r="D1069" s="5">
        <v>3951259.39</v>
      </c>
      <c r="E1069" s="5">
        <f t="shared" si="285"/>
        <v>0</v>
      </c>
      <c r="F1069" s="5">
        <f t="shared" si="280"/>
        <v>3951259.39</v>
      </c>
      <c r="G1069" s="255">
        <v>0</v>
      </c>
      <c r="H1069" s="255">
        <v>0</v>
      </c>
      <c r="I1069" s="255">
        <v>0</v>
      </c>
      <c r="J1069" s="255">
        <v>0</v>
      </c>
      <c r="K1069" s="255">
        <v>0</v>
      </c>
      <c r="L1069" s="255">
        <v>0</v>
      </c>
      <c r="M1069" s="256">
        <v>0</v>
      </c>
      <c r="N1069" s="255">
        <v>0</v>
      </c>
      <c r="O1069" s="5">
        <v>648.4</v>
      </c>
      <c r="P1069" s="5">
        <v>3745083.14</v>
      </c>
      <c r="Q1069" s="255">
        <v>0</v>
      </c>
      <c r="R1069" s="255">
        <v>0</v>
      </c>
      <c r="S1069" s="255">
        <v>0</v>
      </c>
      <c r="T1069" s="255">
        <v>0</v>
      </c>
      <c r="U1069" s="255">
        <v>0</v>
      </c>
      <c r="V1069" s="255">
        <v>0</v>
      </c>
      <c r="W1069" s="255">
        <v>0</v>
      </c>
      <c r="X1069" s="255">
        <v>0</v>
      </c>
      <c r="Y1069" s="255">
        <v>0</v>
      </c>
      <c r="Z1069" s="255">
        <v>0</v>
      </c>
      <c r="AA1069" s="255">
        <v>0</v>
      </c>
      <c r="AB1069" s="255">
        <v>0</v>
      </c>
      <c r="AC1069" s="5">
        <v>0</v>
      </c>
      <c r="AD1069" s="5">
        <v>0</v>
      </c>
      <c r="AE1069" s="5">
        <f>ROUND(P1069*1.5%,2)</f>
        <v>56176.25</v>
      </c>
      <c r="AF1069" s="5">
        <v>150000</v>
      </c>
      <c r="AG1069" s="5">
        <v>0</v>
      </c>
      <c r="AH1069" s="246">
        <v>2022</v>
      </c>
      <c r="AI1069" s="246">
        <v>2022</v>
      </c>
      <c r="AJ1069" s="6">
        <v>2022</v>
      </c>
      <c r="AV1069" s="2" t="e">
        <f t="shared" si="286"/>
        <v>#N/A</v>
      </c>
      <c r="CB1069" s="236"/>
    </row>
    <row r="1070" spans="1:262" ht="61.5" x14ac:dyDescent="0.85">
      <c r="A1070" s="2">
        <v>1</v>
      </c>
      <c r="B1070" s="18">
        <f>SUBTOTAL(103,$A$1006:A1070)</f>
        <v>64</v>
      </c>
      <c r="C1070" s="3" t="s">
        <v>1760</v>
      </c>
      <c r="D1070" s="5">
        <v>2999201</v>
      </c>
      <c r="E1070" s="5">
        <f t="shared" si="285"/>
        <v>0</v>
      </c>
      <c r="F1070" s="5">
        <f t="shared" ref="F1070:F1082" si="288">G1070+H1070+I1070+J1070+K1070+L1070+N1070+P1070+R1070+T1070+V1070+W1070+X1070+Y1070+Z1070+AA1070+AB1070+AC1070+AD1070+AE1070+AF1070+AG1070</f>
        <v>2999201</v>
      </c>
      <c r="G1070" s="255">
        <v>0</v>
      </c>
      <c r="H1070" s="255">
        <v>0</v>
      </c>
      <c r="I1070" s="255">
        <v>0</v>
      </c>
      <c r="J1070" s="255">
        <v>0</v>
      </c>
      <c r="K1070" s="255">
        <v>0</v>
      </c>
      <c r="L1070" s="255">
        <v>0</v>
      </c>
      <c r="M1070" s="256">
        <v>0</v>
      </c>
      <c r="N1070" s="255">
        <v>0</v>
      </c>
      <c r="O1070" s="5">
        <v>547</v>
      </c>
      <c r="P1070" s="5">
        <v>2807094.58</v>
      </c>
      <c r="Q1070" s="255">
        <v>0</v>
      </c>
      <c r="R1070" s="255">
        <v>0</v>
      </c>
      <c r="S1070" s="255">
        <v>0</v>
      </c>
      <c r="T1070" s="255">
        <v>0</v>
      </c>
      <c r="U1070" s="255">
        <v>0</v>
      </c>
      <c r="V1070" s="255">
        <v>0</v>
      </c>
      <c r="W1070" s="255">
        <v>0</v>
      </c>
      <c r="X1070" s="255">
        <v>0</v>
      </c>
      <c r="Y1070" s="255">
        <v>0</v>
      </c>
      <c r="Z1070" s="255">
        <v>0</v>
      </c>
      <c r="AA1070" s="255">
        <v>0</v>
      </c>
      <c r="AB1070" s="255">
        <v>0</v>
      </c>
      <c r="AC1070" s="5">
        <v>0</v>
      </c>
      <c r="AD1070" s="5">
        <v>0</v>
      </c>
      <c r="AE1070" s="5">
        <f>ROUND(P1070*1.5%,2)</f>
        <v>42106.42</v>
      </c>
      <c r="AF1070" s="5">
        <v>150000</v>
      </c>
      <c r="AG1070" s="5">
        <v>0</v>
      </c>
      <c r="AH1070" s="246">
        <v>2022</v>
      </c>
      <c r="AI1070" s="246">
        <v>2022</v>
      </c>
      <c r="AJ1070" s="6">
        <v>2022</v>
      </c>
      <c r="AV1070" s="2" t="e">
        <f t="shared" si="286"/>
        <v>#N/A</v>
      </c>
      <c r="CB1070" s="236"/>
    </row>
    <row r="1071" spans="1:262" ht="61.5" x14ac:dyDescent="0.85">
      <c r="A1071" s="2">
        <v>1</v>
      </c>
      <c r="B1071" s="18">
        <f>SUBTOTAL(103,$A$1006:A1071)</f>
        <v>65</v>
      </c>
      <c r="C1071" s="3" t="s">
        <v>1761</v>
      </c>
      <c r="D1071" s="5">
        <v>2584541.12</v>
      </c>
      <c r="E1071" s="5">
        <f t="shared" si="285"/>
        <v>0</v>
      </c>
      <c r="F1071" s="5">
        <f t="shared" si="288"/>
        <v>2584541.12</v>
      </c>
      <c r="G1071" s="255">
        <v>0</v>
      </c>
      <c r="H1071" s="255">
        <v>0</v>
      </c>
      <c r="I1071" s="255">
        <v>0</v>
      </c>
      <c r="J1071" s="255">
        <v>0</v>
      </c>
      <c r="K1071" s="255">
        <v>0</v>
      </c>
      <c r="L1071" s="255">
        <v>0</v>
      </c>
      <c r="M1071" s="256">
        <v>0</v>
      </c>
      <c r="N1071" s="255">
        <v>0</v>
      </c>
      <c r="O1071" s="5">
        <v>493.2</v>
      </c>
      <c r="P1071" s="5">
        <v>2428119.33</v>
      </c>
      <c r="Q1071" s="255">
        <v>0</v>
      </c>
      <c r="R1071" s="255">
        <v>0</v>
      </c>
      <c r="S1071" s="255">
        <v>0</v>
      </c>
      <c r="T1071" s="255">
        <v>0</v>
      </c>
      <c r="U1071" s="255">
        <v>0</v>
      </c>
      <c r="V1071" s="255">
        <v>0</v>
      </c>
      <c r="W1071" s="255">
        <v>0</v>
      </c>
      <c r="X1071" s="255">
        <v>0</v>
      </c>
      <c r="Y1071" s="255">
        <v>0</v>
      </c>
      <c r="Z1071" s="255">
        <v>0</v>
      </c>
      <c r="AA1071" s="255">
        <v>0</v>
      </c>
      <c r="AB1071" s="255">
        <v>0</v>
      </c>
      <c r="AC1071" s="5">
        <v>0</v>
      </c>
      <c r="AD1071" s="5">
        <v>0</v>
      </c>
      <c r="AE1071" s="5">
        <f>ROUND(P1071*1.5%,2)</f>
        <v>36421.79</v>
      </c>
      <c r="AF1071" s="5">
        <v>120000</v>
      </c>
      <c r="AG1071" s="5">
        <v>0</v>
      </c>
      <c r="AH1071" s="246">
        <v>2022</v>
      </c>
      <c r="AI1071" s="246">
        <v>2022</v>
      </c>
      <c r="AJ1071" s="6">
        <v>2022</v>
      </c>
      <c r="AV1071" s="2" t="e">
        <f t="shared" si="286"/>
        <v>#N/A</v>
      </c>
      <c r="CB1071" s="236"/>
    </row>
    <row r="1072" spans="1:262" ht="61.5" x14ac:dyDescent="0.85">
      <c r="A1072" s="2">
        <v>1</v>
      </c>
      <c r="B1072" s="18">
        <f>SUBTOTAL(103,$A$1006:A1072)</f>
        <v>66</v>
      </c>
      <c r="C1072" s="3" t="s">
        <v>1762</v>
      </c>
      <c r="D1072" s="5">
        <v>6581549.3999999994</v>
      </c>
      <c r="E1072" s="5">
        <f t="shared" si="285"/>
        <v>0</v>
      </c>
      <c r="F1072" s="5">
        <f t="shared" si="288"/>
        <v>6581549.3999999994</v>
      </c>
      <c r="G1072" s="255">
        <v>0</v>
      </c>
      <c r="H1072" s="255">
        <v>0</v>
      </c>
      <c r="I1072" s="255">
        <v>0</v>
      </c>
      <c r="J1072" s="255">
        <v>0</v>
      </c>
      <c r="K1072" s="255">
        <v>0</v>
      </c>
      <c r="L1072" s="255">
        <v>0</v>
      </c>
      <c r="M1072" s="256">
        <v>0</v>
      </c>
      <c r="N1072" s="255">
        <v>0</v>
      </c>
      <c r="O1072" s="5">
        <v>1130</v>
      </c>
      <c r="P1072" s="5">
        <v>6306945.2199999997</v>
      </c>
      <c r="Q1072" s="255">
        <v>0</v>
      </c>
      <c r="R1072" s="255">
        <v>0</v>
      </c>
      <c r="S1072" s="255">
        <v>0</v>
      </c>
      <c r="T1072" s="255">
        <v>0</v>
      </c>
      <c r="U1072" s="255">
        <v>0</v>
      </c>
      <c r="V1072" s="255">
        <v>0</v>
      </c>
      <c r="W1072" s="255">
        <v>0</v>
      </c>
      <c r="X1072" s="255">
        <v>0</v>
      </c>
      <c r="Y1072" s="255">
        <v>0</v>
      </c>
      <c r="Z1072" s="255">
        <v>0</v>
      </c>
      <c r="AA1072" s="255">
        <v>0</v>
      </c>
      <c r="AB1072" s="255">
        <v>0</v>
      </c>
      <c r="AC1072" s="5">
        <v>0</v>
      </c>
      <c r="AD1072" s="5">
        <v>0</v>
      </c>
      <c r="AE1072" s="5">
        <f>ROUND(P1072*1.5%,2)</f>
        <v>94604.18</v>
      </c>
      <c r="AF1072" s="5">
        <v>180000</v>
      </c>
      <c r="AG1072" s="5">
        <v>0</v>
      </c>
      <c r="AH1072" s="246">
        <v>2022</v>
      </c>
      <c r="AI1072" s="246">
        <v>2022</v>
      </c>
      <c r="AJ1072" s="6">
        <v>2022</v>
      </c>
      <c r="AV1072" s="2" t="e">
        <f t="shared" si="286"/>
        <v>#N/A</v>
      </c>
      <c r="CB1072" s="236"/>
    </row>
    <row r="1073" spans="1:262" ht="61.5" x14ac:dyDescent="0.85">
      <c r="A1073" s="2">
        <v>1</v>
      </c>
      <c r="B1073" s="18">
        <f>SUBTOTAL(103,$A$1006:A1073)</f>
        <v>67</v>
      </c>
      <c r="C1073" s="3" t="s">
        <v>1763</v>
      </c>
      <c r="D1073" s="5">
        <v>4737312</v>
      </c>
      <c r="E1073" s="5">
        <f t="shared" si="285"/>
        <v>0</v>
      </c>
      <c r="F1073" s="5">
        <f t="shared" si="288"/>
        <v>4737312</v>
      </c>
      <c r="G1073" s="255">
        <v>0</v>
      </c>
      <c r="H1073" s="255">
        <v>0</v>
      </c>
      <c r="I1073" s="255">
        <v>0</v>
      </c>
      <c r="J1073" s="255">
        <v>0</v>
      </c>
      <c r="K1073" s="255">
        <v>0</v>
      </c>
      <c r="L1073" s="255">
        <v>0</v>
      </c>
      <c r="M1073" s="256">
        <v>0</v>
      </c>
      <c r="N1073" s="255">
        <v>0</v>
      </c>
      <c r="O1073" s="5">
        <v>864</v>
      </c>
      <c r="P1073" s="5">
        <v>4519519.21</v>
      </c>
      <c r="Q1073" s="255">
        <v>0</v>
      </c>
      <c r="R1073" s="255">
        <v>0</v>
      </c>
      <c r="S1073" s="255">
        <v>0</v>
      </c>
      <c r="T1073" s="255">
        <v>0</v>
      </c>
      <c r="U1073" s="255">
        <v>0</v>
      </c>
      <c r="V1073" s="255">
        <v>0</v>
      </c>
      <c r="W1073" s="255">
        <v>0</v>
      </c>
      <c r="X1073" s="255">
        <v>0</v>
      </c>
      <c r="Y1073" s="255">
        <v>0</v>
      </c>
      <c r="Z1073" s="255">
        <v>0</v>
      </c>
      <c r="AA1073" s="255">
        <v>0</v>
      </c>
      <c r="AB1073" s="255">
        <v>0</v>
      </c>
      <c r="AC1073" s="5">
        <v>0</v>
      </c>
      <c r="AD1073" s="5">
        <v>0</v>
      </c>
      <c r="AE1073" s="5">
        <f>ROUND(P1073*1.5%,2)</f>
        <v>67792.789999999994</v>
      </c>
      <c r="AF1073" s="5">
        <v>150000</v>
      </c>
      <c r="AG1073" s="5">
        <v>0</v>
      </c>
      <c r="AH1073" s="246">
        <v>2022</v>
      </c>
      <c r="AI1073" s="246">
        <v>2022</v>
      </c>
      <c r="AJ1073" s="6">
        <v>2022</v>
      </c>
      <c r="AV1073" s="2" t="e">
        <f t="shared" si="286"/>
        <v>#N/A</v>
      </c>
      <c r="CB1073" s="236"/>
    </row>
    <row r="1074" spans="1:262" ht="61.5" x14ac:dyDescent="0.85">
      <c r="A1074" s="2">
        <v>1</v>
      </c>
      <c r="B1074" s="18">
        <f>SUBTOTAL(103,$A$1006:A1074)</f>
        <v>68</v>
      </c>
      <c r="C1074" s="3" t="s">
        <v>1764</v>
      </c>
      <c r="D1074" s="5">
        <v>491510.45999999996</v>
      </c>
      <c r="E1074" s="5">
        <f t="shared" si="285"/>
        <v>0</v>
      </c>
      <c r="F1074" s="5">
        <f t="shared" si="288"/>
        <v>491510.45999999996</v>
      </c>
      <c r="G1074" s="255">
        <v>0</v>
      </c>
      <c r="H1074" s="255">
        <v>0</v>
      </c>
      <c r="I1074" s="255">
        <v>0</v>
      </c>
      <c r="J1074" s="5">
        <v>415281.24</v>
      </c>
      <c r="K1074" s="255">
        <v>0</v>
      </c>
      <c r="L1074" s="255">
        <v>0</v>
      </c>
      <c r="M1074" s="256">
        <v>0</v>
      </c>
      <c r="N1074" s="255">
        <v>0</v>
      </c>
      <c r="O1074" s="5">
        <v>0</v>
      </c>
      <c r="P1074" s="5">
        <v>0</v>
      </c>
      <c r="Q1074" s="255">
        <v>0</v>
      </c>
      <c r="R1074" s="255">
        <v>0</v>
      </c>
      <c r="S1074" s="255">
        <v>0</v>
      </c>
      <c r="T1074" s="255">
        <v>0</v>
      </c>
      <c r="U1074" s="255">
        <v>0</v>
      </c>
      <c r="V1074" s="255">
        <v>0</v>
      </c>
      <c r="W1074" s="255">
        <v>0</v>
      </c>
      <c r="X1074" s="255">
        <v>0</v>
      </c>
      <c r="Y1074" s="255">
        <v>0</v>
      </c>
      <c r="Z1074" s="255">
        <v>0</v>
      </c>
      <c r="AA1074" s="255">
        <v>0</v>
      </c>
      <c r="AB1074" s="255">
        <v>0</v>
      </c>
      <c r="AC1074" s="5">
        <v>0</v>
      </c>
      <c r="AD1074" s="5">
        <v>0</v>
      </c>
      <c r="AE1074" s="5">
        <f>ROUND((G1074+H1074+I1074+J1074+K1074+L1074)*1.5%,2)</f>
        <v>6229.22</v>
      </c>
      <c r="AF1074" s="5">
        <v>70000</v>
      </c>
      <c r="AG1074" s="5">
        <v>0</v>
      </c>
      <c r="AH1074" s="246">
        <v>2022</v>
      </c>
      <c r="AI1074" s="246">
        <v>2022</v>
      </c>
      <c r="AJ1074" s="6">
        <v>2022</v>
      </c>
      <c r="AV1074" s="2" t="e">
        <f t="shared" si="286"/>
        <v>#N/A</v>
      </c>
      <c r="CB1074" s="236"/>
    </row>
    <row r="1075" spans="1:262" ht="61.5" x14ac:dyDescent="0.85">
      <c r="A1075" s="2">
        <v>1</v>
      </c>
      <c r="B1075" s="18">
        <f>SUBTOTAL(103,$A$1006:A1075)</f>
        <v>69</v>
      </c>
      <c r="C1075" s="3" t="s">
        <v>1765</v>
      </c>
      <c r="D1075" s="5">
        <v>3422817.5799999996</v>
      </c>
      <c r="E1075" s="5">
        <f t="shared" si="285"/>
        <v>0</v>
      </c>
      <c r="F1075" s="5">
        <f t="shared" si="288"/>
        <v>3422817.5799999996</v>
      </c>
      <c r="G1075" s="255">
        <v>0</v>
      </c>
      <c r="H1075" s="255">
        <v>0</v>
      </c>
      <c r="I1075" s="255">
        <v>0</v>
      </c>
      <c r="J1075" s="255">
        <v>0</v>
      </c>
      <c r="K1075" s="255">
        <v>0</v>
      </c>
      <c r="L1075" s="255">
        <v>0</v>
      </c>
      <c r="M1075" s="256">
        <v>0</v>
      </c>
      <c r="N1075" s="255">
        <v>0</v>
      </c>
      <c r="O1075" s="5">
        <v>624.26</v>
      </c>
      <c r="P1075" s="5">
        <v>3224450.82</v>
      </c>
      <c r="Q1075" s="255">
        <v>0</v>
      </c>
      <c r="R1075" s="255">
        <v>0</v>
      </c>
      <c r="S1075" s="255">
        <v>0</v>
      </c>
      <c r="T1075" s="255">
        <v>0</v>
      </c>
      <c r="U1075" s="255">
        <v>0</v>
      </c>
      <c r="V1075" s="255">
        <v>0</v>
      </c>
      <c r="W1075" s="255">
        <v>0</v>
      </c>
      <c r="X1075" s="255">
        <v>0</v>
      </c>
      <c r="Y1075" s="255">
        <v>0</v>
      </c>
      <c r="Z1075" s="255">
        <v>0</v>
      </c>
      <c r="AA1075" s="255">
        <v>0</v>
      </c>
      <c r="AB1075" s="255">
        <v>0</v>
      </c>
      <c r="AC1075" s="5">
        <v>0</v>
      </c>
      <c r="AD1075" s="5">
        <v>0</v>
      </c>
      <c r="AE1075" s="5">
        <f t="shared" ref="AE1075:AE1080" si="289">ROUND(P1075*1.5%,2)</f>
        <v>48366.76</v>
      </c>
      <c r="AF1075" s="5">
        <v>150000</v>
      </c>
      <c r="AG1075" s="5">
        <v>0</v>
      </c>
      <c r="AH1075" s="246">
        <v>2022</v>
      </c>
      <c r="AI1075" s="246">
        <v>2022</v>
      </c>
      <c r="AJ1075" s="6">
        <v>2022</v>
      </c>
      <c r="AV1075" s="2" t="e">
        <f t="shared" si="286"/>
        <v>#N/A</v>
      </c>
      <c r="CB1075" s="236"/>
    </row>
    <row r="1076" spans="1:262" ht="61.5" x14ac:dyDescent="0.85">
      <c r="A1076" s="2">
        <v>1</v>
      </c>
      <c r="B1076" s="18">
        <f>SUBTOTAL(103,$A$1006:A1076)</f>
        <v>70</v>
      </c>
      <c r="C1076" s="3" t="s">
        <v>1766</v>
      </c>
      <c r="D1076" s="5">
        <v>2888444.4</v>
      </c>
      <c r="E1076" s="5">
        <f t="shared" si="285"/>
        <v>0</v>
      </c>
      <c r="F1076" s="5">
        <f t="shared" si="288"/>
        <v>2888444.4</v>
      </c>
      <c r="G1076" s="255">
        <v>0</v>
      </c>
      <c r="H1076" s="255">
        <v>0</v>
      </c>
      <c r="I1076" s="255">
        <v>0</v>
      </c>
      <c r="J1076" s="255">
        <v>0</v>
      </c>
      <c r="K1076" s="255">
        <v>0</v>
      </c>
      <c r="L1076" s="255">
        <v>0</v>
      </c>
      <c r="M1076" s="256">
        <v>0</v>
      </c>
      <c r="N1076" s="255">
        <v>0</v>
      </c>
      <c r="O1076" s="5">
        <v>526.79999999999995</v>
      </c>
      <c r="P1076" s="5">
        <v>2697974.78</v>
      </c>
      <c r="Q1076" s="255">
        <v>0</v>
      </c>
      <c r="R1076" s="255">
        <v>0</v>
      </c>
      <c r="S1076" s="255">
        <v>0</v>
      </c>
      <c r="T1076" s="255">
        <v>0</v>
      </c>
      <c r="U1076" s="255">
        <v>0</v>
      </c>
      <c r="V1076" s="255">
        <v>0</v>
      </c>
      <c r="W1076" s="255">
        <v>0</v>
      </c>
      <c r="X1076" s="255">
        <v>0</v>
      </c>
      <c r="Y1076" s="255">
        <v>0</v>
      </c>
      <c r="Z1076" s="255">
        <v>0</v>
      </c>
      <c r="AA1076" s="255">
        <v>0</v>
      </c>
      <c r="AB1076" s="255">
        <v>0</v>
      </c>
      <c r="AC1076" s="5">
        <v>0</v>
      </c>
      <c r="AD1076" s="5">
        <v>0</v>
      </c>
      <c r="AE1076" s="5">
        <f t="shared" si="289"/>
        <v>40469.620000000003</v>
      </c>
      <c r="AF1076" s="5">
        <v>150000</v>
      </c>
      <c r="AG1076" s="5">
        <v>0</v>
      </c>
      <c r="AH1076" s="246">
        <v>2022</v>
      </c>
      <c r="AI1076" s="246">
        <v>2022</v>
      </c>
      <c r="AJ1076" s="6">
        <v>2022</v>
      </c>
      <c r="AV1076" s="2" t="e">
        <f t="shared" si="286"/>
        <v>#N/A</v>
      </c>
      <c r="CB1076" s="236"/>
    </row>
    <row r="1077" spans="1:262" ht="61.5" x14ac:dyDescent="0.85">
      <c r="A1077" s="2">
        <v>1</v>
      </c>
      <c r="B1077" s="18">
        <f>SUBTOTAL(103,$A$1006:A1077)</f>
        <v>71</v>
      </c>
      <c r="C1077" s="3" t="s">
        <v>1767</v>
      </c>
      <c r="D1077" s="5">
        <v>3422817.5799999996</v>
      </c>
      <c r="E1077" s="5">
        <f t="shared" si="285"/>
        <v>0</v>
      </c>
      <c r="F1077" s="5">
        <f t="shared" si="288"/>
        <v>3422817.5799999996</v>
      </c>
      <c r="G1077" s="255">
        <v>0</v>
      </c>
      <c r="H1077" s="255">
        <v>0</v>
      </c>
      <c r="I1077" s="255">
        <v>0</v>
      </c>
      <c r="J1077" s="255">
        <v>0</v>
      </c>
      <c r="K1077" s="255">
        <v>0</v>
      </c>
      <c r="L1077" s="255">
        <v>0</v>
      </c>
      <c r="M1077" s="256">
        <v>0</v>
      </c>
      <c r="N1077" s="255">
        <v>0</v>
      </c>
      <c r="O1077" s="5">
        <v>624.26</v>
      </c>
      <c r="P1077" s="5">
        <v>3224450.82</v>
      </c>
      <c r="Q1077" s="255">
        <v>0</v>
      </c>
      <c r="R1077" s="255">
        <v>0</v>
      </c>
      <c r="S1077" s="255">
        <v>0</v>
      </c>
      <c r="T1077" s="255">
        <v>0</v>
      </c>
      <c r="U1077" s="255">
        <v>0</v>
      </c>
      <c r="V1077" s="255">
        <v>0</v>
      </c>
      <c r="W1077" s="255">
        <v>0</v>
      </c>
      <c r="X1077" s="255">
        <v>0</v>
      </c>
      <c r="Y1077" s="255">
        <v>0</v>
      </c>
      <c r="Z1077" s="255">
        <v>0</v>
      </c>
      <c r="AA1077" s="255">
        <v>0</v>
      </c>
      <c r="AB1077" s="255">
        <v>0</v>
      </c>
      <c r="AC1077" s="5">
        <v>0</v>
      </c>
      <c r="AD1077" s="5">
        <v>0</v>
      </c>
      <c r="AE1077" s="5">
        <f t="shared" si="289"/>
        <v>48366.76</v>
      </c>
      <c r="AF1077" s="5">
        <v>150000</v>
      </c>
      <c r="AG1077" s="5">
        <v>0</v>
      </c>
      <c r="AH1077" s="246">
        <v>2022</v>
      </c>
      <c r="AI1077" s="246">
        <v>2022</v>
      </c>
      <c r="AJ1077" s="6">
        <v>2022</v>
      </c>
      <c r="AV1077" s="2" t="e">
        <f t="shared" si="286"/>
        <v>#N/A</v>
      </c>
      <c r="CB1077" s="236"/>
    </row>
    <row r="1078" spans="1:262" ht="61.5" x14ac:dyDescent="0.85">
      <c r="A1078" s="2">
        <v>1</v>
      </c>
      <c r="B1078" s="18">
        <f>SUBTOTAL(103,$A$1006:A1078)</f>
        <v>72</v>
      </c>
      <c r="C1078" s="3" t="s">
        <v>1768</v>
      </c>
      <c r="D1078" s="5">
        <v>3106903.4</v>
      </c>
      <c r="E1078" s="5">
        <f t="shared" si="285"/>
        <v>0</v>
      </c>
      <c r="F1078" s="5">
        <f t="shared" si="288"/>
        <v>3106903.4</v>
      </c>
      <c r="G1078" s="255">
        <v>0</v>
      </c>
      <c r="H1078" s="255">
        <v>0</v>
      </c>
      <c r="I1078" s="255">
        <v>0</v>
      </c>
      <c r="J1078" s="255">
        <v>0</v>
      </c>
      <c r="K1078" s="255">
        <v>0</v>
      </c>
      <c r="L1078" s="255">
        <v>0</v>
      </c>
      <c r="M1078" s="256">
        <v>0</v>
      </c>
      <c r="N1078" s="255">
        <v>0</v>
      </c>
      <c r="O1078" s="5">
        <v>544.85</v>
      </c>
      <c r="P1078" s="5">
        <f>2664960.76+248244.56</f>
        <v>2913205.32</v>
      </c>
      <c r="Q1078" s="255">
        <v>0</v>
      </c>
      <c r="R1078" s="255">
        <v>0</v>
      </c>
      <c r="S1078" s="255">
        <v>0</v>
      </c>
      <c r="T1078" s="255">
        <v>0</v>
      </c>
      <c r="U1078" s="255">
        <v>0</v>
      </c>
      <c r="V1078" s="255">
        <v>0</v>
      </c>
      <c r="W1078" s="255">
        <v>0</v>
      </c>
      <c r="X1078" s="255">
        <v>0</v>
      </c>
      <c r="Y1078" s="255">
        <v>0</v>
      </c>
      <c r="Z1078" s="255">
        <v>0</v>
      </c>
      <c r="AA1078" s="255">
        <v>0</v>
      </c>
      <c r="AB1078" s="255">
        <v>0</v>
      </c>
      <c r="AC1078" s="5">
        <v>0</v>
      </c>
      <c r="AD1078" s="5">
        <v>0</v>
      </c>
      <c r="AE1078" s="5">
        <f t="shared" si="289"/>
        <v>43698.080000000002</v>
      </c>
      <c r="AF1078" s="5">
        <v>150000</v>
      </c>
      <c r="AG1078" s="5">
        <v>0</v>
      </c>
      <c r="AH1078" s="246">
        <v>2022</v>
      </c>
      <c r="AI1078" s="246">
        <v>2022</v>
      </c>
      <c r="AJ1078" s="6">
        <v>2022</v>
      </c>
      <c r="AV1078" s="2" t="e">
        <f t="shared" si="286"/>
        <v>#N/A</v>
      </c>
      <c r="CB1078" s="236"/>
    </row>
    <row r="1079" spans="1:262" ht="61.5" x14ac:dyDescent="0.85">
      <c r="A1079" s="2">
        <v>1</v>
      </c>
      <c r="B1079" s="18">
        <f>SUBTOTAL(103,$A$1006:A1079)</f>
        <v>73</v>
      </c>
      <c r="C1079" s="3" t="s">
        <v>1769</v>
      </c>
      <c r="D1079" s="5">
        <v>2564145.2799999998</v>
      </c>
      <c r="E1079" s="5">
        <f t="shared" si="285"/>
        <v>0</v>
      </c>
      <c r="F1079" s="5">
        <f t="shared" si="288"/>
        <v>2564145.2799999998</v>
      </c>
      <c r="G1079" s="234">
        <v>0</v>
      </c>
      <c r="H1079" s="255">
        <v>0</v>
      </c>
      <c r="I1079" s="234">
        <v>0</v>
      </c>
      <c r="J1079" s="255">
        <v>0</v>
      </c>
      <c r="K1079" s="255">
        <v>0</v>
      </c>
      <c r="L1079" s="255">
        <v>0</v>
      </c>
      <c r="M1079" s="256">
        <v>0</v>
      </c>
      <c r="N1079" s="255">
        <v>0</v>
      </c>
      <c r="O1079" s="5">
        <v>375</v>
      </c>
      <c r="P1079" s="5">
        <v>2378468.2599999998</v>
      </c>
      <c r="Q1079" s="255">
        <v>0</v>
      </c>
      <c r="R1079" s="255">
        <v>0</v>
      </c>
      <c r="S1079" s="255">
        <v>0</v>
      </c>
      <c r="T1079" s="255">
        <v>0</v>
      </c>
      <c r="U1079" s="255">
        <v>0</v>
      </c>
      <c r="V1079" s="255">
        <v>0</v>
      </c>
      <c r="W1079" s="255">
        <v>0</v>
      </c>
      <c r="X1079" s="255">
        <v>0</v>
      </c>
      <c r="Y1079" s="255">
        <v>0</v>
      </c>
      <c r="Z1079" s="255">
        <v>0</v>
      </c>
      <c r="AA1079" s="255">
        <v>0</v>
      </c>
      <c r="AB1079" s="255">
        <v>0</v>
      </c>
      <c r="AC1079" s="5">
        <v>0</v>
      </c>
      <c r="AD1079" s="5">
        <v>0</v>
      </c>
      <c r="AE1079" s="5">
        <f t="shared" si="289"/>
        <v>35677.019999999997</v>
      </c>
      <c r="AF1079" s="5">
        <v>150000</v>
      </c>
      <c r="AG1079" s="5">
        <v>0</v>
      </c>
      <c r="AH1079" s="246">
        <v>2022</v>
      </c>
      <c r="AI1079" s="246">
        <v>2022</v>
      </c>
      <c r="AJ1079" s="6">
        <v>2022</v>
      </c>
      <c r="AV1079" s="2" t="e">
        <f t="shared" si="286"/>
        <v>#N/A</v>
      </c>
      <c r="CB1079" s="236"/>
    </row>
    <row r="1080" spans="1:262" ht="61.5" x14ac:dyDescent="0.85">
      <c r="A1080" s="2">
        <v>1</v>
      </c>
      <c r="B1080" s="18">
        <f>SUBTOTAL(103,$A$1006:A1080)</f>
        <v>74</v>
      </c>
      <c r="C1080" s="3" t="s">
        <v>1770</v>
      </c>
      <c r="D1080" s="5">
        <v>3110189.0700000003</v>
      </c>
      <c r="E1080" s="5">
        <f t="shared" si="285"/>
        <v>0</v>
      </c>
      <c r="F1080" s="5">
        <f t="shared" si="288"/>
        <v>3110189.0700000003</v>
      </c>
      <c r="G1080" s="255">
        <v>0</v>
      </c>
      <c r="H1080" s="255">
        <v>0</v>
      </c>
      <c r="I1080" s="255">
        <v>0</v>
      </c>
      <c r="J1080" s="255">
        <v>0</v>
      </c>
      <c r="K1080" s="255">
        <v>0</v>
      </c>
      <c r="L1080" s="255">
        <v>0</v>
      </c>
      <c r="M1080" s="256">
        <v>0</v>
      </c>
      <c r="N1080" s="255">
        <v>0</v>
      </c>
      <c r="O1080" s="5">
        <v>547</v>
      </c>
      <c r="P1080" s="5">
        <f>2667213.48+249224.14+4.81</f>
        <v>2916442.43</v>
      </c>
      <c r="Q1080" s="255">
        <v>0</v>
      </c>
      <c r="R1080" s="255">
        <v>0</v>
      </c>
      <c r="S1080" s="255">
        <v>0</v>
      </c>
      <c r="T1080" s="255">
        <v>0</v>
      </c>
      <c r="U1080" s="255">
        <v>0</v>
      </c>
      <c r="V1080" s="5">
        <v>0</v>
      </c>
      <c r="W1080" s="255">
        <v>0</v>
      </c>
      <c r="X1080" s="255">
        <v>0</v>
      </c>
      <c r="Y1080" s="255">
        <v>0</v>
      </c>
      <c r="Z1080" s="255">
        <v>0</v>
      </c>
      <c r="AA1080" s="255">
        <v>0</v>
      </c>
      <c r="AB1080" s="255">
        <v>0</v>
      </c>
      <c r="AC1080" s="5">
        <v>0</v>
      </c>
      <c r="AD1080" s="5">
        <v>0</v>
      </c>
      <c r="AE1080" s="5">
        <f t="shared" si="289"/>
        <v>43746.64</v>
      </c>
      <c r="AF1080" s="5">
        <v>150000</v>
      </c>
      <c r="AG1080" s="5">
        <v>0</v>
      </c>
      <c r="AH1080" s="246">
        <v>2022</v>
      </c>
      <c r="AI1080" s="246">
        <v>2022</v>
      </c>
      <c r="AJ1080" s="6">
        <v>2022</v>
      </c>
      <c r="AV1080" s="2" t="e">
        <f t="shared" si="286"/>
        <v>#N/A</v>
      </c>
      <c r="CB1080" s="236"/>
    </row>
    <row r="1081" spans="1:262" ht="61.5" x14ac:dyDescent="0.85">
      <c r="A1081" s="2">
        <v>1</v>
      </c>
      <c r="B1081" s="18">
        <f>SUBTOTAL(103,$A$1006:A1081)</f>
        <v>75</v>
      </c>
      <c r="C1081" s="3" t="s">
        <v>1771</v>
      </c>
      <c r="D1081" s="5">
        <v>2521758.64</v>
      </c>
      <c r="E1081" s="5">
        <f t="shared" si="285"/>
        <v>0</v>
      </c>
      <c r="F1081" s="5">
        <f t="shared" si="288"/>
        <v>2521758.64</v>
      </c>
      <c r="G1081" s="255">
        <v>0</v>
      </c>
      <c r="H1081" s="255">
        <v>0</v>
      </c>
      <c r="I1081" s="255">
        <v>0</v>
      </c>
      <c r="J1081" s="255">
        <v>0</v>
      </c>
      <c r="K1081" s="255">
        <v>0</v>
      </c>
      <c r="L1081" s="255">
        <v>0</v>
      </c>
      <c r="M1081" s="256">
        <v>0</v>
      </c>
      <c r="N1081" s="255">
        <v>0</v>
      </c>
      <c r="O1081" s="5">
        <v>398.44</v>
      </c>
      <c r="P1081" s="5">
        <v>2366264.67</v>
      </c>
      <c r="Q1081" s="255">
        <v>0</v>
      </c>
      <c r="R1081" s="255">
        <v>0</v>
      </c>
      <c r="S1081" s="255">
        <v>0</v>
      </c>
      <c r="T1081" s="255">
        <v>0</v>
      </c>
      <c r="U1081" s="255">
        <v>0</v>
      </c>
      <c r="V1081" s="255">
        <v>0</v>
      </c>
      <c r="W1081" s="255">
        <v>0</v>
      </c>
      <c r="X1081" s="255">
        <v>0</v>
      </c>
      <c r="Y1081" s="255">
        <v>0</v>
      </c>
      <c r="Z1081" s="255">
        <v>0</v>
      </c>
      <c r="AA1081" s="255">
        <v>0</v>
      </c>
      <c r="AB1081" s="255">
        <v>0</v>
      </c>
      <c r="AC1081" s="5">
        <v>0</v>
      </c>
      <c r="AD1081" s="5">
        <v>0</v>
      </c>
      <c r="AE1081" s="5">
        <f>ROUND(P1081*1.5%,2)</f>
        <v>35493.97</v>
      </c>
      <c r="AF1081" s="5">
        <v>120000</v>
      </c>
      <c r="AG1081" s="5">
        <v>0</v>
      </c>
      <c r="AH1081" s="246">
        <v>2022</v>
      </c>
      <c r="AI1081" s="246">
        <v>2022</v>
      </c>
      <c r="AJ1081" s="6">
        <v>2022</v>
      </c>
      <c r="AV1081" s="2" t="e">
        <f t="shared" si="286"/>
        <v>#N/A</v>
      </c>
      <c r="CB1081" s="236"/>
    </row>
    <row r="1082" spans="1:262" ht="61.5" x14ac:dyDescent="0.85">
      <c r="A1082" s="2">
        <v>1</v>
      </c>
      <c r="B1082" s="18">
        <f>SUBTOTAL(103,$A$1006:A1082)</f>
        <v>76</v>
      </c>
      <c r="C1082" s="3" t="s">
        <v>1772</v>
      </c>
      <c r="D1082" s="5">
        <v>2382311.33</v>
      </c>
      <c r="E1082" s="5">
        <f t="shared" si="285"/>
        <v>0</v>
      </c>
      <c r="F1082" s="5">
        <f t="shared" si="288"/>
        <v>2382311.33</v>
      </c>
      <c r="G1082" s="255">
        <v>0</v>
      </c>
      <c r="H1082" s="255">
        <v>0</v>
      </c>
      <c r="I1082" s="255">
        <v>0</v>
      </c>
      <c r="J1082" s="255">
        <v>0</v>
      </c>
      <c r="K1082" s="255">
        <v>0</v>
      </c>
      <c r="L1082" s="255">
        <v>0</v>
      </c>
      <c r="M1082" s="256">
        <v>0</v>
      </c>
      <c r="N1082" s="255">
        <v>0</v>
      </c>
      <c r="O1082" s="5">
        <v>404.2</v>
      </c>
      <c r="P1082" s="5">
        <v>2110651.56</v>
      </c>
      <c r="Q1082" s="255">
        <v>0</v>
      </c>
      <c r="R1082" s="255">
        <v>0</v>
      </c>
      <c r="S1082" s="255">
        <v>0</v>
      </c>
      <c r="T1082" s="255">
        <v>0</v>
      </c>
      <c r="U1082" s="255">
        <v>0</v>
      </c>
      <c r="V1082" s="255">
        <v>0</v>
      </c>
      <c r="W1082" s="255">
        <v>0</v>
      </c>
      <c r="X1082" s="255">
        <v>0</v>
      </c>
      <c r="Y1082" s="255">
        <v>0</v>
      </c>
      <c r="Z1082" s="255">
        <v>0</v>
      </c>
      <c r="AA1082" s="255">
        <v>0</v>
      </c>
      <c r="AB1082" s="255">
        <v>0</v>
      </c>
      <c r="AC1082" s="5">
        <v>0</v>
      </c>
      <c r="AD1082" s="5">
        <v>0</v>
      </c>
      <c r="AE1082" s="5">
        <f>ROUND(P1082*1.5%,2)</f>
        <v>31659.77</v>
      </c>
      <c r="AF1082" s="5">
        <v>120000</v>
      </c>
      <c r="AG1082" s="5">
        <v>120000</v>
      </c>
      <c r="AH1082" s="246">
        <v>2022</v>
      </c>
      <c r="AI1082" s="246">
        <v>2022</v>
      </c>
      <c r="AJ1082" s="6">
        <v>2022</v>
      </c>
      <c r="CB1082" s="236"/>
    </row>
    <row r="1083" spans="1:262" ht="61.5" x14ac:dyDescent="0.85">
      <c r="B1083" s="3" t="s">
        <v>1140</v>
      </c>
      <c r="C1083" s="442"/>
      <c r="D1083" s="244">
        <v>87295266.429999992</v>
      </c>
      <c r="E1083" s="233">
        <f t="shared" si="285"/>
        <v>-3330271.2299999893</v>
      </c>
      <c r="F1083" s="244">
        <f t="shared" ref="F1083:AG1083" si="290">SUM(F1084:F1109)</f>
        <v>90625537.659999982</v>
      </c>
      <c r="G1083" s="5">
        <f t="shared" si="290"/>
        <v>0</v>
      </c>
      <c r="H1083" s="5">
        <f t="shared" si="290"/>
        <v>501213.02</v>
      </c>
      <c r="I1083" s="5">
        <f t="shared" si="290"/>
        <v>2727709.55</v>
      </c>
      <c r="J1083" s="5">
        <f t="shared" si="290"/>
        <v>377747.66</v>
      </c>
      <c r="K1083" s="5">
        <f t="shared" si="290"/>
        <v>1794795.08</v>
      </c>
      <c r="L1083" s="5">
        <f t="shared" si="290"/>
        <v>0</v>
      </c>
      <c r="M1083" s="241">
        <f t="shared" si="290"/>
        <v>5</v>
      </c>
      <c r="N1083" s="5">
        <f t="shared" si="290"/>
        <v>10631631.530000001</v>
      </c>
      <c r="O1083" s="5">
        <f t="shared" si="290"/>
        <v>13835</v>
      </c>
      <c r="P1083" s="5">
        <f t="shared" si="290"/>
        <v>64129525.969999999</v>
      </c>
      <c r="Q1083" s="5">
        <f t="shared" si="290"/>
        <v>0</v>
      </c>
      <c r="R1083" s="5">
        <f t="shared" si="290"/>
        <v>0</v>
      </c>
      <c r="S1083" s="5">
        <f t="shared" si="290"/>
        <v>1050</v>
      </c>
      <c r="T1083" s="5">
        <f t="shared" si="290"/>
        <v>5664975.3700000001</v>
      </c>
      <c r="U1083" s="5">
        <f t="shared" si="290"/>
        <v>0</v>
      </c>
      <c r="V1083" s="5">
        <f t="shared" si="290"/>
        <v>0</v>
      </c>
      <c r="W1083" s="5">
        <f t="shared" si="290"/>
        <v>0</v>
      </c>
      <c r="X1083" s="5">
        <f t="shared" si="290"/>
        <v>0</v>
      </c>
      <c r="Y1083" s="5">
        <f t="shared" si="290"/>
        <v>0</v>
      </c>
      <c r="Z1083" s="5">
        <f t="shared" si="290"/>
        <v>0</v>
      </c>
      <c r="AA1083" s="5">
        <f t="shared" si="290"/>
        <v>0</v>
      </c>
      <c r="AB1083" s="5">
        <f t="shared" si="290"/>
        <v>0</v>
      </c>
      <c r="AC1083" s="5">
        <f t="shared" si="290"/>
        <v>0</v>
      </c>
      <c r="AD1083" s="5">
        <f t="shared" si="290"/>
        <v>0</v>
      </c>
      <c r="AE1083" s="5">
        <f t="shared" si="290"/>
        <v>1127939.48</v>
      </c>
      <c r="AF1083" s="5">
        <f t="shared" si="290"/>
        <v>3550000</v>
      </c>
      <c r="AG1083" s="5">
        <f t="shared" si="290"/>
        <v>120000</v>
      </c>
      <c r="AH1083" s="23" t="s">
        <v>90</v>
      </c>
      <c r="AI1083" s="23" t="s">
        <v>90</v>
      </c>
      <c r="AJ1083" s="27" t="s">
        <v>90</v>
      </c>
      <c r="AV1083" s="2" t="e">
        <f t="shared" ref="AV1083:AV1120" si="291">VLOOKUP(C1083,AY:AZ,2,FALSE)</f>
        <v>#N/A</v>
      </c>
      <c r="CB1083" s="236">
        <v>91626897.959999993</v>
      </c>
    </row>
    <row r="1084" spans="1:262" ht="61.5" x14ac:dyDescent="0.85">
      <c r="A1084" s="2">
        <v>1</v>
      </c>
      <c r="B1084" s="18">
        <f>SUBTOTAL(103,$A$1006:A1084)</f>
        <v>77</v>
      </c>
      <c r="C1084" s="3" t="s">
        <v>1773</v>
      </c>
      <c r="D1084" s="5">
        <v>4337224.8899999997</v>
      </c>
      <c r="E1084" s="5">
        <f t="shared" si="285"/>
        <v>-150000</v>
      </c>
      <c r="F1084" s="5">
        <f t="shared" ref="F1084:F1109" si="292">G1084+H1084+I1084+J1084+K1084+L1084+N1084+P1084+R1084+T1084+V1084+W1084+X1084+Y1084+Z1084+AA1084+AB1084+AC1084+AD1084+AE1084+AF1084+AG1084</f>
        <v>4487224.8899999997</v>
      </c>
      <c r="G1084" s="5">
        <v>0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241">
        <v>0</v>
      </c>
      <c r="N1084" s="5">
        <v>0</v>
      </c>
      <c r="O1084" s="5">
        <v>930</v>
      </c>
      <c r="P1084" s="5">
        <v>4273127.97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f>ROUND(P1084*1.5%,2)</f>
        <v>64096.92</v>
      </c>
      <c r="AF1084" s="5">
        <v>150000</v>
      </c>
      <c r="AG1084" s="5">
        <v>0</v>
      </c>
      <c r="AH1084" s="246">
        <v>2022</v>
      </c>
      <c r="AI1084" s="246">
        <v>2022</v>
      </c>
      <c r="AJ1084" s="6">
        <v>2022</v>
      </c>
      <c r="AV1084" s="2" t="e">
        <f t="shared" si="291"/>
        <v>#N/A</v>
      </c>
      <c r="CB1084" s="236"/>
    </row>
    <row r="1085" spans="1:262" ht="61.5" x14ac:dyDescent="0.85">
      <c r="A1085" s="2">
        <v>1</v>
      </c>
      <c r="B1085" s="18">
        <f>SUBTOTAL(103,$A$1006:A1085)</f>
        <v>78</v>
      </c>
      <c r="C1085" s="3" t="s">
        <v>1774</v>
      </c>
      <c r="D1085" s="5">
        <v>2714283.9</v>
      </c>
      <c r="E1085" s="5">
        <f t="shared" si="285"/>
        <v>-1096486.3799999999</v>
      </c>
      <c r="F1085" s="5">
        <f t="shared" si="292"/>
        <v>3810770.28</v>
      </c>
      <c r="G1085" s="5">
        <v>0</v>
      </c>
      <c r="H1085" s="5">
        <v>501213.02</v>
      </c>
      <c r="I1085" s="5">
        <f>1795210.65+932498.9</f>
        <v>2727709.55</v>
      </c>
      <c r="J1085" s="5">
        <v>377747.66</v>
      </c>
      <c r="K1085" s="5">
        <v>0</v>
      </c>
      <c r="L1085" s="5">
        <v>0</v>
      </c>
      <c r="M1085" s="241">
        <v>0</v>
      </c>
      <c r="N1085" s="5">
        <v>0</v>
      </c>
      <c r="O1085" s="5">
        <v>0</v>
      </c>
      <c r="P1085" s="5">
        <v>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f>ROUND((H1085+I1085+J1085)*1.5%,2)</f>
        <v>54100.05</v>
      </c>
      <c r="AF1085" s="5">
        <v>150000</v>
      </c>
      <c r="AG1085" s="5">
        <v>0</v>
      </c>
      <c r="AH1085" s="246">
        <v>2022</v>
      </c>
      <c r="AI1085" s="246">
        <v>2022</v>
      </c>
      <c r="AJ1085" s="6">
        <v>2022</v>
      </c>
      <c r="AV1085" s="2" t="e">
        <f t="shared" si="291"/>
        <v>#N/A</v>
      </c>
      <c r="CB1085" s="236"/>
    </row>
    <row r="1086" spans="1:262" ht="61.5" x14ac:dyDescent="0.85">
      <c r="A1086" s="2">
        <v>1</v>
      </c>
      <c r="B1086" s="18">
        <f>SUBTOTAL(103,$A$1006:A1086)</f>
        <v>79</v>
      </c>
      <c r="C1086" s="3" t="s">
        <v>1775</v>
      </c>
      <c r="D1086" s="5">
        <v>5214319.6899999995</v>
      </c>
      <c r="E1086" s="5">
        <f t="shared" si="285"/>
        <v>-180000</v>
      </c>
      <c r="F1086" s="5">
        <f t="shared" si="292"/>
        <v>5394319.6899999995</v>
      </c>
      <c r="G1086" s="5">
        <v>0</v>
      </c>
      <c r="H1086" s="5">
        <v>0</v>
      </c>
      <c r="I1086" s="5">
        <v>0</v>
      </c>
      <c r="J1086" s="5">
        <v>0</v>
      </c>
      <c r="K1086" s="5">
        <v>0</v>
      </c>
      <c r="L1086" s="5">
        <v>0</v>
      </c>
      <c r="M1086" s="241">
        <v>0</v>
      </c>
      <c r="N1086" s="5">
        <v>0</v>
      </c>
      <c r="O1086" s="5">
        <v>1118</v>
      </c>
      <c r="P1086" s="5">
        <v>5137260.7799999993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0</v>
      </c>
      <c r="AA1086" s="5">
        <v>0</v>
      </c>
      <c r="AB1086" s="5">
        <v>0</v>
      </c>
      <c r="AC1086" s="5">
        <v>0</v>
      </c>
      <c r="AD1086" s="5">
        <v>0</v>
      </c>
      <c r="AE1086" s="5">
        <f>ROUND(P1086*1.5%,2)</f>
        <v>77058.91</v>
      </c>
      <c r="AF1086" s="5">
        <v>180000</v>
      </c>
      <c r="AG1086" s="5">
        <v>0</v>
      </c>
      <c r="AH1086" s="246">
        <v>2022</v>
      </c>
      <c r="AI1086" s="246">
        <v>2022</v>
      </c>
      <c r="AJ1086" s="6">
        <v>2022</v>
      </c>
      <c r="AV1086" s="2" t="e">
        <f t="shared" si="291"/>
        <v>#N/A</v>
      </c>
      <c r="CB1086" s="236"/>
    </row>
    <row r="1087" spans="1:262" ht="61.5" x14ac:dyDescent="0.85">
      <c r="A1087" s="2">
        <v>1</v>
      </c>
      <c r="B1087" s="18">
        <f>SUBTOTAL(103,$A$1006:A1087)</f>
        <v>80</v>
      </c>
      <c r="C1087" s="3" t="s">
        <v>1776</v>
      </c>
      <c r="D1087" s="5">
        <v>5749950</v>
      </c>
      <c r="E1087" s="5">
        <f t="shared" si="285"/>
        <v>-200000</v>
      </c>
      <c r="F1087" s="5">
        <f t="shared" si="292"/>
        <v>5949950</v>
      </c>
      <c r="G1087" s="5">
        <v>0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241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1050</v>
      </c>
      <c r="T1087" s="5">
        <v>5664975.3700000001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f>ROUND(T1087*1.5%,2)</f>
        <v>84974.63</v>
      </c>
      <c r="AF1087" s="5">
        <v>200000</v>
      </c>
      <c r="AG1087" s="5">
        <v>0</v>
      </c>
      <c r="AH1087" s="246">
        <v>2022</v>
      </c>
      <c r="AI1087" s="246">
        <v>2022</v>
      </c>
      <c r="AJ1087" s="6">
        <v>2022</v>
      </c>
      <c r="AV1087" s="2" t="e">
        <f t="shared" si="291"/>
        <v>#N/A</v>
      </c>
      <c r="CB1087" s="236"/>
    </row>
    <row r="1088" spans="1:262" s="239" customFormat="1" ht="61.5" x14ac:dyDescent="0.85">
      <c r="A1088" s="239">
        <v>1</v>
      </c>
      <c r="B1088" s="18">
        <f>SUBTOTAL(103,$A$1006:A1088)</f>
        <v>81</v>
      </c>
      <c r="C1088" s="3" t="s">
        <v>1777</v>
      </c>
      <c r="D1088" s="5">
        <v>2345314.9499999997</v>
      </c>
      <c r="E1088" s="5">
        <f t="shared" si="285"/>
        <v>0</v>
      </c>
      <c r="F1088" s="5">
        <f t="shared" si="292"/>
        <v>2345314.9499999997</v>
      </c>
      <c r="G1088" s="5">
        <v>0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25">
        <v>0</v>
      </c>
      <c r="N1088" s="5">
        <v>0</v>
      </c>
      <c r="O1088" s="5">
        <v>365</v>
      </c>
      <c r="P1088" s="5">
        <v>2074201.92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f t="shared" ref="AE1088" si="293">ROUND(P1088*1.5%,2)</f>
        <v>31113.03</v>
      </c>
      <c r="AF1088" s="5">
        <v>120000</v>
      </c>
      <c r="AG1088" s="5">
        <v>120000</v>
      </c>
      <c r="AH1088" s="246">
        <v>2022</v>
      </c>
      <c r="AI1088" s="246">
        <v>2022</v>
      </c>
      <c r="AJ1088" s="246">
        <v>2022</v>
      </c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 t="e">
        <f t="shared" si="291"/>
        <v>#N/A</v>
      </c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36"/>
      <c r="CC1088" s="2"/>
      <c r="CD1088" s="2"/>
      <c r="CE1088" s="2"/>
      <c r="CF1088" s="2" t="e">
        <f>VLOOKUP(C1088,CG:CH,2,FALSE)</f>
        <v>#N/A</v>
      </c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  <c r="IW1088" s="2"/>
      <c r="IX1088" s="2"/>
      <c r="IY1088" s="2"/>
      <c r="IZ1088" s="2"/>
      <c r="JA1088" s="2"/>
      <c r="JB1088" s="2"/>
    </row>
    <row r="1089" spans="1:80" ht="61.5" x14ac:dyDescent="0.85">
      <c r="A1089" s="2">
        <v>1</v>
      </c>
      <c r="B1089" s="18">
        <f>SUBTOTAL(103,$A$1006:A1089)</f>
        <v>82</v>
      </c>
      <c r="C1089" s="3" t="s">
        <v>1778</v>
      </c>
      <c r="D1089" s="5">
        <v>8090003.5300000003</v>
      </c>
      <c r="E1089" s="5">
        <f t="shared" si="285"/>
        <v>-180000</v>
      </c>
      <c r="F1089" s="5">
        <f t="shared" si="292"/>
        <v>8270003.5300000003</v>
      </c>
      <c r="G1089" s="5">
        <v>0</v>
      </c>
      <c r="H1089" s="5">
        <v>0</v>
      </c>
      <c r="I1089" s="5">
        <v>0</v>
      </c>
      <c r="J1089" s="5">
        <v>0</v>
      </c>
      <c r="K1089" s="5">
        <v>0</v>
      </c>
      <c r="L1089" s="5">
        <v>0</v>
      </c>
      <c r="M1089" s="241">
        <v>0</v>
      </c>
      <c r="N1089" s="5">
        <v>0</v>
      </c>
      <c r="O1089" s="5">
        <v>1714</v>
      </c>
      <c r="P1089" s="5">
        <v>7970446.8300000001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f>ROUND(P1089*1.5%,2)</f>
        <v>119556.7</v>
      </c>
      <c r="AF1089" s="5">
        <v>180000</v>
      </c>
      <c r="AG1089" s="5">
        <v>0</v>
      </c>
      <c r="AH1089" s="246">
        <v>2022</v>
      </c>
      <c r="AI1089" s="246">
        <v>2022</v>
      </c>
      <c r="AJ1089" s="6">
        <v>2022</v>
      </c>
      <c r="AV1089" s="2" t="e">
        <f t="shared" si="291"/>
        <v>#N/A</v>
      </c>
      <c r="CB1089" s="236"/>
    </row>
    <row r="1090" spans="1:80" ht="61.5" x14ac:dyDescent="0.85">
      <c r="A1090" s="2">
        <v>1</v>
      </c>
      <c r="B1090" s="18">
        <f>SUBTOTAL(103,$A$1006:A1090)</f>
        <v>83</v>
      </c>
      <c r="C1090" s="3" t="s">
        <v>1779</v>
      </c>
      <c r="D1090" s="5">
        <v>2744983.73</v>
      </c>
      <c r="E1090" s="5">
        <f t="shared" si="285"/>
        <v>-150000</v>
      </c>
      <c r="F1090" s="5">
        <f t="shared" si="292"/>
        <v>2894983.73</v>
      </c>
      <c r="G1090" s="5">
        <v>0</v>
      </c>
      <c r="H1090" s="5">
        <v>0</v>
      </c>
      <c r="I1090" s="5">
        <v>0</v>
      </c>
      <c r="J1090" s="5">
        <v>0</v>
      </c>
      <c r="K1090" s="5">
        <v>0</v>
      </c>
      <c r="L1090" s="5">
        <v>0</v>
      </c>
      <c r="M1090" s="241">
        <v>0</v>
      </c>
      <c r="N1090" s="5">
        <v>0</v>
      </c>
      <c r="O1090" s="5">
        <v>600</v>
      </c>
      <c r="P1090" s="5">
        <v>2704417.47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f>ROUND(P1090*1.5%,2)</f>
        <v>40566.26</v>
      </c>
      <c r="AF1090" s="5">
        <v>150000</v>
      </c>
      <c r="AG1090" s="5">
        <v>0</v>
      </c>
      <c r="AH1090" s="246">
        <v>2022</v>
      </c>
      <c r="AI1090" s="246">
        <v>2022</v>
      </c>
      <c r="AJ1090" s="6">
        <v>2022</v>
      </c>
      <c r="AV1090" s="2" t="e">
        <f t="shared" si="291"/>
        <v>#N/A</v>
      </c>
      <c r="CB1090" s="236"/>
    </row>
    <row r="1091" spans="1:80" ht="61.5" x14ac:dyDescent="0.85">
      <c r="A1091" s="2">
        <v>1</v>
      </c>
      <c r="B1091" s="18">
        <f>SUBTOTAL(103,$A$1006:A1091)</f>
        <v>84</v>
      </c>
      <c r="C1091" s="3" t="s">
        <v>1780</v>
      </c>
      <c r="D1091" s="5">
        <v>1568740.5100000002</v>
      </c>
      <c r="E1091" s="5">
        <f t="shared" si="285"/>
        <v>-120000</v>
      </c>
      <c r="F1091" s="5">
        <f t="shared" si="292"/>
        <v>1688740.5100000002</v>
      </c>
      <c r="G1091" s="5">
        <v>0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241">
        <v>0</v>
      </c>
      <c r="N1091" s="5">
        <v>0</v>
      </c>
      <c r="O1091" s="5">
        <v>350</v>
      </c>
      <c r="P1091" s="5">
        <v>1545557.1500000001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f>ROUND(P1091*1.5%,2)</f>
        <v>23183.360000000001</v>
      </c>
      <c r="AF1091" s="5">
        <v>120000</v>
      </c>
      <c r="AG1091" s="5">
        <v>0</v>
      </c>
      <c r="AH1091" s="246">
        <v>2022</v>
      </c>
      <c r="AI1091" s="246">
        <v>2022</v>
      </c>
      <c r="AJ1091" s="6">
        <v>2022</v>
      </c>
      <c r="AV1091" s="2" t="e">
        <f t="shared" si="291"/>
        <v>#N/A</v>
      </c>
      <c r="CB1091" s="236"/>
    </row>
    <row r="1092" spans="1:80" ht="61.5" x14ac:dyDescent="0.85">
      <c r="A1092" s="2">
        <v>1</v>
      </c>
      <c r="B1092" s="18">
        <f>SUBTOTAL(103,$A$1006:A1092)</f>
        <v>85</v>
      </c>
      <c r="C1092" s="3" t="s">
        <v>1781</v>
      </c>
      <c r="D1092" s="5">
        <v>4671497.92</v>
      </c>
      <c r="E1092" s="5">
        <f t="shared" si="285"/>
        <v>-150000</v>
      </c>
      <c r="F1092" s="5">
        <f t="shared" si="292"/>
        <v>4821497.92</v>
      </c>
      <c r="G1092" s="5">
        <v>0</v>
      </c>
      <c r="H1092" s="5">
        <v>0</v>
      </c>
      <c r="I1092" s="5">
        <v>0</v>
      </c>
      <c r="J1092" s="5">
        <v>0</v>
      </c>
      <c r="K1092" s="5">
        <v>0</v>
      </c>
      <c r="L1092" s="5">
        <v>0</v>
      </c>
      <c r="M1092" s="241">
        <v>0</v>
      </c>
      <c r="N1092" s="5">
        <v>0</v>
      </c>
      <c r="O1092" s="5">
        <v>999</v>
      </c>
      <c r="P1092" s="5">
        <v>4602461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f>ROUND(P1092*1.5%,2)</f>
        <v>69036.92</v>
      </c>
      <c r="AF1092" s="5">
        <v>150000</v>
      </c>
      <c r="AG1092" s="5">
        <v>0</v>
      </c>
      <c r="AH1092" s="246">
        <v>2022</v>
      </c>
      <c r="AI1092" s="246">
        <v>2022</v>
      </c>
      <c r="AJ1092" s="6">
        <v>2022</v>
      </c>
      <c r="AV1092" s="2" t="e">
        <f t="shared" si="291"/>
        <v>#N/A</v>
      </c>
      <c r="CB1092" s="236"/>
    </row>
    <row r="1093" spans="1:80" ht="61.5" x14ac:dyDescent="0.85">
      <c r="A1093" s="2">
        <v>1</v>
      </c>
      <c r="B1093" s="18">
        <f>SUBTOTAL(103,$A$1006:A1093)</f>
        <v>86</v>
      </c>
      <c r="C1093" s="3" t="s">
        <v>1782</v>
      </c>
      <c r="D1093" s="5">
        <v>457907</v>
      </c>
      <c r="E1093" s="5">
        <f t="shared" si="285"/>
        <v>-70000</v>
      </c>
      <c r="F1093" s="5">
        <f t="shared" si="292"/>
        <v>527907</v>
      </c>
      <c r="G1093" s="5">
        <v>0</v>
      </c>
      <c r="H1093" s="5">
        <v>0</v>
      </c>
      <c r="I1093" s="5">
        <v>0</v>
      </c>
      <c r="J1093" s="5">
        <v>0</v>
      </c>
      <c r="K1093" s="5">
        <v>451139.9</v>
      </c>
      <c r="L1093" s="5">
        <v>0</v>
      </c>
      <c r="M1093" s="241">
        <v>0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f>ROUND((G1093+H1093+I1093+J1093+K1093+L1093)*1.5%,2)</f>
        <v>6767.1</v>
      </c>
      <c r="AF1093" s="5">
        <v>70000</v>
      </c>
      <c r="AG1093" s="5">
        <v>0</v>
      </c>
      <c r="AH1093" s="246">
        <v>2022</v>
      </c>
      <c r="AI1093" s="246">
        <v>2022</v>
      </c>
      <c r="AJ1093" s="6">
        <v>2022</v>
      </c>
      <c r="AV1093" s="2" t="e">
        <f t="shared" si="291"/>
        <v>#N/A</v>
      </c>
      <c r="CB1093" s="236"/>
    </row>
    <row r="1094" spans="1:80" ht="61.5" x14ac:dyDescent="0.85">
      <c r="A1094" s="2">
        <v>1</v>
      </c>
      <c r="B1094" s="18">
        <f>SUBTOTAL(103,$A$1006:A1094)</f>
        <v>87</v>
      </c>
      <c r="C1094" s="3" t="s">
        <v>1783</v>
      </c>
      <c r="D1094" s="5">
        <v>632281</v>
      </c>
      <c r="E1094" s="5">
        <f t="shared" si="285"/>
        <v>-70000</v>
      </c>
      <c r="F1094" s="5">
        <f t="shared" si="292"/>
        <v>702281</v>
      </c>
      <c r="G1094" s="5">
        <v>0</v>
      </c>
      <c r="H1094" s="5">
        <v>0</v>
      </c>
      <c r="I1094" s="5">
        <v>0</v>
      </c>
      <c r="J1094" s="5">
        <v>0</v>
      </c>
      <c r="K1094" s="5">
        <v>622936.94999999995</v>
      </c>
      <c r="L1094" s="5">
        <v>0</v>
      </c>
      <c r="M1094" s="241">
        <v>0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f>ROUND((G1094+H1094+I1094+J1094+K1094+L1094)*1.5%,2)</f>
        <v>9344.0499999999993</v>
      </c>
      <c r="AF1094" s="5">
        <v>70000</v>
      </c>
      <c r="AG1094" s="5">
        <v>0</v>
      </c>
      <c r="AH1094" s="246">
        <v>2022</v>
      </c>
      <c r="AI1094" s="246">
        <v>2022</v>
      </c>
      <c r="AJ1094" s="6">
        <v>2022</v>
      </c>
      <c r="AV1094" s="2" t="e">
        <f t="shared" si="291"/>
        <v>#N/A</v>
      </c>
      <c r="CB1094" s="236"/>
    </row>
    <row r="1095" spans="1:80" ht="61.5" x14ac:dyDescent="0.85">
      <c r="A1095" s="2">
        <v>1</v>
      </c>
      <c r="B1095" s="18">
        <f>SUBTOTAL(103,$A$1006:A1095)</f>
        <v>88</v>
      </c>
      <c r="C1095" s="3" t="s">
        <v>1784</v>
      </c>
      <c r="D1095" s="5">
        <v>731529</v>
      </c>
      <c r="E1095" s="5">
        <f t="shared" si="285"/>
        <v>-70000</v>
      </c>
      <c r="F1095" s="5">
        <f t="shared" si="292"/>
        <v>801529</v>
      </c>
      <c r="G1095" s="5">
        <v>0</v>
      </c>
      <c r="H1095" s="5">
        <v>0</v>
      </c>
      <c r="I1095" s="5">
        <v>0</v>
      </c>
      <c r="J1095" s="5">
        <v>0</v>
      </c>
      <c r="K1095" s="5">
        <v>720718.23</v>
      </c>
      <c r="L1095" s="5">
        <v>0</v>
      </c>
      <c r="M1095" s="241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f>ROUND((G1095+H1095+I1095+J1095+K1095+L1095)*1.5%,2)</f>
        <v>10810.77</v>
      </c>
      <c r="AF1095" s="5">
        <v>70000</v>
      </c>
      <c r="AG1095" s="5">
        <v>0</v>
      </c>
      <c r="AH1095" s="246">
        <v>2022</v>
      </c>
      <c r="AI1095" s="246">
        <v>2022</v>
      </c>
      <c r="AJ1095" s="6">
        <v>2022</v>
      </c>
      <c r="AV1095" s="2" t="e">
        <f t="shared" si="291"/>
        <v>#N/A</v>
      </c>
      <c r="CB1095" s="236"/>
    </row>
    <row r="1096" spans="1:80" ht="61.5" x14ac:dyDescent="0.85">
      <c r="A1096" s="2">
        <v>1</v>
      </c>
      <c r="B1096" s="18">
        <f>SUBTOTAL(103,$A$1006:A1096)</f>
        <v>89</v>
      </c>
      <c r="C1096" s="3" t="s">
        <v>1785</v>
      </c>
      <c r="D1096" s="5">
        <v>4760772.24</v>
      </c>
      <c r="E1096" s="5">
        <f t="shared" si="285"/>
        <v>-180000</v>
      </c>
      <c r="F1096" s="5">
        <f t="shared" si="292"/>
        <v>4940772.24</v>
      </c>
      <c r="G1096" s="5">
        <v>0</v>
      </c>
      <c r="H1096" s="5">
        <v>0</v>
      </c>
      <c r="I1096" s="5">
        <v>0</v>
      </c>
      <c r="J1096" s="5">
        <v>0</v>
      </c>
      <c r="K1096" s="5">
        <v>0</v>
      </c>
      <c r="L1096" s="5">
        <v>0</v>
      </c>
      <c r="M1096" s="241">
        <v>0</v>
      </c>
      <c r="N1096" s="5">
        <v>0</v>
      </c>
      <c r="O1096" s="5">
        <v>1024</v>
      </c>
      <c r="P1096" s="5">
        <v>4690416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f>ROUND(P1096*1.5%,2)</f>
        <v>70356.240000000005</v>
      </c>
      <c r="AF1096" s="5">
        <v>180000</v>
      </c>
      <c r="AG1096" s="5">
        <v>0</v>
      </c>
      <c r="AH1096" s="246">
        <v>2022</v>
      </c>
      <c r="AI1096" s="246">
        <v>2022</v>
      </c>
      <c r="AJ1096" s="6">
        <v>2022</v>
      </c>
      <c r="AV1096" s="2" t="e">
        <f t="shared" si="291"/>
        <v>#N/A</v>
      </c>
      <c r="CB1096" s="236"/>
    </row>
    <row r="1097" spans="1:80" ht="61.5" x14ac:dyDescent="0.85">
      <c r="A1097" s="2">
        <v>1</v>
      </c>
      <c r="B1097" s="18">
        <f>SUBTOTAL(103,$A$1006:A1097)</f>
        <v>90</v>
      </c>
      <c r="C1097" s="3" t="s">
        <v>937</v>
      </c>
      <c r="D1097" s="5">
        <v>4331631.53</v>
      </c>
      <c r="E1097" s="5">
        <f t="shared" si="285"/>
        <v>-100000</v>
      </c>
      <c r="F1097" s="5">
        <f t="shared" si="292"/>
        <v>4431631.53</v>
      </c>
      <c r="G1097" s="5">
        <v>0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241">
        <v>2</v>
      </c>
      <c r="N1097" s="5">
        <v>4331631.53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100000</v>
      </c>
      <c r="AG1097" s="5">
        <v>0</v>
      </c>
      <c r="AH1097" s="246">
        <v>2022</v>
      </c>
      <c r="AI1097" s="246">
        <v>2022</v>
      </c>
      <c r="AJ1097" s="6" t="s">
        <v>49</v>
      </c>
      <c r="AV1097" s="2">
        <f t="shared" si="291"/>
        <v>1</v>
      </c>
      <c r="CB1097" s="236"/>
    </row>
    <row r="1098" spans="1:80" ht="61.5" x14ac:dyDescent="0.85">
      <c r="A1098" s="2">
        <v>1</v>
      </c>
      <c r="B1098" s="18">
        <f>SUBTOTAL(103,$A$1006:A1098)</f>
        <v>91</v>
      </c>
      <c r="C1098" s="3" t="s">
        <v>1786</v>
      </c>
      <c r="D1098" s="5">
        <v>2789948.7</v>
      </c>
      <c r="E1098" s="5">
        <f t="shared" si="285"/>
        <v>-150000</v>
      </c>
      <c r="F1098" s="5">
        <f t="shared" si="292"/>
        <v>2939948.7</v>
      </c>
      <c r="G1098" s="5">
        <v>0</v>
      </c>
      <c r="H1098" s="5">
        <v>0</v>
      </c>
      <c r="I1098" s="5">
        <v>0</v>
      </c>
      <c r="J1098" s="5">
        <v>0</v>
      </c>
      <c r="K1098" s="5">
        <v>0</v>
      </c>
      <c r="L1098" s="5">
        <v>0</v>
      </c>
      <c r="M1098" s="241">
        <v>0</v>
      </c>
      <c r="N1098" s="5">
        <v>0</v>
      </c>
      <c r="O1098" s="5">
        <v>600</v>
      </c>
      <c r="P1098" s="5">
        <v>2748717.93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f t="shared" ref="AE1098:AE1105" si="294">ROUND(P1098*1.5%,2)</f>
        <v>41230.769999999997</v>
      </c>
      <c r="AF1098" s="5">
        <v>150000</v>
      </c>
      <c r="AG1098" s="5">
        <v>0</v>
      </c>
      <c r="AH1098" s="246">
        <v>2022</v>
      </c>
      <c r="AI1098" s="246">
        <v>2022</v>
      </c>
      <c r="AJ1098" s="6">
        <v>2022</v>
      </c>
      <c r="AV1098" s="2" t="e">
        <f t="shared" si="291"/>
        <v>#N/A</v>
      </c>
      <c r="CB1098" s="236"/>
    </row>
    <row r="1099" spans="1:80" ht="61.5" x14ac:dyDescent="0.85">
      <c r="A1099" s="2">
        <v>1</v>
      </c>
      <c r="B1099" s="18">
        <f>SUBTOTAL(103,$A$1006:A1099)</f>
        <v>92</v>
      </c>
      <c r="C1099" s="3" t="s">
        <v>1787</v>
      </c>
      <c r="D1099" s="5">
        <v>3242314.75</v>
      </c>
      <c r="E1099" s="5">
        <f t="shared" si="285"/>
        <v>-150000</v>
      </c>
      <c r="F1099" s="5">
        <f t="shared" si="292"/>
        <v>3392314.75</v>
      </c>
      <c r="G1099" s="5">
        <v>0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241">
        <v>0</v>
      </c>
      <c r="N1099" s="5">
        <v>0</v>
      </c>
      <c r="O1099" s="5">
        <v>747</v>
      </c>
      <c r="P1099" s="5">
        <v>3194398.77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f t="shared" si="294"/>
        <v>47915.98</v>
      </c>
      <c r="AF1099" s="5">
        <v>150000</v>
      </c>
      <c r="AG1099" s="5">
        <v>0</v>
      </c>
      <c r="AH1099" s="246">
        <v>2022</v>
      </c>
      <c r="AI1099" s="246">
        <v>2022</v>
      </c>
      <c r="AJ1099" s="6">
        <v>2022</v>
      </c>
      <c r="AV1099" s="2" t="e">
        <f t="shared" si="291"/>
        <v>#N/A</v>
      </c>
      <c r="CB1099" s="236"/>
    </row>
    <row r="1100" spans="1:80" ht="61.5" x14ac:dyDescent="0.85">
      <c r="A1100" s="2">
        <v>1</v>
      </c>
      <c r="B1100" s="18">
        <f>SUBTOTAL(103,$A$1006:A1100)</f>
        <v>93</v>
      </c>
      <c r="C1100" s="3" t="s">
        <v>1788</v>
      </c>
      <c r="D1100" s="5">
        <v>2210461.9000000004</v>
      </c>
      <c r="E1100" s="5">
        <f t="shared" si="285"/>
        <v>-120000</v>
      </c>
      <c r="F1100" s="5">
        <f t="shared" si="292"/>
        <v>2330461.9000000004</v>
      </c>
      <c r="G1100" s="5">
        <v>0</v>
      </c>
      <c r="H1100" s="5">
        <v>0</v>
      </c>
      <c r="I1100" s="5">
        <v>0</v>
      </c>
      <c r="J1100" s="5">
        <v>0</v>
      </c>
      <c r="K1100" s="5">
        <v>0</v>
      </c>
      <c r="L1100" s="5">
        <v>0</v>
      </c>
      <c r="M1100" s="241">
        <v>0</v>
      </c>
      <c r="N1100" s="5">
        <v>0</v>
      </c>
      <c r="O1100" s="5">
        <v>483</v>
      </c>
      <c r="P1100" s="5">
        <v>2177794.9800000004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f t="shared" si="294"/>
        <v>32666.92</v>
      </c>
      <c r="AF1100" s="5">
        <v>120000</v>
      </c>
      <c r="AG1100" s="5">
        <v>0</v>
      </c>
      <c r="AH1100" s="246">
        <v>2022</v>
      </c>
      <c r="AI1100" s="246">
        <v>2022</v>
      </c>
      <c r="AJ1100" s="6">
        <v>2022</v>
      </c>
      <c r="AV1100" s="2" t="e">
        <f t="shared" si="291"/>
        <v>#N/A</v>
      </c>
      <c r="CB1100" s="236"/>
    </row>
    <row r="1101" spans="1:80" ht="61.5" x14ac:dyDescent="0.85">
      <c r="A1101" s="2">
        <v>1</v>
      </c>
      <c r="B1101" s="18">
        <f>SUBTOTAL(103,$A$1006:A1101)</f>
        <v>94</v>
      </c>
      <c r="C1101" s="3" t="s">
        <v>1789</v>
      </c>
      <c r="D1101" s="5">
        <v>7557284.3099999996</v>
      </c>
      <c r="E1101" s="5">
        <f t="shared" si="285"/>
        <v>-180000</v>
      </c>
      <c r="F1101" s="5">
        <f t="shared" si="292"/>
        <v>7737284.3099999996</v>
      </c>
      <c r="G1101" s="5">
        <v>0</v>
      </c>
      <c r="H1101" s="5">
        <v>0</v>
      </c>
      <c r="I1101" s="5">
        <v>0</v>
      </c>
      <c r="J1101" s="5">
        <v>0</v>
      </c>
      <c r="K1101" s="5">
        <v>0</v>
      </c>
      <c r="L1101" s="5">
        <v>0</v>
      </c>
      <c r="M1101" s="241">
        <v>0</v>
      </c>
      <c r="N1101" s="5">
        <v>0</v>
      </c>
      <c r="O1101" s="5">
        <v>1501</v>
      </c>
      <c r="P1101" s="5">
        <v>7445600.3099999996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f t="shared" si="294"/>
        <v>111684</v>
      </c>
      <c r="AF1101" s="5">
        <v>180000</v>
      </c>
      <c r="AG1101" s="5">
        <v>0</v>
      </c>
      <c r="AH1101" s="246">
        <v>2022</v>
      </c>
      <c r="AI1101" s="246">
        <v>2022</v>
      </c>
      <c r="AJ1101" s="6">
        <v>2022</v>
      </c>
      <c r="AV1101" s="2" t="e">
        <f t="shared" si="291"/>
        <v>#N/A</v>
      </c>
      <c r="CB1101" s="236"/>
    </row>
    <row r="1102" spans="1:80" ht="61.5" x14ac:dyDescent="0.85">
      <c r="A1102" s="2">
        <v>1</v>
      </c>
      <c r="B1102" s="18">
        <f>SUBTOTAL(103,$A$1006:A1102)</f>
        <v>95</v>
      </c>
      <c r="C1102" s="3" t="s">
        <v>1790</v>
      </c>
      <c r="D1102" s="5">
        <v>3073377.74</v>
      </c>
      <c r="E1102" s="5">
        <f t="shared" si="285"/>
        <v>-150000</v>
      </c>
      <c r="F1102" s="5">
        <f t="shared" si="292"/>
        <v>3223377.74</v>
      </c>
      <c r="G1102" s="5">
        <v>0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241">
        <v>0</v>
      </c>
      <c r="N1102" s="5">
        <v>0</v>
      </c>
      <c r="O1102" s="5">
        <v>600</v>
      </c>
      <c r="P1102" s="5">
        <v>3027958.3600000003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f t="shared" si="294"/>
        <v>45419.38</v>
      </c>
      <c r="AF1102" s="5">
        <v>150000</v>
      </c>
      <c r="AG1102" s="5">
        <v>0</v>
      </c>
      <c r="AH1102" s="246">
        <v>2022</v>
      </c>
      <c r="AI1102" s="246">
        <v>2022</v>
      </c>
      <c r="AJ1102" s="6">
        <v>2022</v>
      </c>
      <c r="AV1102" s="2" t="e">
        <f t="shared" si="291"/>
        <v>#N/A</v>
      </c>
      <c r="CB1102" s="236"/>
    </row>
    <row r="1103" spans="1:80" ht="61.5" x14ac:dyDescent="0.85">
      <c r="A1103" s="2">
        <v>1</v>
      </c>
      <c r="B1103" s="18">
        <f>SUBTOTAL(103,$A$1006:A1103)</f>
        <v>96</v>
      </c>
      <c r="C1103" s="3" t="s">
        <v>1791</v>
      </c>
      <c r="D1103" s="5">
        <v>1665415</v>
      </c>
      <c r="E1103" s="5">
        <f t="shared" si="285"/>
        <v>-120000</v>
      </c>
      <c r="F1103" s="5">
        <f t="shared" si="292"/>
        <v>1785415</v>
      </c>
      <c r="G1103" s="5">
        <v>0</v>
      </c>
      <c r="H1103" s="5">
        <v>0</v>
      </c>
      <c r="I1103" s="5">
        <v>0</v>
      </c>
      <c r="J1103" s="5">
        <v>0</v>
      </c>
      <c r="K1103" s="5">
        <v>0</v>
      </c>
      <c r="L1103" s="5">
        <v>0</v>
      </c>
      <c r="M1103" s="241">
        <v>0</v>
      </c>
      <c r="N1103" s="5">
        <v>0</v>
      </c>
      <c r="O1103" s="5">
        <v>369</v>
      </c>
      <c r="P1103" s="5">
        <v>1640802.96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f t="shared" si="294"/>
        <v>24612.04</v>
      </c>
      <c r="AF1103" s="5">
        <v>120000</v>
      </c>
      <c r="AG1103" s="5">
        <v>0</v>
      </c>
      <c r="AH1103" s="246">
        <v>2022</v>
      </c>
      <c r="AI1103" s="246">
        <v>2022</v>
      </c>
      <c r="AJ1103" s="6">
        <v>2022</v>
      </c>
      <c r="AV1103" s="2" t="e">
        <f t="shared" si="291"/>
        <v>#N/A</v>
      </c>
      <c r="CB1103" s="236"/>
    </row>
    <row r="1104" spans="1:80" ht="61.5" x14ac:dyDescent="0.85">
      <c r="A1104" s="2">
        <v>1</v>
      </c>
      <c r="B1104" s="18">
        <f>SUBTOTAL(103,$A$1006:A1104)</f>
        <v>97</v>
      </c>
      <c r="C1104" s="3" t="s">
        <v>1792</v>
      </c>
      <c r="D1104" s="5">
        <v>2384110.7700000005</v>
      </c>
      <c r="E1104" s="5">
        <f t="shared" si="285"/>
        <v>-150000</v>
      </c>
      <c r="F1104" s="5">
        <f t="shared" si="292"/>
        <v>2534110.7700000005</v>
      </c>
      <c r="G1104" s="5">
        <v>0</v>
      </c>
      <c r="H1104" s="5">
        <v>0</v>
      </c>
      <c r="I1104" s="5">
        <v>0</v>
      </c>
      <c r="J1104" s="5">
        <v>0</v>
      </c>
      <c r="K1104" s="5">
        <v>0</v>
      </c>
      <c r="L1104" s="5">
        <v>0</v>
      </c>
      <c r="M1104" s="241">
        <v>0</v>
      </c>
      <c r="N1104" s="5">
        <v>0</v>
      </c>
      <c r="O1104" s="5">
        <v>525</v>
      </c>
      <c r="P1104" s="5">
        <v>2348877.6100000003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f t="shared" si="294"/>
        <v>35233.160000000003</v>
      </c>
      <c r="AF1104" s="5">
        <v>150000</v>
      </c>
      <c r="AG1104" s="5">
        <v>0</v>
      </c>
      <c r="AH1104" s="246">
        <v>2022</v>
      </c>
      <c r="AI1104" s="246">
        <v>2022</v>
      </c>
      <c r="AJ1104" s="6">
        <v>2022</v>
      </c>
      <c r="AV1104" s="2" t="e">
        <f t="shared" si="291"/>
        <v>#N/A</v>
      </c>
      <c r="CB1104" s="236"/>
    </row>
    <row r="1105" spans="1:80" ht="61.5" x14ac:dyDescent="0.85">
      <c r="A1105" s="2">
        <v>1</v>
      </c>
      <c r="B1105" s="18">
        <f>SUBTOTAL(103,$A$1006:A1105)</f>
        <v>98</v>
      </c>
      <c r="C1105" s="3" t="s">
        <v>1793</v>
      </c>
      <c r="D1105" s="5">
        <v>2817533.3499999996</v>
      </c>
      <c r="E1105" s="5">
        <f t="shared" si="285"/>
        <v>-150000</v>
      </c>
      <c r="F1105" s="5">
        <f t="shared" si="292"/>
        <v>2967533.3499999996</v>
      </c>
      <c r="G1105" s="5">
        <v>0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241">
        <v>0</v>
      </c>
      <c r="N1105" s="5">
        <v>0</v>
      </c>
      <c r="O1105" s="5">
        <v>614</v>
      </c>
      <c r="P1105" s="5">
        <v>2775894.9299999997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f t="shared" si="294"/>
        <v>41638.42</v>
      </c>
      <c r="AF1105" s="5">
        <v>150000</v>
      </c>
      <c r="AG1105" s="5">
        <v>0</v>
      </c>
      <c r="AH1105" s="246">
        <v>2022</v>
      </c>
      <c r="AI1105" s="246">
        <v>2022</v>
      </c>
      <c r="AJ1105" s="6">
        <v>2022</v>
      </c>
      <c r="AV1105" s="2" t="e">
        <f t="shared" si="291"/>
        <v>#N/A</v>
      </c>
      <c r="CB1105" s="236"/>
    </row>
    <row r="1106" spans="1:80" ht="61.5" x14ac:dyDescent="0.85">
      <c r="A1106" s="2">
        <v>1</v>
      </c>
      <c r="B1106" s="18">
        <f>SUBTOTAL(103,$A$1006:A1106)</f>
        <v>99</v>
      </c>
      <c r="C1106" s="3" t="s">
        <v>1794</v>
      </c>
      <c r="D1106" s="5">
        <v>1660239.97</v>
      </c>
      <c r="E1106" s="5">
        <f t="shared" si="285"/>
        <v>-120000</v>
      </c>
      <c r="F1106" s="5">
        <f t="shared" si="292"/>
        <v>1780239.97</v>
      </c>
      <c r="G1106" s="5">
        <v>0</v>
      </c>
      <c r="H1106" s="5">
        <v>0</v>
      </c>
      <c r="I1106" s="5">
        <v>0</v>
      </c>
      <c r="J1106" s="5">
        <v>0</v>
      </c>
      <c r="K1106" s="5">
        <v>0</v>
      </c>
      <c r="L1106" s="5">
        <v>0</v>
      </c>
      <c r="M1106" s="241">
        <v>0</v>
      </c>
      <c r="N1106" s="5">
        <v>0</v>
      </c>
      <c r="O1106" s="5">
        <v>370</v>
      </c>
      <c r="P1106" s="5">
        <v>1635704.4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f>ROUND(P1106*1.5%,2)</f>
        <v>24535.57</v>
      </c>
      <c r="AF1106" s="5">
        <v>120000</v>
      </c>
      <c r="AG1106" s="5">
        <v>0</v>
      </c>
      <c r="AH1106" s="246">
        <v>2022</v>
      </c>
      <c r="AI1106" s="246">
        <v>2022</v>
      </c>
      <c r="AJ1106" s="6">
        <v>2022</v>
      </c>
      <c r="AV1106" s="2" t="e">
        <f t="shared" si="291"/>
        <v>#N/A</v>
      </c>
      <c r="CB1106" s="236"/>
    </row>
    <row r="1107" spans="1:80" ht="61.5" x14ac:dyDescent="0.85">
      <c r="A1107" s="2">
        <v>1</v>
      </c>
      <c r="B1107" s="18">
        <f>SUBTOTAL(103,$A$1006:A1107)</f>
        <v>100</v>
      </c>
      <c r="C1107" s="3" t="s">
        <v>1795</v>
      </c>
      <c r="D1107" s="5">
        <v>2407235.63</v>
      </c>
      <c r="E1107" s="5">
        <f t="shared" si="285"/>
        <v>-150000</v>
      </c>
      <c r="F1107" s="5">
        <f t="shared" si="292"/>
        <v>2557235.63</v>
      </c>
      <c r="G1107" s="5">
        <v>0</v>
      </c>
      <c r="H1107" s="5">
        <v>0</v>
      </c>
      <c r="I1107" s="5">
        <v>0</v>
      </c>
      <c r="J1107" s="5">
        <v>0</v>
      </c>
      <c r="K1107" s="5">
        <v>0</v>
      </c>
      <c r="L1107" s="5">
        <v>0</v>
      </c>
      <c r="M1107" s="241">
        <v>0</v>
      </c>
      <c r="N1107" s="5">
        <v>0</v>
      </c>
      <c r="O1107" s="5">
        <v>530</v>
      </c>
      <c r="P1107" s="5">
        <v>2371660.7199999997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f>ROUND(P1107*1.5%,2)</f>
        <v>35574.910000000003</v>
      </c>
      <c r="AF1107" s="5">
        <v>150000</v>
      </c>
      <c r="AG1107" s="5">
        <v>0</v>
      </c>
      <c r="AH1107" s="246">
        <v>2022</v>
      </c>
      <c r="AI1107" s="246">
        <v>2022</v>
      </c>
      <c r="AJ1107" s="6">
        <v>2022</v>
      </c>
      <c r="AV1107" s="2" t="e">
        <f t="shared" si="291"/>
        <v>#N/A</v>
      </c>
      <c r="CB1107" s="236"/>
    </row>
    <row r="1108" spans="1:80" ht="61.5" x14ac:dyDescent="0.85">
      <c r="A1108" s="2">
        <v>1</v>
      </c>
      <c r="B1108" s="18">
        <f>SUBTOTAL(103,$A$1006:A1108)</f>
        <v>101</v>
      </c>
      <c r="C1108" s="3" t="s">
        <v>1796</v>
      </c>
      <c r="D1108" s="5">
        <v>1790689.27</v>
      </c>
      <c r="E1108" s="5">
        <f t="shared" si="285"/>
        <v>-120000</v>
      </c>
      <c r="F1108" s="5">
        <f t="shared" si="292"/>
        <v>1910689.27</v>
      </c>
      <c r="G1108" s="5">
        <v>0</v>
      </c>
      <c r="H1108" s="5">
        <v>0</v>
      </c>
      <c r="I1108" s="5">
        <v>0</v>
      </c>
      <c r="J1108" s="5">
        <v>0</v>
      </c>
      <c r="K1108" s="5">
        <v>0</v>
      </c>
      <c r="L1108" s="5">
        <v>0</v>
      </c>
      <c r="M1108" s="241">
        <v>0</v>
      </c>
      <c r="N1108" s="5">
        <v>0</v>
      </c>
      <c r="O1108" s="5">
        <v>396</v>
      </c>
      <c r="P1108" s="5">
        <v>1764225.8800000001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f>ROUND(P1108*1.5%,2)</f>
        <v>26463.39</v>
      </c>
      <c r="AF1108" s="5">
        <v>120000</v>
      </c>
      <c r="AG1108" s="5">
        <v>0</v>
      </c>
      <c r="AH1108" s="246">
        <v>2022</v>
      </c>
      <c r="AI1108" s="246">
        <v>2022</v>
      </c>
      <c r="AJ1108" s="6">
        <v>2022</v>
      </c>
      <c r="AV1108" s="2" t="e">
        <f t="shared" si="291"/>
        <v>#N/A</v>
      </c>
      <c r="CB1108" s="236"/>
    </row>
    <row r="1109" spans="1:80" ht="61.5" x14ac:dyDescent="0.85">
      <c r="A1109" s="2">
        <v>1</v>
      </c>
      <c r="B1109" s="18">
        <f>SUBTOTAL(103,$A$1006:A1109)</f>
        <v>102</v>
      </c>
      <c r="C1109" s="3" t="s">
        <v>1797</v>
      </c>
      <c r="D1109" s="5">
        <v>6300000</v>
      </c>
      <c r="E1109" s="5">
        <f t="shared" si="285"/>
        <v>-100000</v>
      </c>
      <c r="F1109" s="5">
        <f t="shared" si="292"/>
        <v>6400000</v>
      </c>
      <c r="G1109" s="5">
        <v>0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241">
        <v>3</v>
      </c>
      <c r="N1109" s="5">
        <v>6300000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100000</v>
      </c>
      <c r="AG1109" s="5">
        <v>0</v>
      </c>
      <c r="AH1109" s="246">
        <v>2022</v>
      </c>
      <c r="AI1109" s="246">
        <v>2022</v>
      </c>
      <c r="AJ1109" s="6" t="s">
        <v>49</v>
      </c>
      <c r="AV1109" s="2" t="e">
        <f t="shared" si="291"/>
        <v>#N/A</v>
      </c>
      <c r="CB1109" s="236"/>
    </row>
    <row r="1110" spans="1:80" ht="61.5" x14ac:dyDescent="0.85">
      <c r="B1110" s="3" t="s">
        <v>1798</v>
      </c>
      <c r="C1110" s="3"/>
      <c r="D1110" s="244">
        <v>45011140.729999997</v>
      </c>
      <c r="E1110" s="233">
        <f t="shared" si="285"/>
        <v>-1320000</v>
      </c>
      <c r="F1110" s="244">
        <f>SUM(F1111:F1121)</f>
        <v>46331140.729999997</v>
      </c>
      <c r="G1110" s="5">
        <f t="shared" ref="G1110:AG1110" si="295">SUM(G1111:G1121)</f>
        <v>0</v>
      </c>
      <c r="H1110" s="5">
        <f t="shared" si="295"/>
        <v>0</v>
      </c>
      <c r="I1110" s="5">
        <f t="shared" si="295"/>
        <v>0</v>
      </c>
      <c r="J1110" s="5">
        <f t="shared" si="295"/>
        <v>0</v>
      </c>
      <c r="K1110" s="5">
        <f t="shared" si="295"/>
        <v>0</v>
      </c>
      <c r="L1110" s="5">
        <f t="shared" si="295"/>
        <v>0</v>
      </c>
      <c r="M1110" s="241">
        <f t="shared" si="295"/>
        <v>4</v>
      </c>
      <c r="N1110" s="5">
        <f t="shared" si="295"/>
        <v>8452796.0600000005</v>
      </c>
      <c r="O1110" s="5">
        <f t="shared" si="295"/>
        <v>7218.5</v>
      </c>
      <c r="P1110" s="5">
        <f t="shared" si="295"/>
        <v>34134436.520000003</v>
      </c>
      <c r="Q1110" s="5">
        <f t="shared" si="295"/>
        <v>0</v>
      </c>
      <c r="R1110" s="5">
        <f t="shared" si="295"/>
        <v>0</v>
      </c>
      <c r="S1110" s="5">
        <f t="shared" si="295"/>
        <v>360</v>
      </c>
      <c r="T1110" s="5">
        <f t="shared" si="295"/>
        <v>1883637.04</v>
      </c>
      <c r="U1110" s="5">
        <f t="shared" si="295"/>
        <v>0</v>
      </c>
      <c r="V1110" s="5">
        <f t="shared" si="295"/>
        <v>0</v>
      </c>
      <c r="W1110" s="5">
        <f t="shared" si="295"/>
        <v>0</v>
      </c>
      <c r="X1110" s="5">
        <f t="shared" si="295"/>
        <v>0</v>
      </c>
      <c r="Y1110" s="5">
        <f t="shared" si="295"/>
        <v>0</v>
      </c>
      <c r="Z1110" s="5">
        <f t="shared" si="295"/>
        <v>0</v>
      </c>
      <c r="AA1110" s="5">
        <f t="shared" si="295"/>
        <v>0</v>
      </c>
      <c r="AB1110" s="5">
        <f t="shared" si="295"/>
        <v>0</v>
      </c>
      <c r="AC1110" s="5">
        <f t="shared" si="295"/>
        <v>0</v>
      </c>
      <c r="AD1110" s="5">
        <f t="shared" si="295"/>
        <v>0</v>
      </c>
      <c r="AE1110" s="5">
        <f t="shared" si="295"/>
        <v>540271.11</v>
      </c>
      <c r="AF1110" s="5">
        <f t="shared" si="295"/>
        <v>1320000</v>
      </c>
      <c r="AG1110" s="5">
        <f t="shared" si="295"/>
        <v>0</v>
      </c>
      <c r="AH1110" s="246" t="s">
        <v>90</v>
      </c>
      <c r="AI1110" s="246" t="s">
        <v>90</v>
      </c>
      <c r="AJ1110" s="6" t="s">
        <v>90</v>
      </c>
      <c r="AV1110" s="2" t="e">
        <f t="shared" si="291"/>
        <v>#N/A</v>
      </c>
      <c r="CB1110" s="236">
        <v>46315599.309999995</v>
      </c>
    </row>
    <row r="1111" spans="1:80" ht="61.5" x14ac:dyDescent="0.85">
      <c r="A1111" s="2">
        <v>1</v>
      </c>
      <c r="B1111" s="18">
        <f>SUBTOTAL(103,$A$1006:A1111)</f>
        <v>103</v>
      </c>
      <c r="C1111" s="3" t="s">
        <v>1799</v>
      </c>
      <c r="D1111" s="5">
        <v>2532230.7999999998</v>
      </c>
      <c r="E1111" s="5">
        <f t="shared" si="285"/>
        <v>-110000</v>
      </c>
      <c r="F1111" s="5">
        <f t="shared" ref="F1111:F1121" si="296">G1111+H1111+I1111+J1111+K1111+L1111+N1111+P1111+R1111+T1111+V1111+W1111+X1111+Y1111+Z1111+AA1111+AB1111+AC1111+AD1111+AE1111+AF1111+AG1111</f>
        <v>2642230.7999999998</v>
      </c>
      <c r="G1111" s="5">
        <v>0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241">
        <v>0</v>
      </c>
      <c r="N1111" s="5">
        <v>0</v>
      </c>
      <c r="O1111" s="5">
        <v>506</v>
      </c>
      <c r="P1111" s="5">
        <v>2494808.67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f>ROUND(P1111*1.5%,2)</f>
        <v>37422.129999999997</v>
      </c>
      <c r="AF1111" s="5">
        <v>110000</v>
      </c>
      <c r="AG1111" s="5">
        <v>0</v>
      </c>
      <c r="AH1111" s="246">
        <v>2022</v>
      </c>
      <c r="AI1111" s="246">
        <v>2022</v>
      </c>
      <c r="AJ1111" s="6">
        <v>2022</v>
      </c>
      <c r="AV1111" s="2" t="e">
        <f t="shared" si="291"/>
        <v>#N/A</v>
      </c>
      <c r="CB1111" s="236"/>
    </row>
    <row r="1112" spans="1:80" ht="61.5" x14ac:dyDescent="0.85">
      <c r="A1112" s="2">
        <v>1</v>
      </c>
      <c r="B1112" s="18">
        <f>SUBTOTAL(103,$A$1006:A1112)</f>
        <v>104</v>
      </c>
      <c r="C1112" s="3" t="s">
        <v>1800</v>
      </c>
      <c r="D1112" s="5">
        <v>2386020.4</v>
      </c>
      <c r="E1112" s="5">
        <f t="shared" si="285"/>
        <v>-110000</v>
      </c>
      <c r="F1112" s="5">
        <f t="shared" si="296"/>
        <v>2496020.4</v>
      </c>
      <c r="G1112" s="5">
        <v>0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241">
        <v>0</v>
      </c>
      <c r="N1112" s="5">
        <v>0</v>
      </c>
      <c r="O1112" s="5">
        <v>478</v>
      </c>
      <c r="P1112" s="5">
        <v>2350759.0099999998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f>ROUND(P1112*1.5%,2)</f>
        <v>35261.39</v>
      </c>
      <c r="AF1112" s="5">
        <v>110000</v>
      </c>
      <c r="AG1112" s="5">
        <v>0</v>
      </c>
      <c r="AH1112" s="246">
        <v>2022</v>
      </c>
      <c r="AI1112" s="246">
        <v>2022</v>
      </c>
      <c r="AJ1112" s="6">
        <v>2022</v>
      </c>
      <c r="AV1112" s="2" t="e">
        <f t="shared" si="291"/>
        <v>#N/A</v>
      </c>
      <c r="CB1112" s="236"/>
    </row>
    <row r="1113" spans="1:80" ht="61.5" x14ac:dyDescent="0.85">
      <c r="A1113" s="2">
        <v>1</v>
      </c>
      <c r="B1113" s="18">
        <f>SUBTOTAL(103,$A$1006:A1113)</f>
        <v>105</v>
      </c>
      <c r="C1113" s="3" t="s">
        <v>1801</v>
      </c>
      <c r="D1113" s="5">
        <v>3009600</v>
      </c>
      <c r="E1113" s="5">
        <f t="shared" si="285"/>
        <v>-110000</v>
      </c>
      <c r="F1113" s="5">
        <f t="shared" si="296"/>
        <v>3119600</v>
      </c>
      <c r="G1113" s="5">
        <v>0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241">
        <v>0</v>
      </c>
      <c r="N1113" s="5">
        <v>0</v>
      </c>
      <c r="O1113" s="5">
        <v>627</v>
      </c>
      <c r="P1113" s="5">
        <v>2965123.15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f>ROUND(P1113*1.5%,2)</f>
        <v>44476.85</v>
      </c>
      <c r="AF1113" s="5">
        <v>110000</v>
      </c>
      <c r="AG1113" s="5">
        <v>0</v>
      </c>
      <c r="AH1113" s="246">
        <v>2022</v>
      </c>
      <c r="AI1113" s="246">
        <v>2022</v>
      </c>
      <c r="AJ1113" s="6">
        <v>2022</v>
      </c>
      <c r="AV1113" s="2" t="e">
        <f t="shared" si="291"/>
        <v>#N/A</v>
      </c>
      <c r="CB1113" s="236"/>
    </row>
    <row r="1114" spans="1:80" ht="61.5" x14ac:dyDescent="0.85">
      <c r="A1114" s="2">
        <v>1</v>
      </c>
      <c r="B1114" s="18">
        <f>SUBTOTAL(103,$A$1006:A1114)</f>
        <v>106</v>
      </c>
      <c r="C1114" s="3" t="s">
        <v>1802</v>
      </c>
      <c r="D1114" s="5">
        <v>8452796.0600000005</v>
      </c>
      <c r="E1114" s="5">
        <f t="shared" si="285"/>
        <v>-120000</v>
      </c>
      <c r="F1114" s="5">
        <f t="shared" si="296"/>
        <v>8572796.0600000005</v>
      </c>
      <c r="G1114" s="5">
        <v>0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241">
        <v>4</v>
      </c>
      <c r="N1114" s="5">
        <v>8452796.0600000005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120000</v>
      </c>
      <c r="AG1114" s="5">
        <v>0</v>
      </c>
      <c r="AH1114" s="246">
        <v>2022</v>
      </c>
      <c r="AI1114" s="246">
        <v>2022</v>
      </c>
      <c r="AJ1114" s="6" t="s">
        <v>49</v>
      </c>
      <c r="AV1114" s="2" t="e">
        <f t="shared" si="291"/>
        <v>#N/A</v>
      </c>
      <c r="CB1114" s="236"/>
    </row>
    <row r="1115" spans="1:80" ht="61.5" x14ac:dyDescent="0.85">
      <c r="A1115" s="2">
        <v>1</v>
      </c>
      <c r="B1115" s="18">
        <f>SUBTOTAL(103,$A$1006:A1115)</f>
        <v>107</v>
      </c>
      <c r="C1115" s="3" t="s">
        <v>940</v>
      </c>
      <c r="D1115" s="5">
        <v>6961648</v>
      </c>
      <c r="E1115" s="5">
        <f t="shared" si="285"/>
        <v>-140000</v>
      </c>
      <c r="F1115" s="5">
        <f t="shared" si="296"/>
        <v>7101648</v>
      </c>
      <c r="G1115" s="5">
        <v>0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241">
        <v>0</v>
      </c>
      <c r="N1115" s="5">
        <v>0</v>
      </c>
      <c r="O1115" s="5">
        <v>1360</v>
      </c>
      <c r="P1115" s="5">
        <v>6858766.5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f>ROUND(P1115*1.5%,2)</f>
        <v>102881.5</v>
      </c>
      <c r="AF1115" s="5">
        <v>140000</v>
      </c>
      <c r="AG1115" s="5">
        <v>0</v>
      </c>
      <c r="AH1115" s="246">
        <v>2022</v>
      </c>
      <c r="AI1115" s="246">
        <v>2022</v>
      </c>
      <c r="AJ1115" s="6">
        <v>2022</v>
      </c>
      <c r="AV1115" s="2">
        <f t="shared" si="291"/>
        <v>1</v>
      </c>
      <c r="CB1115" s="236"/>
    </row>
    <row r="1116" spans="1:80" ht="61.5" x14ac:dyDescent="0.85">
      <c r="A1116" s="2">
        <v>1</v>
      </c>
      <c r="B1116" s="18">
        <f>SUBTOTAL(103,$A$1006:A1116)</f>
        <v>108</v>
      </c>
      <c r="C1116" s="3" t="s">
        <v>1803</v>
      </c>
      <c r="D1116" s="5">
        <v>3278948.1999999997</v>
      </c>
      <c r="E1116" s="5">
        <f t="shared" si="285"/>
        <v>-110000</v>
      </c>
      <c r="F1116" s="5">
        <f t="shared" si="296"/>
        <v>3388948.1999999997</v>
      </c>
      <c r="G1116" s="5">
        <v>0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241">
        <v>0</v>
      </c>
      <c r="N1116" s="5">
        <v>0</v>
      </c>
      <c r="O1116" s="5">
        <v>649</v>
      </c>
      <c r="P1116" s="5">
        <v>3230490.84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f>ROUND(P1116*1.5%,2)</f>
        <v>48457.36</v>
      </c>
      <c r="AF1116" s="5">
        <v>110000</v>
      </c>
      <c r="AG1116" s="5">
        <v>0</v>
      </c>
      <c r="AH1116" s="246">
        <v>2022</v>
      </c>
      <c r="AI1116" s="246">
        <v>2022</v>
      </c>
      <c r="AJ1116" s="6">
        <v>2022</v>
      </c>
      <c r="AV1116" s="2" t="e">
        <f t="shared" si="291"/>
        <v>#N/A</v>
      </c>
      <c r="CB1116" s="236"/>
    </row>
    <row r="1117" spans="1:80" ht="61.5" x14ac:dyDescent="0.85">
      <c r="A1117" s="2">
        <v>1</v>
      </c>
      <c r="B1117" s="18">
        <f>SUBTOTAL(103,$A$1006:A1117)</f>
        <v>109</v>
      </c>
      <c r="C1117" s="3" t="s">
        <v>1804</v>
      </c>
      <c r="D1117" s="5">
        <v>3336388</v>
      </c>
      <c r="E1117" s="5">
        <f t="shared" si="285"/>
        <v>-110000</v>
      </c>
      <c r="F1117" s="5">
        <f t="shared" si="296"/>
        <v>3446388</v>
      </c>
      <c r="G1117" s="5">
        <v>0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241">
        <v>0</v>
      </c>
      <c r="N1117" s="5">
        <v>0</v>
      </c>
      <c r="O1117" s="5">
        <v>660</v>
      </c>
      <c r="P1117" s="5">
        <v>3287081.77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f>ROUND(P1117*1.5%,2)</f>
        <v>49306.23</v>
      </c>
      <c r="AF1117" s="5">
        <v>110000</v>
      </c>
      <c r="AG1117" s="5">
        <v>0</v>
      </c>
      <c r="AH1117" s="246">
        <v>2022</v>
      </c>
      <c r="AI1117" s="246">
        <v>2022</v>
      </c>
      <c r="AJ1117" s="6">
        <v>2022</v>
      </c>
      <c r="AV1117" s="2" t="e">
        <f t="shared" si="291"/>
        <v>#N/A</v>
      </c>
      <c r="CB1117" s="236"/>
    </row>
    <row r="1118" spans="1:80" ht="61.5" x14ac:dyDescent="0.85">
      <c r="A1118" s="2">
        <v>1</v>
      </c>
      <c r="B1118" s="18">
        <f>SUBTOTAL(103,$A$1006:A1118)</f>
        <v>110</v>
      </c>
      <c r="C1118" s="3" t="s">
        <v>1805</v>
      </c>
      <c r="D1118" s="5">
        <v>2697058</v>
      </c>
      <c r="E1118" s="5">
        <f t="shared" si="285"/>
        <v>-130000</v>
      </c>
      <c r="F1118" s="5">
        <f t="shared" si="296"/>
        <v>2827058</v>
      </c>
      <c r="G1118" s="5">
        <v>0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241">
        <v>0</v>
      </c>
      <c r="N1118" s="5">
        <v>0</v>
      </c>
      <c r="O1118" s="5">
        <v>511</v>
      </c>
      <c r="P1118" s="5">
        <f>O1118*5200</f>
        <v>2657200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f>ROUND(P1118*1.5%,2)</f>
        <v>39858</v>
      </c>
      <c r="AF1118" s="5">
        <v>130000</v>
      </c>
      <c r="AG1118" s="5">
        <v>0</v>
      </c>
      <c r="AH1118" s="246">
        <v>2022</v>
      </c>
      <c r="AI1118" s="246">
        <v>2022</v>
      </c>
      <c r="AJ1118" s="6">
        <v>2022</v>
      </c>
      <c r="AV1118" s="2" t="e">
        <f t="shared" si="291"/>
        <v>#N/A</v>
      </c>
      <c r="CB1118" s="236"/>
    </row>
    <row r="1119" spans="1:80" ht="61.5" x14ac:dyDescent="0.85">
      <c r="A1119" s="2">
        <v>1</v>
      </c>
      <c r="B1119" s="18">
        <f>SUBTOTAL(103,$A$1006:A1119)</f>
        <v>111</v>
      </c>
      <c r="C1119" s="3" t="s">
        <v>1806</v>
      </c>
      <c r="D1119" s="5">
        <v>8460275.6699999981</v>
      </c>
      <c r="E1119" s="5">
        <f t="shared" si="285"/>
        <v>-200000</v>
      </c>
      <c r="F1119" s="5">
        <f t="shared" si="296"/>
        <v>8660275.6699999981</v>
      </c>
      <c r="G1119" s="5">
        <v>0</v>
      </c>
      <c r="H1119" s="5">
        <v>0</v>
      </c>
      <c r="I1119" s="5">
        <v>0</v>
      </c>
      <c r="J1119" s="5">
        <v>0</v>
      </c>
      <c r="K1119" s="5">
        <v>0</v>
      </c>
      <c r="L1119" s="5">
        <v>0</v>
      </c>
      <c r="M1119" s="241">
        <v>0</v>
      </c>
      <c r="N1119" s="5">
        <v>0</v>
      </c>
      <c r="O1119" s="5">
        <v>2047.5</v>
      </c>
      <c r="P1119" s="5">
        <f>10533631.03-3411405.54+1213021.48</f>
        <v>8335246.9699999988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f>ROUND(P1119*1.5%,2)</f>
        <v>125028.7</v>
      </c>
      <c r="AF1119" s="5">
        <v>200000</v>
      </c>
      <c r="AG1119" s="5">
        <v>0</v>
      </c>
      <c r="AH1119" s="246">
        <v>2022</v>
      </c>
      <c r="AI1119" s="246">
        <v>2022</v>
      </c>
      <c r="AJ1119" s="6">
        <v>2022</v>
      </c>
      <c r="AV1119" s="2" t="e">
        <f t="shared" si="291"/>
        <v>#N/A</v>
      </c>
      <c r="CB1119" s="236"/>
    </row>
    <row r="1120" spans="1:80" ht="61.5" x14ac:dyDescent="0.85">
      <c r="A1120" s="2">
        <v>1</v>
      </c>
      <c r="B1120" s="18">
        <f>SUBTOTAL(103,$A$1006:A1120)</f>
        <v>112</v>
      </c>
      <c r="C1120" s="3" t="s">
        <v>1475</v>
      </c>
      <c r="D1120" s="5">
        <v>1911891.6</v>
      </c>
      <c r="E1120" s="5">
        <f t="shared" si="285"/>
        <v>-80000</v>
      </c>
      <c r="F1120" s="5">
        <f t="shared" si="296"/>
        <v>1991891.6</v>
      </c>
      <c r="G1120" s="5">
        <v>0</v>
      </c>
      <c r="H1120" s="5">
        <v>0</v>
      </c>
      <c r="I1120" s="5">
        <v>0</v>
      </c>
      <c r="J1120" s="5">
        <v>0</v>
      </c>
      <c r="K1120" s="5">
        <v>0</v>
      </c>
      <c r="L1120" s="5">
        <v>0</v>
      </c>
      <c r="M1120" s="241">
        <v>0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360</v>
      </c>
      <c r="T1120" s="5">
        <v>1883637.04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f>ROUND(T1120*1.5%,2)</f>
        <v>28254.560000000001</v>
      </c>
      <c r="AF1120" s="5">
        <v>80000</v>
      </c>
      <c r="AG1120" s="5">
        <v>0</v>
      </c>
      <c r="AH1120" s="246">
        <v>2022</v>
      </c>
      <c r="AI1120" s="246">
        <v>2022</v>
      </c>
      <c r="AJ1120" s="6">
        <v>2022</v>
      </c>
      <c r="AV1120" s="2">
        <f t="shared" si="291"/>
        <v>1</v>
      </c>
      <c r="CB1120" s="236"/>
    </row>
    <row r="1121" spans="1:80" ht="61.5" x14ac:dyDescent="0.85">
      <c r="A1121" s="2">
        <v>1</v>
      </c>
      <c r="B1121" s="18">
        <f>SUBTOTAL(103,$A$1006:A1121)</f>
        <v>113</v>
      </c>
      <c r="C1121" s="3" t="s">
        <v>1807</v>
      </c>
      <c r="D1121" s="5">
        <v>1984284</v>
      </c>
      <c r="E1121" s="5">
        <f t="shared" si="285"/>
        <v>-100000</v>
      </c>
      <c r="F1121" s="5">
        <f t="shared" si="296"/>
        <v>2084284</v>
      </c>
      <c r="G1121" s="5">
        <v>0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241">
        <v>0</v>
      </c>
      <c r="N1121" s="5">
        <v>0</v>
      </c>
      <c r="O1121" s="5">
        <v>380</v>
      </c>
      <c r="P1121" s="5">
        <v>1954959.61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f>ROUND(P1121*1.5%,2)</f>
        <v>29324.39</v>
      </c>
      <c r="AF1121" s="5">
        <v>100000</v>
      </c>
      <c r="AG1121" s="5">
        <v>0</v>
      </c>
      <c r="AH1121" s="246">
        <v>2022</v>
      </c>
      <c r="AI1121" s="246">
        <v>2022</v>
      </c>
      <c r="AJ1121" s="6">
        <v>2022</v>
      </c>
      <c r="CB1121" s="236"/>
    </row>
    <row r="1122" spans="1:80" ht="61.5" x14ac:dyDescent="0.85">
      <c r="B1122" s="3" t="s">
        <v>1232</v>
      </c>
      <c r="C1122" s="442"/>
      <c r="D1122" s="244">
        <v>21856214.649999999</v>
      </c>
      <c r="E1122" s="233">
        <f t="shared" si="285"/>
        <v>0</v>
      </c>
      <c r="F1122" s="244">
        <f>SUM(F1123:F1124)</f>
        <v>21856214.649999999</v>
      </c>
      <c r="G1122" s="5">
        <f t="shared" ref="G1122:AG1122" si="297">SUM(G1123:G1124)</f>
        <v>564251.4</v>
      </c>
      <c r="H1122" s="5">
        <f t="shared" si="297"/>
        <v>1368969.5</v>
      </c>
      <c r="I1122" s="5">
        <f t="shared" si="297"/>
        <v>1773880.4000000001</v>
      </c>
      <c r="J1122" s="5">
        <f t="shared" si="297"/>
        <v>1005360.8</v>
      </c>
      <c r="K1122" s="5">
        <f t="shared" si="297"/>
        <v>2430648.5</v>
      </c>
      <c r="L1122" s="5">
        <f t="shared" si="297"/>
        <v>0</v>
      </c>
      <c r="M1122" s="241">
        <f t="shared" si="297"/>
        <v>0</v>
      </c>
      <c r="N1122" s="5">
        <f t="shared" si="297"/>
        <v>0</v>
      </c>
      <c r="O1122" s="5">
        <f t="shared" si="297"/>
        <v>0</v>
      </c>
      <c r="P1122" s="5">
        <f t="shared" si="297"/>
        <v>0</v>
      </c>
      <c r="Q1122" s="5">
        <f t="shared" si="297"/>
        <v>0</v>
      </c>
      <c r="R1122" s="5">
        <f t="shared" si="297"/>
        <v>0</v>
      </c>
      <c r="S1122" s="5">
        <f t="shared" si="297"/>
        <v>7025.9</v>
      </c>
      <c r="T1122" s="5">
        <f t="shared" si="297"/>
        <v>13897494.970000001</v>
      </c>
      <c r="U1122" s="5">
        <f t="shared" si="297"/>
        <v>0</v>
      </c>
      <c r="V1122" s="5">
        <f t="shared" si="297"/>
        <v>0</v>
      </c>
      <c r="W1122" s="5">
        <f t="shared" si="297"/>
        <v>0</v>
      </c>
      <c r="X1122" s="5">
        <f t="shared" si="297"/>
        <v>0</v>
      </c>
      <c r="Y1122" s="5">
        <f t="shared" si="297"/>
        <v>0</v>
      </c>
      <c r="Z1122" s="5">
        <f t="shared" si="297"/>
        <v>0</v>
      </c>
      <c r="AA1122" s="5">
        <f t="shared" si="297"/>
        <v>0</v>
      </c>
      <c r="AB1122" s="5">
        <f t="shared" si="297"/>
        <v>0</v>
      </c>
      <c r="AC1122" s="5">
        <f t="shared" si="297"/>
        <v>0</v>
      </c>
      <c r="AD1122" s="5">
        <f t="shared" si="297"/>
        <v>0</v>
      </c>
      <c r="AE1122" s="5">
        <f t="shared" si="297"/>
        <v>315609.08</v>
      </c>
      <c r="AF1122" s="5">
        <f t="shared" si="297"/>
        <v>500000</v>
      </c>
      <c r="AG1122" s="5">
        <f t="shared" si="297"/>
        <v>0</v>
      </c>
      <c r="AH1122" s="23" t="s">
        <v>90</v>
      </c>
      <c r="AI1122" s="23" t="s">
        <v>90</v>
      </c>
      <c r="AJ1122" s="27" t="s">
        <v>90</v>
      </c>
      <c r="AV1122" s="2" t="e">
        <f t="shared" ref="AV1122:AV1163" si="298">VLOOKUP(C1122,AY:AZ,2,FALSE)</f>
        <v>#N/A</v>
      </c>
      <c r="CB1122" s="236">
        <v>21856214.649999999</v>
      </c>
    </row>
    <row r="1123" spans="1:80" ht="61.5" x14ac:dyDescent="0.85">
      <c r="A1123" s="2">
        <v>1</v>
      </c>
      <c r="B1123" s="18">
        <f>SUBTOTAL(103,$A$1006:A1123)</f>
        <v>114</v>
      </c>
      <c r="C1123" s="3" t="s">
        <v>1808</v>
      </c>
      <c r="D1123" s="5">
        <v>7550257.2599999998</v>
      </c>
      <c r="E1123" s="5">
        <f t="shared" si="285"/>
        <v>0</v>
      </c>
      <c r="F1123" s="5">
        <f t="shared" ref="F1123:F1124" si="299">G1123+H1123+I1123+J1123+K1123+L1123+N1123+P1123+R1123+T1123+V1123+W1123+X1123+Y1123+Z1123+AA1123+AB1123+AC1123+AD1123+AE1123+AF1123+AG1123</f>
        <v>7550257.2599999998</v>
      </c>
      <c r="G1123" s="5">
        <v>564251.4</v>
      </c>
      <c r="H1123" s="5">
        <v>1368969.5</v>
      </c>
      <c r="I1123" s="5">
        <v>1773880.4000000001</v>
      </c>
      <c r="J1123" s="5">
        <v>1005360.8</v>
      </c>
      <c r="K1123" s="5">
        <v>2430648.5</v>
      </c>
      <c r="L1123" s="5">
        <v>0</v>
      </c>
      <c r="M1123" s="241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f>ROUND((G1123+H1123+I1123+J1123+K1123+L1123)*1.5%,2)</f>
        <v>107146.66</v>
      </c>
      <c r="AF1123" s="5">
        <v>300000</v>
      </c>
      <c r="AG1123" s="5">
        <v>0</v>
      </c>
      <c r="AH1123" s="246">
        <v>2022</v>
      </c>
      <c r="AI1123" s="246">
        <v>2022</v>
      </c>
      <c r="AJ1123" s="6">
        <v>2022</v>
      </c>
      <c r="AV1123" s="2" t="e">
        <f t="shared" si="298"/>
        <v>#N/A</v>
      </c>
      <c r="CB1123" s="236"/>
    </row>
    <row r="1124" spans="1:80" ht="61.5" x14ac:dyDescent="0.85">
      <c r="A1124" s="2">
        <v>1</v>
      </c>
      <c r="B1124" s="18">
        <f>SUBTOTAL(103,$A$1006:A1124)</f>
        <v>115</v>
      </c>
      <c r="C1124" s="3" t="s">
        <v>1809</v>
      </c>
      <c r="D1124" s="5">
        <v>14305957.390000001</v>
      </c>
      <c r="E1124" s="5">
        <f t="shared" si="285"/>
        <v>0</v>
      </c>
      <c r="F1124" s="5">
        <f t="shared" si="299"/>
        <v>14305957.390000001</v>
      </c>
      <c r="G1124" s="5">
        <v>0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241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7025.9</v>
      </c>
      <c r="T1124" s="5">
        <v>13897494.970000001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f>ROUND(T1124*1.5%,2)</f>
        <v>208462.42</v>
      </c>
      <c r="AF1124" s="5">
        <v>200000</v>
      </c>
      <c r="AG1124" s="5">
        <v>0</v>
      </c>
      <c r="AH1124" s="246">
        <v>2022</v>
      </c>
      <c r="AI1124" s="246">
        <v>2022</v>
      </c>
      <c r="AJ1124" s="6">
        <v>2022</v>
      </c>
      <c r="AV1124" s="2" t="e">
        <f t="shared" si="298"/>
        <v>#N/A</v>
      </c>
      <c r="CB1124" s="236"/>
    </row>
    <row r="1125" spans="1:80" ht="61.5" x14ac:dyDescent="0.85">
      <c r="B1125" s="3" t="s">
        <v>96</v>
      </c>
      <c r="C1125" s="442"/>
      <c r="D1125" s="244">
        <v>51599396.32</v>
      </c>
      <c r="E1125" s="233">
        <f t="shared" si="285"/>
        <v>0</v>
      </c>
      <c r="F1125" s="244">
        <f>SUM(F1126:F1133)</f>
        <v>51599396.32</v>
      </c>
      <c r="G1125" s="5">
        <f t="shared" ref="G1125:AG1125" si="300">SUM(G1126:G1133)</f>
        <v>0</v>
      </c>
      <c r="H1125" s="5">
        <f t="shared" si="300"/>
        <v>0</v>
      </c>
      <c r="I1125" s="5">
        <f t="shared" si="300"/>
        <v>0</v>
      </c>
      <c r="J1125" s="5">
        <f t="shared" si="300"/>
        <v>0</v>
      </c>
      <c r="K1125" s="5">
        <f t="shared" si="300"/>
        <v>0</v>
      </c>
      <c r="L1125" s="5">
        <f t="shared" si="300"/>
        <v>0</v>
      </c>
      <c r="M1125" s="241">
        <f t="shared" si="300"/>
        <v>0</v>
      </c>
      <c r="N1125" s="5">
        <f t="shared" si="300"/>
        <v>0</v>
      </c>
      <c r="O1125" s="5">
        <f t="shared" si="300"/>
        <v>8662.4</v>
      </c>
      <c r="P1125" s="5">
        <f t="shared" si="300"/>
        <v>42994075.339999996</v>
      </c>
      <c r="Q1125" s="5">
        <f t="shared" si="300"/>
        <v>0</v>
      </c>
      <c r="R1125" s="5">
        <f t="shared" si="300"/>
        <v>0</v>
      </c>
      <c r="S1125" s="5">
        <f t="shared" si="300"/>
        <v>0</v>
      </c>
      <c r="T1125" s="5">
        <f t="shared" si="300"/>
        <v>0</v>
      </c>
      <c r="U1125" s="5">
        <f t="shared" si="300"/>
        <v>209</v>
      </c>
      <c r="V1125" s="5">
        <f t="shared" si="300"/>
        <v>6571832.3700000001</v>
      </c>
      <c r="W1125" s="5">
        <f t="shared" si="300"/>
        <v>0</v>
      </c>
      <c r="X1125" s="5">
        <f t="shared" si="300"/>
        <v>0</v>
      </c>
      <c r="Y1125" s="5">
        <f t="shared" si="300"/>
        <v>0</v>
      </c>
      <c r="Z1125" s="5">
        <f t="shared" si="300"/>
        <v>0</v>
      </c>
      <c r="AA1125" s="5">
        <f t="shared" si="300"/>
        <v>0</v>
      </c>
      <c r="AB1125" s="5">
        <f t="shared" si="300"/>
        <v>0</v>
      </c>
      <c r="AC1125" s="5">
        <f t="shared" si="300"/>
        <v>0</v>
      </c>
      <c r="AD1125" s="5">
        <f t="shared" si="300"/>
        <v>0</v>
      </c>
      <c r="AE1125" s="5">
        <f t="shared" si="300"/>
        <v>743488.60999999987</v>
      </c>
      <c r="AF1125" s="5">
        <f t="shared" si="300"/>
        <v>1290000</v>
      </c>
      <c r="AG1125" s="5">
        <f t="shared" si="300"/>
        <v>0</v>
      </c>
      <c r="AH1125" s="23" t="s">
        <v>90</v>
      </c>
      <c r="AI1125" s="23" t="s">
        <v>90</v>
      </c>
      <c r="AJ1125" s="27" t="s">
        <v>90</v>
      </c>
      <c r="AV1125" s="2" t="e">
        <f t="shared" si="298"/>
        <v>#N/A</v>
      </c>
      <c r="CB1125" s="236">
        <v>51679396.32</v>
      </c>
    </row>
    <row r="1126" spans="1:80" ht="61.5" x14ac:dyDescent="0.85">
      <c r="A1126" s="2">
        <v>1</v>
      </c>
      <c r="B1126" s="18">
        <f>SUBTOTAL(103,$A$1006:A1126)</f>
        <v>116</v>
      </c>
      <c r="C1126" s="3" t="s">
        <v>1810</v>
      </c>
      <c r="D1126" s="5">
        <v>5121801</v>
      </c>
      <c r="E1126" s="5">
        <f t="shared" si="285"/>
        <v>0</v>
      </c>
      <c r="F1126" s="5">
        <f t="shared" ref="F1126:F1133" si="301">G1126+H1126+I1126+J1126+K1126+L1126+N1126+P1126+R1126+T1126+V1126+W1126+X1126+Y1126+Z1126+AA1126+AB1126+AC1126+AD1126+AE1126+AF1126+AG1126</f>
        <v>5121801</v>
      </c>
      <c r="G1126" s="249">
        <v>0</v>
      </c>
      <c r="H1126" s="249">
        <v>0</v>
      </c>
      <c r="I1126" s="249">
        <v>0</v>
      </c>
      <c r="J1126" s="249">
        <v>0</v>
      </c>
      <c r="K1126" s="249">
        <v>0</v>
      </c>
      <c r="L1126" s="249">
        <v>0</v>
      </c>
      <c r="M1126" s="257">
        <v>0</v>
      </c>
      <c r="N1126" s="249">
        <v>0</v>
      </c>
      <c r="O1126" s="5">
        <v>981</v>
      </c>
      <c r="P1126" s="5">
        <v>4898326.1100000003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f>ROUND(P1126*1.5%,2)</f>
        <v>73474.89</v>
      </c>
      <c r="AF1126" s="5">
        <v>150000</v>
      </c>
      <c r="AG1126" s="5">
        <v>0</v>
      </c>
      <c r="AH1126" s="246">
        <v>2022</v>
      </c>
      <c r="AI1126" s="246">
        <v>2022</v>
      </c>
      <c r="AJ1126" s="6">
        <v>2022</v>
      </c>
      <c r="AV1126" s="2" t="e">
        <f t="shared" si="298"/>
        <v>#N/A</v>
      </c>
      <c r="CB1126" s="236"/>
    </row>
    <row r="1127" spans="1:80" ht="61.5" x14ac:dyDescent="0.85">
      <c r="A1127" s="2">
        <v>1</v>
      </c>
      <c r="B1127" s="18">
        <f>SUBTOTAL(103,$A$1006:A1127)</f>
        <v>117</v>
      </c>
      <c r="C1127" s="3" t="s">
        <v>1811</v>
      </c>
      <c r="D1127" s="5">
        <v>8124000</v>
      </c>
      <c r="E1127" s="5">
        <f t="shared" ref="E1127:E1190" si="302">D1127-F1127</f>
        <v>0</v>
      </c>
      <c r="F1127" s="5">
        <f t="shared" si="301"/>
        <v>8124000</v>
      </c>
      <c r="G1127" s="249">
        <v>0</v>
      </c>
      <c r="H1127" s="249">
        <v>0</v>
      </c>
      <c r="I1127" s="249">
        <v>0</v>
      </c>
      <c r="J1127" s="249">
        <v>0</v>
      </c>
      <c r="K1127" s="249">
        <v>0</v>
      </c>
      <c r="L1127" s="249">
        <v>0</v>
      </c>
      <c r="M1127" s="257">
        <v>0</v>
      </c>
      <c r="N1127" s="249">
        <v>0</v>
      </c>
      <c r="O1127" s="5">
        <v>1692.5</v>
      </c>
      <c r="P1127" s="5">
        <v>7826600.9900000002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f>ROUND(P1127*1.5%,2)</f>
        <v>117399.01</v>
      </c>
      <c r="AF1127" s="5">
        <v>180000</v>
      </c>
      <c r="AG1127" s="5">
        <v>0</v>
      </c>
      <c r="AH1127" s="246">
        <v>2022</v>
      </c>
      <c r="AI1127" s="246">
        <v>2022</v>
      </c>
      <c r="AJ1127" s="6">
        <v>2022</v>
      </c>
      <c r="AV1127" s="2" t="e">
        <f t="shared" si="298"/>
        <v>#N/A</v>
      </c>
      <c r="CB1127" s="236"/>
    </row>
    <row r="1128" spans="1:80" ht="61.5" x14ac:dyDescent="0.85">
      <c r="A1128" s="2">
        <v>1</v>
      </c>
      <c r="B1128" s="18">
        <f>SUBTOTAL(103,$A$1006:A1128)</f>
        <v>118</v>
      </c>
      <c r="C1128" s="3" t="s">
        <v>1812</v>
      </c>
      <c r="D1128" s="5">
        <v>4662041.0599999996</v>
      </c>
      <c r="E1128" s="5">
        <f t="shared" si="302"/>
        <v>0</v>
      </c>
      <c r="F1128" s="5">
        <f t="shared" si="301"/>
        <v>4662041.0599999996</v>
      </c>
      <c r="G1128" s="249">
        <v>0</v>
      </c>
      <c r="H1128" s="249">
        <v>0</v>
      </c>
      <c r="I1128" s="249">
        <v>0</v>
      </c>
      <c r="J1128" s="249">
        <v>0</v>
      </c>
      <c r="K1128" s="249">
        <v>0</v>
      </c>
      <c r="L1128" s="249">
        <v>0</v>
      </c>
      <c r="M1128" s="257">
        <v>0</v>
      </c>
      <c r="N1128" s="249">
        <v>0</v>
      </c>
      <c r="O1128" s="5">
        <v>650</v>
      </c>
      <c r="P1128" s="5">
        <f>4474917.3-29556.65</f>
        <v>4445360.6499999994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f>ROUND(P1128*1.5%,2)</f>
        <v>66680.41</v>
      </c>
      <c r="AF1128" s="5">
        <v>150000</v>
      </c>
      <c r="AG1128" s="5">
        <v>0</v>
      </c>
      <c r="AH1128" s="246">
        <v>2022</v>
      </c>
      <c r="AI1128" s="246">
        <v>2022</v>
      </c>
      <c r="AJ1128" s="6">
        <v>2022</v>
      </c>
      <c r="AV1128" s="2" t="e">
        <f t="shared" si="298"/>
        <v>#N/A</v>
      </c>
      <c r="CB1128" s="236"/>
    </row>
    <row r="1129" spans="1:80" ht="61.5" x14ac:dyDescent="0.85">
      <c r="A1129" s="2">
        <v>1</v>
      </c>
      <c r="B1129" s="18">
        <f>SUBTOTAL(103,$A$1006:A1129)</f>
        <v>119</v>
      </c>
      <c r="C1129" s="3" t="s">
        <v>1813</v>
      </c>
      <c r="D1129" s="5">
        <v>9052752</v>
      </c>
      <c r="E1129" s="5">
        <f t="shared" si="302"/>
        <v>0</v>
      </c>
      <c r="F1129" s="5">
        <f t="shared" si="301"/>
        <v>9052752</v>
      </c>
      <c r="G1129" s="249">
        <v>0</v>
      </c>
      <c r="H1129" s="249">
        <v>0</v>
      </c>
      <c r="I1129" s="249">
        <v>0</v>
      </c>
      <c r="J1129" s="249">
        <v>0</v>
      </c>
      <c r="K1129" s="249">
        <v>0</v>
      </c>
      <c r="L1129" s="249">
        <v>0</v>
      </c>
      <c r="M1129" s="257">
        <v>0</v>
      </c>
      <c r="N1129" s="249">
        <v>0</v>
      </c>
      <c r="O1129" s="5">
        <v>1812</v>
      </c>
      <c r="P1129" s="5">
        <v>8741627.5899999999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f>ROUND(P1129*1.5%,2)</f>
        <v>131124.41</v>
      </c>
      <c r="AF1129" s="5">
        <v>180000</v>
      </c>
      <c r="AG1129" s="5">
        <v>0</v>
      </c>
      <c r="AH1129" s="246">
        <v>2022</v>
      </c>
      <c r="AI1129" s="246">
        <v>2022</v>
      </c>
      <c r="AJ1129" s="6">
        <v>2022</v>
      </c>
      <c r="AV1129" s="2" t="e">
        <f t="shared" si="298"/>
        <v>#N/A</v>
      </c>
      <c r="CB1129" s="236"/>
    </row>
    <row r="1130" spans="1:80" ht="61.5" x14ac:dyDescent="0.85">
      <c r="A1130" s="2">
        <v>1</v>
      </c>
      <c r="B1130" s="18">
        <f>SUBTOTAL(103,$A$1006:A1130)</f>
        <v>120</v>
      </c>
      <c r="C1130" s="3" t="s">
        <v>1814</v>
      </c>
      <c r="D1130" s="5">
        <v>6820409.8600000003</v>
      </c>
      <c r="E1130" s="5">
        <f t="shared" si="302"/>
        <v>0</v>
      </c>
      <c r="F1130" s="5">
        <f t="shared" si="301"/>
        <v>6820409.8600000003</v>
      </c>
      <c r="G1130" s="249">
        <v>0</v>
      </c>
      <c r="H1130" s="249">
        <v>0</v>
      </c>
      <c r="I1130" s="249">
        <v>0</v>
      </c>
      <c r="J1130" s="249">
        <v>0</v>
      </c>
      <c r="K1130" s="249">
        <v>0</v>
      </c>
      <c r="L1130" s="249">
        <v>0</v>
      </c>
      <c r="M1130" s="257">
        <v>0</v>
      </c>
      <c r="N1130" s="249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209</v>
      </c>
      <c r="V1130" s="5">
        <v>6571832.3700000001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f>ROUND(V1130*1.5%,2)</f>
        <v>98577.49</v>
      </c>
      <c r="AF1130" s="5">
        <v>150000</v>
      </c>
      <c r="AG1130" s="5">
        <v>0</v>
      </c>
      <c r="AH1130" s="246">
        <v>2022</v>
      </c>
      <c r="AI1130" s="246">
        <v>2022</v>
      </c>
      <c r="AJ1130" s="6">
        <v>2022</v>
      </c>
      <c r="AV1130" s="2" t="e">
        <f t="shared" si="298"/>
        <v>#N/A</v>
      </c>
      <c r="CB1130" s="236"/>
    </row>
    <row r="1131" spans="1:80" ht="61.5" x14ac:dyDescent="0.85">
      <c r="A1131" s="2">
        <v>1</v>
      </c>
      <c r="B1131" s="18">
        <f>SUBTOTAL(103,$A$1006:A1131)</f>
        <v>121</v>
      </c>
      <c r="C1131" s="3" t="s">
        <v>1815</v>
      </c>
      <c r="D1131" s="5">
        <v>9102212.3999999985</v>
      </c>
      <c r="E1131" s="5">
        <f t="shared" si="302"/>
        <v>0</v>
      </c>
      <c r="F1131" s="5">
        <f t="shared" si="301"/>
        <v>9102212.3999999985</v>
      </c>
      <c r="G1131" s="249">
        <v>0</v>
      </c>
      <c r="H1131" s="249">
        <v>0</v>
      </c>
      <c r="I1131" s="249">
        <v>0</v>
      </c>
      <c r="J1131" s="249">
        <v>0</v>
      </c>
      <c r="K1131" s="249">
        <v>0</v>
      </c>
      <c r="L1131" s="249">
        <v>0</v>
      </c>
      <c r="M1131" s="257">
        <v>0</v>
      </c>
      <c r="N1131" s="249">
        <v>0</v>
      </c>
      <c r="O1131" s="5">
        <v>1821.9</v>
      </c>
      <c r="P1131" s="5">
        <v>8790357.0399999991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f>ROUND(P1131*1.5%,2)</f>
        <v>131855.35999999999</v>
      </c>
      <c r="AF1131" s="5">
        <v>180000</v>
      </c>
      <c r="AG1131" s="5">
        <v>0</v>
      </c>
      <c r="AH1131" s="246">
        <v>2022</v>
      </c>
      <c r="AI1131" s="246">
        <v>2022</v>
      </c>
      <c r="AJ1131" s="6">
        <v>2022</v>
      </c>
      <c r="AV1131" s="2" t="e">
        <f t="shared" si="298"/>
        <v>#N/A</v>
      </c>
      <c r="CB1131" s="236"/>
    </row>
    <row r="1132" spans="1:80" ht="61.5" x14ac:dyDescent="0.85">
      <c r="A1132" s="2">
        <v>1</v>
      </c>
      <c r="B1132" s="18">
        <f>SUBTOTAL(103,$A$1006:A1132)</f>
        <v>122</v>
      </c>
      <c r="C1132" s="3" t="s">
        <v>1816</v>
      </c>
      <c r="D1132" s="5">
        <v>4594480</v>
      </c>
      <c r="E1132" s="5">
        <f t="shared" si="302"/>
        <v>0</v>
      </c>
      <c r="F1132" s="5">
        <f t="shared" si="301"/>
        <v>4594480</v>
      </c>
      <c r="G1132" s="249">
        <v>0</v>
      </c>
      <c r="H1132" s="249">
        <v>0</v>
      </c>
      <c r="I1132" s="249">
        <v>0</v>
      </c>
      <c r="J1132" s="249">
        <v>0</v>
      </c>
      <c r="K1132" s="249">
        <v>0</v>
      </c>
      <c r="L1132" s="249">
        <v>0</v>
      </c>
      <c r="M1132" s="257">
        <v>0</v>
      </c>
      <c r="N1132" s="249">
        <v>0</v>
      </c>
      <c r="O1132" s="5">
        <v>880</v>
      </c>
      <c r="P1132" s="5">
        <v>4378798.03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f>ROUND(P1132*1.5%,2)</f>
        <v>65681.97</v>
      </c>
      <c r="AF1132" s="5">
        <v>150000</v>
      </c>
      <c r="AG1132" s="5">
        <v>0</v>
      </c>
      <c r="AH1132" s="246">
        <v>2022</v>
      </c>
      <c r="AI1132" s="246">
        <v>2022</v>
      </c>
      <c r="AJ1132" s="6">
        <v>2022</v>
      </c>
      <c r="AV1132" s="2" t="e">
        <f t="shared" si="298"/>
        <v>#N/A</v>
      </c>
      <c r="CB1132" s="236"/>
    </row>
    <row r="1133" spans="1:80" ht="61.5" x14ac:dyDescent="0.85">
      <c r="A1133" s="2">
        <v>1</v>
      </c>
      <c r="B1133" s="18">
        <f>SUBTOTAL(103,$A$1006:A1133)</f>
        <v>123</v>
      </c>
      <c r="C1133" s="3" t="s">
        <v>1817</v>
      </c>
      <c r="D1133" s="5">
        <v>4121700</v>
      </c>
      <c r="E1133" s="5">
        <f t="shared" si="302"/>
        <v>0</v>
      </c>
      <c r="F1133" s="5">
        <f t="shared" si="301"/>
        <v>4121700</v>
      </c>
      <c r="G1133" s="249">
        <v>0</v>
      </c>
      <c r="H1133" s="249">
        <v>0</v>
      </c>
      <c r="I1133" s="249">
        <v>0</v>
      </c>
      <c r="J1133" s="249">
        <v>0</v>
      </c>
      <c r="K1133" s="249">
        <v>0</v>
      </c>
      <c r="L1133" s="249">
        <v>0</v>
      </c>
      <c r="M1133" s="257">
        <v>0</v>
      </c>
      <c r="N1133" s="249">
        <v>0</v>
      </c>
      <c r="O1133" s="5">
        <v>825</v>
      </c>
      <c r="P1133" s="5">
        <v>3913004.93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f>ROUND(P1133*1.5%,2)</f>
        <v>58695.07</v>
      </c>
      <c r="AF1133" s="5">
        <v>150000</v>
      </c>
      <c r="AG1133" s="5">
        <v>0</v>
      </c>
      <c r="AH1133" s="246">
        <v>2022</v>
      </c>
      <c r="AI1133" s="246">
        <v>2022</v>
      </c>
      <c r="AJ1133" s="6">
        <v>2022</v>
      </c>
      <c r="AV1133" s="2" t="e">
        <f t="shared" si="298"/>
        <v>#N/A</v>
      </c>
      <c r="CB1133" s="236"/>
    </row>
    <row r="1134" spans="1:80" ht="61.5" x14ac:dyDescent="0.85">
      <c r="B1134" s="3" t="s">
        <v>97</v>
      </c>
      <c r="C1134" s="3"/>
      <c r="D1134" s="244">
        <v>5663822.2999999998</v>
      </c>
      <c r="E1134" s="233">
        <f t="shared" si="302"/>
        <v>0</v>
      </c>
      <c r="F1134" s="244">
        <f t="shared" ref="F1134:AG1134" si="303">SUM(F1135:F1136)</f>
        <v>5663822.2999999998</v>
      </c>
      <c r="G1134" s="5">
        <f t="shared" si="303"/>
        <v>0</v>
      </c>
      <c r="H1134" s="5">
        <f t="shared" si="303"/>
        <v>0</v>
      </c>
      <c r="I1134" s="5">
        <f t="shared" si="303"/>
        <v>0</v>
      </c>
      <c r="J1134" s="5">
        <f t="shared" si="303"/>
        <v>0</v>
      </c>
      <c r="K1134" s="5">
        <f t="shared" si="303"/>
        <v>0</v>
      </c>
      <c r="L1134" s="5">
        <f t="shared" si="303"/>
        <v>0</v>
      </c>
      <c r="M1134" s="241">
        <f t="shared" si="303"/>
        <v>0</v>
      </c>
      <c r="N1134" s="5">
        <f t="shared" si="303"/>
        <v>0</v>
      </c>
      <c r="O1134" s="5">
        <f t="shared" si="303"/>
        <v>1121.3</v>
      </c>
      <c r="P1134" s="5">
        <f t="shared" si="303"/>
        <v>5314110.6400000006</v>
      </c>
      <c r="Q1134" s="5">
        <f t="shared" si="303"/>
        <v>0</v>
      </c>
      <c r="R1134" s="5">
        <f t="shared" si="303"/>
        <v>0</v>
      </c>
      <c r="S1134" s="5">
        <f t="shared" si="303"/>
        <v>0</v>
      </c>
      <c r="T1134" s="5">
        <f t="shared" si="303"/>
        <v>0</v>
      </c>
      <c r="U1134" s="5">
        <f t="shared" si="303"/>
        <v>0</v>
      </c>
      <c r="V1134" s="5">
        <f t="shared" si="303"/>
        <v>0</v>
      </c>
      <c r="W1134" s="5">
        <f t="shared" si="303"/>
        <v>0</v>
      </c>
      <c r="X1134" s="5">
        <f t="shared" si="303"/>
        <v>0</v>
      </c>
      <c r="Y1134" s="5">
        <f t="shared" si="303"/>
        <v>0</v>
      </c>
      <c r="Z1134" s="5">
        <f t="shared" si="303"/>
        <v>0</v>
      </c>
      <c r="AA1134" s="5">
        <f t="shared" si="303"/>
        <v>0</v>
      </c>
      <c r="AB1134" s="5">
        <f t="shared" si="303"/>
        <v>0</v>
      </c>
      <c r="AC1134" s="5">
        <f t="shared" si="303"/>
        <v>0</v>
      </c>
      <c r="AD1134" s="5">
        <f t="shared" si="303"/>
        <v>0</v>
      </c>
      <c r="AE1134" s="5">
        <f t="shared" si="303"/>
        <v>79711.66</v>
      </c>
      <c r="AF1134" s="5">
        <f t="shared" si="303"/>
        <v>270000</v>
      </c>
      <c r="AG1134" s="5">
        <f t="shared" si="303"/>
        <v>0</v>
      </c>
      <c r="AH1134" s="23" t="s">
        <v>90</v>
      </c>
      <c r="AI1134" s="23" t="s">
        <v>90</v>
      </c>
      <c r="AJ1134" s="27" t="s">
        <v>90</v>
      </c>
      <c r="AV1134" s="2" t="e">
        <f t="shared" si="298"/>
        <v>#N/A</v>
      </c>
      <c r="CB1134" s="236">
        <v>9890638.1399999987</v>
      </c>
    </row>
    <row r="1135" spans="1:80" ht="61.5" x14ac:dyDescent="0.85">
      <c r="A1135" s="2">
        <v>1</v>
      </c>
      <c r="B1135" s="18">
        <f>SUBTOTAL(103,$A$1006:A1135)</f>
        <v>124</v>
      </c>
      <c r="C1135" s="3" t="s">
        <v>1818</v>
      </c>
      <c r="D1135" s="5">
        <v>4229613.5999999996</v>
      </c>
      <c r="E1135" s="5">
        <f t="shared" si="302"/>
        <v>0</v>
      </c>
      <c r="F1135" s="5">
        <f t="shared" ref="F1135:F1136" si="304">G1135+H1135+I1135+J1135+K1135+L1135+N1135+P1135+R1135+T1135+V1135+W1135+X1135+Y1135+Z1135+AA1135+AB1135+AC1135+AD1135+AE1135+AF1135+AG1135</f>
        <v>4229613.5999999996</v>
      </c>
      <c r="G1135" s="249">
        <v>0</v>
      </c>
      <c r="H1135" s="249">
        <v>0</v>
      </c>
      <c r="I1135" s="249">
        <v>0</v>
      </c>
      <c r="J1135" s="249">
        <v>0</v>
      </c>
      <c r="K1135" s="249">
        <v>0</v>
      </c>
      <c r="L1135" s="249">
        <v>0</v>
      </c>
      <c r="M1135" s="257">
        <v>0</v>
      </c>
      <c r="N1135" s="249">
        <v>0</v>
      </c>
      <c r="O1135" s="5">
        <v>846.6</v>
      </c>
      <c r="P1135" s="5">
        <v>4019323.74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f>ROUND(P1135*1.5%,2)</f>
        <v>60289.86</v>
      </c>
      <c r="AF1135" s="5">
        <v>150000</v>
      </c>
      <c r="AG1135" s="5">
        <v>0</v>
      </c>
      <c r="AH1135" s="246">
        <v>2022</v>
      </c>
      <c r="AI1135" s="246">
        <v>2022</v>
      </c>
      <c r="AJ1135" s="6">
        <v>2022</v>
      </c>
      <c r="AV1135" s="2" t="e">
        <f t="shared" si="298"/>
        <v>#N/A</v>
      </c>
      <c r="CB1135" s="236"/>
    </row>
    <row r="1136" spans="1:80" ht="61.5" x14ac:dyDescent="0.85">
      <c r="A1136" s="2">
        <v>1</v>
      </c>
      <c r="B1136" s="18">
        <f>SUBTOTAL(103,$A$1006:A1136)</f>
        <v>125</v>
      </c>
      <c r="C1136" s="3" t="s">
        <v>1819</v>
      </c>
      <c r="D1136" s="5">
        <v>1434208.7</v>
      </c>
      <c r="E1136" s="5">
        <f t="shared" si="302"/>
        <v>0</v>
      </c>
      <c r="F1136" s="5">
        <f t="shared" si="304"/>
        <v>1434208.7</v>
      </c>
      <c r="G1136" s="249">
        <v>0</v>
      </c>
      <c r="H1136" s="249">
        <v>0</v>
      </c>
      <c r="I1136" s="249">
        <v>0</v>
      </c>
      <c r="J1136" s="249">
        <v>0</v>
      </c>
      <c r="K1136" s="249">
        <v>0</v>
      </c>
      <c r="L1136" s="249">
        <v>0</v>
      </c>
      <c r="M1136" s="257">
        <v>0</v>
      </c>
      <c r="N1136" s="249">
        <v>0</v>
      </c>
      <c r="O1136" s="5">
        <v>274.7</v>
      </c>
      <c r="P1136" s="5">
        <v>1294786.8999999999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f>ROUND(P1136*1.5%,2)</f>
        <v>19421.8</v>
      </c>
      <c r="AF1136" s="5">
        <v>120000</v>
      </c>
      <c r="AG1136" s="5">
        <v>0</v>
      </c>
      <c r="AH1136" s="246">
        <v>2022</v>
      </c>
      <c r="AI1136" s="246">
        <v>2022</v>
      </c>
      <c r="AJ1136" s="6">
        <v>2022</v>
      </c>
      <c r="AV1136" s="2" t="e">
        <f t="shared" si="298"/>
        <v>#N/A</v>
      </c>
      <c r="CB1136" s="236"/>
    </row>
    <row r="1137" spans="1:84" ht="61.5" x14ac:dyDescent="0.85">
      <c r="B1137" s="3" t="s">
        <v>1252</v>
      </c>
      <c r="C1137" s="3"/>
      <c r="D1137" s="244">
        <v>11422752.699999999</v>
      </c>
      <c r="E1137" s="233">
        <f t="shared" si="302"/>
        <v>1778280.2999999989</v>
      </c>
      <c r="F1137" s="244">
        <f>SUM(F1138:F1140)</f>
        <v>9644472.4000000004</v>
      </c>
      <c r="G1137" s="5">
        <f t="shared" ref="G1137:AG1137" si="305">SUM(G1138:G1140)</f>
        <v>0</v>
      </c>
      <c r="H1137" s="5">
        <f t="shared" si="305"/>
        <v>0</v>
      </c>
      <c r="I1137" s="5">
        <f t="shared" si="305"/>
        <v>3881891.1399999997</v>
      </c>
      <c r="J1137" s="5">
        <f t="shared" si="305"/>
        <v>257678.05</v>
      </c>
      <c r="K1137" s="5">
        <f t="shared" si="305"/>
        <v>0</v>
      </c>
      <c r="L1137" s="5">
        <f t="shared" si="305"/>
        <v>0</v>
      </c>
      <c r="M1137" s="241">
        <f t="shared" si="305"/>
        <v>0</v>
      </c>
      <c r="N1137" s="5">
        <f t="shared" si="305"/>
        <v>0</v>
      </c>
      <c r="O1137" s="5">
        <f t="shared" si="305"/>
        <v>1654.78</v>
      </c>
      <c r="P1137" s="5">
        <f t="shared" si="305"/>
        <v>4820502.1399999997</v>
      </c>
      <c r="Q1137" s="5">
        <f t="shared" si="305"/>
        <v>0</v>
      </c>
      <c r="R1137" s="5">
        <f t="shared" si="305"/>
        <v>0</v>
      </c>
      <c r="S1137" s="5">
        <f t="shared" si="305"/>
        <v>0</v>
      </c>
      <c r="T1137" s="5">
        <f t="shared" si="305"/>
        <v>0</v>
      </c>
      <c r="U1137" s="5">
        <f t="shared" si="305"/>
        <v>0</v>
      </c>
      <c r="V1137" s="5">
        <f t="shared" si="305"/>
        <v>0</v>
      </c>
      <c r="W1137" s="5">
        <f t="shared" si="305"/>
        <v>0</v>
      </c>
      <c r="X1137" s="5">
        <f t="shared" si="305"/>
        <v>0</v>
      </c>
      <c r="Y1137" s="5">
        <f t="shared" si="305"/>
        <v>0</v>
      </c>
      <c r="Z1137" s="5">
        <f t="shared" si="305"/>
        <v>0</v>
      </c>
      <c r="AA1137" s="5">
        <f t="shared" si="305"/>
        <v>0</v>
      </c>
      <c r="AB1137" s="5">
        <f t="shared" si="305"/>
        <v>0</v>
      </c>
      <c r="AC1137" s="5">
        <f t="shared" si="305"/>
        <v>0</v>
      </c>
      <c r="AD1137" s="5">
        <f t="shared" si="305"/>
        <v>0</v>
      </c>
      <c r="AE1137" s="5">
        <f t="shared" si="305"/>
        <v>134401.07</v>
      </c>
      <c r="AF1137" s="5">
        <f t="shared" si="305"/>
        <v>550000</v>
      </c>
      <c r="AG1137" s="5">
        <f t="shared" si="305"/>
        <v>0</v>
      </c>
      <c r="AH1137" s="23" t="s">
        <v>90</v>
      </c>
      <c r="AI1137" s="23" t="s">
        <v>90</v>
      </c>
      <c r="AJ1137" s="27" t="s">
        <v>90</v>
      </c>
      <c r="AV1137" s="2" t="e">
        <f t="shared" si="298"/>
        <v>#N/A</v>
      </c>
      <c r="CB1137" s="236">
        <v>11422752.699999999</v>
      </c>
    </row>
    <row r="1138" spans="1:84" ht="61.5" x14ac:dyDescent="0.85">
      <c r="A1138" s="2">
        <v>1</v>
      </c>
      <c r="B1138" s="18">
        <f>SUBTOTAL(103,$A$1006:A1138)</f>
        <v>126</v>
      </c>
      <c r="C1138" s="3" t="s">
        <v>1820</v>
      </c>
      <c r="D1138" s="5">
        <v>4240119.51</v>
      </c>
      <c r="E1138" s="5">
        <f t="shared" si="302"/>
        <v>0</v>
      </c>
      <c r="F1138" s="5">
        <f t="shared" ref="F1138:F1140" si="306">G1138+H1138+I1138+J1138+K1138+L1138+N1138+P1138+R1138+T1138+V1138+W1138+X1138+Y1138+Z1138+AA1138+AB1138+AC1138+AD1138+AE1138+AF1138+AG1138</f>
        <v>4240119.51</v>
      </c>
      <c r="G1138" s="249">
        <v>0</v>
      </c>
      <c r="H1138" s="249">
        <v>0</v>
      </c>
      <c r="I1138" s="5">
        <v>3881891.1399999997</v>
      </c>
      <c r="J1138" s="249">
        <v>0</v>
      </c>
      <c r="K1138" s="249">
        <v>0</v>
      </c>
      <c r="L1138" s="249">
        <v>0</v>
      </c>
      <c r="M1138" s="257">
        <v>0</v>
      </c>
      <c r="N1138" s="249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f>ROUND((G1138+H1138+I1138+J1138+K1138+L1138)*1.5%,2)</f>
        <v>58228.37</v>
      </c>
      <c r="AF1138" s="5">
        <v>300000</v>
      </c>
      <c r="AG1138" s="5">
        <v>0</v>
      </c>
      <c r="AH1138" s="246">
        <v>2022</v>
      </c>
      <c r="AI1138" s="246">
        <v>2022</v>
      </c>
      <c r="AJ1138" s="6">
        <v>2022</v>
      </c>
      <c r="AV1138" s="2" t="e">
        <f t="shared" si="298"/>
        <v>#N/A</v>
      </c>
      <c r="CB1138" s="236"/>
    </row>
    <row r="1139" spans="1:84" ht="61.5" x14ac:dyDescent="0.85">
      <c r="A1139" s="2">
        <v>1</v>
      </c>
      <c r="B1139" s="18">
        <f>SUBTOTAL(103,$A$1006:A1139)</f>
        <v>127</v>
      </c>
      <c r="C1139" s="3" t="s">
        <v>1821</v>
      </c>
      <c r="D1139" s="5"/>
      <c r="E1139" s="5">
        <f t="shared" si="302"/>
        <v>-5042809.67</v>
      </c>
      <c r="F1139" s="5">
        <f t="shared" si="306"/>
        <v>5042809.67</v>
      </c>
      <c r="G1139" s="249">
        <v>0</v>
      </c>
      <c r="H1139" s="249">
        <v>0</v>
      </c>
      <c r="I1139" s="5">
        <v>0</v>
      </c>
      <c r="J1139" s="249">
        <v>0</v>
      </c>
      <c r="K1139" s="249">
        <v>0</v>
      </c>
      <c r="L1139" s="249">
        <v>0</v>
      </c>
      <c r="M1139" s="257">
        <v>0</v>
      </c>
      <c r="N1139" s="249">
        <v>0</v>
      </c>
      <c r="O1139" s="5">
        <v>1654.78</v>
      </c>
      <c r="P1139" s="5">
        <v>4820502.1399999997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f>ROUND(P1139*1.5%,2)</f>
        <v>72307.53</v>
      </c>
      <c r="AF1139" s="5">
        <v>150000</v>
      </c>
      <c r="AG1139" s="5">
        <v>0</v>
      </c>
      <c r="AH1139" s="246">
        <v>2022</v>
      </c>
      <c r="AI1139" s="246">
        <v>2022</v>
      </c>
      <c r="AJ1139" s="6">
        <v>2022</v>
      </c>
      <c r="AV1139" s="2" t="e">
        <f t="shared" si="298"/>
        <v>#N/A</v>
      </c>
      <c r="CB1139" s="236"/>
      <c r="CF1139" s="2" t="e">
        <f>VLOOKUP(C1139,CG:CH,2,FALSE)</f>
        <v>#N/A</v>
      </c>
    </row>
    <row r="1140" spans="1:84" ht="61.5" x14ac:dyDescent="0.85">
      <c r="A1140" s="2">
        <v>1</v>
      </c>
      <c r="B1140" s="18">
        <f>SUBTOTAL(103,$A$1006:A1140)</f>
        <v>128</v>
      </c>
      <c r="C1140" s="3" t="s">
        <v>1822</v>
      </c>
      <c r="D1140" s="5"/>
      <c r="E1140" s="5">
        <f t="shared" si="302"/>
        <v>-361543.22</v>
      </c>
      <c r="F1140" s="5">
        <f t="shared" si="306"/>
        <v>361543.22</v>
      </c>
      <c r="G1140" s="249">
        <v>0</v>
      </c>
      <c r="H1140" s="249">
        <v>0</v>
      </c>
      <c r="I1140" s="5">
        <v>0</v>
      </c>
      <c r="J1140" s="249">
        <v>257678.05</v>
      </c>
      <c r="K1140" s="249">
        <v>0</v>
      </c>
      <c r="L1140" s="249">
        <v>0</v>
      </c>
      <c r="M1140" s="257">
        <v>0</v>
      </c>
      <c r="N1140" s="249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f>ROUND(J1140*1.5%,2)</f>
        <v>3865.17</v>
      </c>
      <c r="AF1140" s="5">
        <v>100000</v>
      </c>
      <c r="AG1140" s="5">
        <v>0</v>
      </c>
      <c r="AH1140" s="246">
        <v>2022</v>
      </c>
      <c r="AI1140" s="246">
        <v>2022</v>
      </c>
      <c r="AJ1140" s="6">
        <v>2022</v>
      </c>
      <c r="AV1140" s="2" t="e">
        <f t="shared" si="298"/>
        <v>#N/A</v>
      </c>
      <c r="CB1140" s="236"/>
      <c r="CF1140" s="2" t="e">
        <f>VLOOKUP(C1140,CG:CH,2,FALSE)</f>
        <v>#N/A</v>
      </c>
    </row>
    <row r="1141" spans="1:84" ht="61.5" x14ac:dyDescent="0.85">
      <c r="B1141" s="3" t="s">
        <v>1258</v>
      </c>
      <c r="C1141" s="3"/>
      <c r="D1141" s="244">
        <v>8756823</v>
      </c>
      <c r="E1141" s="233">
        <f t="shared" si="302"/>
        <v>0</v>
      </c>
      <c r="F1141" s="244">
        <f>F1142+F1143</f>
        <v>8756823</v>
      </c>
      <c r="G1141" s="5">
        <f t="shared" ref="G1141:AG1141" si="307">G1142+G1143</f>
        <v>0</v>
      </c>
      <c r="H1141" s="5">
        <f t="shared" si="307"/>
        <v>0</v>
      </c>
      <c r="I1141" s="5">
        <f t="shared" si="307"/>
        <v>0</v>
      </c>
      <c r="J1141" s="5">
        <f t="shared" si="307"/>
        <v>0</v>
      </c>
      <c r="K1141" s="5">
        <f t="shared" si="307"/>
        <v>0</v>
      </c>
      <c r="L1141" s="5">
        <f t="shared" si="307"/>
        <v>0</v>
      </c>
      <c r="M1141" s="241">
        <f t="shared" si="307"/>
        <v>0</v>
      </c>
      <c r="N1141" s="5">
        <f t="shared" si="307"/>
        <v>0</v>
      </c>
      <c r="O1141" s="5">
        <f t="shared" si="307"/>
        <v>1713</v>
      </c>
      <c r="P1141" s="5">
        <f t="shared" si="307"/>
        <v>8331845.3199999994</v>
      </c>
      <c r="Q1141" s="5">
        <f t="shared" si="307"/>
        <v>0</v>
      </c>
      <c r="R1141" s="5">
        <f t="shared" si="307"/>
        <v>0</v>
      </c>
      <c r="S1141" s="5">
        <f t="shared" si="307"/>
        <v>0</v>
      </c>
      <c r="T1141" s="5">
        <f t="shared" si="307"/>
        <v>0</v>
      </c>
      <c r="U1141" s="5">
        <f t="shared" si="307"/>
        <v>0</v>
      </c>
      <c r="V1141" s="5">
        <f t="shared" si="307"/>
        <v>0</v>
      </c>
      <c r="W1141" s="5">
        <f t="shared" si="307"/>
        <v>0</v>
      </c>
      <c r="X1141" s="5">
        <f t="shared" si="307"/>
        <v>0</v>
      </c>
      <c r="Y1141" s="5">
        <f t="shared" si="307"/>
        <v>0</v>
      </c>
      <c r="Z1141" s="5">
        <f t="shared" si="307"/>
        <v>0</v>
      </c>
      <c r="AA1141" s="5">
        <f t="shared" si="307"/>
        <v>0</v>
      </c>
      <c r="AB1141" s="5">
        <f t="shared" si="307"/>
        <v>0</v>
      </c>
      <c r="AC1141" s="5">
        <f t="shared" si="307"/>
        <v>0</v>
      </c>
      <c r="AD1141" s="5">
        <f t="shared" si="307"/>
        <v>0</v>
      </c>
      <c r="AE1141" s="5">
        <f t="shared" si="307"/>
        <v>124977.68</v>
      </c>
      <c r="AF1141" s="5">
        <f t="shared" si="307"/>
        <v>300000</v>
      </c>
      <c r="AG1141" s="5">
        <f t="shared" si="307"/>
        <v>0</v>
      </c>
      <c r="AH1141" s="23" t="s">
        <v>90</v>
      </c>
      <c r="AI1141" s="23" t="s">
        <v>90</v>
      </c>
      <c r="AJ1141" s="27" t="s">
        <v>90</v>
      </c>
      <c r="AV1141" s="2" t="e">
        <f t="shared" si="298"/>
        <v>#N/A</v>
      </c>
      <c r="CB1141" s="236">
        <v>8756823</v>
      </c>
    </row>
    <row r="1142" spans="1:84" ht="61.5" x14ac:dyDescent="0.85">
      <c r="A1142" s="2">
        <v>1</v>
      </c>
      <c r="B1142" s="18">
        <f>SUBTOTAL(103,$A$1006:A1142)</f>
        <v>129</v>
      </c>
      <c r="C1142" s="3" t="s">
        <v>1823</v>
      </c>
      <c r="D1142" s="5">
        <v>4146680</v>
      </c>
      <c r="E1142" s="5">
        <f t="shared" si="302"/>
        <v>0</v>
      </c>
      <c r="F1142" s="5">
        <f t="shared" ref="F1142:F1143" si="308">G1142+H1142+I1142+J1142+K1142+L1142+N1142+P1142+R1142+T1142+V1142+W1142+X1142+Y1142+Z1142+AA1142+AB1142+AC1142+AD1142+AE1142+AF1142+AG1142</f>
        <v>4146680</v>
      </c>
      <c r="G1142" s="249">
        <v>0</v>
      </c>
      <c r="H1142" s="249">
        <v>0</v>
      </c>
      <c r="I1142" s="249">
        <v>0</v>
      </c>
      <c r="J1142" s="249">
        <v>0</v>
      </c>
      <c r="K1142" s="249">
        <v>0</v>
      </c>
      <c r="L1142" s="249">
        <v>0</v>
      </c>
      <c r="M1142" s="257">
        <v>0</v>
      </c>
      <c r="N1142" s="249">
        <v>0</v>
      </c>
      <c r="O1142" s="5">
        <v>830</v>
      </c>
      <c r="P1142" s="5">
        <v>3937615.76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f>ROUND(P1142*1.5%,2)</f>
        <v>59064.24</v>
      </c>
      <c r="AF1142" s="5">
        <v>150000</v>
      </c>
      <c r="AG1142" s="5">
        <v>0</v>
      </c>
      <c r="AH1142" s="246">
        <v>2022</v>
      </c>
      <c r="AI1142" s="246">
        <v>2022</v>
      </c>
      <c r="AJ1142" s="6">
        <v>2022</v>
      </c>
      <c r="AV1142" s="2" t="e">
        <f t="shared" si="298"/>
        <v>#N/A</v>
      </c>
      <c r="CB1142" s="236"/>
    </row>
    <row r="1143" spans="1:84" ht="61.5" x14ac:dyDescent="0.85">
      <c r="A1143" s="2">
        <v>1</v>
      </c>
      <c r="B1143" s="18">
        <f>SUBTOTAL(103,$A$1006:A1143)</f>
        <v>130</v>
      </c>
      <c r="C1143" s="3" t="s">
        <v>1824</v>
      </c>
      <c r="D1143" s="5">
        <v>4610143</v>
      </c>
      <c r="E1143" s="5">
        <f t="shared" si="302"/>
        <v>0</v>
      </c>
      <c r="F1143" s="5">
        <f t="shared" si="308"/>
        <v>4610143</v>
      </c>
      <c r="G1143" s="247">
        <v>0</v>
      </c>
      <c r="H1143" s="247">
        <v>0</v>
      </c>
      <c r="I1143" s="247">
        <v>0</v>
      </c>
      <c r="J1143" s="247">
        <v>0</v>
      </c>
      <c r="K1143" s="247">
        <v>0</v>
      </c>
      <c r="L1143" s="247">
        <v>0</v>
      </c>
      <c r="M1143" s="241">
        <v>0</v>
      </c>
      <c r="N1143" s="5">
        <v>0</v>
      </c>
      <c r="O1143" s="5">
        <v>883</v>
      </c>
      <c r="P1143" s="5">
        <v>4394229.5599999996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f>ROUND(P1143*1.5%,2)</f>
        <v>65913.440000000002</v>
      </c>
      <c r="AF1143" s="5">
        <v>150000</v>
      </c>
      <c r="AG1143" s="5">
        <v>0</v>
      </c>
      <c r="AH1143" s="246">
        <v>2022</v>
      </c>
      <c r="AI1143" s="246">
        <v>2022</v>
      </c>
      <c r="AJ1143" s="6">
        <v>2022</v>
      </c>
      <c r="AV1143" s="2" t="e">
        <f t="shared" si="298"/>
        <v>#N/A</v>
      </c>
      <c r="CB1143" s="236"/>
    </row>
    <row r="1144" spans="1:84" ht="61.5" x14ac:dyDescent="0.85">
      <c r="B1144" s="3" t="s">
        <v>98</v>
      </c>
      <c r="C1144" s="442"/>
      <c r="D1144" s="244">
        <v>4369866.08</v>
      </c>
      <c r="E1144" s="233">
        <f t="shared" si="302"/>
        <v>0</v>
      </c>
      <c r="F1144" s="244">
        <f>F1145</f>
        <v>4369866.08</v>
      </c>
      <c r="G1144" s="5">
        <f t="shared" ref="G1144:AG1144" si="309">G1145</f>
        <v>0</v>
      </c>
      <c r="H1144" s="5">
        <f t="shared" si="309"/>
        <v>0</v>
      </c>
      <c r="I1144" s="5">
        <f t="shared" si="309"/>
        <v>0</v>
      </c>
      <c r="J1144" s="5">
        <f t="shared" si="309"/>
        <v>0</v>
      </c>
      <c r="K1144" s="5">
        <f t="shared" si="309"/>
        <v>0</v>
      </c>
      <c r="L1144" s="5">
        <f t="shared" si="309"/>
        <v>0</v>
      </c>
      <c r="M1144" s="241">
        <f t="shared" si="309"/>
        <v>0</v>
      </c>
      <c r="N1144" s="5">
        <f t="shared" si="309"/>
        <v>0</v>
      </c>
      <c r="O1144" s="5">
        <f t="shared" si="309"/>
        <v>1203</v>
      </c>
      <c r="P1144" s="5">
        <f t="shared" si="309"/>
        <v>4127946.88</v>
      </c>
      <c r="Q1144" s="5">
        <f t="shared" si="309"/>
        <v>0</v>
      </c>
      <c r="R1144" s="5">
        <f t="shared" si="309"/>
        <v>0</v>
      </c>
      <c r="S1144" s="5">
        <f t="shared" si="309"/>
        <v>0</v>
      </c>
      <c r="T1144" s="5">
        <f t="shared" si="309"/>
        <v>0</v>
      </c>
      <c r="U1144" s="5">
        <f t="shared" si="309"/>
        <v>0</v>
      </c>
      <c r="V1144" s="5">
        <f t="shared" si="309"/>
        <v>0</v>
      </c>
      <c r="W1144" s="5">
        <f t="shared" si="309"/>
        <v>0</v>
      </c>
      <c r="X1144" s="5">
        <f t="shared" si="309"/>
        <v>0</v>
      </c>
      <c r="Y1144" s="5">
        <f t="shared" si="309"/>
        <v>0</v>
      </c>
      <c r="Z1144" s="5">
        <f t="shared" si="309"/>
        <v>0</v>
      </c>
      <c r="AA1144" s="5">
        <f t="shared" si="309"/>
        <v>0</v>
      </c>
      <c r="AB1144" s="5">
        <f t="shared" si="309"/>
        <v>0</v>
      </c>
      <c r="AC1144" s="5">
        <f t="shared" si="309"/>
        <v>0</v>
      </c>
      <c r="AD1144" s="5">
        <f t="shared" si="309"/>
        <v>0</v>
      </c>
      <c r="AE1144" s="5">
        <f t="shared" si="309"/>
        <v>61919.199999999997</v>
      </c>
      <c r="AF1144" s="5">
        <f t="shared" si="309"/>
        <v>180000</v>
      </c>
      <c r="AG1144" s="5">
        <f t="shared" si="309"/>
        <v>0</v>
      </c>
      <c r="AH1144" s="23" t="s">
        <v>90</v>
      </c>
      <c r="AI1144" s="23" t="s">
        <v>90</v>
      </c>
      <c r="AJ1144" s="27" t="s">
        <v>90</v>
      </c>
      <c r="AV1144" s="2" t="e">
        <f t="shared" si="298"/>
        <v>#N/A</v>
      </c>
      <c r="CB1144" s="236">
        <v>4369866.08</v>
      </c>
    </row>
    <row r="1145" spans="1:84" ht="61.5" x14ac:dyDescent="0.85">
      <c r="A1145" s="2">
        <v>1</v>
      </c>
      <c r="B1145" s="18">
        <f>SUBTOTAL(103,$A$1006:A1145)</f>
        <v>131</v>
      </c>
      <c r="C1145" s="290" t="s">
        <v>1825</v>
      </c>
      <c r="D1145" s="5">
        <v>4369866.08</v>
      </c>
      <c r="E1145" s="5">
        <f t="shared" si="302"/>
        <v>0</v>
      </c>
      <c r="F1145" s="5">
        <f t="shared" ref="F1145" si="310">G1145+H1145+I1145+J1145+K1145+L1145+N1145+P1145+R1145+T1145+V1145+W1145+X1145+Y1145+Z1145+AA1145+AB1145+AC1145+AD1145+AE1145+AF1145+AG1145</f>
        <v>4369866.08</v>
      </c>
      <c r="G1145" s="5">
        <v>0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241">
        <v>0</v>
      </c>
      <c r="N1145" s="5">
        <v>0</v>
      </c>
      <c r="O1145" s="5">
        <v>1203</v>
      </c>
      <c r="P1145" s="5">
        <v>4127946.88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f>ROUND(P1145*1.5%,2)</f>
        <v>61919.199999999997</v>
      </c>
      <c r="AF1145" s="5">
        <v>180000</v>
      </c>
      <c r="AG1145" s="5">
        <v>0</v>
      </c>
      <c r="AH1145" s="246">
        <v>2022</v>
      </c>
      <c r="AI1145" s="246">
        <v>2022</v>
      </c>
      <c r="AJ1145" s="6">
        <v>2022</v>
      </c>
      <c r="AV1145" s="2" t="e">
        <f t="shared" si="298"/>
        <v>#N/A</v>
      </c>
      <c r="CB1145" s="236"/>
    </row>
    <row r="1146" spans="1:84" ht="61.5" x14ac:dyDescent="0.85">
      <c r="B1146" s="3" t="s">
        <v>1264</v>
      </c>
      <c r="C1146" s="3"/>
      <c r="D1146" s="244">
        <v>2936950.21</v>
      </c>
      <c r="E1146" s="233">
        <f t="shared" si="302"/>
        <v>0</v>
      </c>
      <c r="F1146" s="244">
        <f>F1147</f>
        <v>2936950.21</v>
      </c>
      <c r="G1146" s="5">
        <f t="shared" ref="G1146:AG1146" si="311">G1147</f>
        <v>0</v>
      </c>
      <c r="H1146" s="5">
        <f t="shared" si="311"/>
        <v>0</v>
      </c>
      <c r="I1146" s="5">
        <f t="shared" si="311"/>
        <v>0</v>
      </c>
      <c r="J1146" s="5">
        <f t="shared" si="311"/>
        <v>0</v>
      </c>
      <c r="K1146" s="5">
        <f t="shared" si="311"/>
        <v>0</v>
      </c>
      <c r="L1146" s="5">
        <f t="shared" si="311"/>
        <v>0</v>
      </c>
      <c r="M1146" s="241">
        <f t="shared" si="311"/>
        <v>0</v>
      </c>
      <c r="N1146" s="5">
        <f t="shared" si="311"/>
        <v>0</v>
      </c>
      <c r="O1146" s="5">
        <f t="shared" si="311"/>
        <v>0</v>
      </c>
      <c r="P1146" s="5">
        <f t="shared" si="311"/>
        <v>0</v>
      </c>
      <c r="Q1146" s="5">
        <f t="shared" si="311"/>
        <v>0</v>
      </c>
      <c r="R1146" s="5">
        <f t="shared" si="311"/>
        <v>0</v>
      </c>
      <c r="S1146" s="5">
        <f t="shared" si="311"/>
        <v>787</v>
      </c>
      <c r="T1146" s="5">
        <f t="shared" si="311"/>
        <v>2765468.19</v>
      </c>
      <c r="U1146" s="5">
        <f t="shared" si="311"/>
        <v>0</v>
      </c>
      <c r="V1146" s="5">
        <f t="shared" si="311"/>
        <v>0</v>
      </c>
      <c r="W1146" s="5">
        <f t="shared" si="311"/>
        <v>0</v>
      </c>
      <c r="X1146" s="5">
        <f t="shared" si="311"/>
        <v>0</v>
      </c>
      <c r="Y1146" s="5">
        <f t="shared" si="311"/>
        <v>0</v>
      </c>
      <c r="Z1146" s="5">
        <f t="shared" si="311"/>
        <v>0</v>
      </c>
      <c r="AA1146" s="5">
        <f t="shared" si="311"/>
        <v>0</v>
      </c>
      <c r="AB1146" s="5">
        <f t="shared" si="311"/>
        <v>0</v>
      </c>
      <c r="AC1146" s="5">
        <f t="shared" si="311"/>
        <v>0</v>
      </c>
      <c r="AD1146" s="5">
        <f t="shared" si="311"/>
        <v>0</v>
      </c>
      <c r="AE1146" s="5">
        <f t="shared" si="311"/>
        <v>41482.019999999997</v>
      </c>
      <c r="AF1146" s="5">
        <f t="shared" si="311"/>
        <v>130000</v>
      </c>
      <c r="AG1146" s="5">
        <f t="shared" si="311"/>
        <v>0</v>
      </c>
      <c r="AH1146" s="23" t="s">
        <v>90</v>
      </c>
      <c r="AI1146" s="23" t="s">
        <v>90</v>
      </c>
      <c r="AJ1146" s="27" t="s">
        <v>90</v>
      </c>
      <c r="AV1146" s="2" t="e">
        <f t="shared" si="298"/>
        <v>#N/A</v>
      </c>
      <c r="CB1146" s="236">
        <v>2936950.21</v>
      </c>
    </row>
    <row r="1147" spans="1:84" ht="61.5" x14ac:dyDescent="0.85">
      <c r="A1147" s="2">
        <v>1</v>
      </c>
      <c r="B1147" s="18">
        <f>SUBTOTAL(103,$A$1006:A1147)</f>
        <v>132</v>
      </c>
      <c r="C1147" s="290" t="s">
        <v>1826</v>
      </c>
      <c r="D1147" s="5">
        <v>2936950.21</v>
      </c>
      <c r="E1147" s="5">
        <f t="shared" si="302"/>
        <v>0</v>
      </c>
      <c r="F1147" s="5">
        <f t="shared" ref="F1147" si="312">G1147+H1147+I1147+J1147+K1147+L1147+N1147+P1147+R1147+T1147+V1147+W1147+X1147+Y1147+Z1147+AA1147+AB1147+AC1147+AD1147+AE1147+AF1147+AG1147</f>
        <v>2936950.21</v>
      </c>
      <c r="G1147" s="5">
        <v>0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241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787</v>
      </c>
      <c r="T1147" s="5">
        <v>2765468.19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f>ROUND(T1147*1.5%,2)</f>
        <v>41482.019999999997</v>
      </c>
      <c r="AF1147" s="5">
        <v>130000</v>
      </c>
      <c r="AG1147" s="5">
        <v>0</v>
      </c>
      <c r="AH1147" s="246">
        <v>2022</v>
      </c>
      <c r="AI1147" s="246">
        <v>2022</v>
      </c>
      <c r="AJ1147" s="6">
        <v>2022</v>
      </c>
      <c r="AV1147" s="2" t="e">
        <f t="shared" si="298"/>
        <v>#N/A</v>
      </c>
      <c r="CB1147" s="236"/>
    </row>
    <row r="1148" spans="1:84" ht="61.5" x14ac:dyDescent="0.85">
      <c r="B1148" s="3" t="s">
        <v>1270</v>
      </c>
      <c r="C1148" s="3"/>
      <c r="D1148" s="244">
        <v>2773728.46</v>
      </c>
      <c r="E1148" s="233">
        <f t="shared" si="302"/>
        <v>0</v>
      </c>
      <c r="F1148" s="244">
        <f>F1149+F1150</f>
        <v>2773728.46</v>
      </c>
      <c r="G1148" s="5">
        <f t="shared" ref="G1148:AG1148" si="313">G1149+G1150</f>
        <v>0</v>
      </c>
      <c r="H1148" s="5">
        <f t="shared" si="313"/>
        <v>0</v>
      </c>
      <c r="I1148" s="5">
        <f t="shared" si="313"/>
        <v>0</v>
      </c>
      <c r="J1148" s="5">
        <f t="shared" si="313"/>
        <v>0</v>
      </c>
      <c r="K1148" s="5">
        <f t="shared" si="313"/>
        <v>191760.14</v>
      </c>
      <c r="L1148" s="5">
        <f t="shared" si="313"/>
        <v>0</v>
      </c>
      <c r="M1148" s="241">
        <f t="shared" si="313"/>
        <v>0</v>
      </c>
      <c r="N1148" s="5">
        <f t="shared" si="313"/>
        <v>0</v>
      </c>
      <c r="O1148" s="5">
        <f t="shared" si="313"/>
        <v>628</v>
      </c>
      <c r="P1148" s="5">
        <f t="shared" si="313"/>
        <v>2353785.14</v>
      </c>
      <c r="Q1148" s="5">
        <f t="shared" si="313"/>
        <v>0</v>
      </c>
      <c r="R1148" s="5">
        <f t="shared" si="313"/>
        <v>0</v>
      </c>
      <c r="S1148" s="5">
        <f t="shared" si="313"/>
        <v>0</v>
      </c>
      <c r="T1148" s="5">
        <f t="shared" si="313"/>
        <v>0</v>
      </c>
      <c r="U1148" s="5">
        <f t="shared" si="313"/>
        <v>0</v>
      </c>
      <c r="V1148" s="5">
        <f t="shared" si="313"/>
        <v>0</v>
      </c>
      <c r="W1148" s="5">
        <f t="shared" si="313"/>
        <v>0</v>
      </c>
      <c r="X1148" s="5">
        <f t="shared" si="313"/>
        <v>0</v>
      </c>
      <c r="Y1148" s="5">
        <f t="shared" si="313"/>
        <v>0</v>
      </c>
      <c r="Z1148" s="5">
        <f t="shared" si="313"/>
        <v>0</v>
      </c>
      <c r="AA1148" s="5">
        <f t="shared" si="313"/>
        <v>0</v>
      </c>
      <c r="AB1148" s="5">
        <f t="shared" si="313"/>
        <v>0</v>
      </c>
      <c r="AC1148" s="5">
        <f t="shared" si="313"/>
        <v>0</v>
      </c>
      <c r="AD1148" s="5">
        <f t="shared" si="313"/>
        <v>0</v>
      </c>
      <c r="AE1148" s="5">
        <f t="shared" si="313"/>
        <v>38183.18</v>
      </c>
      <c r="AF1148" s="5">
        <f t="shared" si="313"/>
        <v>190000</v>
      </c>
      <c r="AG1148" s="5">
        <f t="shared" si="313"/>
        <v>0</v>
      </c>
      <c r="AH1148" s="23" t="s">
        <v>90</v>
      </c>
      <c r="AI1148" s="23" t="s">
        <v>90</v>
      </c>
      <c r="AJ1148" s="27" t="s">
        <v>90</v>
      </c>
      <c r="AV1148" s="2" t="e">
        <f t="shared" si="298"/>
        <v>#N/A</v>
      </c>
      <c r="CB1148" s="236">
        <v>2773728.46</v>
      </c>
    </row>
    <row r="1149" spans="1:84" ht="61.5" x14ac:dyDescent="0.85">
      <c r="A1149" s="2">
        <v>1</v>
      </c>
      <c r="B1149" s="18">
        <f>SUBTOTAL(103,$A$1006:A1149)</f>
        <v>133</v>
      </c>
      <c r="C1149" s="290" t="s">
        <v>1827</v>
      </c>
      <c r="D1149" s="5">
        <v>2539091.92</v>
      </c>
      <c r="E1149" s="5">
        <f t="shared" si="302"/>
        <v>0</v>
      </c>
      <c r="F1149" s="5">
        <f t="shared" ref="F1149:F1150" si="314">G1149+H1149+I1149+J1149+K1149+L1149+N1149+P1149+R1149+T1149+V1149+W1149+X1149+Y1149+Z1149+AA1149+AB1149+AC1149+AD1149+AE1149+AF1149+AG1149</f>
        <v>2539091.92</v>
      </c>
      <c r="G1149" s="5">
        <v>0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241">
        <v>0</v>
      </c>
      <c r="N1149" s="5">
        <v>0</v>
      </c>
      <c r="O1149" s="5">
        <v>628</v>
      </c>
      <c r="P1149" s="5">
        <v>2353785.14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f>ROUND(P1149*1.5%,2)</f>
        <v>35306.78</v>
      </c>
      <c r="AF1149" s="5">
        <v>150000</v>
      </c>
      <c r="AG1149" s="5">
        <v>0</v>
      </c>
      <c r="AH1149" s="246">
        <v>2022</v>
      </c>
      <c r="AI1149" s="246">
        <v>2022</v>
      </c>
      <c r="AJ1149" s="6">
        <v>2022</v>
      </c>
      <c r="AV1149" s="2" t="e">
        <f t="shared" si="298"/>
        <v>#N/A</v>
      </c>
      <c r="CB1149" s="236"/>
    </row>
    <row r="1150" spans="1:84" ht="61.5" x14ac:dyDescent="0.85">
      <c r="A1150" s="2">
        <v>1</v>
      </c>
      <c r="B1150" s="18">
        <f>SUBTOTAL(103,$A$1006:A1150)</f>
        <v>134</v>
      </c>
      <c r="C1150" s="290" t="s">
        <v>1828</v>
      </c>
      <c r="D1150" s="5">
        <v>234636.54</v>
      </c>
      <c r="E1150" s="5">
        <f t="shared" si="302"/>
        <v>0</v>
      </c>
      <c r="F1150" s="5">
        <f t="shared" si="314"/>
        <v>234636.54</v>
      </c>
      <c r="G1150" s="5">
        <v>0</v>
      </c>
      <c r="H1150" s="5">
        <v>0</v>
      </c>
      <c r="I1150" s="5">
        <v>0</v>
      </c>
      <c r="J1150" s="5">
        <v>0</v>
      </c>
      <c r="K1150" s="5">
        <v>191760.14</v>
      </c>
      <c r="L1150" s="5">
        <v>0</v>
      </c>
      <c r="M1150" s="241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f>ROUND((G1150+H1150+I1150+J1150+K1150+L1150)*1.5%,2)</f>
        <v>2876.4</v>
      </c>
      <c r="AF1150" s="5">
        <v>40000</v>
      </c>
      <c r="AG1150" s="5">
        <v>0</v>
      </c>
      <c r="AH1150" s="246">
        <v>2022</v>
      </c>
      <c r="AI1150" s="246">
        <v>2022</v>
      </c>
      <c r="AJ1150" s="6">
        <v>2022</v>
      </c>
      <c r="AV1150" s="2" t="e">
        <f t="shared" si="298"/>
        <v>#N/A</v>
      </c>
      <c r="CB1150" s="236"/>
    </row>
    <row r="1151" spans="1:84" ht="61.5" x14ac:dyDescent="0.85">
      <c r="B1151" s="3" t="s">
        <v>129</v>
      </c>
      <c r="C1151" s="3"/>
      <c r="D1151" s="244">
        <v>2158336.3499999996</v>
      </c>
      <c r="E1151" s="233">
        <f t="shared" si="302"/>
        <v>0</v>
      </c>
      <c r="F1151" s="244">
        <f>F1152</f>
        <v>2158336.3499999996</v>
      </c>
      <c r="G1151" s="5">
        <f t="shared" ref="G1151:AG1151" si="315">G1152</f>
        <v>0</v>
      </c>
      <c r="H1151" s="5">
        <f t="shared" si="315"/>
        <v>0</v>
      </c>
      <c r="I1151" s="5">
        <f t="shared" si="315"/>
        <v>0</v>
      </c>
      <c r="J1151" s="5">
        <f t="shared" si="315"/>
        <v>0</v>
      </c>
      <c r="K1151" s="5">
        <f t="shared" si="315"/>
        <v>0</v>
      </c>
      <c r="L1151" s="5">
        <f t="shared" si="315"/>
        <v>0</v>
      </c>
      <c r="M1151" s="241">
        <f t="shared" si="315"/>
        <v>0</v>
      </c>
      <c r="N1151" s="5">
        <f t="shared" si="315"/>
        <v>0</v>
      </c>
      <c r="O1151" s="5">
        <f t="shared" si="315"/>
        <v>393</v>
      </c>
      <c r="P1151" s="5">
        <f t="shared" si="315"/>
        <v>2008213.15</v>
      </c>
      <c r="Q1151" s="5">
        <f t="shared" si="315"/>
        <v>0</v>
      </c>
      <c r="R1151" s="5">
        <f t="shared" si="315"/>
        <v>0</v>
      </c>
      <c r="S1151" s="5">
        <f t="shared" si="315"/>
        <v>0</v>
      </c>
      <c r="T1151" s="5">
        <f t="shared" si="315"/>
        <v>0</v>
      </c>
      <c r="U1151" s="5">
        <f t="shared" si="315"/>
        <v>0</v>
      </c>
      <c r="V1151" s="5">
        <f t="shared" si="315"/>
        <v>0</v>
      </c>
      <c r="W1151" s="5">
        <f t="shared" si="315"/>
        <v>0</v>
      </c>
      <c r="X1151" s="5">
        <f t="shared" si="315"/>
        <v>0</v>
      </c>
      <c r="Y1151" s="5">
        <f t="shared" si="315"/>
        <v>0</v>
      </c>
      <c r="Z1151" s="5">
        <f t="shared" si="315"/>
        <v>0</v>
      </c>
      <c r="AA1151" s="5">
        <f t="shared" si="315"/>
        <v>0</v>
      </c>
      <c r="AB1151" s="5">
        <f t="shared" si="315"/>
        <v>0</v>
      </c>
      <c r="AC1151" s="5">
        <f t="shared" si="315"/>
        <v>0</v>
      </c>
      <c r="AD1151" s="5">
        <f t="shared" si="315"/>
        <v>0</v>
      </c>
      <c r="AE1151" s="5">
        <f t="shared" si="315"/>
        <v>30123.200000000001</v>
      </c>
      <c r="AF1151" s="5">
        <f t="shared" si="315"/>
        <v>120000</v>
      </c>
      <c r="AG1151" s="5">
        <f t="shared" si="315"/>
        <v>0</v>
      </c>
      <c r="AH1151" s="23" t="s">
        <v>90</v>
      </c>
      <c r="AI1151" s="23" t="s">
        <v>90</v>
      </c>
      <c r="AJ1151" s="27" t="s">
        <v>90</v>
      </c>
      <c r="AV1151" s="2" t="e">
        <f t="shared" si="298"/>
        <v>#N/A</v>
      </c>
      <c r="CB1151" s="236">
        <v>2158336.3499999996</v>
      </c>
    </row>
    <row r="1152" spans="1:84" ht="61.5" x14ac:dyDescent="0.85">
      <c r="A1152" s="2">
        <v>1</v>
      </c>
      <c r="B1152" s="18">
        <f>SUBTOTAL(103,$A$1006:A1152)</f>
        <v>135</v>
      </c>
      <c r="C1152" s="290" t="s">
        <v>1829</v>
      </c>
      <c r="D1152" s="5">
        <v>2158336.3499999996</v>
      </c>
      <c r="E1152" s="5">
        <f t="shared" si="302"/>
        <v>0</v>
      </c>
      <c r="F1152" s="5">
        <f t="shared" ref="F1152" si="316">G1152+H1152+I1152+J1152+K1152+L1152+N1152+P1152+R1152+T1152+V1152+W1152+X1152+Y1152+Z1152+AA1152+AB1152+AC1152+AD1152+AE1152+AF1152+AG1152</f>
        <v>2158336.3499999996</v>
      </c>
      <c r="G1152" s="5">
        <v>0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241">
        <v>0</v>
      </c>
      <c r="N1152" s="5">
        <v>0</v>
      </c>
      <c r="O1152" s="5">
        <v>393</v>
      </c>
      <c r="P1152" s="5">
        <v>2008213.15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f>ROUND(P1152*1.5%,2)</f>
        <v>30123.200000000001</v>
      </c>
      <c r="AF1152" s="5">
        <v>120000</v>
      </c>
      <c r="AG1152" s="5">
        <v>0</v>
      </c>
      <c r="AH1152" s="246">
        <v>2022</v>
      </c>
      <c r="AI1152" s="246">
        <v>2022</v>
      </c>
      <c r="AJ1152" s="6">
        <v>2022</v>
      </c>
      <c r="AV1152" s="2" t="e">
        <f t="shared" si="298"/>
        <v>#N/A</v>
      </c>
      <c r="CB1152" s="236"/>
    </row>
    <row r="1153" spans="1:262" ht="61.5" x14ac:dyDescent="0.85">
      <c r="B1153" s="3" t="s">
        <v>99</v>
      </c>
      <c r="C1153" s="3"/>
      <c r="D1153" s="244">
        <v>2000000</v>
      </c>
      <c r="E1153" s="233">
        <f t="shared" si="302"/>
        <v>0</v>
      </c>
      <c r="F1153" s="244">
        <f>F1154</f>
        <v>2000000</v>
      </c>
      <c r="G1153" s="5">
        <f t="shared" ref="G1153:AG1153" si="317">G1154</f>
        <v>0</v>
      </c>
      <c r="H1153" s="5">
        <f t="shared" si="317"/>
        <v>0</v>
      </c>
      <c r="I1153" s="5">
        <f t="shared" si="317"/>
        <v>0</v>
      </c>
      <c r="J1153" s="5">
        <f t="shared" si="317"/>
        <v>0</v>
      </c>
      <c r="K1153" s="5">
        <f t="shared" si="317"/>
        <v>0</v>
      </c>
      <c r="L1153" s="5">
        <f t="shared" si="317"/>
        <v>0</v>
      </c>
      <c r="M1153" s="241">
        <f t="shared" si="317"/>
        <v>0</v>
      </c>
      <c r="N1153" s="5">
        <f t="shared" si="317"/>
        <v>0</v>
      </c>
      <c r="O1153" s="5">
        <f t="shared" si="317"/>
        <v>674.9</v>
      </c>
      <c r="P1153" s="5">
        <f t="shared" si="317"/>
        <v>1822660.1</v>
      </c>
      <c r="Q1153" s="5">
        <f t="shared" si="317"/>
        <v>0</v>
      </c>
      <c r="R1153" s="5">
        <f t="shared" si="317"/>
        <v>0</v>
      </c>
      <c r="S1153" s="5">
        <f t="shared" si="317"/>
        <v>0</v>
      </c>
      <c r="T1153" s="5">
        <f t="shared" si="317"/>
        <v>0</v>
      </c>
      <c r="U1153" s="5">
        <f t="shared" si="317"/>
        <v>0</v>
      </c>
      <c r="V1153" s="5">
        <f t="shared" si="317"/>
        <v>0</v>
      </c>
      <c r="W1153" s="5">
        <f t="shared" si="317"/>
        <v>0</v>
      </c>
      <c r="X1153" s="5">
        <f t="shared" si="317"/>
        <v>0</v>
      </c>
      <c r="Y1153" s="5">
        <f t="shared" si="317"/>
        <v>0</v>
      </c>
      <c r="Z1153" s="5">
        <f t="shared" si="317"/>
        <v>0</v>
      </c>
      <c r="AA1153" s="5">
        <f t="shared" si="317"/>
        <v>0</v>
      </c>
      <c r="AB1153" s="5">
        <f t="shared" si="317"/>
        <v>0</v>
      </c>
      <c r="AC1153" s="5">
        <f t="shared" si="317"/>
        <v>0</v>
      </c>
      <c r="AD1153" s="5">
        <f t="shared" si="317"/>
        <v>0</v>
      </c>
      <c r="AE1153" s="5">
        <f t="shared" si="317"/>
        <v>27339.9</v>
      </c>
      <c r="AF1153" s="5">
        <f t="shared" si="317"/>
        <v>150000</v>
      </c>
      <c r="AG1153" s="5">
        <f t="shared" si="317"/>
        <v>0</v>
      </c>
      <c r="AH1153" s="23" t="s">
        <v>90</v>
      </c>
      <c r="AI1153" s="23" t="s">
        <v>90</v>
      </c>
      <c r="AJ1153" s="27" t="s">
        <v>90</v>
      </c>
      <c r="AV1153" s="2" t="e">
        <f t="shared" si="298"/>
        <v>#N/A</v>
      </c>
      <c r="CB1153" s="236">
        <v>2000000</v>
      </c>
    </row>
    <row r="1154" spans="1:262" ht="61.5" x14ac:dyDescent="0.85">
      <c r="A1154" s="2">
        <v>1</v>
      </c>
      <c r="B1154" s="18">
        <f>SUBTOTAL(103,$A$1006:A1154)</f>
        <v>136</v>
      </c>
      <c r="C1154" s="3" t="s">
        <v>1830</v>
      </c>
      <c r="D1154" s="5">
        <v>2000000</v>
      </c>
      <c r="E1154" s="5">
        <f t="shared" si="302"/>
        <v>0</v>
      </c>
      <c r="F1154" s="5">
        <f t="shared" ref="F1154" si="318">G1154+H1154+I1154+J1154+K1154+L1154+N1154+P1154+R1154+T1154+V1154+W1154+X1154+Y1154+Z1154+AA1154+AB1154+AC1154+AD1154+AE1154+AF1154+AG1154</f>
        <v>2000000</v>
      </c>
      <c r="G1154" s="5">
        <v>0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241">
        <v>0</v>
      </c>
      <c r="N1154" s="5">
        <v>0</v>
      </c>
      <c r="O1154" s="5">
        <v>674.9</v>
      </c>
      <c r="P1154" s="5">
        <v>1822660.1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f>ROUND(P1154*1.5%,2)</f>
        <v>27339.9</v>
      </c>
      <c r="AF1154" s="5">
        <v>150000</v>
      </c>
      <c r="AG1154" s="5">
        <v>0</v>
      </c>
      <c r="AH1154" s="246">
        <v>2022</v>
      </c>
      <c r="AI1154" s="246">
        <v>2022</v>
      </c>
      <c r="AJ1154" s="6">
        <v>2022</v>
      </c>
      <c r="AV1154" s="2" t="e">
        <f t="shared" si="298"/>
        <v>#N/A</v>
      </c>
      <c r="CB1154" s="236"/>
    </row>
    <row r="1155" spans="1:262" ht="61.5" x14ac:dyDescent="0.85">
      <c r="B1155" s="3" t="s">
        <v>100</v>
      </c>
      <c r="C1155" s="3"/>
      <c r="D1155" s="244">
        <v>23342011.919999998</v>
      </c>
      <c r="E1155" s="233">
        <f t="shared" si="302"/>
        <v>4202649.2899999991</v>
      </c>
      <c r="F1155" s="244">
        <f t="shared" ref="F1155:AG1155" si="319">SUM(F1156:F1161)</f>
        <v>19139362.629999999</v>
      </c>
      <c r="G1155" s="5">
        <f t="shared" si="319"/>
        <v>0</v>
      </c>
      <c r="H1155" s="5">
        <f t="shared" si="319"/>
        <v>0</v>
      </c>
      <c r="I1155" s="5">
        <f t="shared" si="319"/>
        <v>0</v>
      </c>
      <c r="J1155" s="5">
        <f t="shared" si="319"/>
        <v>0</v>
      </c>
      <c r="K1155" s="5">
        <f t="shared" si="319"/>
        <v>0</v>
      </c>
      <c r="L1155" s="5">
        <f t="shared" si="319"/>
        <v>0</v>
      </c>
      <c r="M1155" s="241">
        <f t="shared" si="319"/>
        <v>2</v>
      </c>
      <c r="N1155" s="5">
        <f t="shared" si="319"/>
        <v>4396606</v>
      </c>
      <c r="O1155" s="5">
        <f t="shared" si="319"/>
        <v>2906.6</v>
      </c>
      <c r="P1155" s="5">
        <f t="shared" si="319"/>
        <v>13746558.25</v>
      </c>
      <c r="Q1155" s="5">
        <f t="shared" si="319"/>
        <v>0</v>
      </c>
      <c r="R1155" s="5">
        <f t="shared" si="319"/>
        <v>0</v>
      </c>
      <c r="S1155" s="5">
        <f t="shared" si="319"/>
        <v>0</v>
      </c>
      <c r="T1155" s="5">
        <f t="shared" si="319"/>
        <v>0</v>
      </c>
      <c r="U1155" s="5">
        <f t="shared" si="319"/>
        <v>0</v>
      </c>
      <c r="V1155" s="5">
        <f t="shared" si="319"/>
        <v>0</v>
      </c>
      <c r="W1155" s="5">
        <f t="shared" si="319"/>
        <v>0</v>
      </c>
      <c r="X1155" s="5">
        <f t="shared" si="319"/>
        <v>0</v>
      </c>
      <c r="Y1155" s="5">
        <f t="shared" si="319"/>
        <v>0</v>
      </c>
      <c r="Z1155" s="5">
        <f t="shared" si="319"/>
        <v>0</v>
      </c>
      <c r="AA1155" s="5">
        <f t="shared" si="319"/>
        <v>0</v>
      </c>
      <c r="AB1155" s="5">
        <f t="shared" si="319"/>
        <v>0</v>
      </c>
      <c r="AC1155" s="5">
        <f t="shared" si="319"/>
        <v>0</v>
      </c>
      <c r="AD1155" s="5">
        <f t="shared" si="319"/>
        <v>0</v>
      </c>
      <c r="AE1155" s="5">
        <f t="shared" si="319"/>
        <v>206198.38</v>
      </c>
      <c r="AF1155" s="5">
        <f t="shared" si="319"/>
        <v>790000</v>
      </c>
      <c r="AG1155" s="5">
        <f t="shared" si="319"/>
        <v>0</v>
      </c>
      <c r="AH1155" s="23" t="s">
        <v>90</v>
      </c>
      <c r="AI1155" s="23" t="s">
        <v>90</v>
      </c>
      <c r="AJ1155" s="27" t="s">
        <v>90</v>
      </c>
      <c r="AV1155" s="2" t="e">
        <f t="shared" si="298"/>
        <v>#N/A</v>
      </c>
      <c r="CB1155" s="236">
        <v>23342011.919999998</v>
      </c>
    </row>
    <row r="1156" spans="1:262" ht="61.5" x14ac:dyDescent="0.85">
      <c r="A1156" s="2">
        <v>1</v>
      </c>
      <c r="B1156" s="18">
        <f>SUBTOTAL(103,$A$1006:A1156)</f>
        <v>137</v>
      </c>
      <c r="C1156" s="290" t="s">
        <v>1831</v>
      </c>
      <c r="D1156" s="5">
        <v>1358190.18</v>
      </c>
      <c r="E1156" s="5">
        <f t="shared" si="302"/>
        <v>0</v>
      </c>
      <c r="F1156" s="5">
        <f t="shared" ref="F1156:F1161" si="320">G1156+H1156+I1156+J1156+K1156+L1156+N1156+P1156+R1156+T1156+V1156+W1156+X1156+Y1156+Z1156+AA1156+AB1156+AC1156+AD1156+AE1156+AF1156+AG1156</f>
        <v>1358190.18</v>
      </c>
      <c r="G1156" s="5">
        <v>0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241">
        <v>0</v>
      </c>
      <c r="N1156" s="5">
        <v>0</v>
      </c>
      <c r="O1156" s="5">
        <v>260.10000000000002</v>
      </c>
      <c r="P1156" s="5">
        <v>1219891.8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f>ROUND(P1156*1.5%,2)</f>
        <v>18298.38</v>
      </c>
      <c r="AF1156" s="5">
        <v>120000</v>
      </c>
      <c r="AG1156" s="5">
        <v>0</v>
      </c>
      <c r="AH1156" s="246">
        <v>2022</v>
      </c>
      <c r="AI1156" s="246">
        <v>2022</v>
      </c>
      <c r="AJ1156" s="6">
        <v>2022</v>
      </c>
      <c r="AV1156" s="2" t="e">
        <f t="shared" si="298"/>
        <v>#N/A</v>
      </c>
      <c r="CB1156" s="236"/>
    </row>
    <row r="1157" spans="1:262" ht="61.5" x14ac:dyDescent="0.85">
      <c r="A1157" s="2">
        <v>1</v>
      </c>
      <c r="B1157" s="18">
        <f>SUBTOTAL(103,$A$1006:A1157)</f>
        <v>138</v>
      </c>
      <c r="C1157" s="290" t="s">
        <v>1832</v>
      </c>
      <c r="D1157" s="5">
        <v>3973325</v>
      </c>
      <c r="E1157" s="5">
        <f t="shared" si="302"/>
        <v>0</v>
      </c>
      <c r="F1157" s="5">
        <f t="shared" si="320"/>
        <v>3973325</v>
      </c>
      <c r="G1157" s="5">
        <v>0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241">
        <v>0</v>
      </c>
      <c r="N1157" s="5">
        <v>0</v>
      </c>
      <c r="O1157" s="5">
        <v>850</v>
      </c>
      <c r="P1157" s="5">
        <v>3766822.66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f>ROUND(P1157*1.5%,2)</f>
        <v>56502.34</v>
      </c>
      <c r="AF1157" s="5">
        <v>150000</v>
      </c>
      <c r="AG1157" s="5">
        <v>0</v>
      </c>
      <c r="AH1157" s="246">
        <v>2022</v>
      </c>
      <c r="AI1157" s="246">
        <v>2022</v>
      </c>
      <c r="AJ1157" s="6">
        <v>2022</v>
      </c>
      <c r="AV1157" s="2" t="e">
        <f t="shared" si="298"/>
        <v>#N/A</v>
      </c>
      <c r="CB1157" s="236"/>
    </row>
    <row r="1158" spans="1:262" ht="61.5" x14ac:dyDescent="0.85">
      <c r="A1158" s="2">
        <v>1</v>
      </c>
      <c r="B1158" s="18">
        <f>SUBTOTAL(103,$A$1006:A1158)</f>
        <v>139</v>
      </c>
      <c r="C1158" s="290" t="s">
        <v>1833</v>
      </c>
      <c r="D1158" s="5">
        <v>2687908</v>
      </c>
      <c r="E1158" s="5">
        <f t="shared" si="302"/>
        <v>0</v>
      </c>
      <c r="F1158" s="5">
        <f t="shared" si="320"/>
        <v>2687908</v>
      </c>
      <c r="G1158" s="5">
        <v>0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241">
        <v>0</v>
      </c>
      <c r="N1158" s="5">
        <v>0</v>
      </c>
      <c r="O1158" s="5">
        <v>550.5</v>
      </c>
      <c r="P1158" s="5">
        <v>2500401.9700000002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f>ROUND(P1158*1.5%,2)</f>
        <v>37506.03</v>
      </c>
      <c r="AF1158" s="5">
        <v>150000</v>
      </c>
      <c r="AG1158" s="5">
        <v>0</v>
      </c>
      <c r="AH1158" s="246">
        <v>2022</v>
      </c>
      <c r="AI1158" s="246">
        <v>2022</v>
      </c>
      <c r="AJ1158" s="6">
        <v>2022</v>
      </c>
      <c r="AV1158" s="2" t="e">
        <f t="shared" si="298"/>
        <v>#N/A</v>
      </c>
      <c r="CB1158" s="236"/>
    </row>
    <row r="1159" spans="1:262" ht="61.5" x14ac:dyDescent="0.85">
      <c r="A1159" s="2">
        <v>1</v>
      </c>
      <c r="B1159" s="18">
        <f>SUBTOTAL(103,$A$1006:A1159)</f>
        <v>140</v>
      </c>
      <c r="C1159" s="290" t="s">
        <v>945</v>
      </c>
      <c r="D1159" s="5">
        <v>5240868.3999999994</v>
      </c>
      <c r="E1159" s="5">
        <f t="shared" si="302"/>
        <v>0</v>
      </c>
      <c r="F1159" s="5">
        <f t="shared" si="320"/>
        <v>5240868.3999999994</v>
      </c>
      <c r="G1159" s="5">
        <v>0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241">
        <v>0</v>
      </c>
      <c r="N1159" s="5">
        <v>0</v>
      </c>
      <c r="O1159" s="5">
        <v>950</v>
      </c>
      <c r="P1159" s="5">
        <v>5015633.8899999997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f>ROUND(P1159*1.5%,2)</f>
        <v>75234.509999999995</v>
      </c>
      <c r="AF1159" s="5">
        <v>150000</v>
      </c>
      <c r="AG1159" s="5">
        <v>0</v>
      </c>
      <c r="AH1159" s="246">
        <v>2022</v>
      </c>
      <c r="AI1159" s="246">
        <v>2022</v>
      </c>
      <c r="AJ1159" s="6">
        <v>2022</v>
      </c>
      <c r="AV1159" s="2">
        <f t="shared" si="298"/>
        <v>1</v>
      </c>
      <c r="CB1159" s="236"/>
    </row>
    <row r="1160" spans="1:262" ht="61.5" x14ac:dyDescent="0.85">
      <c r="A1160" s="2">
        <v>1</v>
      </c>
      <c r="B1160" s="18">
        <f>SUBTOTAL(103,$A$1006:A1160)</f>
        <v>141</v>
      </c>
      <c r="C1160" s="290" t="s">
        <v>1834</v>
      </c>
      <c r="D1160" s="5">
        <v>4496606</v>
      </c>
      <c r="E1160" s="5">
        <f t="shared" si="302"/>
        <v>0</v>
      </c>
      <c r="F1160" s="5">
        <f t="shared" si="320"/>
        <v>4496606</v>
      </c>
      <c r="G1160" s="5">
        <v>0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241">
        <v>2</v>
      </c>
      <c r="N1160" s="5">
        <v>4396606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100000</v>
      </c>
      <c r="AG1160" s="5">
        <v>0</v>
      </c>
      <c r="AH1160" s="246">
        <v>2022</v>
      </c>
      <c r="AI1160" s="246">
        <v>2022</v>
      </c>
      <c r="AJ1160" s="6" t="s">
        <v>49</v>
      </c>
      <c r="AV1160" s="2" t="e">
        <f t="shared" si="298"/>
        <v>#N/A</v>
      </c>
      <c r="CB1160" s="236"/>
    </row>
    <row r="1161" spans="1:262" ht="61.5" x14ac:dyDescent="0.85">
      <c r="A1161" s="2">
        <v>1</v>
      </c>
      <c r="B1161" s="18">
        <f>SUBTOTAL(103,$A$1006:A1161)</f>
        <v>142</v>
      </c>
      <c r="C1161" s="290" t="s">
        <v>1835</v>
      </c>
      <c r="D1161" s="5"/>
      <c r="E1161" s="5">
        <f t="shared" si="302"/>
        <v>-1382465.05</v>
      </c>
      <c r="F1161" s="5">
        <f t="shared" si="320"/>
        <v>1382465.05</v>
      </c>
      <c r="G1161" s="5">
        <v>0</v>
      </c>
      <c r="H1161" s="5">
        <v>0</v>
      </c>
      <c r="I1161" s="5">
        <v>0</v>
      </c>
      <c r="J1161" s="5">
        <v>0</v>
      </c>
      <c r="K1161" s="5">
        <v>0</v>
      </c>
      <c r="L1161" s="5">
        <v>0</v>
      </c>
      <c r="M1161" s="241">
        <v>0</v>
      </c>
      <c r="N1161" s="5">
        <v>0</v>
      </c>
      <c r="O1161" s="5">
        <v>296</v>
      </c>
      <c r="P1161" s="5">
        <v>1243807.93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f>ROUND(P1161*1.5%,2)</f>
        <v>18657.12</v>
      </c>
      <c r="AF1161" s="5">
        <v>120000</v>
      </c>
      <c r="AG1161" s="5">
        <v>0</v>
      </c>
      <c r="AH1161" s="246">
        <v>2022</v>
      </c>
      <c r="AI1161" s="246">
        <v>2022</v>
      </c>
      <c r="AJ1161" s="6">
        <v>2022</v>
      </c>
      <c r="AV1161" s="2" t="e">
        <f t="shared" si="298"/>
        <v>#N/A</v>
      </c>
      <c r="CB1161" s="236"/>
      <c r="CF1161" s="2" t="e">
        <f>VLOOKUP(C1161,CG:CH,2,FALSE)</f>
        <v>#N/A</v>
      </c>
    </row>
    <row r="1162" spans="1:262" ht="61.5" x14ac:dyDescent="0.85">
      <c r="B1162" s="3" t="s">
        <v>101</v>
      </c>
      <c r="C1162" s="442"/>
      <c r="D1162" s="244">
        <v>12591900</v>
      </c>
      <c r="E1162" s="233">
        <f t="shared" si="302"/>
        <v>-1221174.67</v>
      </c>
      <c r="F1162" s="244">
        <f>SUM(F1163:F1165)</f>
        <v>13813074.67</v>
      </c>
      <c r="G1162" s="5">
        <f t="shared" ref="G1162:AG1162" si="321">SUM(G1163:G1165)</f>
        <v>0</v>
      </c>
      <c r="H1162" s="5">
        <f t="shared" si="321"/>
        <v>0</v>
      </c>
      <c r="I1162" s="5">
        <f t="shared" si="321"/>
        <v>0</v>
      </c>
      <c r="J1162" s="5">
        <f t="shared" si="321"/>
        <v>0</v>
      </c>
      <c r="K1162" s="5">
        <f t="shared" si="321"/>
        <v>0</v>
      </c>
      <c r="L1162" s="5">
        <f t="shared" si="321"/>
        <v>0</v>
      </c>
      <c r="M1162" s="241">
        <f t="shared" si="321"/>
        <v>0</v>
      </c>
      <c r="N1162" s="5">
        <f t="shared" si="321"/>
        <v>0</v>
      </c>
      <c r="O1162" s="5">
        <f t="shared" si="321"/>
        <v>2469</v>
      </c>
      <c r="P1162" s="5">
        <f t="shared" si="321"/>
        <v>12080689.66</v>
      </c>
      <c r="Q1162" s="5">
        <f t="shared" si="321"/>
        <v>0</v>
      </c>
      <c r="R1162" s="5">
        <f t="shared" si="321"/>
        <v>0</v>
      </c>
      <c r="S1162" s="5">
        <f t="shared" si="321"/>
        <v>0</v>
      </c>
      <c r="T1162" s="5">
        <f t="shared" si="321"/>
        <v>0</v>
      </c>
      <c r="U1162" s="5">
        <f t="shared" si="321"/>
        <v>114</v>
      </c>
      <c r="V1162" s="5">
        <f t="shared" si="321"/>
        <v>966674.55</v>
      </c>
      <c r="W1162" s="5">
        <f t="shared" si="321"/>
        <v>0</v>
      </c>
      <c r="X1162" s="5">
        <f t="shared" si="321"/>
        <v>0</v>
      </c>
      <c r="Y1162" s="5">
        <f t="shared" si="321"/>
        <v>0</v>
      </c>
      <c r="Z1162" s="5">
        <f t="shared" si="321"/>
        <v>0</v>
      </c>
      <c r="AA1162" s="5">
        <f t="shared" si="321"/>
        <v>0</v>
      </c>
      <c r="AB1162" s="5">
        <f t="shared" si="321"/>
        <v>0</v>
      </c>
      <c r="AC1162" s="5">
        <f t="shared" si="321"/>
        <v>0</v>
      </c>
      <c r="AD1162" s="5">
        <f t="shared" si="321"/>
        <v>0</v>
      </c>
      <c r="AE1162" s="5">
        <f t="shared" si="321"/>
        <v>195710.46</v>
      </c>
      <c r="AF1162" s="5">
        <f t="shared" si="321"/>
        <v>450000</v>
      </c>
      <c r="AG1162" s="5">
        <f t="shared" si="321"/>
        <v>120000</v>
      </c>
      <c r="AH1162" s="23" t="s">
        <v>90</v>
      </c>
      <c r="AI1162" s="23" t="s">
        <v>90</v>
      </c>
      <c r="AJ1162" s="27" t="s">
        <v>90</v>
      </c>
      <c r="AV1162" s="2" t="e">
        <f t="shared" si="298"/>
        <v>#N/A</v>
      </c>
      <c r="CB1162" s="236">
        <v>12591900</v>
      </c>
    </row>
    <row r="1163" spans="1:262" ht="61.5" x14ac:dyDescent="0.85">
      <c r="A1163" s="2">
        <v>1</v>
      </c>
      <c r="B1163" s="18">
        <f>SUBTOTAL(103,$A$1006:A1163)</f>
        <v>143</v>
      </c>
      <c r="C1163" s="290" t="s">
        <v>1836</v>
      </c>
      <c r="D1163" s="5">
        <v>4620600</v>
      </c>
      <c r="E1163" s="5">
        <f t="shared" si="302"/>
        <v>0</v>
      </c>
      <c r="F1163" s="5">
        <f t="shared" ref="F1163:F1165" si="322">G1163+H1163+I1163+J1163+K1163+L1163+N1163+P1163+R1163+T1163+V1163+W1163+X1163+Y1163+Z1163+AA1163+AB1163+AC1163+AD1163+AE1163+AF1163+AG1163</f>
        <v>4620600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241">
        <v>0</v>
      </c>
      <c r="N1163" s="5">
        <v>0</v>
      </c>
      <c r="O1163" s="5">
        <v>906</v>
      </c>
      <c r="P1163" s="5">
        <v>4404532.0199999996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f>ROUND(P1163*1.5%,2)</f>
        <v>66067.98</v>
      </c>
      <c r="AF1163" s="5">
        <v>150000</v>
      </c>
      <c r="AG1163" s="5">
        <v>0</v>
      </c>
      <c r="AH1163" s="246">
        <v>2022</v>
      </c>
      <c r="AI1163" s="246">
        <v>2022</v>
      </c>
      <c r="AJ1163" s="6">
        <v>2022</v>
      </c>
      <c r="AV1163" s="2" t="e">
        <f t="shared" si="298"/>
        <v>#N/A</v>
      </c>
      <c r="CB1163" s="236"/>
    </row>
    <row r="1164" spans="1:262" s="239" customFormat="1" ht="61.5" x14ac:dyDescent="0.85">
      <c r="A1164" s="239">
        <v>1</v>
      </c>
      <c r="B1164" s="18">
        <f>SUBTOTAL(103,$A$1006:A1164)</f>
        <v>144</v>
      </c>
      <c r="C1164" s="3" t="s">
        <v>1837</v>
      </c>
      <c r="D1164" s="5">
        <v>1221174.67</v>
      </c>
      <c r="E1164" s="5">
        <f t="shared" si="302"/>
        <v>0</v>
      </c>
      <c r="F1164" s="5">
        <f t="shared" si="322"/>
        <v>1221174.67</v>
      </c>
      <c r="G1164" s="5">
        <v>0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2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114</v>
      </c>
      <c r="V1164" s="5">
        <v>966674.55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f>ROUND(V1164*1.5%,2)</f>
        <v>14500.12</v>
      </c>
      <c r="AF1164" s="5">
        <v>120000</v>
      </c>
      <c r="AG1164" s="5">
        <v>120000</v>
      </c>
      <c r="AH1164" s="246">
        <v>2022</v>
      </c>
      <c r="AI1164" s="246">
        <v>2022</v>
      </c>
      <c r="AJ1164" s="6">
        <v>2022</v>
      </c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36"/>
      <c r="CC1164" s="2"/>
      <c r="CD1164" s="2"/>
      <c r="CE1164" s="2"/>
      <c r="CF1164" s="2" t="e">
        <f>VLOOKUP(C1164,CG:CH,2,FALSE)</f>
        <v>#N/A</v>
      </c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  <c r="IW1164" s="2"/>
      <c r="IX1164" s="2"/>
      <c r="IY1164" s="2"/>
      <c r="IZ1164" s="2"/>
      <c r="JA1164" s="2"/>
      <c r="JB1164" s="2"/>
    </row>
    <row r="1165" spans="1:262" ht="61.5" x14ac:dyDescent="0.85">
      <c r="A1165" s="2">
        <v>1</v>
      </c>
      <c r="B1165" s="18">
        <f>SUBTOTAL(103,$A$1006:A1165)</f>
        <v>145</v>
      </c>
      <c r="C1165" s="290" t="s">
        <v>1838</v>
      </c>
      <c r="D1165" s="5">
        <v>7971300</v>
      </c>
      <c r="E1165" s="5">
        <f t="shared" si="302"/>
        <v>0</v>
      </c>
      <c r="F1165" s="5">
        <f t="shared" si="322"/>
        <v>7971300</v>
      </c>
      <c r="G1165" s="5">
        <v>0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241">
        <v>0</v>
      </c>
      <c r="N1165" s="5">
        <v>0</v>
      </c>
      <c r="O1165" s="5">
        <v>1563</v>
      </c>
      <c r="P1165" s="5">
        <v>7676157.6399999997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f>ROUND(P1165*1.5%,2)</f>
        <v>115142.36</v>
      </c>
      <c r="AF1165" s="5">
        <v>180000</v>
      </c>
      <c r="AG1165" s="5">
        <v>0</v>
      </c>
      <c r="AH1165" s="246">
        <v>2022</v>
      </c>
      <c r="AI1165" s="246">
        <v>2022</v>
      </c>
      <c r="AJ1165" s="6">
        <v>2022</v>
      </c>
      <c r="AV1165" s="2" t="e">
        <f t="shared" ref="AV1165:AV1189" si="323">VLOOKUP(C1165,AY:AZ,2,FALSE)</f>
        <v>#N/A</v>
      </c>
      <c r="CB1165" s="236"/>
    </row>
    <row r="1166" spans="1:262" ht="61.5" x14ac:dyDescent="0.85">
      <c r="B1166" s="3" t="s">
        <v>102</v>
      </c>
      <c r="C1166" s="3"/>
      <c r="D1166" s="244">
        <v>1724820</v>
      </c>
      <c r="E1166" s="233">
        <f t="shared" si="302"/>
        <v>0</v>
      </c>
      <c r="F1166" s="244">
        <f>F1167</f>
        <v>1724820</v>
      </c>
      <c r="G1166" s="5">
        <f t="shared" ref="G1166:AG1166" si="324">G1167</f>
        <v>0</v>
      </c>
      <c r="H1166" s="5">
        <f t="shared" si="324"/>
        <v>0</v>
      </c>
      <c r="I1166" s="5">
        <f t="shared" si="324"/>
        <v>0</v>
      </c>
      <c r="J1166" s="5">
        <f t="shared" si="324"/>
        <v>0</v>
      </c>
      <c r="K1166" s="5">
        <f t="shared" si="324"/>
        <v>0</v>
      </c>
      <c r="L1166" s="5">
        <f t="shared" si="324"/>
        <v>0</v>
      </c>
      <c r="M1166" s="241">
        <f t="shared" si="324"/>
        <v>0</v>
      </c>
      <c r="N1166" s="5">
        <f t="shared" si="324"/>
        <v>0</v>
      </c>
      <c r="O1166" s="5">
        <f t="shared" si="324"/>
        <v>338.2</v>
      </c>
      <c r="P1166" s="5">
        <f t="shared" si="324"/>
        <v>1581103.45</v>
      </c>
      <c r="Q1166" s="5">
        <f t="shared" si="324"/>
        <v>0</v>
      </c>
      <c r="R1166" s="5">
        <f t="shared" si="324"/>
        <v>0</v>
      </c>
      <c r="S1166" s="5">
        <f t="shared" si="324"/>
        <v>0</v>
      </c>
      <c r="T1166" s="5">
        <f t="shared" si="324"/>
        <v>0</v>
      </c>
      <c r="U1166" s="5">
        <f t="shared" si="324"/>
        <v>0</v>
      </c>
      <c r="V1166" s="5">
        <f t="shared" si="324"/>
        <v>0</v>
      </c>
      <c r="W1166" s="5">
        <f t="shared" si="324"/>
        <v>0</v>
      </c>
      <c r="X1166" s="5">
        <f t="shared" si="324"/>
        <v>0</v>
      </c>
      <c r="Y1166" s="5">
        <f t="shared" si="324"/>
        <v>0</v>
      </c>
      <c r="Z1166" s="5">
        <f t="shared" si="324"/>
        <v>0</v>
      </c>
      <c r="AA1166" s="5">
        <f t="shared" si="324"/>
        <v>0</v>
      </c>
      <c r="AB1166" s="5">
        <f t="shared" si="324"/>
        <v>0</v>
      </c>
      <c r="AC1166" s="5">
        <f t="shared" si="324"/>
        <v>0</v>
      </c>
      <c r="AD1166" s="5">
        <f t="shared" si="324"/>
        <v>0</v>
      </c>
      <c r="AE1166" s="5">
        <f t="shared" si="324"/>
        <v>23716.55</v>
      </c>
      <c r="AF1166" s="5">
        <f t="shared" si="324"/>
        <v>120000</v>
      </c>
      <c r="AG1166" s="5">
        <f t="shared" si="324"/>
        <v>0</v>
      </c>
      <c r="AH1166" s="23" t="s">
        <v>90</v>
      </c>
      <c r="AI1166" s="23" t="s">
        <v>90</v>
      </c>
      <c r="AJ1166" s="27" t="s">
        <v>90</v>
      </c>
      <c r="AV1166" s="2" t="e">
        <f t="shared" si="323"/>
        <v>#N/A</v>
      </c>
      <c r="CB1166" s="236">
        <v>1724820</v>
      </c>
    </row>
    <row r="1167" spans="1:262" ht="61.5" x14ac:dyDescent="0.85">
      <c r="A1167" s="2">
        <v>1</v>
      </c>
      <c r="B1167" s="18">
        <f>SUBTOTAL(103,$A$1006:A1167)</f>
        <v>146</v>
      </c>
      <c r="C1167" s="290" t="s">
        <v>1839</v>
      </c>
      <c r="D1167" s="5">
        <v>1724820</v>
      </c>
      <c r="E1167" s="5">
        <f t="shared" si="302"/>
        <v>0</v>
      </c>
      <c r="F1167" s="5">
        <f t="shared" ref="F1167" si="325">G1167+H1167+I1167+J1167+K1167+L1167+N1167+P1167+R1167+T1167+V1167+W1167+X1167+Y1167+Z1167+AA1167+AB1167+AC1167+AD1167+AE1167+AF1167+AG1167</f>
        <v>1724820</v>
      </c>
      <c r="G1167" s="5">
        <v>0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241">
        <v>0</v>
      </c>
      <c r="N1167" s="5">
        <v>0</v>
      </c>
      <c r="O1167" s="5">
        <v>338.2</v>
      </c>
      <c r="P1167" s="5">
        <v>1581103.45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f>ROUND(P1167*1.5%,2)</f>
        <v>23716.55</v>
      </c>
      <c r="AF1167" s="5">
        <v>120000</v>
      </c>
      <c r="AG1167" s="5">
        <v>0</v>
      </c>
      <c r="AH1167" s="246">
        <v>2022</v>
      </c>
      <c r="AI1167" s="246">
        <v>2022</v>
      </c>
      <c r="AJ1167" s="6">
        <v>2022</v>
      </c>
      <c r="AV1167" s="2" t="e">
        <f t="shared" si="323"/>
        <v>#N/A</v>
      </c>
      <c r="CB1167" s="236"/>
    </row>
    <row r="1168" spans="1:262" ht="61.5" x14ac:dyDescent="0.85">
      <c r="B1168" s="3" t="s">
        <v>1300</v>
      </c>
      <c r="C1168" s="3"/>
      <c r="D1168" s="244">
        <v>1739107.3499999999</v>
      </c>
      <c r="E1168" s="233">
        <f t="shared" si="302"/>
        <v>0</v>
      </c>
      <c r="F1168" s="244">
        <f>F1169</f>
        <v>1739107.3499999999</v>
      </c>
      <c r="G1168" s="5">
        <f t="shared" ref="G1168:AG1168" si="326">G1169</f>
        <v>0</v>
      </c>
      <c r="H1168" s="5">
        <f t="shared" si="326"/>
        <v>0</v>
      </c>
      <c r="I1168" s="5">
        <f t="shared" si="326"/>
        <v>0</v>
      </c>
      <c r="J1168" s="5">
        <f t="shared" si="326"/>
        <v>0</v>
      </c>
      <c r="K1168" s="5">
        <f t="shared" si="326"/>
        <v>0</v>
      </c>
      <c r="L1168" s="5">
        <f t="shared" si="326"/>
        <v>0</v>
      </c>
      <c r="M1168" s="241">
        <f t="shared" si="326"/>
        <v>0</v>
      </c>
      <c r="N1168" s="5">
        <f t="shared" si="326"/>
        <v>0</v>
      </c>
      <c r="O1168" s="5">
        <f t="shared" si="326"/>
        <v>0</v>
      </c>
      <c r="P1168" s="5">
        <f t="shared" si="326"/>
        <v>0</v>
      </c>
      <c r="Q1168" s="5">
        <f t="shared" si="326"/>
        <v>0</v>
      </c>
      <c r="R1168" s="5">
        <f t="shared" si="326"/>
        <v>0</v>
      </c>
      <c r="S1168" s="5">
        <f t="shared" si="326"/>
        <v>568.70000000000005</v>
      </c>
      <c r="T1168" s="5">
        <f t="shared" si="326"/>
        <v>1585327.44</v>
      </c>
      <c r="U1168" s="5">
        <f t="shared" si="326"/>
        <v>0</v>
      </c>
      <c r="V1168" s="5">
        <f t="shared" si="326"/>
        <v>0</v>
      </c>
      <c r="W1168" s="5">
        <f t="shared" si="326"/>
        <v>0</v>
      </c>
      <c r="X1168" s="5">
        <f t="shared" si="326"/>
        <v>0</v>
      </c>
      <c r="Y1168" s="5">
        <f t="shared" si="326"/>
        <v>0</v>
      </c>
      <c r="Z1168" s="5">
        <f t="shared" si="326"/>
        <v>0</v>
      </c>
      <c r="AA1168" s="5">
        <f t="shared" si="326"/>
        <v>0</v>
      </c>
      <c r="AB1168" s="5">
        <f t="shared" si="326"/>
        <v>0</v>
      </c>
      <c r="AC1168" s="5">
        <f t="shared" si="326"/>
        <v>0</v>
      </c>
      <c r="AD1168" s="5">
        <f t="shared" si="326"/>
        <v>0</v>
      </c>
      <c r="AE1168" s="5">
        <f t="shared" si="326"/>
        <v>23779.91</v>
      </c>
      <c r="AF1168" s="5">
        <f t="shared" si="326"/>
        <v>130000</v>
      </c>
      <c r="AG1168" s="5">
        <f t="shared" si="326"/>
        <v>0</v>
      </c>
      <c r="AH1168" s="23" t="s">
        <v>90</v>
      </c>
      <c r="AI1168" s="23" t="s">
        <v>90</v>
      </c>
      <c r="AJ1168" s="27" t="s">
        <v>90</v>
      </c>
      <c r="AV1168" s="2" t="e">
        <f t="shared" si="323"/>
        <v>#N/A</v>
      </c>
      <c r="CB1168" s="236">
        <v>1739107.3499999999</v>
      </c>
    </row>
    <row r="1169" spans="1:82" ht="61.5" x14ac:dyDescent="0.85">
      <c r="A1169" s="2">
        <v>1</v>
      </c>
      <c r="B1169" s="18">
        <f>SUBTOTAL(103,$A$1006:A1169)</f>
        <v>147</v>
      </c>
      <c r="C1169" s="290" t="s">
        <v>1840</v>
      </c>
      <c r="D1169" s="5">
        <v>1739107.3499999999</v>
      </c>
      <c r="E1169" s="5">
        <f t="shared" si="302"/>
        <v>0</v>
      </c>
      <c r="F1169" s="5">
        <f t="shared" ref="F1169" si="327">G1169+H1169+I1169+J1169+K1169+L1169+N1169+P1169+R1169+T1169+V1169+W1169+X1169+Y1169+Z1169+AA1169+AB1169+AC1169+AD1169+AE1169+AF1169+AG1169</f>
        <v>1739107.3499999999</v>
      </c>
      <c r="G1169" s="5">
        <v>0</v>
      </c>
      <c r="H1169" s="5">
        <v>0</v>
      </c>
      <c r="I1169" s="5">
        <v>0</v>
      </c>
      <c r="J1169" s="5">
        <v>0</v>
      </c>
      <c r="K1169" s="5">
        <v>0</v>
      </c>
      <c r="L1169" s="5">
        <v>0</v>
      </c>
      <c r="M1169" s="241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568.70000000000005</v>
      </c>
      <c r="T1169" s="5">
        <v>1585327.44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f>ROUND(T1169*1.5%,2)</f>
        <v>23779.91</v>
      </c>
      <c r="AF1169" s="5">
        <v>130000</v>
      </c>
      <c r="AG1169" s="5">
        <v>0</v>
      </c>
      <c r="AH1169" s="246">
        <v>2022</v>
      </c>
      <c r="AI1169" s="246">
        <v>2022</v>
      </c>
      <c r="AJ1169" s="6">
        <v>2022</v>
      </c>
      <c r="AV1169" s="2" t="e">
        <f t="shared" si="323"/>
        <v>#N/A</v>
      </c>
      <c r="CB1169" s="236"/>
    </row>
    <row r="1170" spans="1:82" ht="61.5" x14ac:dyDescent="0.85">
      <c r="B1170" s="3" t="s">
        <v>130</v>
      </c>
      <c r="C1170" s="446"/>
      <c r="D1170" s="244">
        <v>3373804.98</v>
      </c>
      <c r="E1170" s="233">
        <f t="shared" si="302"/>
        <v>0</v>
      </c>
      <c r="F1170" s="244">
        <f>F1171</f>
        <v>3373804.98</v>
      </c>
      <c r="G1170" s="5">
        <f t="shared" ref="G1170:AG1170" si="328">G1171</f>
        <v>0</v>
      </c>
      <c r="H1170" s="5">
        <f t="shared" si="328"/>
        <v>0</v>
      </c>
      <c r="I1170" s="5">
        <f t="shared" si="328"/>
        <v>0</v>
      </c>
      <c r="J1170" s="5">
        <f t="shared" si="328"/>
        <v>0</v>
      </c>
      <c r="K1170" s="5">
        <f t="shared" si="328"/>
        <v>0</v>
      </c>
      <c r="L1170" s="5">
        <f t="shared" si="328"/>
        <v>0</v>
      </c>
      <c r="M1170" s="241">
        <f t="shared" si="328"/>
        <v>0</v>
      </c>
      <c r="N1170" s="5">
        <f t="shared" si="328"/>
        <v>0</v>
      </c>
      <c r="O1170" s="5">
        <f t="shared" si="328"/>
        <v>646.1</v>
      </c>
      <c r="P1170" s="5">
        <f t="shared" si="328"/>
        <v>3176162.54</v>
      </c>
      <c r="Q1170" s="5">
        <f t="shared" si="328"/>
        <v>0</v>
      </c>
      <c r="R1170" s="5">
        <f t="shared" si="328"/>
        <v>0</v>
      </c>
      <c r="S1170" s="5">
        <f t="shared" si="328"/>
        <v>0</v>
      </c>
      <c r="T1170" s="5">
        <f t="shared" si="328"/>
        <v>0</v>
      </c>
      <c r="U1170" s="5">
        <f t="shared" si="328"/>
        <v>0</v>
      </c>
      <c r="V1170" s="5">
        <f t="shared" si="328"/>
        <v>0</v>
      </c>
      <c r="W1170" s="5">
        <f t="shared" si="328"/>
        <v>0</v>
      </c>
      <c r="X1170" s="5">
        <f t="shared" si="328"/>
        <v>0</v>
      </c>
      <c r="Y1170" s="5">
        <f t="shared" si="328"/>
        <v>0</v>
      </c>
      <c r="Z1170" s="5">
        <f t="shared" si="328"/>
        <v>0</v>
      </c>
      <c r="AA1170" s="5">
        <f t="shared" si="328"/>
        <v>0</v>
      </c>
      <c r="AB1170" s="5">
        <f t="shared" si="328"/>
        <v>0</v>
      </c>
      <c r="AC1170" s="5">
        <f t="shared" si="328"/>
        <v>0</v>
      </c>
      <c r="AD1170" s="5">
        <f t="shared" si="328"/>
        <v>0</v>
      </c>
      <c r="AE1170" s="5">
        <f t="shared" si="328"/>
        <v>47642.44</v>
      </c>
      <c r="AF1170" s="5">
        <f t="shared" si="328"/>
        <v>150000</v>
      </c>
      <c r="AG1170" s="5">
        <f t="shared" si="328"/>
        <v>0</v>
      </c>
      <c r="AH1170" s="23" t="s">
        <v>90</v>
      </c>
      <c r="AI1170" s="23" t="s">
        <v>90</v>
      </c>
      <c r="AJ1170" s="27" t="s">
        <v>90</v>
      </c>
      <c r="AV1170" s="2" t="e">
        <f t="shared" si="323"/>
        <v>#N/A</v>
      </c>
      <c r="CB1170" s="236">
        <v>3373804.98</v>
      </c>
    </row>
    <row r="1171" spans="1:82" ht="61.5" x14ac:dyDescent="0.85">
      <c r="A1171" s="2">
        <v>1</v>
      </c>
      <c r="B1171" s="18">
        <f>SUBTOTAL(103,$A$1006:A1171)</f>
        <v>148</v>
      </c>
      <c r="C1171" s="290" t="s">
        <v>1841</v>
      </c>
      <c r="D1171" s="5">
        <v>3373804.98</v>
      </c>
      <c r="E1171" s="5">
        <f t="shared" si="302"/>
        <v>0</v>
      </c>
      <c r="F1171" s="5">
        <f t="shared" ref="F1171" si="329">G1171+H1171+I1171+J1171+K1171+L1171+N1171+P1171+R1171+T1171+V1171+W1171+X1171+Y1171+Z1171+AA1171+AB1171+AC1171+AD1171+AE1171+AF1171+AG1171</f>
        <v>3373804.98</v>
      </c>
      <c r="G1171" s="5">
        <v>0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241">
        <v>0</v>
      </c>
      <c r="N1171" s="5">
        <v>0</v>
      </c>
      <c r="O1171" s="5">
        <v>646.1</v>
      </c>
      <c r="P1171" s="5">
        <v>3176162.54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f>ROUND(P1171*1.5%,2)</f>
        <v>47642.44</v>
      </c>
      <c r="AF1171" s="5">
        <v>150000</v>
      </c>
      <c r="AG1171" s="5">
        <v>0</v>
      </c>
      <c r="AH1171" s="246">
        <v>2022</v>
      </c>
      <c r="AI1171" s="246">
        <v>2022</v>
      </c>
      <c r="AJ1171" s="6">
        <v>2022</v>
      </c>
      <c r="AV1171" s="2" t="e">
        <f t="shared" si="323"/>
        <v>#N/A</v>
      </c>
      <c r="CB1171" s="236"/>
    </row>
    <row r="1172" spans="1:82" ht="61.5" x14ac:dyDescent="0.85">
      <c r="B1172" s="3" t="s">
        <v>1842</v>
      </c>
      <c r="C1172" s="286"/>
      <c r="D1172" s="244">
        <v>3916350</v>
      </c>
      <c r="E1172" s="233">
        <f t="shared" si="302"/>
        <v>0</v>
      </c>
      <c r="F1172" s="244">
        <f>SUM(F1173:F1174)</f>
        <v>3916350</v>
      </c>
      <c r="G1172" s="5">
        <f t="shared" ref="G1172:AG1172" si="330">SUM(G1173:G1174)</f>
        <v>0</v>
      </c>
      <c r="H1172" s="5">
        <f t="shared" si="330"/>
        <v>0</v>
      </c>
      <c r="I1172" s="5">
        <f t="shared" si="330"/>
        <v>0</v>
      </c>
      <c r="J1172" s="5">
        <f t="shared" si="330"/>
        <v>0</v>
      </c>
      <c r="K1172" s="5">
        <f t="shared" si="330"/>
        <v>0</v>
      </c>
      <c r="L1172" s="5">
        <f t="shared" si="330"/>
        <v>0</v>
      </c>
      <c r="M1172" s="241">
        <f t="shared" si="330"/>
        <v>0</v>
      </c>
      <c r="N1172" s="5">
        <f t="shared" si="330"/>
        <v>0</v>
      </c>
      <c r="O1172" s="5">
        <f t="shared" si="330"/>
        <v>897</v>
      </c>
      <c r="P1172" s="5">
        <f t="shared" si="330"/>
        <v>3562906.4</v>
      </c>
      <c r="Q1172" s="5">
        <f t="shared" si="330"/>
        <v>0</v>
      </c>
      <c r="R1172" s="5">
        <f t="shared" si="330"/>
        <v>0</v>
      </c>
      <c r="S1172" s="5">
        <f t="shared" si="330"/>
        <v>0</v>
      </c>
      <c r="T1172" s="5">
        <f t="shared" si="330"/>
        <v>0</v>
      </c>
      <c r="U1172" s="5">
        <f t="shared" si="330"/>
        <v>0</v>
      </c>
      <c r="V1172" s="5">
        <f t="shared" si="330"/>
        <v>0</v>
      </c>
      <c r="W1172" s="5">
        <f t="shared" si="330"/>
        <v>0</v>
      </c>
      <c r="X1172" s="5">
        <f t="shared" si="330"/>
        <v>0</v>
      </c>
      <c r="Y1172" s="5">
        <f t="shared" si="330"/>
        <v>0</v>
      </c>
      <c r="Z1172" s="5">
        <f t="shared" si="330"/>
        <v>0</v>
      </c>
      <c r="AA1172" s="5">
        <f t="shared" si="330"/>
        <v>0</v>
      </c>
      <c r="AB1172" s="5">
        <f t="shared" si="330"/>
        <v>0</v>
      </c>
      <c r="AC1172" s="5">
        <f t="shared" si="330"/>
        <v>0</v>
      </c>
      <c r="AD1172" s="5">
        <f t="shared" si="330"/>
        <v>0</v>
      </c>
      <c r="AE1172" s="5">
        <f t="shared" si="330"/>
        <v>53443.600000000006</v>
      </c>
      <c r="AF1172" s="5">
        <f t="shared" si="330"/>
        <v>300000</v>
      </c>
      <c r="AG1172" s="5">
        <f t="shared" si="330"/>
        <v>0</v>
      </c>
      <c r="AH1172" s="23" t="s">
        <v>90</v>
      </c>
      <c r="AI1172" s="23" t="s">
        <v>90</v>
      </c>
      <c r="AJ1172" s="27" t="s">
        <v>90</v>
      </c>
      <c r="AV1172" s="2" t="e">
        <f t="shared" si="323"/>
        <v>#N/A</v>
      </c>
      <c r="CB1172" s="236">
        <v>3916350</v>
      </c>
    </row>
    <row r="1173" spans="1:82" ht="61.5" x14ac:dyDescent="0.85">
      <c r="A1173" s="2">
        <v>1</v>
      </c>
      <c r="B1173" s="18">
        <f>SUBTOTAL(103,$A$1006:A1173)</f>
        <v>149</v>
      </c>
      <c r="C1173" s="290" t="s">
        <v>1843</v>
      </c>
      <c r="D1173" s="5">
        <v>2035617.4</v>
      </c>
      <c r="E1173" s="5">
        <f t="shared" si="302"/>
        <v>0</v>
      </c>
      <c r="F1173" s="5">
        <f t="shared" ref="F1173:F1174" si="331">G1173+H1173+I1173+J1173+K1173+L1173+N1173+P1173+R1173+T1173+V1173+W1173+X1173+Y1173+Z1173+AA1173+AB1173+AC1173+AD1173+AE1173+AF1173+AG1173</f>
        <v>2035617.4</v>
      </c>
      <c r="G1173" s="5">
        <v>0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241">
        <v>0</v>
      </c>
      <c r="N1173" s="5">
        <v>0</v>
      </c>
      <c r="O1173" s="5">
        <v>468</v>
      </c>
      <c r="P1173" s="5">
        <v>1857751.13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f>ROUND(P1173*1.5%,2)</f>
        <v>27866.27</v>
      </c>
      <c r="AF1173" s="5">
        <v>150000</v>
      </c>
      <c r="AG1173" s="5">
        <v>0</v>
      </c>
      <c r="AH1173" s="246">
        <v>2022</v>
      </c>
      <c r="AI1173" s="246">
        <v>2022</v>
      </c>
      <c r="AJ1173" s="6">
        <v>2022</v>
      </c>
      <c r="AV1173" s="2" t="e">
        <f t="shared" si="323"/>
        <v>#N/A</v>
      </c>
      <c r="CB1173" s="236"/>
    </row>
    <row r="1174" spans="1:82" ht="61.5" x14ac:dyDescent="0.85">
      <c r="A1174" s="2">
        <v>1</v>
      </c>
      <c r="B1174" s="18">
        <f>SUBTOTAL(103,$A$1006:A1174)</f>
        <v>150</v>
      </c>
      <c r="C1174" s="290" t="s">
        <v>1844</v>
      </c>
      <c r="D1174" s="5">
        <v>1880732.6</v>
      </c>
      <c r="E1174" s="5">
        <f t="shared" si="302"/>
        <v>0</v>
      </c>
      <c r="F1174" s="5">
        <f t="shared" si="331"/>
        <v>1880732.6</v>
      </c>
      <c r="G1174" s="5">
        <v>0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241">
        <v>0</v>
      </c>
      <c r="N1174" s="5">
        <v>0</v>
      </c>
      <c r="O1174" s="5">
        <v>429</v>
      </c>
      <c r="P1174" s="5">
        <f>1702938.53+2216.74</f>
        <v>1705155.27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f>ROUND(P1174*1.5%,2)</f>
        <v>25577.33</v>
      </c>
      <c r="AF1174" s="5">
        <v>150000</v>
      </c>
      <c r="AG1174" s="5">
        <v>0</v>
      </c>
      <c r="AH1174" s="246">
        <v>2022</v>
      </c>
      <c r="AI1174" s="246">
        <v>2022</v>
      </c>
      <c r="AJ1174" s="6">
        <v>2022</v>
      </c>
      <c r="AV1174" s="2" t="e">
        <f t="shared" si="323"/>
        <v>#N/A</v>
      </c>
      <c r="CB1174" s="236"/>
    </row>
    <row r="1175" spans="1:82" ht="61.5" x14ac:dyDescent="0.85">
      <c r="B1175" s="3" t="s">
        <v>103</v>
      </c>
      <c r="C1175" s="442"/>
      <c r="D1175" s="244">
        <v>3516578.96</v>
      </c>
      <c r="E1175" s="233">
        <f t="shared" si="302"/>
        <v>0</v>
      </c>
      <c r="F1175" s="244">
        <f>F1176+F1177</f>
        <v>3516578.96</v>
      </c>
      <c r="G1175" s="5">
        <f t="shared" ref="G1175:AG1175" si="332">G1176+G1177</f>
        <v>0</v>
      </c>
      <c r="H1175" s="5">
        <f t="shared" si="332"/>
        <v>0</v>
      </c>
      <c r="I1175" s="5">
        <f t="shared" si="332"/>
        <v>0</v>
      </c>
      <c r="J1175" s="5">
        <f t="shared" si="332"/>
        <v>0</v>
      </c>
      <c r="K1175" s="5">
        <f t="shared" si="332"/>
        <v>0</v>
      </c>
      <c r="L1175" s="5">
        <f t="shared" si="332"/>
        <v>0</v>
      </c>
      <c r="M1175" s="241">
        <f t="shared" si="332"/>
        <v>0</v>
      </c>
      <c r="N1175" s="5">
        <f t="shared" si="332"/>
        <v>0</v>
      </c>
      <c r="O1175" s="5">
        <f t="shared" si="332"/>
        <v>856</v>
      </c>
      <c r="P1175" s="5">
        <f t="shared" si="332"/>
        <v>3228156.6100000003</v>
      </c>
      <c r="Q1175" s="5">
        <f t="shared" si="332"/>
        <v>0</v>
      </c>
      <c r="R1175" s="5">
        <f t="shared" si="332"/>
        <v>0</v>
      </c>
      <c r="S1175" s="5">
        <f t="shared" si="332"/>
        <v>0</v>
      </c>
      <c r="T1175" s="5">
        <f t="shared" si="332"/>
        <v>0</v>
      </c>
      <c r="U1175" s="5">
        <f t="shared" si="332"/>
        <v>0</v>
      </c>
      <c r="V1175" s="5">
        <f t="shared" si="332"/>
        <v>0</v>
      </c>
      <c r="W1175" s="5">
        <f t="shared" si="332"/>
        <v>0</v>
      </c>
      <c r="X1175" s="5">
        <f t="shared" si="332"/>
        <v>0</v>
      </c>
      <c r="Y1175" s="5">
        <f t="shared" si="332"/>
        <v>0</v>
      </c>
      <c r="Z1175" s="5">
        <f t="shared" si="332"/>
        <v>0</v>
      </c>
      <c r="AA1175" s="5">
        <f t="shared" si="332"/>
        <v>0</v>
      </c>
      <c r="AB1175" s="5">
        <f t="shared" si="332"/>
        <v>0</v>
      </c>
      <c r="AC1175" s="5">
        <f t="shared" si="332"/>
        <v>0</v>
      </c>
      <c r="AD1175" s="5">
        <f t="shared" si="332"/>
        <v>0</v>
      </c>
      <c r="AE1175" s="5">
        <f t="shared" si="332"/>
        <v>48422.350000000006</v>
      </c>
      <c r="AF1175" s="5">
        <f t="shared" si="332"/>
        <v>240000</v>
      </c>
      <c r="AG1175" s="5">
        <f t="shared" si="332"/>
        <v>0</v>
      </c>
      <c r="AH1175" s="23" t="s">
        <v>90</v>
      </c>
      <c r="AI1175" s="23" t="s">
        <v>90</v>
      </c>
      <c r="AJ1175" s="27" t="s">
        <v>90</v>
      </c>
      <c r="AV1175" s="2" t="e">
        <f t="shared" si="323"/>
        <v>#N/A</v>
      </c>
      <c r="CB1175" s="236">
        <v>3516578.96</v>
      </c>
    </row>
    <row r="1176" spans="1:82" ht="61.5" x14ac:dyDescent="0.85">
      <c r="A1176" s="2">
        <v>1</v>
      </c>
      <c r="B1176" s="18">
        <f>SUBTOTAL(103,$A$1006:A1176)</f>
        <v>151</v>
      </c>
      <c r="C1176" s="290" t="s">
        <v>1845</v>
      </c>
      <c r="D1176" s="5">
        <v>1913529.37</v>
      </c>
      <c r="E1176" s="5">
        <f t="shared" si="302"/>
        <v>0</v>
      </c>
      <c r="F1176" s="5">
        <f t="shared" ref="F1176:F1177" si="333">G1176+H1176+I1176+J1176+K1176+L1176+N1176+P1176+R1176+T1176+V1176+W1176+X1176+Y1176+Z1176+AA1176+AB1176+AC1176+AD1176+AE1176+AF1176+AG1176</f>
        <v>1913529.37</v>
      </c>
      <c r="G1176" s="5">
        <v>0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241">
        <v>0</v>
      </c>
      <c r="N1176" s="5">
        <v>0</v>
      </c>
      <c r="O1176" s="5">
        <v>440</v>
      </c>
      <c r="P1176" s="5">
        <v>1767024.01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f>ROUND(P1176*1.5%,2)</f>
        <v>26505.360000000001</v>
      </c>
      <c r="AF1176" s="5">
        <v>120000</v>
      </c>
      <c r="AG1176" s="5">
        <v>0</v>
      </c>
      <c r="AH1176" s="246">
        <v>2022</v>
      </c>
      <c r="AI1176" s="246">
        <v>2022</v>
      </c>
      <c r="AJ1176" s="6">
        <v>2022</v>
      </c>
      <c r="AV1176" s="2" t="e">
        <f t="shared" si="323"/>
        <v>#N/A</v>
      </c>
      <c r="CB1176" s="236"/>
    </row>
    <row r="1177" spans="1:82" ht="61.5" x14ac:dyDescent="0.85">
      <c r="A1177" s="2">
        <v>1</v>
      </c>
      <c r="B1177" s="18">
        <f>SUBTOTAL(103,$A$1006:A1177)</f>
        <v>152</v>
      </c>
      <c r="C1177" s="290" t="s">
        <v>1846</v>
      </c>
      <c r="D1177" s="5">
        <v>1603049.59</v>
      </c>
      <c r="E1177" s="5">
        <f t="shared" si="302"/>
        <v>0</v>
      </c>
      <c r="F1177" s="5">
        <f t="shared" si="333"/>
        <v>1603049.59</v>
      </c>
      <c r="G1177" s="5">
        <v>0</v>
      </c>
      <c r="H1177" s="5">
        <v>0</v>
      </c>
      <c r="I1177" s="5">
        <v>0</v>
      </c>
      <c r="J1177" s="5">
        <v>0</v>
      </c>
      <c r="K1177" s="5">
        <v>0</v>
      </c>
      <c r="L1177" s="5">
        <v>0</v>
      </c>
      <c r="M1177" s="241">
        <v>0</v>
      </c>
      <c r="N1177" s="5">
        <v>0</v>
      </c>
      <c r="O1177" s="5">
        <v>416</v>
      </c>
      <c r="P1177" s="5">
        <v>1461132.6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f>ROUND(P1177*1.5%,2)</f>
        <v>21916.99</v>
      </c>
      <c r="AF1177" s="5">
        <v>120000</v>
      </c>
      <c r="AG1177" s="5">
        <v>0</v>
      </c>
      <c r="AH1177" s="246">
        <v>2022</v>
      </c>
      <c r="AI1177" s="246">
        <v>2022</v>
      </c>
      <c r="AJ1177" s="6">
        <v>2022</v>
      </c>
      <c r="AV1177" s="2" t="e">
        <f t="shared" si="323"/>
        <v>#N/A</v>
      </c>
      <c r="CB1177" s="236"/>
    </row>
    <row r="1178" spans="1:82" ht="61.5" x14ac:dyDescent="0.85">
      <c r="B1178" s="3" t="s">
        <v>125</v>
      </c>
      <c r="C1178" s="3"/>
      <c r="D1178" s="244">
        <v>3598749.4899999998</v>
      </c>
      <c r="E1178" s="233">
        <f t="shared" si="302"/>
        <v>0</v>
      </c>
      <c r="F1178" s="244">
        <f>F1179</f>
        <v>3598749.4899999998</v>
      </c>
      <c r="G1178" s="5">
        <f t="shared" ref="G1178:AG1178" si="334">G1179</f>
        <v>0</v>
      </c>
      <c r="H1178" s="5">
        <f t="shared" si="334"/>
        <v>0</v>
      </c>
      <c r="I1178" s="5">
        <f t="shared" si="334"/>
        <v>0</v>
      </c>
      <c r="J1178" s="5">
        <f t="shared" si="334"/>
        <v>0</v>
      </c>
      <c r="K1178" s="5">
        <f t="shared" si="334"/>
        <v>0</v>
      </c>
      <c r="L1178" s="5">
        <f t="shared" si="334"/>
        <v>0</v>
      </c>
      <c r="M1178" s="241">
        <f t="shared" si="334"/>
        <v>0</v>
      </c>
      <c r="N1178" s="5">
        <f t="shared" si="334"/>
        <v>0</v>
      </c>
      <c r="O1178" s="5">
        <f t="shared" si="334"/>
        <v>975.8</v>
      </c>
      <c r="P1178" s="5">
        <f t="shared" si="334"/>
        <v>3427339.4</v>
      </c>
      <c r="Q1178" s="5">
        <f t="shared" si="334"/>
        <v>0</v>
      </c>
      <c r="R1178" s="5">
        <f t="shared" si="334"/>
        <v>0</v>
      </c>
      <c r="S1178" s="5">
        <f t="shared" si="334"/>
        <v>0</v>
      </c>
      <c r="T1178" s="5">
        <f t="shared" si="334"/>
        <v>0</v>
      </c>
      <c r="U1178" s="5">
        <f t="shared" si="334"/>
        <v>0</v>
      </c>
      <c r="V1178" s="5">
        <f t="shared" si="334"/>
        <v>0</v>
      </c>
      <c r="W1178" s="5">
        <f t="shared" si="334"/>
        <v>0</v>
      </c>
      <c r="X1178" s="5">
        <f t="shared" si="334"/>
        <v>0</v>
      </c>
      <c r="Y1178" s="5">
        <f t="shared" si="334"/>
        <v>0</v>
      </c>
      <c r="Z1178" s="5">
        <f t="shared" si="334"/>
        <v>0</v>
      </c>
      <c r="AA1178" s="5">
        <f t="shared" si="334"/>
        <v>0</v>
      </c>
      <c r="AB1178" s="5">
        <f t="shared" si="334"/>
        <v>0</v>
      </c>
      <c r="AC1178" s="5">
        <f t="shared" si="334"/>
        <v>0</v>
      </c>
      <c r="AD1178" s="5">
        <f t="shared" si="334"/>
        <v>0</v>
      </c>
      <c r="AE1178" s="5">
        <f t="shared" si="334"/>
        <v>51410.09</v>
      </c>
      <c r="AF1178" s="5">
        <f t="shared" si="334"/>
        <v>120000</v>
      </c>
      <c r="AG1178" s="5">
        <f t="shared" si="334"/>
        <v>0</v>
      </c>
      <c r="AH1178" s="23" t="s">
        <v>90</v>
      </c>
      <c r="AI1178" s="23" t="s">
        <v>90</v>
      </c>
      <c r="AJ1178" s="27" t="s">
        <v>90</v>
      </c>
      <c r="AV1178" s="2" t="e">
        <f t="shared" si="323"/>
        <v>#N/A</v>
      </c>
      <c r="CB1178" s="236">
        <v>3598749.4899999998</v>
      </c>
    </row>
    <row r="1179" spans="1:82" ht="61.5" x14ac:dyDescent="0.85">
      <c r="A1179" s="2">
        <v>1</v>
      </c>
      <c r="B1179" s="18">
        <f>SUBTOTAL(103,$A$1006:A1179)</f>
        <v>153</v>
      </c>
      <c r="C1179" s="290" t="s">
        <v>1847</v>
      </c>
      <c r="D1179" s="5">
        <v>3598749.4899999998</v>
      </c>
      <c r="E1179" s="5">
        <f t="shared" si="302"/>
        <v>0</v>
      </c>
      <c r="F1179" s="5">
        <f t="shared" ref="F1179" si="335">G1179+H1179+I1179+J1179+K1179+L1179+N1179+P1179+R1179+T1179+V1179+W1179+X1179+Y1179+Z1179+AA1179+AB1179+AC1179+AD1179+AE1179+AF1179+AG1179</f>
        <v>3598749.4899999998</v>
      </c>
      <c r="G1179" s="5">
        <v>0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241">
        <v>0</v>
      </c>
      <c r="N1179" s="5">
        <v>0</v>
      </c>
      <c r="O1179" s="5">
        <v>975.8</v>
      </c>
      <c r="P1179" s="5">
        <v>3427339.4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f>ROUND(P1179*1.5%,2)</f>
        <v>51410.09</v>
      </c>
      <c r="AF1179" s="5">
        <v>120000</v>
      </c>
      <c r="AG1179" s="5">
        <v>0</v>
      </c>
      <c r="AH1179" s="246">
        <v>2022</v>
      </c>
      <c r="AI1179" s="246">
        <v>2022</v>
      </c>
      <c r="AJ1179" s="6">
        <v>2022</v>
      </c>
      <c r="AV1179" s="2" t="e">
        <f t="shared" si="323"/>
        <v>#N/A</v>
      </c>
      <c r="CB1179" s="236"/>
    </row>
    <row r="1180" spans="1:82" ht="61.5" x14ac:dyDescent="0.85">
      <c r="B1180" s="3" t="s">
        <v>1310</v>
      </c>
      <c r="C1180" s="3"/>
      <c r="D1180" s="244">
        <v>1925593.0499999998</v>
      </c>
      <c r="E1180" s="233">
        <f t="shared" si="302"/>
        <v>0</v>
      </c>
      <c r="F1180" s="244">
        <f>F1181</f>
        <v>1925593.0499999998</v>
      </c>
      <c r="G1180" s="5">
        <f t="shared" ref="G1180:AG1180" si="336">G1181</f>
        <v>0</v>
      </c>
      <c r="H1180" s="5">
        <f t="shared" si="336"/>
        <v>0</v>
      </c>
      <c r="I1180" s="5">
        <f t="shared" si="336"/>
        <v>0</v>
      </c>
      <c r="J1180" s="5">
        <f t="shared" si="336"/>
        <v>0</v>
      </c>
      <c r="K1180" s="5">
        <f t="shared" si="336"/>
        <v>0</v>
      </c>
      <c r="L1180" s="5">
        <f t="shared" si="336"/>
        <v>0</v>
      </c>
      <c r="M1180" s="241">
        <f t="shared" si="336"/>
        <v>0</v>
      </c>
      <c r="N1180" s="5">
        <f t="shared" si="336"/>
        <v>0</v>
      </c>
      <c r="O1180" s="5">
        <f t="shared" si="336"/>
        <v>945</v>
      </c>
      <c r="P1180" s="5">
        <f t="shared" si="336"/>
        <v>1778909.41</v>
      </c>
      <c r="Q1180" s="5">
        <f t="shared" si="336"/>
        <v>0</v>
      </c>
      <c r="R1180" s="5">
        <f t="shared" si="336"/>
        <v>0</v>
      </c>
      <c r="S1180" s="5">
        <f t="shared" si="336"/>
        <v>0</v>
      </c>
      <c r="T1180" s="5">
        <f t="shared" si="336"/>
        <v>0</v>
      </c>
      <c r="U1180" s="5">
        <f t="shared" si="336"/>
        <v>0</v>
      </c>
      <c r="V1180" s="5">
        <f t="shared" si="336"/>
        <v>0</v>
      </c>
      <c r="W1180" s="5">
        <f t="shared" si="336"/>
        <v>0</v>
      </c>
      <c r="X1180" s="5">
        <f t="shared" si="336"/>
        <v>0</v>
      </c>
      <c r="Y1180" s="5">
        <f t="shared" si="336"/>
        <v>0</v>
      </c>
      <c r="Z1180" s="5">
        <f t="shared" si="336"/>
        <v>0</v>
      </c>
      <c r="AA1180" s="5">
        <f t="shared" si="336"/>
        <v>0</v>
      </c>
      <c r="AB1180" s="5">
        <f t="shared" si="336"/>
        <v>0</v>
      </c>
      <c r="AC1180" s="5">
        <f t="shared" si="336"/>
        <v>0</v>
      </c>
      <c r="AD1180" s="5">
        <f t="shared" si="336"/>
        <v>0</v>
      </c>
      <c r="AE1180" s="5">
        <f t="shared" si="336"/>
        <v>26683.64</v>
      </c>
      <c r="AF1180" s="5">
        <f t="shared" si="336"/>
        <v>120000</v>
      </c>
      <c r="AG1180" s="5">
        <f t="shared" si="336"/>
        <v>0</v>
      </c>
      <c r="AH1180" s="23" t="s">
        <v>90</v>
      </c>
      <c r="AI1180" s="23" t="s">
        <v>90</v>
      </c>
      <c r="AJ1180" s="27" t="s">
        <v>90</v>
      </c>
      <c r="AV1180" s="2" t="e">
        <f t="shared" si="323"/>
        <v>#N/A</v>
      </c>
      <c r="CB1180" s="236">
        <v>3488946.79</v>
      </c>
    </row>
    <row r="1181" spans="1:82" ht="61.5" x14ac:dyDescent="0.85">
      <c r="A1181" s="2">
        <v>1</v>
      </c>
      <c r="B1181" s="18">
        <f>SUBTOTAL(103,$A$1006:A1181)</f>
        <v>154</v>
      </c>
      <c r="C1181" s="290" t="s">
        <v>1848</v>
      </c>
      <c r="D1181" s="5">
        <v>1925593.0499999998</v>
      </c>
      <c r="E1181" s="5">
        <f t="shared" si="302"/>
        <v>0</v>
      </c>
      <c r="F1181" s="5">
        <f t="shared" ref="F1181" si="337">G1181+H1181+I1181+J1181+K1181+L1181+N1181+P1181+R1181+T1181+V1181+W1181+X1181+Y1181+Z1181+AA1181+AB1181+AC1181+AD1181+AE1181+AF1181+AG1181</f>
        <v>1925593.0499999998</v>
      </c>
      <c r="G1181" s="5">
        <v>0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241">
        <v>0</v>
      </c>
      <c r="N1181" s="5">
        <v>0</v>
      </c>
      <c r="O1181" s="5">
        <v>945</v>
      </c>
      <c r="P1181" s="5">
        <f>3319159.4-1540249.99</f>
        <v>1778909.41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f>ROUND(P1181*1.5%,2)</f>
        <v>26683.64</v>
      </c>
      <c r="AF1181" s="5">
        <v>120000</v>
      </c>
      <c r="AG1181" s="5">
        <v>0</v>
      </c>
      <c r="AH1181" s="246">
        <v>2022</v>
      </c>
      <c r="AI1181" s="246">
        <v>2022</v>
      </c>
      <c r="AJ1181" s="6">
        <v>2022</v>
      </c>
      <c r="AV1181" s="2" t="e">
        <f t="shared" si="323"/>
        <v>#N/A</v>
      </c>
      <c r="CB1181" s="236"/>
    </row>
    <row r="1182" spans="1:82" ht="61.5" x14ac:dyDescent="0.85">
      <c r="B1182" s="3" t="s">
        <v>1849</v>
      </c>
      <c r="C1182" s="3"/>
      <c r="D1182" s="244">
        <v>1538879.17</v>
      </c>
      <c r="E1182" s="233">
        <f t="shared" si="302"/>
        <v>0</v>
      </c>
      <c r="F1182" s="244">
        <f>F1183</f>
        <v>1538879.17</v>
      </c>
      <c r="G1182" s="5">
        <f t="shared" ref="G1182:AG1182" si="338">G1183</f>
        <v>0</v>
      </c>
      <c r="H1182" s="5">
        <f t="shared" si="338"/>
        <v>0</v>
      </c>
      <c r="I1182" s="5">
        <f t="shared" si="338"/>
        <v>0</v>
      </c>
      <c r="J1182" s="5">
        <f t="shared" si="338"/>
        <v>0</v>
      </c>
      <c r="K1182" s="5">
        <f t="shared" si="338"/>
        <v>0</v>
      </c>
      <c r="L1182" s="5">
        <f t="shared" si="338"/>
        <v>0</v>
      </c>
      <c r="M1182" s="241">
        <f t="shared" si="338"/>
        <v>0</v>
      </c>
      <c r="N1182" s="5">
        <f t="shared" si="338"/>
        <v>0</v>
      </c>
      <c r="O1182" s="5">
        <f t="shared" si="338"/>
        <v>398</v>
      </c>
      <c r="P1182" s="5">
        <f t="shared" si="338"/>
        <v>1397910.51</v>
      </c>
      <c r="Q1182" s="5">
        <f t="shared" si="338"/>
        <v>0</v>
      </c>
      <c r="R1182" s="5">
        <f t="shared" si="338"/>
        <v>0</v>
      </c>
      <c r="S1182" s="5">
        <f t="shared" si="338"/>
        <v>0</v>
      </c>
      <c r="T1182" s="5">
        <f t="shared" si="338"/>
        <v>0</v>
      </c>
      <c r="U1182" s="5">
        <f t="shared" si="338"/>
        <v>0</v>
      </c>
      <c r="V1182" s="5">
        <f t="shared" si="338"/>
        <v>0</v>
      </c>
      <c r="W1182" s="5">
        <f t="shared" si="338"/>
        <v>0</v>
      </c>
      <c r="X1182" s="5">
        <f t="shared" si="338"/>
        <v>0</v>
      </c>
      <c r="Y1182" s="5">
        <f t="shared" si="338"/>
        <v>0</v>
      </c>
      <c r="Z1182" s="5">
        <f t="shared" si="338"/>
        <v>0</v>
      </c>
      <c r="AA1182" s="5">
        <f t="shared" si="338"/>
        <v>0</v>
      </c>
      <c r="AB1182" s="5">
        <f t="shared" si="338"/>
        <v>0</v>
      </c>
      <c r="AC1182" s="5">
        <f t="shared" si="338"/>
        <v>0</v>
      </c>
      <c r="AD1182" s="5">
        <f t="shared" si="338"/>
        <v>0</v>
      </c>
      <c r="AE1182" s="5">
        <f t="shared" si="338"/>
        <v>20968.66</v>
      </c>
      <c r="AF1182" s="5">
        <f t="shared" si="338"/>
        <v>120000</v>
      </c>
      <c r="AG1182" s="5">
        <f t="shared" si="338"/>
        <v>0</v>
      </c>
      <c r="AH1182" s="23" t="s">
        <v>90</v>
      </c>
      <c r="AI1182" s="23" t="s">
        <v>90</v>
      </c>
      <c r="AJ1182" s="27" t="s">
        <v>90</v>
      </c>
      <c r="AV1182" s="2" t="e">
        <f t="shared" si="323"/>
        <v>#N/A</v>
      </c>
      <c r="CB1182" s="236">
        <v>1538879.17</v>
      </c>
    </row>
    <row r="1183" spans="1:82" ht="61.5" x14ac:dyDescent="0.85">
      <c r="A1183" s="2">
        <v>1</v>
      </c>
      <c r="B1183" s="18">
        <f>SUBTOTAL(103,$A$1006:A1183)</f>
        <v>155</v>
      </c>
      <c r="C1183" s="290" t="s">
        <v>1850</v>
      </c>
      <c r="D1183" s="5">
        <v>1538879.17</v>
      </c>
      <c r="E1183" s="5">
        <f t="shared" si="302"/>
        <v>0</v>
      </c>
      <c r="F1183" s="5">
        <f t="shared" ref="F1183" si="339">G1183+H1183+I1183+J1183+K1183+L1183+N1183+P1183+R1183+T1183+V1183+W1183+X1183+Y1183+Z1183+AA1183+AB1183+AC1183+AD1183+AE1183+AF1183+AG1183</f>
        <v>1538879.17</v>
      </c>
      <c r="G1183" s="5">
        <v>0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241">
        <v>0</v>
      </c>
      <c r="N1183" s="5">
        <v>0</v>
      </c>
      <c r="O1183" s="5">
        <v>398</v>
      </c>
      <c r="P1183" s="5">
        <v>1397910.51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f>ROUND(P1183*1.5%,2)</f>
        <v>20968.66</v>
      </c>
      <c r="AF1183" s="5">
        <v>120000</v>
      </c>
      <c r="AG1183" s="5">
        <v>0</v>
      </c>
      <c r="AH1183" s="246">
        <v>2022</v>
      </c>
      <c r="AI1183" s="246">
        <v>2022</v>
      </c>
      <c r="AJ1183" s="6">
        <v>2022</v>
      </c>
      <c r="AV1183" s="2" t="e">
        <f t="shared" si="323"/>
        <v>#N/A</v>
      </c>
      <c r="CB1183" s="236"/>
    </row>
    <row r="1184" spans="1:82" ht="61.5" x14ac:dyDescent="0.85">
      <c r="B1184" s="3" t="s">
        <v>105</v>
      </c>
      <c r="C1184" s="442"/>
      <c r="D1184" s="244">
        <v>29368928.999999996</v>
      </c>
      <c r="E1184" s="233">
        <f t="shared" si="302"/>
        <v>0</v>
      </c>
      <c r="F1184" s="244">
        <f>SUM(F1185:F1190)</f>
        <v>29368928.999999996</v>
      </c>
      <c r="G1184" s="5">
        <f t="shared" ref="G1184:AG1184" si="340">SUM(G1185:G1190)</f>
        <v>0</v>
      </c>
      <c r="H1184" s="5">
        <f t="shared" si="340"/>
        <v>0</v>
      </c>
      <c r="I1184" s="5">
        <f t="shared" si="340"/>
        <v>0</v>
      </c>
      <c r="J1184" s="5">
        <f t="shared" si="340"/>
        <v>0</v>
      </c>
      <c r="K1184" s="5">
        <f t="shared" si="340"/>
        <v>0</v>
      </c>
      <c r="L1184" s="5">
        <f t="shared" si="340"/>
        <v>0</v>
      </c>
      <c r="M1184" s="241">
        <f t="shared" si="340"/>
        <v>0</v>
      </c>
      <c r="N1184" s="5">
        <f t="shared" si="340"/>
        <v>0</v>
      </c>
      <c r="O1184" s="5">
        <f t="shared" si="340"/>
        <v>3779.6</v>
      </c>
      <c r="P1184" s="5">
        <f t="shared" si="340"/>
        <v>20236969.890000001</v>
      </c>
      <c r="Q1184" s="5">
        <f t="shared" si="340"/>
        <v>0</v>
      </c>
      <c r="R1184" s="5">
        <f t="shared" si="340"/>
        <v>0</v>
      </c>
      <c r="S1184" s="5">
        <f t="shared" si="340"/>
        <v>0</v>
      </c>
      <c r="T1184" s="5">
        <f t="shared" si="340"/>
        <v>0</v>
      </c>
      <c r="U1184" s="5">
        <f t="shared" si="340"/>
        <v>0</v>
      </c>
      <c r="V1184" s="5">
        <f t="shared" si="340"/>
        <v>0</v>
      </c>
      <c r="W1184" s="5">
        <f t="shared" si="340"/>
        <v>7702861.6199999992</v>
      </c>
      <c r="X1184" s="5">
        <f t="shared" si="340"/>
        <v>0</v>
      </c>
      <c r="Y1184" s="5">
        <f t="shared" si="340"/>
        <v>0</v>
      </c>
      <c r="Z1184" s="5">
        <f t="shared" si="340"/>
        <v>0</v>
      </c>
      <c r="AA1184" s="5">
        <f t="shared" si="340"/>
        <v>0</v>
      </c>
      <c r="AB1184" s="5">
        <f t="shared" si="340"/>
        <v>0</v>
      </c>
      <c r="AC1184" s="5">
        <f t="shared" si="340"/>
        <v>0</v>
      </c>
      <c r="AD1184" s="5">
        <f t="shared" si="340"/>
        <v>0</v>
      </c>
      <c r="AE1184" s="5">
        <f t="shared" si="340"/>
        <v>419097.49</v>
      </c>
      <c r="AF1184" s="5">
        <f t="shared" si="340"/>
        <v>1010000</v>
      </c>
      <c r="AG1184" s="5">
        <f t="shared" si="340"/>
        <v>0</v>
      </c>
      <c r="AH1184" s="23" t="s">
        <v>90</v>
      </c>
      <c r="AI1184" s="23" t="s">
        <v>90</v>
      </c>
      <c r="AJ1184" s="27" t="s">
        <v>90</v>
      </c>
      <c r="AV1184" s="2" t="e">
        <f t="shared" si="323"/>
        <v>#N/A</v>
      </c>
      <c r="CB1184" s="5">
        <v>28415186.599999998</v>
      </c>
      <c r="CC1184" s="5"/>
      <c r="CD1184" s="5">
        <f>CB1184-F1184</f>
        <v>-953742.39999999851</v>
      </c>
    </row>
    <row r="1185" spans="1:80" ht="61.5" x14ac:dyDescent="0.85">
      <c r="A1185" s="2">
        <v>1</v>
      </c>
      <c r="B1185" s="18">
        <f>SUBTOTAL(103,$A$1006:A1185)</f>
        <v>156</v>
      </c>
      <c r="C1185" s="290" t="s">
        <v>1851</v>
      </c>
      <c r="D1185" s="5">
        <v>6533531.75</v>
      </c>
      <c r="E1185" s="5">
        <f t="shared" si="302"/>
        <v>0</v>
      </c>
      <c r="F1185" s="5">
        <f t="shared" ref="F1185:F1190" si="341">G1185+H1185+I1185+J1185+K1185+L1185+N1185+P1185+R1185+T1185+V1185+W1185+X1185+Y1185+Z1185+AA1185+AB1185+AC1185+AD1185+AE1185+AF1185+AG1185</f>
        <v>6533531.75</v>
      </c>
      <c r="G1185" s="5">
        <v>0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241">
        <v>0</v>
      </c>
      <c r="N1185" s="5">
        <v>0</v>
      </c>
      <c r="O1185" s="5">
        <v>1175</v>
      </c>
      <c r="P1185" s="5">
        <f>5610837.44+648799.75</f>
        <v>6259637.1900000004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f>ROUND(P1185*1.5%,2)</f>
        <v>93894.56</v>
      </c>
      <c r="AF1185" s="5">
        <v>180000</v>
      </c>
      <c r="AG1185" s="5">
        <v>0</v>
      </c>
      <c r="AH1185" s="246">
        <v>2022</v>
      </c>
      <c r="AI1185" s="246">
        <v>2022</v>
      </c>
      <c r="AJ1185" s="6">
        <v>2022</v>
      </c>
      <c r="AV1185" s="2" t="e">
        <f t="shared" si="323"/>
        <v>#N/A</v>
      </c>
      <c r="CB1185" s="236"/>
    </row>
    <row r="1186" spans="1:80" ht="61.5" x14ac:dyDescent="0.85">
      <c r="A1186" s="2">
        <v>1</v>
      </c>
      <c r="B1186" s="18">
        <f>SUBTOTAL(103,$A$1006:A1186)</f>
        <v>157</v>
      </c>
      <c r="C1186" s="290" t="s">
        <v>1852</v>
      </c>
      <c r="D1186" s="5">
        <v>5163742.3999999994</v>
      </c>
      <c r="E1186" s="5">
        <f t="shared" si="302"/>
        <v>0</v>
      </c>
      <c r="F1186" s="5">
        <f t="shared" si="341"/>
        <v>5163742.3999999994</v>
      </c>
      <c r="G1186" s="5">
        <v>0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241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4890386.5999999996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f>ROUND(W1186*1.5%,2)</f>
        <v>73355.8</v>
      </c>
      <c r="AF1186" s="5">
        <v>200000</v>
      </c>
      <c r="AG1186" s="5">
        <v>0</v>
      </c>
      <c r="AH1186" s="246">
        <v>2022</v>
      </c>
      <c r="AI1186" s="246">
        <v>2022</v>
      </c>
      <c r="AJ1186" s="6">
        <v>2022</v>
      </c>
      <c r="AV1186" s="2" t="e">
        <f t="shared" si="323"/>
        <v>#N/A</v>
      </c>
      <c r="CB1186" s="236"/>
    </row>
    <row r="1187" spans="1:80" ht="61.5" x14ac:dyDescent="0.85">
      <c r="A1187" s="2">
        <v>1</v>
      </c>
      <c r="B1187" s="18">
        <f>SUBTOTAL(103,$A$1006:A1187)</f>
        <v>158</v>
      </c>
      <c r="C1187" s="290" t="s">
        <v>1853</v>
      </c>
      <c r="D1187" s="5">
        <v>4587373.3600000003</v>
      </c>
      <c r="E1187" s="5">
        <f t="shared" si="302"/>
        <v>0</v>
      </c>
      <c r="F1187" s="5">
        <f t="shared" si="341"/>
        <v>4587373.3600000003</v>
      </c>
      <c r="G1187" s="5">
        <v>0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241">
        <v>0</v>
      </c>
      <c r="N1187" s="5">
        <v>0</v>
      </c>
      <c r="O1187" s="5">
        <v>825</v>
      </c>
      <c r="P1187" s="5">
        <f>3916256.16+455540.25</f>
        <v>4371796.41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f>ROUND(P1187*1.5%,2)</f>
        <v>65576.95</v>
      </c>
      <c r="AF1187" s="5">
        <v>150000</v>
      </c>
      <c r="AG1187" s="5">
        <v>0</v>
      </c>
      <c r="AH1187" s="246">
        <v>2022</v>
      </c>
      <c r="AI1187" s="246">
        <v>2022</v>
      </c>
      <c r="AJ1187" s="6">
        <v>2022</v>
      </c>
      <c r="AV1187" s="2" t="e">
        <f t="shared" si="323"/>
        <v>#N/A</v>
      </c>
      <c r="CB1187" s="236"/>
    </row>
    <row r="1188" spans="1:80" ht="61.5" x14ac:dyDescent="0.85">
      <c r="A1188" s="2">
        <v>1</v>
      </c>
      <c r="B1188" s="18">
        <f>SUBTOTAL(103,$A$1006:A1188)</f>
        <v>159</v>
      </c>
      <c r="C1188" s="290" t="s">
        <v>1854</v>
      </c>
      <c r="D1188" s="5">
        <v>5599375.7199999997</v>
      </c>
      <c r="E1188" s="5">
        <f t="shared" si="302"/>
        <v>0</v>
      </c>
      <c r="F1188" s="5">
        <f t="shared" si="341"/>
        <v>5599375.7199999997</v>
      </c>
      <c r="G1188" s="5">
        <v>0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241">
        <v>0</v>
      </c>
      <c r="N1188" s="5">
        <v>0</v>
      </c>
      <c r="O1188" s="5">
        <v>1007</v>
      </c>
      <c r="P1188" s="5">
        <f>4783251.23+556035.19</f>
        <v>5339286.42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f>ROUND(P1188*1.5%,2)</f>
        <v>80089.3</v>
      </c>
      <c r="AF1188" s="5">
        <v>180000</v>
      </c>
      <c r="AG1188" s="5">
        <v>0</v>
      </c>
      <c r="AH1188" s="246">
        <v>2022</v>
      </c>
      <c r="AI1188" s="246">
        <v>2022</v>
      </c>
      <c r="AJ1188" s="6">
        <v>2022</v>
      </c>
      <c r="AV1188" s="2" t="e">
        <f t="shared" si="323"/>
        <v>#N/A</v>
      </c>
      <c r="CB1188" s="236"/>
    </row>
    <row r="1189" spans="1:80" ht="61.5" x14ac:dyDescent="0.85">
      <c r="A1189" s="2">
        <v>1</v>
      </c>
      <c r="B1189" s="18">
        <f>SUBTOTAL(103,$A$1006:A1189)</f>
        <v>160</v>
      </c>
      <c r="C1189" s="290" t="s">
        <v>1855</v>
      </c>
      <c r="D1189" s="5">
        <v>4480243.62</v>
      </c>
      <c r="E1189" s="5">
        <f t="shared" si="302"/>
        <v>0</v>
      </c>
      <c r="F1189" s="5">
        <f t="shared" si="341"/>
        <v>4480243.62</v>
      </c>
      <c r="G1189" s="5">
        <v>0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241">
        <v>0</v>
      </c>
      <c r="N1189" s="5">
        <v>0</v>
      </c>
      <c r="O1189" s="5">
        <v>772.6</v>
      </c>
      <c r="P1189" s="5">
        <f>3201418.72+426606.54+638224.61</f>
        <v>4266249.87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f>ROUND(P1189*1.5%,2)</f>
        <v>63993.75</v>
      </c>
      <c r="AF1189" s="5">
        <v>150000</v>
      </c>
      <c r="AG1189" s="5">
        <v>0</v>
      </c>
      <c r="AH1189" s="246">
        <v>2022</v>
      </c>
      <c r="AI1189" s="246">
        <v>2022</v>
      </c>
      <c r="AJ1189" s="6">
        <v>2022</v>
      </c>
      <c r="AV1189" s="2" t="e">
        <f t="shared" si="323"/>
        <v>#N/A</v>
      </c>
      <c r="CB1189" s="236"/>
    </row>
    <row r="1190" spans="1:80" ht="61.5" x14ac:dyDescent="0.85">
      <c r="A1190" s="2">
        <v>1</v>
      </c>
      <c r="B1190" s="18">
        <f>SUBTOTAL(103,$A$1006:A1190)</f>
        <v>161</v>
      </c>
      <c r="C1190" s="290" t="s">
        <v>1856</v>
      </c>
      <c r="D1190" s="5">
        <v>3004662.15</v>
      </c>
      <c r="E1190" s="5">
        <f t="shared" si="302"/>
        <v>0</v>
      </c>
      <c r="F1190" s="5">
        <f t="shared" si="341"/>
        <v>3004662.15</v>
      </c>
      <c r="G1190" s="5">
        <v>0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241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f>2786886.72+25588.3</f>
        <v>2812475.02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f>ROUND(W1190*1.5%,2)</f>
        <v>42187.13</v>
      </c>
      <c r="AF1190" s="5">
        <v>150000</v>
      </c>
      <c r="AG1190" s="5">
        <v>0</v>
      </c>
      <c r="AH1190" s="246">
        <v>2022</v>
      </c>
      <c r="AI1190" s="246">
        <v>2022</v>
      </c>
      <c r="AJ1190" s="6">
        <v>2022</v>
      </c>
      <c r="CB1190" s="236"/>
    </row>
    <row r="1191" spans="1:80" ht="61.5" x14ac:dyDescent="0.85">
      <c r="B1191" s="3" t="s">
        <v>1329</v>
      </c>
      <c r="C1191" s="442"/>
      <c r="D1191" s="244">
        <v>5777967.8699999992</v>
      </c>
      <c r="E1191" s="233">
        <f t="shared" ref="E1191:E1254" si="342">D1191-F1191</f>
        <v>0</v>
      </c>
      <c r="F1191" s="244">
        <f>F1192+F1193</f>
        <v>5777967.8699999992</v>
      </c>
      <c r="G1191" s="5">
        <f t="shared" ref="G1191:AG1191" si="343">G1192+G1193</f>
        <v>0</v>
      </c>
      <c r="H1191" s="5">
        <f t="shared" si="343"/>
        <v>0</v>
      </c>
      <c r="I1191" s="5">
        <f t="shared" si="343"/>
        <v>0</v>
      </c>
      <c r="J1191" s="5">
        <f t="shared" si="343"/>
        <v>0</v>
      </c>
      <c r="K1191" s="5">
        <f t="shared" si="343"/>
        <v>0</v>
      </c>
      <c r="L1191" s="5">
        <f t="shared" si="343"/>
        <v>0</v>
      </c>
      <c r="M1191" s="241">
        <f t="shared" si="343"/>
        <v>0</v>
      </c>
      <c r="N1191" s="5">
        <f t="shared" si="343"/>
        <v>0</v>
      </c>
      <c r="O1191" s="5">
        <f t="shared" si="343"/>
        <v>630</v>
      </c>
      <c r="P1191" s="5">
        <f t="shared" si="343"/>
        <v>3258269.85</v>
      </c>
      <c r="Q1191" s="5">
        <f t="shared" si="343"/>
        <v>0</v>
      </c>
      <c r="R1191" s="5">
        <f t="shared" si="343"/>
        <v>0</v>
      </c>
      <c r="S1191" s="5">
        <f t="shared" si="343"/>
        <v>437</v>
      </c>
      <c r="T1191" s="5">
        <f t="shared" si="343"/>
        <v>2158447.2599999998</v>
      </c>
      <c r="U1191" s="5">
        <f t="shared" si="343"/>
        <v>0</v>
      </c>
      <c r="V1191" s="5">
        <f t="shared" si="343"/>
        <v>0</v>
      </c>
      <c r="W1191" s="5">
        <f t="shared" si="343"/>
        <v>0</v>
      </c>
      <c r="X1191" s="5">
        <f t="shared" si="343"/>
        <v>0</v>
      </c>
      <c r="Y1191" s="5">
        <f t="shared" si="343"/>
        <v>0</v>
      </c>
      <c r="Z1191" s="5">
        <f t="shared" si="343"/>
        <v>0</v>
      </c>
      <c r="AA1191" s="5">
        <f t="shared" si="343"/>
        <v>0</v>
      </c>
      <c r="AB1191" s="5">
        <f t="shared" si="343"/>
        <v>0</v>
      </c>
      <c r="AC1191" s="5">
        <f t="shared" si="343"/>
        <v>0</v>
      </c>
      <c r="AD1191" s="5">
        <f t="shared" si="343"/>
        <v>0</v>
      </c>
      <c r="AE1191" s="5">
        <f t="shared" si="343"/>
        <v>81250.760000000009</v>
      </c>
      <c r="AF1191" s="5">
        <f t="shared" si="343"/>
        <v>280000</v>
      </c>
      <c r="AG1191" s="5">
        <f t="shared" si="343"/>
        <v>0</v>
      </c>
      <c r="AH1191" s="449" t="s">
        <v>90</v>
      </c>
      <c r="AI1191" s="449" t="s">
        <v>90</v>
      </c>
      <c r="AJ1191" s="450" t="s">
        <v>90</v>
      </c>
      <c r="AV1191" s="2" t="e">
        <f t="shared" ref="AV1191:AV1233" si="344">VLOOKUP(C1191,AY:AZ,2,FALSE)</f>
        <v>#N/A</v>
      </c>
      <c r="CB1191" s="236">
        <v>5777967.8699999992</v>
      </c>
    </row>
    <row r="1192" spans="1:80" ht="61.5" x14ac:dyDescent="0.85">
      <c r="A1192" s="2">
        <v>1</v>
      </c>
      <c r="B1192" s="18">
        <f>SUBTOTAL(103,$A$1006:A1192)</f>
        <v>162</v>
      </c>
      <c r="C1192" s="290" t="s">
        <v>1857</v>
      </c>
      <c r="D1192" s="5">
        <v>3457143.9</v>
      </c>
      <c r="E1192" s="5">
        <f t="shared" si="342"/>
        <v>0</v>
      </c>
      <c r="F1192" s="5">
        <f t="shared" ref="F1192:F1193" si="345">G1192+H1192+I1192+J1192+K1192+L1192+N1192+P1192+R1192+T1192+V1192+W1192+X1192+Y1192+Z1192+AA1192+AB1192+AC1192+AD1192+AE1192+AF1192+AG1192</f>
        <v>3457143.9</v>
      </c>
      <c r="G1192" s="5">
        <v>0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241">
        <v>0</v>
      </c>
      <c r="N1192" s="5">
        <v>0</v>
      </c>
      <c r="O1192" s="5">
        <v>630</v>
      </c>
      <c r="P1192" s="5">
        <v>3258269.85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f>ROUND(P1192*1.5%,2)</f>
        <v>48874.05</v>
      </c>
      <c r="AF1192" s="5">
        <v>150000</v>
      </c>
      <c r="AG1192" s="5">
        <v>0</v>
      </c>
      <c r="AH1192" s="246">
        <v>2022</v>
      </c>
      <c r="AI1192" s="246">
        <v>2022</v>
      </c>
      <c r="AJ1192" s="6">
        <v>2022</v>
      </c>
      <c r="AV1192" s="2" t="e">
        <f t="shared" si="344"/>
        <v>#N/A</v>
      </c>
      <c r="CB1192" s="236"/>
    </row>
    <row r="1193" spans="1:80" ht="61.5" x14ac:dyDescent="0.85">
      <c r="A1193" s="2">
        <v>1</v>
      </c>
      <c r="B1193" s="18">
        <f>SUBTOTAL(103,$A$1006:A1193)</f>
        <v>163</v>
      </c>
      <c r="C1193" s="290" t="s">
        <v>1858</v>
      </c>
      <c r="D1193" s="5">
        <v>2320823.9699999997</v>
      </c>
      <c r="E1193" s="5">
        <f t="shared" si="342"/>
        <v>0</v>
      </c>
      <c r="F1193" s="5">
        <f t="shared" si="345"/>
        <v>2320823.9699999997</v>
      </c>
      <c r="G1193" s="5">
        <v>0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241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437</v>
      </c>
      <c r="T1193" s="5">
        <v>2158447.2599999998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f>ROUND(T1193*1.5%,2)</f>
        <v>32376.71</v>
      </c>
      <c r="AF1193" s="5">
        <v>130000</v>
      </c>
      <c r="AG1193" s="5">
        <v>0</v>
      </c>
      <c r="AH1193" s="246">
        <v>2022</v>
      </c>
      <c r="AI1193" s="246">
        <v>2022</v>
      </c>
      <c r="AJ1193" s="6">
        <v>2022</v>
      </c>
      <c r="AV1193" s="2" t="e">
        <f t="shared" si="344"/>
        <v>#N/A</v>
      </c>
      <c r="CB1193" s="236"/>
    </row>
    <row r="1194" spans="1:80" ht="61.5" x14ac:dyDescent="0.85">
      <c r="B1194" s="3" t="s">
        <v>106</v>
      </c>
      <c r="C1194" s="3"/>
      <c r="D1194" s="244">
        <v>4715781.71</v>
      </c>
      <c r="E1194" s="233">
        <f t="shared" si="342"/>
        <v>0</v>
      </c>
      <c r="F1194" s="244">
        <f>F1195+F1196+F1197</f>
        <v>4715781.71</v>
      </c>
      <c r="G1194" s="5">
        <f t="shared" ref="G1194:AG1194" si="346">G1195+G1196+G1197</f>
        <v>0</v>
      </c>
      <c r="H1194" s="5">
        <f t="shared" si="346"/>
        <v>0</v>
      </c>
      <c r="I1194" s="5">
        <f t="shared" si="346"/>
        <v>0</v>
      </c>
      <c r="J1194" s="5">
        <f t="shared" si="346"/>
        <v>0</v>
      </c>
      <c r="K1194" s="5">
        <f t="shared" si="346"/>
        <v>0</v>
      </c>
      <c r="L1194" s="5">
        <f t="shared" si="346"/>
        <v>0</v>
      </c>
      <c r="M1194" s="241">
        <f t="shared" si="346"/>
        <v>0</v>
      </c>
      <c r="N1194" s="5">
        <f t="shared" si="346"/>
        <v>0</v>
      </c>
      <c r="O1194" s="5">
        <f t="shared" si="346"/>
        <v>543</v>
      </c>
      <c r="P1194" s="5">
        <f t="shared" si="346"/>
        <v>2724828.46</v>
      </c>
      <c r="Q1194" s="5">
        <f t="shared" si="346"/>
        <v>0</v>
      </c>
      <c r="R1194" s="5">
        <f t="shared" si="346"/>
        <v>0</v>
      </c>
      <c r="S1194" s="5">
        <f t="shared" si="346"/>
        <v>322</v>
      </c>
      <c r="T1194" s="5">
        <f t="shared" si="346"/>
        <v>1586286.52</v>
      </c>
      <c r="U1194" s="5">
        <f t="shared" si="346"/>
        <v>0</v>
      </c>
      <c r="V1194" s="5">
        <f t="shared" si="346"/>
        <v>0</v>
      </c>
      <c r="W1194" s="5">
        <f t="shared" si="346"/>
        <v>0</v>
      </c>
      <c r="X1194" s="5">
        <f t="shared" si="346"/>
        <v>0</v>
      </c>
      <c r="Y1194" s="5">
        <f t="shared" si="346"/>
        <v>0</v>
      </c>
      <c r="Z1194" s="5">
        <f t="shared" si="346"/>
        <v>0</v>
      </c>
      <c r="AA1194" s="5">
        <f t="shared" si="346"/>
        <v>0</v>
      </c>
      <c r="AB1194" s="5">
        <f t="shared" si="346"/>
        <v>0</v>
      </c>
      <c r="AC1194" s="5">
        <f t="shared" si="346"/>
        <v>0</v>
      </c>
      <c r="AD1194" s="5">
        <f t="shared" si="346"/>
        <v>0</v>
      </c>
      <c r="AE1194" s="5">
        <f t="shared" si="346"/>
        <v>64666.729999999996</v>
      </c>
      <c r="AF1194" s="5">
        <f t="shared" si="346"/>
        <v>340000</v>
      </c>
      <c r="AG1194" s="5">
        <f t="shared" si="346"/>
        <v>0</v>
      </c>
      <c r="AH1194" s="449" t="s">
        <v>90</v>
      </c>
      <c r="AI1194" s="449" t="s">
        <v>90</v>
      </c>
      <c r="AJ1194" s="450" t="s">
        <v>90</v>
      </c>
      <c r="AV1194" s="2" t="e">
        <f t="shared" si="344"/>
        <v>#N/A</v>
      </c>
      <c r="CB1194" s="236">
        <v>4715781.71</v>
      </c>
    </row>
    <row r="1195" spans="1:80" ht="61.5" x14ac:dyDescent="0.85">
      <c r="A1195" s="2">
        <v>1</v>
      </c>
      <c r="B1195" s="18">
        <f>SUBTOTAL(103,$A$1006:A1195)</f>
        <v>164</v>
      </c>
      <c r="C1195" s="290" t="s">
        <v>1859</v>
      </c>
      <c r="D1195" s="5">
        <v>1710080.82</v>
      </c>
      <c r="E1195" s="5">
        <f t="shared" si="342"/>
        <v>0</v>
      </c>
      <c r="F1195" s="5">
        <f t="shared" ref="F1195:F1197" si="347">G1195+H1195+I1195+J1195+K1195+L1195+N1195+P1195+R1195+T1195+V1195+W1195+X1195+Y1195+Z1195+AA1195+AB1195+AC1195+AD1195+AE1195+AF1195+AG1195</f>
        <v>1710080.82</v>
      </c>
      <c r="G1195" s="5">
        <v>0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241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322</v>
      </c>
      <c r="T1195" s="5">
        <v>1586286.52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f>ROUND(T1195*1.5%,2)</f>
        <v>23794.3</v>
      </c>
      <c r="AF1195" s="5">
        <v>100000</v>
      </c>
      <c r="AG1195" s="5">
        <v>0</v>
      </c>
      <c r="AH1195" s="246">
        <v>2022</v>
      </c>
      <c r="AI1195" s="246">
        <v>2022</v>
      </c>
      <c r="AJ1195" s="6">
        <v>2022</v>
      </c>
      <c r="AV1195" s="2" t="e">
        <f t="shared" si="344"/>
        <v>#N/A</v>
      </c>
      <c r="CB1195" s="236"/>
    </row>
    <row r="1196" spans="1:80" ht="61.5" x14ac:dyDescent="0.85">
      <c r="A1196" s="2">
        <v>1</v>
      </c>
      <c r="B1196" s="18">
        <f>SUBTOTAL(103,$A$1006:A1196)</f>
        <v>165</v>
      </c>
      <c r="C1196" s="290" t="s">
        <v>1860</v>
      </c>
      <c r="D1196" s="5">
        <v>1452729.9</v>
      </c>
      <c r="E1196" s="5">
        <f t="shared" si="342"/>
        <v>0</v>
      </c>
      <c r="F1196" s="5">
        <f t="shared" si="347"/>
        <v>1452729.9</v>
      </c>
      <c r="G1196" s="5">
        <v>0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241">
        <v>0</v>
      </c>
      <c r="N1196" s="5">
        <v>0</v>
      </c>
      <c r="O1196" s="5">
        <v>260</v>
      </c>
      <c r="P1196" s="5">
        <v>1313034.3799999999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f>ROUND(P1196*1.5%,2)</f>
        <v>19695.52</v>
      </c>
      <c r="AF1196" s="5">
        <v>120000</v>
      </c>
      <c r="AG1196" s="5">
        <v>0</v>
      </c>
      <c r="AH1196" s="246">
        <v>2022</v>
      </c>
      <c r="AI1196" s="246">
        <v>2022</v>
      </c>
      <c r="AJ1196" s="6">
        <v>2022</v>
      </c>
      <c r="AV1196" s="2" t="e">
        <f t="shared" si="344"/>
        <v>#N/A</v>
      </c>
      <c r="CB1196" s="236"/>
    </row>
    <row r="1197" spans="1:80" ht="61.5" x14ac:dyDescent="0.85">
      <c r="A1197" s="2">
        <v>1</v>
      </c>
      <c r="B1197" s="18">
        <f>SUBTOTAL(103,$A$1006:A1197)</f>
        <v>166</v>
      </c>
      <c r="C1197" s="290" t="s">
        <v>1861</v>
      </c>
      <c r="D1197" s="5">
        <v>1552970.99</v>
      </c>
      <c r="E1197" s="5">
        <f t="shared" si="342"/>
        <v>0</v>
      </c>
      <c r="F1197" s="5">
        <f t="shared" si="347"/>
        <v>1552970.99</v>
      </c>
      <c r="G1197" s="5">
        <v>0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241">
        <v>0</v>
      </c>
      <c r="N1197" s="5">
        <v>0</v>
      </c>
      <c r="O1197" s="5">
        <v>283</v>
      </c>
      <c r="P1197" s="5">
        <v>1411794.08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f>ROUND(P1197*1.5%,2)</f>
        <v>21176.91</v>
      </c>
      <c r="AF1197" s="5">
        <v>120000</v>
      </c>
      <c r="AG1197" s="5">
        <v>0</v>
      </c>
      <c r="AH1197" s="246">
        <v>2022</v>
      </c>
      <c r="AI1197" s="246">
        <v>2022</v>
      </c>
      <c r="AJ1197" s="6">
        <v>2022</v>
      </c>
      <c r="AV1197" s="2" t="e">
        <f t="shared" si="344"/>
        <v>#N/A</v>
      </c>
      <c r="CB1197" s="236"/>
    </row>
    <row r="1198" spans="1:80" ht="61.5" x14ac:dyDescent="0.85">
      <c r="B1198" s="3" t="s">
        <v>1326</v>
      </c>
      <c r="C1198" s="3"/>
      <c r="D1198" s="244">
        <v>2590114.16</v>
      </c>
      <c r="E1198" s="233">
        <f t="shared" si="342"/>
        <v>0</v>
      </c>
      <c r="F1198" s="244">
        <f>F1199+F1200</f>
        <v>2590114.16</v>
      </c>
      <c r="G1198" s="5">
        <f t="shared" ref="G1198:AG1198" si="348">G1199+G1200</f>
        <v>0</v>
      </c>
      <c r="H1198" s="5">
        <f t="shared" si="348"/>
        <v>0</v>
      </c>
      <c r="I1198" s="5">
        <f t="shared" si="348"/>
        <v>0</v>
      </c>
      <c r="J1198" s="5">
        <f t="shared" si="348"/>
        <v>0</v>
      </c>
      <c r="K1198" s="5">
        <f t="shared" si="348"/>
        <v>0</v>
      </c>
      <c r="L1198" s="5">
        <f t="shared" si="348"/>
        <v>0</v>
      </c>
      <c r="M1198" s="241">
        <f t="shared" si="348"/>
        <v>0</v>
      </c>
      <c r="N1198" s="5">
        <f t="shared" si="348"/>
        <v>0</v>
      </c>
      <c r="O1198" s="5">
        <f t="shared" si="348"/>
        <v>472</v>
      </c>
      <c r="P1198" s="5">
        <f t="shared" si="348"/>
        <v>2315383.41</v>
      </c>
      <c r="Q1198" s="5">
        <f t="shared" si="348"/>
        <v>0</v>
      </c>
      <c r="R1198" s="5">
        <f t="shared" si="348"/>
        <v>0</v>
      </c>
      <c r="S1198" s="5">
        <f t="shared" si="348"/>
        <v>0</v>
      </c>
      <c r="T1198" s="5">
        <f t="shared" si="348"/>
        <v>0</v>
      </c>
      <c r="U1198" s="5">
        <f t="shared" si="348"/>
        <v>0</v>
      </c>
      <c r="V1198" s="5">
        <f t="shared" si="348"/>
        <v>0</v>
      </c>
      <c r="W1198" s="5">
        <f t="shared" si="348"/>
        <v>0</v>
      </c>
      <c r="X1198" s="5">
        <f t="shared" si="348"/>
        <v>0</v>
      </c>
      <c r="Y1198" s="5">
        <f t="shared" si="348"/>
        <v>0</v>
      </c>
      <c r="Z1198" s="5">
        <f t="shared" si="348"/>
        <v>0</v>
      </c>
      <c r="AA1198" s="5">
        <f t="shared" si="348"/>
        <v>0</v>
      </c>
      <c r="AB1198" s="5">
        <f t="shared" si="348"/>
        <v>0</v>
      </c>
      <c r="AC1198" s="5">
        <f t="shared" si="348"/>
        <v>0</v>
      </c>
      <c r="AD1198" s="5">
        <f t="shared" si="348"/>
        <v>0</v>
      </c>
      <c r="AE1198" s="5">
        <f t="shared" si="348"/>
        <v>34730.75</v>
      </c>
      <c r="AF1198" s="5">
        <f t="shared" si="348"/>
        <v>240000</v>
      </c>
      <c r="AG1198" s="5">
        <f t="shared" si="348"/>
        <v>0</v>
      </c>
      <c r="AH1198" s="449" t="s">
        <v>90</v>
      </c>
      <c r="AI1198" s="449" t="s">
        <v>90</v>
      </c>
      <c r="AJ1198" s="450" t="s">
        <v>90</v>
      </c>
      <c r="AV1198" s="2" t="e">
        <f t="shared" si="344"/>
        <v>#N/A</v>
      </c>
      <c r="CB1198" s="236">
        <v>2590114.16</v>
      </c>
    </row>
    <row r="1199" spans="1:80" ht="61.5" x14ac:dyDescent="0.85">
      <c r="A1199" s="2">
        <v>1</v>
      </c>
      <c r="B1199" s="18">
        <f>SUBTOTAL(103,$A$1006:A1199)</f>
        <v>167</v>
      </c>
      <c r="C1199" s="290" t="s">
        <v>1862</v>
      </c>
      <c r="D1199" s="5">
        <v>1262131.9000000001</v>
      </c>
      <c r="E1199" s="5">
        <f t="shared" si="342"/>
        <v>0</v>
      </c>
      <c r="F1199" s="5">
        <f t="shared" ref="F1199:F1200" si="349">G1199+H1199+I1199+J1199+K1199+L1199+N1199+P1199+R1199+T1199+V1199+W1199+X1199+Y1199+Z1199+AA1199+AB1199+AC1199+AD1199+AE1199+AF1199+AG1199</f>
        <v>1262131.9000000001</v>
      </c>
      <c r="G1199" s="5">
        <v>0</v>
      </c>
      <c r="H1199" s="5">
        <v>0</v>
      </c>
      <c r="I1199" s="5">
        <v>0</v>
      </c>
      <c r="J1199" s="5">
        <v>0</v>
      </c>
      <c r="K1199" s="5">
        <v>0</v>
      </c>
      <c r="L1199" s="5">
        <v>0</v>
      </c>
      <c r="M1199" s="241">
        <v>0</v>
      </c>
      <c r="N1199" s="5">
        <v>0</v>
      </c>
      <c r="O1199" s="5">
        <v>230</v>
      </c>
      <c r="P1199" s="5">
        <v>1125253.1000000001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f>ROUND(P1199*1.5%,2)</f>
        <v>16878.8</v>
      </c>
      <c r="AF1199" s="5">
        <v>120000</v>
      </c>
      <c r="AG1199" s="5">
        <v>0</v>
      </c>
      <c r="AH1199" s="246">
        <v>2022</v>
      </c>
      <c r="AI1199" s="246">
        <v>2022</v>
      </c>
      <c r="AJ1199" s="6">
        <v>2022</v>
      </c>
      <c r="AV1199" s="2" t="e">
        <f t="shared" si="344"/>
        <v>#N/A</v>
      </c>
      <c r="CB1199" s="236"/>
    </row>
    <row r="1200" spans="1:80" ht="61.5" x14ac:dyDescent="0.85">
      <c r="A1200" s="2">
        <v>1</v>
      </c>
      <c r="B1200" s="18">
        <f>SUBTOTAL(103,$A$1006:A1200)</f>
        <v>168</v>
      </c>
      <c r="C1200" s="290" t="s">
        <v>1863</v>
      </c>
      <c r="D1200" s="5">
        <v>1327982.26</v>
      </c>
      <c r="E1200" s="5">
        <f t="shared" si="342"/>
        <v>0</v>
      </c>
      <c r="F1200" s="5">
        <f t="shared" si="349"/>
        <v>1327982.26</v>
      </c>
      <c r="G1200" s="5">
        <v>0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241">
        <v>0</v>
      </c>
      <c r="N1200" s="5">
        <v>0</v>
      </c>
      <c r="O1200" s="5">
        <v>242</v>
      </c>
      <c r="P1200" s="5">
        <v>1190130.31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f>ROUND(P1200*1.5%,2)</f>
        <v>17851.95</v>
      </c>
      <c r="AF1200" s="5">
        <v>120000</v>
      </c>
      <c r="AG1200" s="5">
        <v>0</v>
      </c>
      <c r="AH1200" s="246">
        <v>2022</v>
      </c>
      <c r="AI1200" s="246">
        <v>2022</v>
      </c>
      <c r="AJ1200" s="6">
        <v>2022</v>
      </c>
      <c r="AV1200" s="2" t="e">
        <f t="shared" si="344"/>
        <v>#N/A</v>
      </c>
      <c r="CB1200" s="236"/>
    </row>
    <row r="1201" spans="1:80" ht="61.5" x14ac:dyDescent="0.85">
      <c r="B1201" s="3" t="s">
        <v>107</v>
      </c>
      <c r="C1201" s="3"/>
      <c r="D1201" s="244">
        <v>1456533.11</v>
      </c>
      <c r="E1201" s="233">
        <f t="shared" si="342"/>
        <v>0</v>
      </c>
      <c r="F1201" s="244">
        <f>F1202</f>
        <v>1456533.11</v>
      </c>
      <c r="G1201" s="5">
        <f t="shared" ref="G1201:AG1201" si="350">G1202</f>
        <v>0</v>
      </c>
      <c r="H1201" s="5">
        <f t="shared" si="350"/>
        <v>0</v>
      </c>
      <c r="I1201" s="5">
        <f t="shared" si="350"/>
        <v>0</v>
      </c>
      <c r="J1201" s="5">
        <f t="shared" si="350"/>
        <v>0</v>
      </c>
      <c r="K1201" s="5">
        <f t="shared" si="350"/>
        <v>0</v>
      </c>
      <c r="L1201" s="5">
        <f t="shared" si="350"/>
        <v>0</v>
      </c>
      <c r="M1201" s="241">
        <f t="shared" si="350"/>
        <v>0</v>
      </c>
      <c r="N1201" s="5">
        <f t="shared" si="350"/>
        <v>0</v>
      </c>
      <c r="O1201" s="5">
        <f t="shared" si="350"/>
        <v>280</v>
      </c>
      <c r="P1201" s="5">
        <f t="shared" si="350"/>
        <v>1356190.26</v>
      </c>
      <c r="Q1201" s="5">
        <f t="shared" si="350"/>
        <v>0</v>
      </c>
      <c r="R1201" s="5">
        <f t="shared" si="350"/>
        <v>0</v>
      </c>
      <c r="S1201" s="5">
        <f t="shared" si="350"/>
        <v>0</v>
      </c>
      <c r="T1201" s="5">
        <f t="shared" si="350"/>
        <v>0</v>
      </c>
      <c r="U1201" s="5">
        <f t="shared" si="350"/>
        <v>0</v>
      </c>
      <c r="V1201" s="5">
        <f t="shared" si="350"/>
        <v>0</v>
      </c>
      <c r="W1201" s="5">
        <f t="shared" si="350"/>
        <v>0</v>
      </c>
      <c r="X1201" s="5">
        <f t="shared" si="350"/>
        <v>0</v>
      </c>
      <c r="Y1201" s="5">
        <f t="shared" si="350"/>
        <v>0</v>
      </c>
      <c r="Z1201" s="5">
        <f t="shared" si="350"/>
        <v>0</v>
      </c>
      <c r="AA1201" s="5">
        <f t="shared" si="350"/>
        <v>0</v>
      </c>
      <c r="AB1201" s="5">
        <f t="shared" si="350"/>
        <v>0</v>
      </c>
      <c r="AC1201" s="5">
        <f t="shared" si="350"/>
        <v>0</v>
      </c>
      <c r="AD1201" s="5">
        <f t="shared" si="350"/>
        <v>0</v>
      </c>
      <c r="AE1201" s="5">
        <f t="shared" si="350"/>
        <v>20342.849999999999</v>
      </c>
      <c r="AF1201" s="5">
        <f t="shared" si="350"/>
        <v>80000</v>
      </c>
      <c r="AG1201" s="5">
        <f t="shared" si="350"/>
        <v>0</v>
      </c>
      <c r="AH1201" s="449" t="s">
        <v>90</v>
      </c>
      <c r="AI1201" s="449" t="s">
        <v>90</v>
      </c>
      <c r="AJ1201" s="450" t="s">
        <v>90</v>
      </c>
      <c r="AV1201" s="2" t="e">
        <f t="shared" si="344"/>
        <v>#N/A</v>
      </c>
      <c r="CB1201" s="236">
        <v>1456533.11</v>
      </c>
    </row>
    <row r="1202" spans="1:80" ht="61.5" x14ac:dyDescent="0.85">
      <c r="A1202" s="2">
        <v>1</v>
      </c>
      <c r="B1202" s="18">
        <f>SUBTOTAL(103,$A$1006:A1202)</f>
        <v>169</v>
      </c>
      <c r="C1202" s="290" t="s">
        <v>1864</v>
      </c>
      <c r="D1202" s="5">
        <v>1456533.11</v>
      </c>
      <c r="E1202" s="5">
        <f t="shared" si="342"/>
        <v>0</v>
      </c>
      <c r="F1202" s="5">
        <f t="shared" ref="F1202" si="351">G1202+H1202+I1202+J1202+K1202+L1202+N1202+P1202+R1202+T1202+V1202+W1202+X1202+Y1202+Z1202+AA1202+AB1202+AC1202+AD1202+AE1202+AF1202+AG1202</f>
        <v>1456533.11</v>
      </c>
      <c r="G1202" s="5">
        <v>0</v>
      </c>
      <c r="H1202" s="5">
        <v>0</v>
      </c>
      <c r="I1202" s="5">
        <v>0</v>
      </c>
      <c r="J1202" s="5">
        <v>0</v>
      </c>
      <c r="K1202" s="5">
        <v>0</v>
      </c>
      <c r="L1202" s="5">
        <v>0</v>
      </c>
      <c r="M1202" s="241">
        <v>0</v>
      </c>
      <c r="N1202" s="5">
        <v>0</v>
      </c>
      <c r="O1202" s="5">
        <v>280</v>
      </c>
      <c r="P1202" s="5">
        <v>1356190.26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f>ROUND(P1202*1.5%,2)</f>
        <v>20342.849999999999</v>
      </c>
      <c r="AF1202" s="5">
        <v>80000</v>
      </c>
      <c r="AG1202" s="5">
        <v>0</v>
      </c>
      <c r="AH1202" s="246">
        <v>2022</v>
      </c>
      <c r="AI1202" s="246">
        <v>2022</v>
      </c>
      <c r="AJ1202" s="6">
        <v>2022</v>
      </c>
      <c r="AV1202" s="2" t="e">
        <f t="shared" si="344"/>
        <v>#N/A</v>
      </c>
      <c r="CB1202" s="236"/>
    </row>
    <row r="1203" spans="1:80" ht="61.5" x14ac:dyDescent="0.85">
      <c r="B1203" s="3" t="s">
        <v>108</v>
      </c>
      <c r="C1203" s="442"/>
      <c r="D1203" s="244">
        <v>10290828.25</v>
      </c>
      <c r="E1203" s="233">
        <f t="shared" si="342"/>
        <v>0</v>
      </c>
      <c r="F1203" s="244">
        <f>F1204+F1205+F1206</f>
        <v>10290828.25</v>
      </c>
      <c r="G1203" s="5">
        <f t="shared" ref="G1203:AG1203" si="352">G1204+G1205+G1206</f>
        <v>0</v>
      </c>
      <c r="H1203" s="5">
        <f t="shared" si="352"/>
        <v>0</v>
      </c>
      <c r="I1203" s="5">
        <f t="shared" si="352"/>
        <v>0</v>
      </c>
      <c r="J1203" s="5">
        <f t="shared" si="352"/>
        <v>0</v>
      </c>
      <c r="K1203" s="5">
        <f t="shared" si="352"/>
        <v>0</v>
      </c>
      <c r="L1203" s="5">
        <f t="shared" si="352"/>
        <v>0</v>
      </c>
      <c r="M1203" s="241">
        <f t="shared" si="352"/>
        <v>0</v>
      </c>
      <c r="N1203" s="5">
        <f t="shared" si="352"/>
        <v>0</v>
      </c>
      <c r="O1203" s="5">
        <f t="shared" si="352"/>
        <v>1825</v>
      </c>
      <c r="P1203" s="5">
        <f t="shared" si="352"/>
        <v>9695397.290000001</v>
      </c>
      <c r="Q1203" s="5">
        <f t="shared" si="352"/>
        <v>0</v>
      </c>
      <c r="R1203" s="5">
        <f t="shared" si="352"/>
        <v>0</v>
      </c>
      <c r="S1203" s="5">
        <f t="shared" si="352"/>
        <v>0</v>
      </c>
      <c r="T1203" s="5">
        <f t="shared" si="352"/>
        <v>0</v>
      </c>
      <c r="U1203" s="5">
        <f t="shared" si="352"/>
        <v>0</v>
      </c>
      <c r="V1203" s="5">
        <f t="shared" si="352"/>
        <v>0</v>
      </c>
      <c r="W1203" s="5">
        <f t="shared" si="352"/>
        <v>0</v>
      </c>
      <c r="X1203" s="5">
        <f t="shared" si="352"/>
        <v>0</v>
      </c>
      <c r="Y1203" s="5">
        <f t="shared" si="352"/>
        <v>0</v>
      </c>
      <c r="Z1203" s="5">
        <f t="shared" si="352"/>
        <v>0</v>
      </c>
      <c r="AA1203" s="5">
        <f t="shared" si="352"/>
        <v>0</v>
      </c>
      <c r="AB1203" s="5">
        <f t="shared" si="352"/>
        <v>0</v>
      </c>
      <c r="AC1203" s="5">
        <f t="shared" si="352"/>
        <v>0</v>
      </c>
      <c r="AD1203" s="5">
        <f t="shared" si="352"/>
        <v>0</v>
      </c>
      <c r="AE1203" s="5">
        <f t="shared" si="352"/>
        <v>145430.96</v>
      </c>
      <c r="AF1203" s="5">
        <f t="shared" si="352"/>
        <v>450000</v>
      </c>
      <c r="AG1203" s="5">
        <f t="shared" si="352"/>
        <v>0</v>
      </c>
      <c r="AH1203" s="449" t="s">
        <v>90</v>
      </c>
      <c r="AI1203" s="449" t="s">
        <v>90</v>
      </c>
      <c r="AJ1203" s="450" t="s">
        <v>90</v>
      </c>
      <c r="AV1203" s="2" t="e">
        <f t="shared" si="344"/>
        <v>#N/A</v>
      </c>
      <c r="CB1203" s="236">
        <v>10290828.25</v>
      </c>
    </row>
    <row r="1204" spans="1:80" ht="61.5" x14ac:dyDescent="0.85">
      <c r="A1204" s="2">
        <v>1</v>
      </c>
      <c r="B1204" s="18">
        <f>SUBTOTAL(103,$A$1006:A1204)</f>
        <v>170</v>
      </c>
      <c r="C1204" s="290" t="s">
        <v>1865</v>
      </c>
      <c r="D1204" s="5">
        <v>3665226.5</v>
      </c>
      <c r="E1204" s="5">
        <f t="shared" si="342"/>
        <v>0</v>
      </c>
      <c r="F1204" s="5">
        <f t="shared" ref="F1204:F1206" si="353">G1204+H1204+I1204+J1204+K1204+L1204+N1204+P1204+R1204+T1204+V1204+W1204+X1204+Y1204+Z1204+AA1204+AB1204+AC1204+AD1204+AE1204+AF1204+AG1204</f>
        <v>3665226.5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241">
        <v>0</v>
      </c>
      <c r="N1204" s="5">
        <v>0</v>
      </c>
      <c r="O1204" s="5">
        <v>650</v>
      </c>
      <c r="P1204" s="5">
        <v>3463277.34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f>ROUND(P1204*1.5%,2)</f>
        <v>51949.16</v>
      </c>
      <c r="AF1204" s="5">
        <v>150000</v>
      </c>
      <c r="AG1204" s="5">
        <v>0</v>
      </c>
      <c r="AH1204" s="246">
        <v>2022</v>
      </c>
      <c r="AI1204" s="246">
        <v>2022</v>
      </c>
      <c r="AJ1204" s="6">
        <v>2022</v>
      </c>
      <c r="AV1204" s="2" t="e">
        <f t="shared" si="344"/>
        <v>#N/A</v>
      </c>
      <c r="CB1204" s="236"/>
    </row>
    <row r="1205" spans="1:80" ht="61.5" x14ac:dyDescent="0.85">
      <c r="A1205" s="2">
        <v>1</v>
      </c>
      <c r="B1205" s="18">
        <f>SUBTOTAL(103,$A$1006:A1205)</f>
        <v>171</v>
      </c>
      <c r="C1205" s="290" t="s">
        <v>1866</v>
      </c>
      <c r="D1205" s="5">
        <v>3185927.6500000004</v>
      </c>
      <c r="E1205" s="5">
        <f t="shared" si="342"/>
        <v>0</v>
      </c>
      <c r="F1205" s="5">
        <f t="shared" si="353"/>
        <v>3185927.6500000004</v>
      </c>
      <c r="G1205" s="5">
        <v>0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241">
        <v>0</v>
      </c>
      <c r="N1205" s="5">
        <v>0</v>
      </c>
      <c r="O1205" s="5">
        <v>565</v>
      </c>
      <c r="P1205" s="5">
        <v>2991061.72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f>ROUND(P1205*1.5%,2)</f>
        <v>44865.93</v>
      </c>
      <c r="AF1205" s="5">
        <v>150000</v>
      </c>
      <c r="AG1205" s="5">
        <v>0</v>
      </c>
      <c r="AH1205" s="246">
        <v>2022</v>
      </c>
      <c r="AI1205" s="246">
        <v>2022</v>
      </c>
      <c r="AJ1205" s="6">
        <v>2022</v>
      </c>
      <c r="AV1205" s="2" t="e">
        <f t="shared" si="344"/>
        <v>#N/A</v>
      </c>
      <c r="CB1205" s="236"/>
    </row>
    <row r="1206" spans="1:80" ht="61.5" x14ac:dyDescent="0.85">
      <c r="A1206" s="2">
        <v>1</v>
      </c>
      <c r="B1206" s="18">
        <f>SUBTOTAL(103,$A$1006:A1206)</f>
        <v>172</v>
      </c>
      <c r="C1206" s="290" t="s">
        <v>1867</v>
      </c>
      <c r="D1206" s="5">
        <v>3439674.1</v>
      </c>
      <c r="E1206" s="5">
        <f t="shared" si="342"/>
        <v>0</v>
      </c>
      <c r="F1206" s="5">
        <f t="shared" si="353"/>
        <v>3439674.1</v>
      </c>
      <c r="G1206" s="5">
        <v>0</v>
      </c>
      <c r="H1206" s="5">
        <v>0</v>
      </c>
      <c r="I1206" s="5">
        <v>0</v>
      </c>
      <c r="J1206" s="5">
        <v>0</v>
      </c>
      <c r="K1206" s="5">
        <v>0</v>
      </c>
      <c r="L1206" s="5">
        <v>0</v>
      </c>
      <c r="M1206" s="241">
        <v>0</v>
      </c>
      <c r="N1206" s="5">
        <v>0</v>
      </c>
      <c r="O1206" s="5">
        <v>610</v>
      </c>
      <c r="P1206" s="5">
        <v>3241058.23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f>ROUND(P1206*1.5%,2)</f>
        <v>48615.87</v>
      </c>
      <c r="AF1206" s="5">
        <v>150000</v>
      </c>
      <c r="AG1206" s="5">
        <v>0</v>
      </c>
      <c r="AH1206" s="246">
        <v>2022</v>
      </c>
      <c r="AI1206" s="246">
        <v>2022</v>
      </c>
      <c r="AJ1206" s="6">
        <v>2022</v>
      </c>
      <c r="AV1206" s="2" t="e">
        <f t="shared" si="344"/>
        <v>#N/A</v>
      </c>
      <c r="CB1206" s="236"/>
    </row>
    <row r="1207" spans="1:80" ht="61.5" x14ac:dyDescent="0.85">
      <c r="B1207" s="3" t="s">
        <v>109</v>
      </c>
      <c r="C1207" s="3"/>
      <c r="D1207" s="244">
        <v>3013803.8600000003</v>
      </c>
      <c r="E1207" s="233">
        <f t="shared" si="342"/>
        <v>0</v>
      </c>
      <c r="F1207" s="244">
        <f>F1208</f>
        <v>3013803.8600000003</v>
      </c>
      <c r="G1207" s="5">
        <f t="shared" ref="G1207:AG1207" si="354">G1208</f>
        <v>0</v>
      </c>
      <c r="H1207" s="5">
        <f t="shared" si="354"/>
        <v>0</v>
      </c>
      <c r="I1207" s="5">
        <f t="shared" si="354"/>
        <v>0</v>
      </c>
      <c r="J1207" s="5">
        <f t="shared" si="354"/>
        <v>0</v>
      </c>
      <c r="K1207" s="5">
        <f t="shared" si="354"/>
        <v>0</v>
      </c>
      <c r="L1207" s="5">
        <f t="shared" si="354"/>
        <v>0</v>
      </c>
      <c r="M1207" s="241">
        <f t="shared" si="354"/>
        <v>0</v>
      </c>
      <c r="N1207" s="5">
        <f t="shared" si="354"/>
        <v>0</v>
      </c>
      <c r="O1207" s="5">
        <f t="shared" si="354"/>
        <v>586</v>
      </c>
      <c r="P1207" s="5">
        <f t="shared" si="354"/>
        <v>2821481.64</v>
      </c>
      <c r="Q1207" s="5">
        <f t="shared" si="354"/>
        <v>0</v>
      </c>
      <c r="R1207" s="5">
        <f t="shared" si="354"/>
        <v>0</v>
      </c>
      <c r="S1207" s="5">
        <f t="shared" si="354"/>
        <v>0</v>
      </c>
      <c r="T1207" s="5">
        <f t="shared" si="354"/>
        <v>0</v>
      </c>
      <c r="U1207" s="5">
        <f t="shared" si="354"/>
        <v>0</v>
      </c>
      <c r="V1207" s="5">
        <f t="shared" si="354"/>
        <v>0</v>
      </c>
      <c r="W1207" s="5">
        <f t="shared" si="354"/>
        <v>0</v>
      </c>
      <c r="X1207" s="5">
        <f t="shared" si="354"/>
        <v>0</v>
      </c>
      <c r="Y1207" s="5">
        <f t="shared" si="354"/>
        <v>0</v>
      </c>
      <c r="Z1207" s="5">
        <f t="shared" si="354"/>
        <v>0</v>
      </c>
      <c r="AA1207" s="5">
        <f t="shared" si="354"/>
        <v>0</v>
      </c>
      <c r="AB1207" s="5">
        <f t="shared" si="354"/>
        <v>0</v>
      </c>
      <c r="AC1207" s="5">
        <f t="shared" si="354"/>
        <v>0</v>
      </c>
      <c r="AD1207" s="5">
        <f t="shared" si="354"/>
        <v>0</v>
      </c>
      <c r="AE1207" s="5">
        <f t="shared" si="354"/>
        <v>42322.22</v>
      </c>
      <c r="AF1207" s="5">
        <f t="shared" si="354"/>
        <v>150000</v>
      </c>
      <c r="AG1207" s="5">
        <f t="shared" si="354"/>
        <v>0</v>
      </c>
      <c r="AH1207" s="449" t="s">
        <v>90</v>
      </c>
      <c r="AI1207" s="449" t="s">
        <v>90</v>
      </c>
      <c r="AJ1207" s="450" t="s">
        <v>90</v>
      </c>
      <c r="AV1207" s="2" t="e">
        <f t="shared" si="344"/>
        <v>#N/A</v>
      </c>
      <c r="CB1207" s="236">
        <v>3013803.8600000003</v>
      </c>
    </row>
    <row r="1208" spans="1:80" ht="61.5" x14ac:dyDescent="0.85">
      <c r="A1208" s="2">
        <v>1</v>
      </c>
      <c r="B1208" s="18">
        <f>SUBTOTAL(103,$A$1006:A1208)</f>
        <v>173</v>
      </c>
      <c r="C1208" s="290" t="s">
        <v>1868</v>
      </c>
      <c r="D1208" s="5">
        <v>3013803.8600000003</v>
      </c>
      <c r="E1208" s="5">
        <f t="shared" si="342"/>
        <v>0</v>
      </c>
      <c r="F1208" s="5">
        <f t="shared" ref="F1208" si="355">G1208+H1208+I1208+J1208+K1208+L1208+N1208+P1208+R1208+T1208+V1208+W1208+X1208+Y1208+Z1208+AA1208+AB1208+AC1208+AD1208+AE1208+AF1208+AG1208</f>
        <v>3013803.8600000003</v>
      </c>
      <c r="G1208" s="5">
        <v>0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241">
        <v>0</v>
      </c>
      <c r="N1208" s="5">
        <v>0</v>
      </c>
      <c r="O1208" s="5">
        <v>586</v>
      </c>
      <c r="P1208" s="5">
        <v>2821481.64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f>ROUND(P1208*1.5%,2)</f>
        <v>42322.22</v>
      </c>
      <c r="AF1208" s="5">
        <v>150000</v>
      </c>
      <c r="AG1208" s="5">
        <v>0</v>
      </c>
      <c r="AH1208" s="246">
        <v>2022</v>
      </c>
      <c r="AI1208" s="246">
        <v>2022</v>
      </c>
      <c r="AJ1208" s="6">
        <v>2022</v>
      </c>
      <c r="AV1208" s="2" t="e">
        <f t="shared" si="344"/>
        <v>#N/A</v>
      </c>
      <c r="CB1208" s="236"/>
    </row>
    <row r="1209" spans="1:80" ht="61.5" x14ac:dyDescent="0.85">
      <c r="B1209" s="3" t="s">
        <v>1869</v>
      </c>
      <c r="C1209" s="3"/>
      <c r="D1209" s="244">
        <v>2036502</v>
      </c>
      <c r="E1209" s="233">
        <f t="shared" si="342"/>
        <v>0</v>
      </c>
      <c r="F1209" s="244">
        <f>F1210</f>
        <v>2036502</v>
      </c>
      <c r="G1209" s="5">
        <f t="shared" ref="G1209:AG1209" si="356">G1210</f>
        <v>0</v>
      </c>
      <c r="H1209" s="5">
        <f t="shared" si="356"/>
        <v>0</v>
      </c>
      <c r="I1209" s="5">
        <f t="shared" si="356"/>
        <v>0</v>
      </c>
      <c r="J1209" s="5">
        <f t="shared" si="356"/>
        <v>0</v>
      </c>
      <c r="K1209" s="5">
        <f t="shared" si="356"/>
        <v>0</v>
      </c>
      <c r="L1209" s="5">
        <f t="shared" si="356"/>
        <v>0</v>
      </c>
      <c r="M1209" s="241">
        <f t="shared" si="356"/>
        <v>0</v>
      </c>
      <c r="N1209" s="5">
        <f t="shared" si="356"/>
        <v>0</v>
      </c>
      <c r="O1209" s="5">
        <f t="shared" si="356"/>
        <v>390</v>
      </c>
      <c r="P1209" s="5">
        <f t="shared" si="356"/>
        <v>1888179.31</v>
      </c>
      <c r="Q1209" s="5">
        <f t="shared" si="356"/>
        <v>0</v>
      </c>
      <c r="R1209" s="5">
        <f t="shared" si="356"/>
        <v>0</v>
      </c>
      <c r="S1209" s="5">
        <f t="shared" si="356"/>
        <v>0</v>
      </c>
      <c r="T1209" s="5">
        <f t="shared" si="356"/>
        <v>0</v>
      </c>
      <c r="U1209" s="5">
        <f t="shared" si="356"/>
        <v>0</v>
      </c>
      <c r="V1209" s="5">
        <f t="shared" si="356"/>
        <v>0</v>
      </c>
      <c r="W1209" s="5">
        <f t="shared" si="356"/>
        <v>0</v>
      </c>
      <c r="X1209" s="5">
        <f t="shared" si="356"/>
        <v>0</v>
      </c>
      <c r="Y1209" s="5">
        <f t="shared" si="356"/>
        <v>0</v>
      </c>
      <c r="Z1209" s="5">
        <f t="shared" si="356"/>
        <v>0</v>
      </c>
      <c r="AA1209" s="5">
        <f t="shared" si="356"/>
        <v>0</v>
      </c>
      <c r="AB1209" s="5">
        <f t="shared" si="356"/>
        <v>0</v>
      </c>
      <c r="AC1209" s="5">
        <f t="shared" si="356"/>
        <v>0</v>
      </c>
      <c r="AD1209" s="5">
        <f t="shared" si="356"/>
        <v>0</v>
      </c>
      <c r="AE1209" s="5">
        <f t="shared" si="356"/>
        <v>28322.69</v>
      </c>
      <c r="AF1209" s="5">
        <f t="shared" si="356"/>
        <v>120000</v>
      </c>
      <c r="AG1209" s="5">
        <f t="shared" si="356"/>
        <v>0</v>
      </c>
      <c r="AH1209" s="449" t="s">
        <v>90</v>
      </c>
      <c r="AI1209" s="449" t="s">
        <v>90</v>
      </c>
      <c r="AJ1209" s="450" t="s">
        <v>90</v>
      </c>
      <c r="AV1209" s="2" t="e">
        <f t="shared" si="344"/>
        <v>#N/A</v>
      </c>
      <c r="CB1209" s="236">
        <v>2036502</v>
      </c>
    </row>
    <row r="1210" spans="1:80" ht="61.5" x14ac:dyDescent="0.85">
      <c r="A1210" s="2">
        <v>1</v>
      </c>
      <c r="B1210" s="18">
        <f>SUBTOTAL(103,$A$1006:A1210)</f>
        <v>174</v>
      </c>
      <c r="C1210" s="290" t="s">
        <v>1870</v>
      </c>
      <c r="D1210" s="5">
        <v>2036502</v>
      </c>
      <c r="E1210" s="5">
        <f t="shared" si="342"/>
        <v>0</v>
      </c>
      <c r="F1210" s="5">
        <f t="shared" ref="F1210" si="357">G1210+H1210+I1210+J1210+K1210+L1210+N1210+P1210+R1210+T1210+V1210+W1210+X1210+Y1210+Z1210+AA1210+AB1210+AC1210+AD1210+AE1210+AF1210+AG1210</f>
        <v>2036502</v>
      </c>
      <c r="G1210" s="5">
        <v>0</v>
      </c>
      <c r="H1210" s="5">
        <v>0</v>
      </c>
      <c r="I1210" s="5">
        <v>0</v>
      </c>
      <c r="J1210" s="5">
        <v>0</v>
      </c>
      <c r="K1210" s="5">
        <v>0</v>
      </c>
      <c r="L1210" s="5">
        <v>0</v>
      </c>
      <c r="M1210" s="241">
        <v>0</v>
      </c>
      <c r="N1210" s="5">
        <v>0</v>
      </c>
      <c r="O1210" s="5">
        <v>390</v>
      </c>
      <c r="P1210" s="5">
        <v>1888179.31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f>ROUND(P1210*1.5%,2)</f>
        <v>28322.69</v>
      </c>
      <c r="AF1210" s="5">
        <v>120000</v>
      </c>
      <c r="AG1210" s="5">
        <v>0</v>
      </c>
      <c r="AH1210" s="246">
        <v>2022</v>
      </c>
      <c r="AI1210" s="246">
        <v>2022</v>
      </c>
      <c r="AJ1210" s="6">
        <v>2022</v>
      </c>
      <c r="AV1210" s="2" t="e">
        <f t="shared" si="344"/>
        <v>#N/A</v>
      </c>
      <c r="CB1210" s="236"/>
    </row>
    <row r="1211" spans="1:80" ht="61.5" x14ac:dyDescent="0.85">
      <c r="B1211" s="3" t="s">
        <v>110</v>
      </c>
      <c r="C1211" s="442"/>
      <c r="D1211" s="244">
        <v>3592598.4</v>
      </c>
      <c r="E1211" s="233">
        <f t="shared" si="342"/>
        <v>0</v>
      </c>
      <c r="F1211" s="244">
        <f>F1212</f>
        <v>3592598.4</v>
      </c>
      <c r="G1211" s="5">
        <f t="shared" ref="G1211:AG1211" si="358">G1212</f>
        <v>0</v>
      </c>
      <c r="H1211" s="5">
        <f t="shared" si="358"/>
        <v>0</v>
      </c>
      <c r="I1211" s="5">
        <f t="shared" si="358"/>
        <v>0</v>
      </c>
      <c r="J1211" s="5">
        <f t="shared" si="358"/>
        <v>0</v>
      </c>
      <c r="K1211" s="5">
        <f t="shared" si="358"/>
        <v>0</v>
      </c>
      <c r="L1211" s="5">
        <f t="shared" si="358"/>
        <v>0</v>
      </c>
      <c r="M1211" s="241">
        <f t="shared" si="358"/>
        <v>0</v>
      </c>
      <c r="N1211" s="5">
        <f t="shared" si="358"/>
        <v>0</v>
      </c>
      <c r="O1211" s="5">
        <f t="shared" si="358"/>
        <v>688</v>
      </c>
      <c r="P1211" s="5">
        <f t="shared" si="358"/>
        <v>3391722.56</v>
      </c>
      <c r="Q1211" s="5">
        <f t="shared" si="358"/>
        <v>0</v>
      </c>
      <c r="R1211" s="5">
        <f t="shared" si="358"/>
        <v>0</v>
      </c>
      <c r="S1211" s="5">
        <f t="shared" si="358"/>
        <v>0</v>
      </c>
      <c r="T1211" s="5">
        <f t="shared" si="358"/>
        <v>0</v>
      </c>
      <c r="U1211" s="5">
        <f t="shared" si="358"/>
        <v>0</v>
      </c>
      <c r="V1211" s="5">
        <f t="shared" si="358"/>
        <v>0</v>
      </c>
      <c r="W1211" s="5">
        <f t="shared" si="358"/>
        <v>0</v>
      </c>
      <c r="X1211" s="5">
        <f t="shared" si="358"/>
        <v>0</v>
      </c>
      <c r="Y1211" s="5">
        <f t="shared" si="358"/>
        <v>0</v>
      </c>
      <c r="Z1211" s="5">
        <f t="shared" si="358"/>
        <v>0</v>
      </c>
      <c r="AA1211" s="5">
        <f t="shared" si="358"/>
        <v>0</v>
      </c>
      <c r="AB1211" s="5">
        <f t="shared" si="358"/>
        <v>0</v>
      </c>
      <c r="AC1211" s="5">
        <f t="shared" si="358"/>
        <v>0</v>
      </c>
      <c r="AD1211" s="5">
        <f t="shared" si="358"/>
        <v>0</v>
      </c>
      <c r="AE1211" s="5">
        <f t="shared" si="358"/>
        <v>50875.839999999997</v>
      </c>
      <c r="AF1211" s="5">
        <f t="shared" si="358"/>
        <v>150000</v>
      </c>
      <c r="AG1211" s="5">
        <f t="shared" si="358"/>
        <v>0</v>
      </c>
      <c r="AH1211" s="449" t="s">
        <v>90</v>
      </c>
      <c r="AI1211" s="449" t="s">
        <v>90</v>
      </c>
      <c r="AJ1211" s="450" t="s">
        <v>90</v>
      </c>
      <c r="AV1211" s="2" t="e">
        <f t="shared" si="344"/>
        <v>#N/A</v>
      </c>
      <c r="CB1211" s="236">
        <v>3592598.4</v>
      </c>
    </row>
    <row r="1212" spans="1:80" ht="61.5" x14ac:dyDescent="0.85">
      <c r="A1212" s="2">
        <v>1</v>
      </c>
      <c r="B1212" s="18">
        <f>SUBTOTAL(103,$A$1006:A1212)</f>
        <v>175</v>
      </c>
      <c r="C1212" s="290" t="s">
        <v>1871</v>
      </c>
      <c r="D1212" s="5">
        <v>3592598.4</v>
      </c>
      <c r="E1212" s="5">
        <f t="shared" si="342"/>
        <v>0</v>
      </c>
      <c r="F1212" s="5">
        <f t="shared" ref="F1212" si="359">G1212+H1212+I1212+J1212+K1212+L1212+N1212+P1212+R1212+T1212+V1212+W1212+X1212+Y1212+Z1212+AA1212+AB1212+AC1212+AD1212+AE1212+AF1212+AG1212</f>
        <v>3592598.4</v>
      </c>
      <c r="G1212" s="5">
        <v>0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241">
        <v>0</v>
      </c>
      <c r="N1212" s="5">
        <v>0</v>
      </c>
      <c r="O1212" s="5">
        <v>688</v>
      </c>
      <c r="P1212" s="5">
        <v>3391722.56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f>ROUND(P1212*1.5%,2)</f>
        <v>50875.839999999997</v>
      </c>
      <c r="AF1212" s="5">
        <v>150000</v>
      </c>
      <c r="AG1212" s="5">
        <v>0</v>
      </c>
      <c r="AH1212" s="246">
        <v>2022</v>
      </c>
      <c r="AI1212" s="246">
        <v>2022</v>
      </c>
      <c r="AJ1212" s="6">
        <v>2022</v>
      </c>
      <c r="AV1212" s="2" t="e">
        <f t="shared" si="344"/>
        <v>#N/A</v>
      </c>
      <c r="CB1212" s="236"/>
    </row>
    <row r="1213" spans="1:80" ht="61.5" x14ac:dyDescent="0.85">
      <c r="B1213" s="3" t="s">
        <v>1651</v>
      </c>
      <c r="C1213" s="3"/>
      <c r="D1213" s="244">
        <v>4454195.3999999994</v>
      </c>
      <c r="E1213" s="233">
        <f t="shared" si="342"/>
        <v>0</v>
      </c>
      <c r="F1213" s="244">
        <f>F1214</f>
        <v>4454195.3999999994</v>
      </c>
      <c r="G1213" s="5">
        <f t="shared" ref="G1213:AG1213" si="360">G1214</f>
        <v>0</v>
      </c>
      <c r="H1213" s="5">
        <f t="shared" si="360"/>
        <v>0</v>
      </c>
      <c r="I1213" s="5">
        <f t="shared" si="360"/>
        <v>0</v>
      </c>
      <c r="J1213" s="5">
        <f t="shared" si="360"/>
        <v>0</v>
      </c>
      <c r="K1213" s="5">
        <f t="shared" si="360"/>
        <v>0</v>
      </c>
      <c r="L1213" s="5">
        <f t="shared" si="360"/>
        <v>0</v>
      </c>
      <c r="M1213" s="241">
        <f t="shared" si="360"/>
        <v>0</v>
      </c>
      <c r="N1213" s="5">
        <f t="shared" si="360"/>
        <v>0</v>
      </c>
      <c r="O1213" s="5">
        <f t="shared" si="360"/>
        <v>853</v>
      </c>
      <c r="P1213" s="5">
        <f t="shared" si="360"/>
        <v>4240586.5999999996</v>
      </c>
      <c r="Q1213" s="5">
        <f t="shared" si="360"/>
        <v>0</v>
      </c>
      <c r="R1213" s="5">
        <f t="shared" si="360"/>
        <v>0</v>
      </c>
      <c r="S1213" s="5">
        <f t="shared" si="360"/>
        <v>0</v>
      </c>
      <c r="T1213" s="5">
        <f t="shared" si="360"/>
        <v>0</v>
      </c>
      <c r="U1213" s="5">
        <f t="shared" si="360"/>
        <v>0</v>
      </c>
      <c r="V1213" s="5">
        <f t="shared" si="360"/>
        <v>0</v>
      </c>
      <c r="W1213" s="5">
        <f t="shared" si="360"/>
        <v>0</v>
      </c>
      <c r="X1213" s="5">
        <f t="shared" si="360"/>
        <v>0</v>
      </c>
      <c r="Y1213" s="5">
        <f t="shared" si="360"/>
        <v>0</v>
      </c>
      <c r="Z1213" s="5">
        <f t="shared" si="360"/>
        <v>0</v>
      </c>
      <c r="AA1213" s="5">
        <f t="shared" si="360"/>
        <v>0</v>
      </c>
      <c r="AB1213" s="5">
        <f t="shared" si="360"/>
        <v>0</v>
      </c>
      <c r="AC1213" s="5">
        <f t="shared" si="360"/>
        <v>0</v>
      </c>
      <c r="AD1213" s="5">
        <f t="shared" si="360"/>
        <v>0</v>
      </c>
      <c r="AE1213" s="5">
        <f t="shared" si="360"/>
        <v>63608.800000000003</v>
      </c>
      <c r="AF1213" s="5">
        <f t="shared" si="360"/>
        <v>150000</v>
      </c>
      <c r="AG1213" s="5">
        <f t="shared" si="360"/>
        <v>0</v>
      </c>
      <c r="AH1213" s="449" t="s">
        <v>90</v>
      </c>
      <c r="AI1213" s="449" t="s">
        <v>90</v>
      </c>
      <c r="AJ1213" s="450" t="s">
        <v>90</v>
      </c>
      <c r="AV1213" s="2" t="e">
        <f t="shared" si="344"/>
        <v>#N/A</v>
      </c>
      <c r="CB1213" s="236">
        <v>4454195.3999999994</v>
      </c>
    </row>
    <row r="1214" spans="1:80" ht="61.5" x14ac:dyDescent="0.85">
      <c r="A1214" s="2">
        <v>1</v>
      </c>
      <c r="B1214" s="18">
        <f>SUBTOTAL(103,$A$1006:A1214)</f>
        <v>176</v>
      </c>
      <c r="C1214" s="290" t="s">
        <v>1872</v>
      </c>
      <c r="D1214" s="5">
        <v>4454195.3999999994</v>
      </c>
      <c r="E1214" s="5">
        <f t="shared" si="342"/>
        <v>0</v>
      </c>
      <c r="F1214" s="5">
        <f t="shared" ref="F1214" si="361">G1214+H1214+I1214+J1214+K1214+L1214+N1214+P1214+R1214+T1214+V1214+W1214+X1214+Y1214+Z1214+AA1214+AB1214+AC1214+AD1214+AE1214+AF1214+AG1214</f>
        <v>4454195.3999999994</v>
      </c>
      <c r="G1214" s="5">
        <v>0</v>
      </c>
      <c r="H1214" s="5">
        <v>0</v>
      </c>
      <c r="I1214" s="5">
        <v>0</v>
      </c>
      <c r="J1214" s="5">
        <v>0</v>
      </c>
      <c r="K1214" s="5">
        <v>0</v>
      </c>
      <c r="L1214" s="5">
        <v>0</v>
      </c>
      <c r="M1214" s="241">
        <v>0</v>
      </c>
      <c r="N1214" s="5">
        <v>0</v>
      </c>
      <c r="O1214" s="5">
        <v>853</v>
      </c>
      <c r="P1214" s="5">
        <v>4240586.5999999996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f>ROUND(P1214*1.5%,2)</f>
        <v>63608.800000000003</v>
      </c>
      <c r="AF1214" s="5">
        <v>150000</v>
      </c>
      <c r="AG1214" s="5">
        <v>0</v>
      </c>
      <c r="AH1214" s="246">
        <v>2022</v>
      </c>
      <c r="AI1214" s="246">
        <v>2022</v>
      </c>
      <c r="AJ1214" s="6">
        <v>2022</v>
      </c>
      <c r="AV1214" s="2" t="e">
        <f t="shared" si="344"/>
        <v>#N/A</v>
      </c>
      <c r="CB1214" s="236"/>
    </row>
    <row r="1215" spans="1:80" ht="61.5" x14ac:dyDescent="0.85">
      <c r="B1215" s="3" t="s">
        <v>1873</v>
      </c>
      <c r="C1215" s="442"/>
      <c r="D1215" s="244">
        <v>5304624.57</v>
      </c>
      <c r="E1215" s="233">
        <f t="shared" si="342"/>
        <v>0</v>
      </c>
      <c r="F1215" s="244">
        <f>F1216</f>
        <v>5304624.57</v>
      </c>
      <c r="G1215" s="5">
        <f t="shared" ref="G1215:AG1215" si="362">G1216</f>
        <v>0</v>
      </c>
      <c r="H1215" s="5">
        <f t="shared" si="362"/>
        <v>0</v>
      </c>
      <c r="I1215" s="5">
        <f t="shared" si="362"/>
        <v>0</v>
      </c>
      <c r="J1215" s="5">
        <f t="shared" si="362"/>
        <v>0</v>
      </c>
      <c r="K1215" s="5">
        <f t="shared" si="362"/>
        <v>0</v>
      </c>
      <c r="L1215" s="5">
        <f t="shared" si="362"/>
        <v>0</v>
      </c>
      <c r="M1215" s="241">
        <f t="shared" si="362"/>
        <v>0</v>
      </c>
      <c r="N1215" s="5">
        <f t="shared" si="362"/>
        <v>0</v>
      </c>
      <c r="O1215" s="5">
        <f t="shared" si="362"/>
        <v>926.83</v>
      </c>
      <c r="P1215" s="5">
        <f t="shared" si="362"/>
        <v>5078447.8500000006</v>
      </c>
      <c r="Q1215" s="5">
        <f t="shared" si="362"/>
        <v>0</v>
      </c>
      <c r="R1215" s="5">
        <f t="shared" si="362"/>
        <v>0</v>
      </c>
      <c r="S1215" s="5">
        <f t="shared" si="362"/>
        <v>0</v>
      </c>
      <c r="T1215" s="5">
        <f t="shared" si="362"/>
        <v>0</v>
      </c>
      <c r="U1215" s="5">
        <f t="shared" si="362"/>
        <v>0</v>
      </c>
      <c r="V1215" s="5">
        <f t="shared" si="362"/>
        <v>0</v>
      </c>
      <c r="W1215" s="5">
        <f t="shared" si="362"/>
        <v>0</v>
      </c>
      <c r="X1215" s="5">
        <f t="shared" si="362"/>
        <v>0</v>
      </c>
      <c r="Y1215" s="5">
        <f t="shared" si="362"/>
        <v>0</v>
      </c>
      <c r="Z1215" s="5">
        <f t="shared" si="362"/>
        <v>0</v>
      </c>
      <c r="AA1215" s="5">
        <f t="shared" si="362"/>
        <v>0</v>
      </c>
      <c r="AB1215" s="5">
        <f t="shared" si="362"/>
        <v>0</v>
      </c>
      <c r="AC1215" s="5">
        <f t="shared" si="362"/>
        <v>0</v>
      </c>
      <c r="AD1215" s="5">
        <f t="shared" si="362"/>
        <v>0</v>
      </c>
      <c r="AE1215" s="5">
        <f t="shared" si="362"/>
        <v>76176.72</v>
      </c>
      <c r="AF1215" s="5">
        <f t="shared" si="362"/>
        <v>150000</v>
      </c>
      <c r="AG1215" s="5">
        <f t="shared" si="362"/>
        <v>0</v>
      </c>
      <c r="AH1215" s="449" t="s">
        <v>90</v>
      </c>
      <c r="AI1215" s="449" t="s">
        <v>90</v>
      </c>
      <c r="AJ1215" s="450" t="s">
        <v>90</v>
      </c>
      <c r="AV1215" s="2" t="e">
        <f t="shared" si="344"/>
        <v>#N/A</v>
      </c>
      <c r="CB1215" s="236">
        <v>4839701.7600000007</v>
      </c>
    </row>
    <row r="1216" spans="1:80" ht="61.5" x14ac:dyDescent="0.85">
      <c r="A1216" s="2">
        <v>1</v>
      </c>
      <c r="B1216" s="18">
        <f>SUBTOTAL(103,$A$1006:A1216)</f>
        <v>177</v>
      </c>
      <c r="C1216" s="290" t="s">
        <v>1874</v>
      </c>
      <c r="D1216" s="5">
        <v>5304624.57</v>
      </c>
      <c r="E1216" s="5">
        <f t="shared" si="342"/>
        <v>0</v>
      </c>
      <c r="F1216" s="5">
        <f t="shared" ref="F1216" si="363">G1216+H1216+I1216+J1216+K1216+L1216+N1216+P1216+R1216+T1216+V1216+W1216+X1216+Y1216+Z1216+AA1216+AB1216+AC1216+AD1216+AE1216+AF1216+AG1216</f>
        <v>5304624.57</v>
      </c>
      <c r="G1216" s="5">
        <v>0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241">
        <v>0</v>
      </c>
      <c r="N1216" s="5">
        <v>0</v>
      </c>
      <c r="O1216" s="5">
        <v>926.83</v>
      </c>
      <c r="P1216" s="5">
        <f>4620395.82+ROUND(464922.81/101.5*100,2)</f>
        <v>5078447.8500000006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f>ROUND(P1216*1.5%,2)</f>
        <v>76176.72</v>
      </c>
      <c r="AF1216" s="5">
        <v>150000</v>
      </c>
      <c r="AG1216" s="5">
        <v>0</v>
      </c>
      <c r="AH1216" s="246">
        <v>2022</v>
      </c>
      <c r="AI1216" s="246">
        <v>2022</v>
      </c>
      <c r="AJ1216" s="6">
        <v>2022</v>
      </c>
      <c r="AV1216" s="2" t="e">
        <f t="shared" si="344"/>
        <v>#N/A</v>
      </c>
      <c r="CB1216" s="236"/>
    </row>
    <row r="1217" spans="1:80" ht="61.5" x14ac:dyDescent="0.85">
      <c r="B1217" s="3" t="s">
        <v>111</v>
      </c>
      <c r="C1217" s="442"/>
      <c r="D1217" s="244">
        <v>3231458.3</v>
      </c>
      <c r="E1217" s="233">
        <f t="shared" si="342"/>
        <v>0</v>
      </c>
      <c r="F1217" s="244">
        <f>F1218</f>
        <v>3231458.3</v>
      </c>
      <c r="G1217" s="5">
        <f t="shared" ref="G1217:AG1217" si="364">G1218</f>
        <v>0</v>
      </c>
      <c r="H1217" s="5">
        <f t="shared" si="364"/>
        <v>0</v>
      </c>
      <c r="I1217" s="5">
        <f t="shared" si="364"/>
        <v>0</v>
      </c>
      <c r="J1217" s="5">
        <f t="shared" si="364"/>
        <v>0</v>
      </c>
      <c r="K1217" s="5">
        <f t="shared" si="364"/>
        <v>0</v>
      </c>
      <c r="L1217" s="5">
        <f t="shared" si="364"/>
        <v>0</v>
      </c>
      <c r="M1217" s="241">
        <f t="shared" si="364"/>
        <v>0</v>
      </c>
      <c r="N1217" s="5">
        <f t="shared" si="364"/>
        <v>0</v>
      </c>
      <c r="O1217" s="5">
        <f t="shared" si="364"/>
        <v>0</v>
      </c>
      <c r="P1217" s="5">
        <f t="shared" si="364"/>
        <v>0</v>
      </c>
      <c r="Q1217" s="5">
        <f t="shared" si="364"/>
        <v>0</v>
      </c>
      <c r="R1217" s="5">
        <f t="shared" si="364"/>
        <v>0</v>
      </c>
      <c r="S1217" s="5">
        <f t="shared" si="364"/>
        <v>670.8</v>
      </c>
      <c r="T1217" s="5">
        <f t="shared" si="364"/>
        <v>3035919.51</v>
      </c>
      <c r="U1217" s="5">
        <f t="shared" si="364"/>
        <v>0</v>
      </c>
      <c r="V1217" s="5">
        <f t="shared" si="364"/>
        <v>0</v>
      </c>
      <c r="W1217" s="5">
        <f t="shared" si="364"/>
        <v>0</v>
      </c>
      <c r="X1217" s="5">
        <f t="shared" si="364"/>
        <v>0</v>
      </c>
      <c r="Y1217" s="5">
        <f t="shared" si="364"/>
        <v>0</v>
      </c>
      <c r="Z1217" s="5">
        <f t="shared" si="364"/>
        <v>0</v>
      </c>
      <c r="AA1217" s="5">
        <f t="shared" si="364"/>
        <v>0</v>
      </c>
      <c r="AB1217" s="5">
        <f t="shared" si="364"/>
        <v>0</v>
      </c>
      <c r="AC1217" s="5">
        <f t="shared" si="364"/>
        <v>0</v>
      </c>
      <c r="AD1217" s="5">
        <f t="shared" si="364"/>
        <v>0</v>
      </c>
      <c r="AE1217" s="5">
        <f t="shared" si="364"/>
        <v>45538.79</v>
      </c>
      <c r="AF1217" s="5">
        <f t="shared" si="364"/>
        <v>150000</v>
      </c>
      <c r="AG1217" s="5">
        <f t="shared" si="364"/>
        <v>0</v>
      </c>
      <c r="AH1217" s="449" t="s">
        <v>90</v>
      </c>
      <c r="AI1217" s="449" t="s">
        <v>90</v>
      </c>
      <c r="AJ1217" s="450" t="s">
        <v>90</v>
      </c>
      <c r="AV1217" s="2" t="e">
        <f t="shared" si="344"/>
        <v>#N/A</v>
      </c>
      <c r="CB1217" s="236">
        <v>3231458.3</v>
      </c>
    </row>
    <row r="1218" spans="1:80" ht="61.5" x14ac:dyDescent="0.85">
      <c r="A1218" s="2">
        <v>1</v>
      </c>
      <c r="B1218" s="18">
        <f>SUBTOTAL(103,$A$1006:A1218)</f>
        <v>178</v>
      </c>
      <c r="C1218" s="290" t="s">
        <v>1875</v>
      </c>
      <c r="D1218" s="5">
        <v>3231458.3</v>
      </c>
      <c r="E1218" s="5">
        <f t="shared" si="342"/>
        <v>0</v>
      </c>
      <c r="F1218" s="5">
        <f t="shared" ref="F1218" si="365">G1218+H1218+I1218+J1218+K1218+L1218+N1218+P1218+R1218+T1218+V1218+W1218+X1218+Y1218+Z1218+AA1218+AB1218+AC1218+AD1218+AE1218+AF1218+AG1218</f>
        <v>3231458.3</v>
      </c>
      <c r="G1218" s="5">
        <v>0</v>
      </c>
      <c r="H1218" s="5">
        <v>0</v>
      </c>
      <c r="I1218" s="5">
        <v>0</v>
      </c>
      <c r="J1218" s="5">
        <v>0</v>
      </c>
      <c r="K1218" s="5">
        <v>0</v>
      </c>
      <c r="L1218" s="5">
        <v>0</v>
      </c>
      <c r="M1218" s="241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670.8</v>
      </c>
      <c r="T1218" s="5">
        <v>3035919.51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f>ROUND(T1218*1.5%,2)</f>
        <v>45538.79</v>
      </c>
      <c r="AF1218" s="5">
        <v>150000</v>
      </c>
      <c r="AG1218" s="5">
        <v>0</v>
      </c>
      <c r="AH1218" s="246">
        <v>2022</v>
      </c>
      <c r="AI1218" s="246">
        <v>2022</v>
      </c>
      <c r="AJ1218" s="6">
        <v>2022</v>
      </c>
      <c r="AV1218" s="2" t="e">
        <f t="shared" si="344"/>
        <v>#N/A</v>
      </c>
      <c r="CB1218" s="236"/>
    </row>
    <row r="1219" spans="1:80" ht="61.5" x14ac:dyDescent="0.85">
      <c r="B1219" s="3" t="s">
        <v>112</v>
      </c>
      <c r="C1219" s="3"/>
      <c r="D1219" s="244">
        <v>16849360.93</v>
      </c>
      <c r="E1219" s="233">
        <f t="shared" si="342"/>
        <v>0</v>
      </c>
      <c r="F1219" s="244">
        <f>F1220+F1221+F1222</f>
        <v>16849360.93</v>
      </c>
      <c r="G1219" s="5">
        <f t="shared" ref="G1219:AG1219" si="366">G1220+G1221+G1222</f>
        <v>451170.83</v>
      </c>
      <c r="H1219" s="5">
        <f t="shared" si="366"/>
        <v>885201.84</v>
      </c>
      <c r="I1219" s="5">
        <f t="shared" si="366"/>
        <v>1880858.0000000002</v>
      </c>
      <c r="J1219" s="5">
        <f t="shared" si="366"/>
        <v>667182.5</v>
      </c>
      <c r="K1219" s="5">
        <f t="shared" si="366"/>
        <v>0</v>
      </c>
      <c r="L1219" s="5">
        <f t="shared" si="366"/>
        <v>0</v>
      </c>
      <c r="M1219" s="241">
        <f t="shared" si="366"/>
        <v>0</v>
      </c>
      <c r="N1219" s="5">
        <f t="shared" si="366"/>
        <v>0</v>
      </c>
      <c r="O1219" s="5">
        <f t="shared" si="366"/>
        <v>2286.5</v>
      </c>
      <c r="P1219" s="5">
        <f t="shared" si="366"/>
        <v>12065696.120000001</v>
      </c>
      <c r="Q1219" s="5">
        <f t="shared" si="366"/>
        <v>0</v>
      </c>
      <c r="R1219" s="5">
        <f t="shared" si="366"/>
        <v>0</v>
      </c>
      <c r="S1219" s="5">
        <f t="shared" si="366"/>
        <v>0</v>
      </c>
      <c r="T1219" s="5">
        <f t="shared" si="366"/>
        <v>0</v>
      </c>
      <c r="U1219" s="5">
        <f t="shared" si="366"/>
        <v>0</v>
      </c>
      <c r="V1219" s="5">
        <f t="shared" si="366"/>
        <v>0</v>
      </c>
      <c r="W1219" s="5">
        <f t="shared" si="366"/>
        <v>0</v>
      </c>
      <c r="X1219" s="5">
        <f t="shared" si="366"/>
        <v>0</v>
      </c>
      <c r="Y1219" s="5">
        <f t="shared" si="366"/>
        <v>0</v>
      </c>
      <c r="Z1219" s="5">
        <f t="shared" si="366"/>
        <v>0</v>
      </c>
      <c r="AA1219" s="5">
        <f t="shared" si="366"/>
        <v>0</v>
      </c>
      <c r="AB1219" s="5">
        <f t="shared" si="366"/>
        <v>0</v>
      </c>
      <c r="AC1219" s="5">
        <f t="shared" si="366"/>
        <v>0</v>
      </c>
      <c r="AD1219" s="5">
        <f t="shared" si="366"/>
        <v>0</v>
      </c>
      <c r="AE1219" s="5">
        <f t="shared" si="366"/>
        <v>239251.64</v>
      </c>
      <c r="AF1219" s="5">
        <f t="shared" si="366"/>
        <v>660000</v>
      </c>
      <c r="AG1219" s="5">
        <f t="shared" si="366"/>
        <v>0</v>
      </c>
      <c r="AH1219" s="449" t="s">
        <v>90</v>
      </c>
      <c r="AI1219" s="449" t="s">
        <v>90</v>
      </c>
      <c r="AJ1219" s="450" t="s">
        <v>90</v>
      </c>
      <c r="AV1219" s="2" t="e">
        <f t="shared" si="344"/>
        <v>#N/A</v>
      </c>
      <c r="CB1219" s="236">
        <v>16849360.93</v>
      </c>
    </row>
    <row r="1220" spans="1:80" ht="61.5" x14ac:dyDescent="0.85">
      <c r="A1220" s="2">
        <v>1</v>
      </c>
      <c r="B1220" s="18">
        <f>SUBTOTAL(103,$A$1006:A1220)</f>
        <v>179</v>
      </c>
      <c r="C1220" s="290" t="s">
        <v>1876</v>
      </c>
      <c r="D1220" s="5">
        <v>5782944.25</v>
      </c>
      <c r="E1220" s="5">
        <f t="shared" si="342"/>
        <v>0</v>
      </c>
      <c r="F1220" s="5">
        <f t="shared" ref="F1220:F1222" si="367">G1220+H1220+I1220+J1220+K1220+L1220+N1220+P1220+R1220+T1220+V1220+W1220+X1220+Y1220+Z1220+AA1220+AB1220+AC1220+AD1220+AE1220+AF1220+AG1220</f>
        <v>5782944.25</v>
      </c>
      <c r="G1220" s="5">
        <v>0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241">
        <v>0</v>
      </c>
      <c r="N1220" s="5">
        <v>0</v>
      </c>
      <c r="O1220" s="5">
        <v>1047.5999999999999</v>
      </c>
      <c r="P1220" s="5">
        <v>5520142.1200000001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f>ROUND(P1220*1.5%,2)</f>
        <v>82802.13</v>
      </c>
      <c r="AF1220" s="5">
        <v>180000</v>
      </c>
      <c r="AG1220" s="5">
        <v>0</v>
      </c>
      <c r="AH1220" s="246">
        <v>2022</v>
      </c>
      <c r="AI1220" s="246">
        <v>2022</v>
      </c>
      <c r="AJ1220" s="6">
        <v>2022</v>
      </c>
      <c r="AV1220" s="2" t="e">
        <f t="shared" si="344"/>
        <v>#N/A</v>
      </c>
      <c r="CB1220" s="236"/>
    </row>
    <row r="1221" spans="1:80" ht="61.5" x14ac:dyDescent="0.85">
      <c r="A1221" s="2">
        <v>1</v>
      </c>
      <c r="B1221" s="18">
        <f>SUBTOTAL(103,$A$1006:A1221)</f>
        <v>180</v>
      </c>
      <c r="C1221" s="290" t="s">
        <v>1877</v>
      </c>
      <c r="D1221" s="5">
        <v>6823737.3099999996</v>
      </c>
      <c r="E1221" s="5">
        <f t="shared" si="342"/>
        <v>0</v>
      </c>
      <c r="F1221" s="5">
        <f t="shared" si="367"/>
        <v>6823737.3099999996</v>
      </c>
      <c r="G1221" s="5">
        <v>0</v>
      </c>
      <c r="H1221" s="5">
        <v>0</v>
      </c>
      <c r="I1221" s="5">
        <v>0</v>
      </c>
      <c r="J1221" s="5">
        <v>0</v>
      </c>
      <c r="K1221" s="5">
        <v>0</v>
      </c>
      <c r="L1221" s="5">
        <v>0</v>
      </c>
      <c r="M1221" s="241">
        <v>0</v>
      </c>
      <c r="N1221" s="5">
        <v>0</v>
      </c>
      <c r="O1221" s="5">
        <v>1238.9000000000001</v>
      </c>
      <c r="P1221" s="5">
        <v>6545554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f>ROUND(P1221*1.5%,2)</f>
        <v>98183.31</v>
      </c>
      <c r="AF1221" s="5">
        <v>180000</v>
      </c>
      <c r="AG1221" s="5">
        <v>0</v>
      </c>
      <c r="AH1221" s="246">
        <v>2022</v>
      </c>
      <c r="AI1221" s="246">
        <v>2022</v>
      </c>
      <c r="AJ1221" s="6">
        <v>2022</v>
      </c>
      <c r="AV1221" s="2" t="e">
        <f t="shared" si="344"/>
        <v>#N/A</v>
      </c>
      <c r="CB1221" s="236"/>
    </row>
    <row r="1222" spans="1:80" ht="61.5" x14ac:dyDescent="0.85">
      <c r="A1222" s="2">
        <v>1</v>
      </c>
      <c r="B1222" s="18">
        <f>SUBTOTAL(103,$A$1006:A1222)</f>
        <v>181</v>
      </c>
      <c r="C1222" s="290" t="s">
        <v>1878</v>
      </c>
      <c r="D1222" s="5">
        <v>4242679.37</v>
      </c>
      <c r="E1222" s="5">
        <f t="shared" si="342"/>
        <v>0</v>
      </c>
      <c r="F1222" s="5">
        <f t="shared" si="367"/>
        <v>4242679.37</v>
      </c>
      <c r="G1222" s="5">
        <v>451170.83</v>
      </c>
      <c r="H1222" s="5">
        <v>885201.84</v>
      </c>
      <c r="I1222" s="5">
        <v>1880858.0000000002</v>
      </c>
      <c r="J1222" s="5">
        <v>667182.5</v>
      </c>
      <c r="K1222" s="5">
        <v>0</v>
      </c>
      <c r="L1222" s="5">
        <v>0</v>
      </c>
      <c r="M1222" s="241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f>ROUND((G1222+H1222+I1222+J1222+K1222+L1222)*1.5%,2)</f>
        <v>58266.2</v>
      </c>
      <c r="AF1222" s="5">
        <v>300000</v>
      </c>
      <c r="AG1222" s="5">
        <v>0</v>
      </c>
      <c r="AH1222" s="246">
        <v>2022</v>
      </c>
      <c r="AI1222" s="246">
        <v>2022</v>
      </c>
      <c r="AJ1222" s="6">
        <v>2022</v>
      </c>
      <c r="AV1222" s="2" t="e">
        <f t="shared" si="344"/>
        <v>#N/A</v>
      </c>
      <c r="CB1222" s="236"/>
    </row>
    <row r="1223" spans="1:80" ht="61.5" x14ac:dyDescent="0.85">
      <c r="B1223" s="3" t="s">
        <v>1358</v>
      </c>
      <c r="C1223" s="3"/>
      <c r="D1223" s="244">
        <v>2872957.67</v>
      </c>
      <c r="E1223" s="233">
        <f t="shared" si="342"/>
        <v>0</v>
      </c>
      <c r="F1223" s="244">
        <f>F1224</f>
        <v>2872957.67</v>
      </c>
      <c r="G1223" s="5">
        <f t="shared" ref="G1223:AG1223" si="368">G1224</f>
        <v>0</v>
      </c>
      <c r="H1223" s="5">
        <f t="shared" si="368"/>
        <v>0</v>
      </c>
      <c r="I1223" s="5">
        <f t="shared" si="368"/>
        <v>0</v>
      </c>
      <c r="J1223" s="5">
        <f t="shared" si="368"/>
        <v>0</v>
      </c>
      <c r="K1223" s="5">
        <f t="shared" si="368"/>
        <v>0</v>
      </c>
      <c r="L1223" s="5">
        <f t="shared" si="368"/>
        <v>0</v>
      </c>
      <c r="M1223" s="241">
        <f t="shared" si="368"/>
        <v>0</v>
      </c>
      <c r="N1223" s="5">
        <f t="shared" si="368"/>
        <v>0</v>
      </c>
      <c r="O1223" s="5">
        <f t="shared" si="368"/>
        <v>0</v>
      </c>
      <c r="P1223" s="5">
        <f t="shared" si="368"/>
        <v>0</v>
      </c>
      <c r="Q1223" s="5">
        <f t="shared" si="368"/>
        <v>0</v>
      </c>
      <c r="R1223" s="5">
        <f t="shared" si="368"/>
        <v>0</v>
      </c>
      <c r="S1223" s="5">
        <f t="shared" si="368"/>
        <v>0</v>
      </c>
      <c r="T1223" s="5">
        <f t="shared" si="368"/>
        <v>0</v>
      </c>
      <c r="U1223" s="5">
        <f t="shared" si="368"/>
        <v>72.77</v>
      </c>
      <c r="V1223" s="5">
        <f t="shared" si="368"/>
        <v>2682716.92</v>
      </c>
      <c r="W1223" s="5">
        <f t="shared" si="368"/>
        <v>0</v>
      </c>
      <c r="X1223" s="5">
        <f t="shared" si="368"/>
        <v>0</v>
      </c>
      <c r="Y1223" s="5">
        <f t="shared" si="368"/>
        <v>0</v>
      </c>
      <c r="Z1223" s="5">
        <f t="shared" si="368"/>
        <v>0</v>
      </c>
      <c r="AA1223" s="5">
        <f t="shared" si="368"/>
        <v>0</v>
      </c>
      <c r="AB1223" s="5">
        <f t="shared" si="368"/>
        <v>0</v>
      </c>
      <c r="AC1223" s="5">
        <f t="shared" si="368"/>
        <v>0</v>
      </c>
      <c r="AD1223" s="5">
        <f t="shared" si="368"/>
        <v>0</v>
      </c>
      <c r="AE1223" s="5">
        <f t="shared" si="368"/>
        <v>40240.75</v>
      </c>
      <c r="AF1223" s="5">
        <f t="shared" si="368"/>
        <v>150000</v>
      </c>
      <c r="AG1223" s="5">
        <f t="shared" si="368"/>
        <v>0</v>
      </c>
      <c r="AH1223" s="449" t="s">
        <v>90</v>
      </c>
      <c r="AI1223" s="449" t="s">
        <v>90</v>
      </c>
      <c r="AJ1223" s="450" t="s">
        <v>90</v>
      </c>
      <c r="AV1223" s="2" t="e">
        <f t="shared" si="344"/>
        <v>#N/A</v>
      </c>
      <c r="CB1223" s="236">
        <v>3799734.79</v>
      </c>
    </row>
    <row r="1224" spans="1:80" ht="61.5" x14ac:dyDescent="0.85">
      <c r="A1224" s="2">
        <v>1</v>
      </c>
      <c r="B1224" s="18">
        <f>SUBTOTAL(103,$A$1006:A1224)</f>
        <v>182</v>
      </c>
      <c r="C1224" s="290" t="s">
        <v>1879</v>
      </c>
      <c r="D1224" s="5">
        <v>2872957.67</v>
      </c>
      <c r="E1224" s="5">
        <f t="shared" si="342"/>
        <v>0</v>
      </c>
      <c r="F1224" s="5">
        <f t="shared" ref="F1224" si="369">G1224+H1224+I1224+J1224+K1224+L1224+N1224+P1224+R1224+T1224+V1224+W1224+X1224+Y1224+Z1224+AA1224+AB1224+AC1224+AD1224+AE1224+AF1224+AG1224</f>
        <v>2872957.67</v>
      </c>
      <c r="G1224" s="5">
        <v>0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241">
        <v>0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72.77</v>
      </c>
      <c r="V1224" s="5">
        <f>3595797.82-913080.9</f>
        <v>2682716.92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f>ROUND(V1224*1.5%,2)</f>
        <v>40240.75</v>
      </c>
      <c r="AF1224" s="5">
        <v>150000</v>
      </c>
      <c r="AG1224" s="5">
        <v>0</v>
      </c>
      <c r="AH1224" s="246">
        <v>2022</v>
      </c>
      <c r="AI1224" s="246">
        <v>2022</v>
      </c>
      <c r="AJ1224" s="6">
        <v>2022</v>
      </c>
      <c r="AV1224" s="2" t="e">
        <f t="shared" si="344"/>
        <v>#N/A</v>
      </c>
      <c r="CB1224" s="236"/>
    </row>
    <row r="1225" spans="1:80" ht="61.5" x14ac:dyDescent="0.85">
      <c r="B1225" s="3" t="s">
        <v>1361</v>
      </c>
      <c r="C1225" s="3"/>
      <c r="D1225" s="244">
        <v>2311215.4500000002</v>
      </c>
      <c r="E1225" s="233">
        <f t="shared" si="342"/>
        <v>0</v>
      </c>
      <c r="F1225" s="244">
        <f>F1226</f>
        <v>2311215.4500000002</v>
      </c>
      <c r="G1225" s="5">
        <f t="shared" ref="G1225:AG1225" si="370">G1226</f>
        <v>0</v>
      </c>
      <c r="H1225" s="5">
        <f t="shared" si="370"/>
        <v>0</v>
      </c>
      <c r="I1225" s="5">
        <f t="shared" si="370"/>
        <v>0</v>
      </c>
      <c r="J1225" s="5">
        <f t="shared" si="370"/>
        <v>0</v>
      </c>
      <c r="K1225" s="5">
        <f t="shared" si="370"/>
        <v>0</v>
      </c>
      <c r="L1225" s="5">
        <f t="shared" si="370"/>
        <v>0</v>
      </c>
      <c r="M1225" s="241">
        <f t="shared" si="370"/>
        <v>0</v>
      </c>
      <c r="N1225" s="5">
        <f t="shared" si="370"/>
        <v>0</v>
      </c>
      <c r="O1225" s="5">
        <f t="shared" si="370"/>
        <v>470</v>
      </c>
      <c r="P1225" s="5">
        <f t="shared" si="370"/>
        <v>2158832.96</v>
      </c>
      <c r="Q1225" s="5">
        <f t="shared" si="370"/>
        <v>0</v>
      </c>
      <c r="R1225" s="5">
        <f t="shared" si="370"/>
        <v>0</v>
      </c>
      <c r="S1225" s="5">
        <f t="shared" si="370"/>
        <v>0</v>
      </c>
      <c r="T1225" s="5">
        <f t="shared" si="370"/>
        <v>0</v>
      </c>
      <c r="U1225" s="5">
        <f t="shared" si="370"/>
        <v>0</v>
      </c>
      <c r="V1225" s="5">
        <f t="shared" si="370"/>
        <v>0</v>
      </c>
      <c r="W1225" s="5">
        <f t="shared" si="370"/>
        <v>0</v>
      </c>
      <c r="X1225" s="5">
        <f t="shared" si="370"/>
        <v>0</v>
      </c>
      <c r="Y1225" s="5">
        <f t="shared" si="370"/>
        <v>0</v>
      </c>
      <c r="Z1225" s="5">
        <f t="shared" si="370"/>
        <v>0</v>
      </c>
      <c r="AA1225" s="5">
        <f t="shared" si="370"/>
        <v>0</v>
      </c>
      <c r="AB1225" s="5">
        <f t="shared" si="370"/>
        <v>0</v>
      </c>
      <c r="AC1225" s="5">
        <f t="shared" si="370"/>
        <v>0</v>
      </c>
      <c r="AD1225" s="5">
        <f t="shared" si="370"/>
        <v>0</v>
      </c>
      <c r="AE1225" s="5">
        <f t="shared" si="370"/>
        <v>32382.49</v>
      </c>
      <c r="AF1225" s="5">
        <f t="shared" si="370"/>
        <v>120000</v>
      </c>
      <c r="AG1225" s="5">
        <f t="shared" si="370"/>
        <v>0</v>
      </c>
      <c r="AH1225" s="449" t="s">
        <v>90</v>
      </c>
      <c r="AI1225" s="449" t="s">
        <v>90</v>
      </c>
      <c r="AJ1225" s="450" t="s">
        <v>90</v>
      </c>
      <c r="AV1225" s="2" t="e">
        <f t="shared" si="344"/>
        <v>#N/A</v>
      </c>
      <c r="CB1225" s="236">
        <v>2311215.4500000002</v>
      </c>
    </row>
    <row r="1226" spans="1:80" ht="61.5" x14ac:dyDescent="0.85">
      <c r="A1226" s="2">
        <v>1</v>
      </c>
      <c r="B1226" s="18">
        <f>SUBTOTAL(103,$A$1006:A1226)</f>
        <v>183</v>
      </c>
      <c r="C1226" s="290" t="s">
        <v>1880</v>
      </c>
      <c r="D1226" s="5">
        <v>2311215.4500000002</v>
      </c>
      <c r="E1226" s="5">
        <f t="shared" si="342"/>
        <v>0</v>
      </c>
      <c r="F1226" s="5">
        <f t="shared" ref="F1226" si="371">G1226+H1226+I1226+J1226+K1226+L1226+N1226+P1226+R1226+T1226+V1226+W1226+X1226+Y1226+Z1226+AA1226+AB1226+AC1226+AD1226+AE1226+AF1226+AG1226</f>
        <v>2311215.4500000002</v>
      </c>
      <c r="G1226" s="5">
        <v>0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241">
        <v>0</v>
      </c>
      <c r="N1226" s="5">
        <v>0</v>
      </c>
      <c r="O1226" s="5">
        <v>470</v>
      </c>
      <c r="P1226" s="5">
        <v>2158832.96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f>ROUND(P1226*1.5%,2)</f>
        <v>32382.49</v>
      </c>
      <c r="AF1226" s="5">
        <v>120000</v>
      </c>
      <c r="AG1226" s="5">
        <v>0</v>
      </c>
      <c r="AH1226" s="246">
        <v>2022</v>
      </c>
      <c r="AI1226" s="246">
        <v>2022</v>
      </c>
      <c r="AJ1226" s="6">
        <v>2022</v>
      </c>
      <c r="AV1226" s="2" t="e">
        <f t="shared" si="344"/>
        <v>#N/A</v>
      </c>
      <c r="CB1226" s="236"/>
    </row>
    <row r="1227" spans="1:80" ht="61.5" x14ac:dyDescent="0.85">
      <c r="B1227" s="3" t="s">
        <v>128</v>
      </c>
      <c r="C1227" s="3"/>
      <c r="D1227" s="244">
        <v>3215375.5700000003</v>
      </c>
      <c r="E1227" s="233">
        <f t="shared" si="342"/>
        <v>0</v>
      </c>
      <c r="F1227" s="244">
        <f>F1228</f>
        <v>3215375.5700000003</v>
      </c>
      <c r="G1227" s="5">
        <f t="shared" ref="G1227:AG1227" si="372">G1228</f>
        <v>0</v>
      </c>
      <c r="H1227" s="5">
        <f t="shared" si="372"/>
        <v>0</v>
      </c>
      <c r="I1227" s="5">
        <f t="shared" si="372"/>
        <v>0</v>
      </c>
      <c r="J1227" s="5">
        <f t="shared" si="372"/>
        <v>0</v>
      </c>
      <c r="K1227" s="5">
        <f t="shared" si="372"/>
        <v>0</v>
      </c>
      <c r="L1227" s="5">
        <f t="shared" si="372"/>
        <v>0</v>
      </c>
      <c r="M1227" s="241">
        <f t="shared" si="372"/>
        <v>0</v>
      </c>
      <c r="N1227" s="5">
        <f t="shared" si="372"/>
        <v>0</v>
      </c>
      <c r="O1227" s="5">
        <f t="shared" si="372"/>
        <v>615.76</v>
      </c>
      <c r="P1227" s="5">
        <f t="shared" si="372"/>
        <v>3020074.45</v>
      </c>
      <c r="Q1227" s="5">
        <f t="shared" si="372"/>
        <v>0</v>
      </c>
      <c r="R1227" s="5">
        <f t="shared" si="372"/>
        <v>0</v>
      </c>
      <c r="S1227" s="5">
        <f t="shared" si="372"/>
        <v>0</v>
      </c>
      <c r="T1227" s="5">
        <f t="shared" si="372"/>
        <v>0</v>
      </c>
      <c r="U1227" s="5">
        <f t="shared" si="372"/>
        <v>0</v>
      </c>
      <c r="V1227" s="5">
        <f t="shared" si="372"/>
        <v>0</v>
      </c>
      <c r="W1227" s="5">
        <f t="shared" si="372"/>
        <v>0</v>
      </c>
      <c r="X1227" s="5">
        <f t="shared" si="372"/>
        <v>0</v>
      </c>
      <c r="Y1227" s="5">
        <f t="shared" si="372"/>
        <v>0</v>
      </c>
      <c r="Z1227" s="5">
        <f t="shared" si="372"/>
        <v>0</v>
      </c>
      <c r="AA1227" s="5">
        <f t="shared" si="372"/>
        <v>0</v>
      </c>
      <c r="AB1227" s="5">
        <f t="shared" si="372"/>
        <v>0</v>
      </c>
      <c r="AC1227" s="5">
        <f t="shared" si="372"/>
        <v>0</v>
      </c>
      <c r="AD1227" s="5">
        <f t="shared" si="372"/>
        <v>0</v>
      </c>
      <c r="AE1227" s="5">
        <f t="shared" si="372"/>
        <v>45301.120000000003</v>
      </c>
      <c r="AF1227" s="5">
        <f t="shared" si="372"/>
        <v>150000</v>
      </c>
      <c r="AG1227" s="5">
        <f t="shared" si="372"/>
        <v>0</v>
      </c>
      <c r="AH1227" s="449" t="s">
        <v>90</v>
      </c>
      <c r="AI1227" s="449" t="s">
        <v>90</v>
      </c>
      <c r="AJ1227" s="450" t="s">
        <v>90</v>
      </c>
      <c r="AV1227" s="2" t="e">
        <f t="shared" si="344"/>
        <v>#N/A</v>
      </c>
      <c r="CB1227" s="236">
        <v>3215375.5700000003</v>
      </c>
    </row>
    <row r="1228" spans="1:80" ht="61.5" x14ac:dyDescent="0.85">
      <c r="A1228" s="2">
        <v>1</v>
      </c>
      <c r="B1228" s="18">
        <f>SUBTOTAL(103,$A$1006:A1228)</f>
        <v>184</v>
      </c>
      <c r="C1228" s="290" t="s">
        <v>1881</v>
      </c>
      <c r="D1228" s="5">
        <v>3215375.5700000003</v>
      </c>
      <c r="E1228" s="5">
        <f t="shared" si="342"/>
        <v>0</v>
      </c>
      <c r="F1228" s="5">
        <f t="shared" ref="F1228" si="373">G1228+H1228+I1228+J1228+K1228+L1228+N1228+P1228+R1228+T1228+V1228+W1228+X1228+Y1228+Z1228+AA1228+AB1228+AC1228+AD1228+AE1228+AF1228+AG1228</f>
        <v>3215375.5700000003</v>
      </c>
      <c r="G1228" s="5">
        <v>0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241">
        <v>0</v>
      </c>
      <c r="N1228" s="5">
        <v>0</v>
      </c>
      <c r="O1228" s="5">
        <v>615.76</v>
      </c>
      <c r="P1228" s="5">
        <v>3020074.45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f>ROUND(P1228*1.5%,2)</f>
        <v>45301.120000000003</v>
      </c>
      <c r="AF1228" s="5">
        <v>150000</v>
      </c>
      <c r="AG1228" s="5">
        <v>0</v>
      </c>
      <c r="AH1228" s="246">
        <v>2022</v>
      </c>
      <c r="AI1228" s="246">
        <v>2022</v>
      </c>
      <c r="AJ1228" s="6">
        <v>2022</v>
      </c>
      <c r="AV1228" s="2" t="e">
        <f t="shared" si="344"/>
        <v>#N/A</v>
      </c>
      <c r="CB1228" s="236"/>
    </row>
    <row r="1229" spans="1:80" ht="61.5" x14ac:dyDescent="0.85">
      <c r="B1229" s="3" t="s">
        <v>113</v>
      </c>
      <c r="C1229" s="3"/>
      <c r="D1229" s="244">
        <v>10672314.84</v>
      </c>
      <c r="E1229" s="233">
        <f t="shared" si="342"/>
        <v>0</v>
      </c>
      <c r="F1229" s="244">
        <f>F1230+F1231+F1232</f>
        <v>10672314.84</v>
      </c>
      <c r="G1229" s="5">
        <f t="shared" ref="G1229:AG1229" si="374">G1230+G1231+G1232</f>
        <v>0</v>
      </c>
      <c r="H1229" s="5">
        <f t="shared" si="374"/>
        <v>0</v>
      </c>
      <c r="I1229" s="5">
        <f t="shared" si="374"/>
        <v>0</v>
      </c>
      <c r="J1229" s="5">
        <f t="shared" si="374"/>
        <v>0</v>
      </c>
      <c r="K1229" s="5">
        <f t="shared" si="374"/>
        <v>0</v>
      </c>
      <c r="L1229" s="5">
        <f t="shared" si="374"/>
        <v>0</v>
      </c>
      <c r="M1229" s="241">
        <f t="shared" si="374"/>
        <v>0</v>
      </c>
      <c r="N1229" s="5">
        <f t="shared" si="374"/>
        <v>0</v>
      </c>
      <c r="O1229" s="5">
        <f t="shared" si="374"/>
        <v>2043.8</v>
      </c>
      <c r="P1229" s="5">
        <f t="shared" si="374"/>
        <v>10100802.800000001</v>
      </c>
      <c r="Q1229" s="5">
        <f t="shared" si="374"/>
        <v>0</v>
      </c>
      <c r="R1229" s="5">
        <f t="shared" si="374"/>
        <v>0</v>
      </c>
      <c r="S1229" s="5">
        <f t="shared" si="374"/>
        <v>0</v>
      </c>
      <c r="T1229" s="5">
        <f t="shared" si="374"/>
        <v>0</v>
      </c>
      <c r="U1229" s="5">
        <f t="shared" si="374"/>
        <v>0</v>
      </c>
      <c r="V1229" s="5">
        <f t="shared" si="374"/>
        <v>0</v>
      </c>
      <c r="W1229" s="5">
        <f t="shared" si="374"/>
        <v>0</v>
      </c>
      <c r="X1229" s="5">
        <f t="shared" si="374"/>
        <v>0</v>
      </c>
      <c r="Y1229" s="5">
        <f t="shared" si="374"/>
        <v>0</v>
      </c>
      <c r="Z1229" s="5">
        <f t="shared" si="374"/>
        <v>0</v>
      </c>
      <c r="AA1229" s="5">
        <f t="shared" si="374"/>
        <v>0</v>
      </c>
      <c r="AB1229" s="5">
        <f t="shared" si="374"/>
        <v>0</v>
      </c>
      <c r="AC1229" s="5">
        <f t="shared" si="374"/>
        <v>0</v>
      </c>
      <c r="AD1229" s="5">
        <f t="shared" si="374"/>
        <v>0</v>
      </c>
      <c r="AE1229" s="5">
        <f t="shared" si="374"/>
        <v>151512.04</v>
      </c>
      <c r="AF1229" s="5">
        <f t="shared" si="374"/>
        <v>420000</v>
      </c>
      <c r="AG1229" s="5">
        <f t="shared" si="374"/>
        <v>0</v>
      </c>
      <c r="AH1229" s="449" t="s">
        <v>90</v>
      </c>
      <c r="AI1229" s="449" t="s">
        <v>90</v>
      </c>
      <c r="AJ1229" s="450" t="s">
        <v>90</v>
      </c>
      <c r="AV1229" s="2" t="e">
        <f t="shared" si="344"/>
        <v>#N/A</v>
      </c>
      <c r="CB1229" s="236">
        <v>10672314.84</v>
      </c>
    </row>
    <row r="1230" spans="1:80" ht="61.5" x14ac:dyDescent="0.85">
      <c r="A1230" s="2">
        <v>1</v>
      </c>
      <c r="B1230" s="18">
        <f>SUBTOTAL(103,$A$1006:A1230)</f>
        <v>185</v>
      </c>
      <c r="C1230" s="290" t="s">
        <v>1882</v>
      </c>
      <c r="D1230" s="5">
        <v>2391584.4</v>
      </c>
      <c r="E1230" s="5">
        <f t="shared" si="342"/>
        <v>0</v>
      </c>
      <c r="F1230" s="5">
        <f t="shared" ref="F1230:F1232" si="375">G1230+H1230+I1230+J1230+K1230+L1230+N1230+P1230+R1230+T1230+V1230+W1230+X1230+Y1230+Z1230+AA1230+AB1230+AC1230+AD1230+AE1230+AF1230+AG1230</f>
        <v>2391584.4</v>
      </c>
      <c r="G1230" s="5">
        <v>0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241">
        <v>0</v>
      </c>
      <c r="N1230" s="5">
        <v>0</v>
      </c>
      <c r="O1230" s="5">
        <v>458</v>
      </c>
      <c r="P1230" s="5">
        <v>2238014.19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f>ROUND(P1230*1.5%,2)</f>
        <v>33570.21</v>
      </c>
      <c r="AF1230" s="5">
        <v>120000</v>
      </c>
      <c r="AG1230" s="5">
        <v>0</v>
      </c>
      <c r="AH1230" s="246">
        <v>2022</v>
      </c>
      <c r="AI1230" s="246">
        <v>2022</v>
      </c>
      <c r="AJ1230" s="6">
        <v>2022</v>
      </c>
      <c r="AV1230" s="2" t="e">
        <f t="shared" si="344"/>
        <v>#N/A</v>
      </c>
      <c r="CB1230" s="236"/>
    </row>
    <row r="1231" spans="1:80" ht="61.5" x14ac:dyDescent="0.85">
      <c r="A1231" s="2">
        <v>1</v>
      </c>
      <c r="B1231" s="18">
        <f>SUBTOTAL(103,$A$1006:A1231)</f>
        <v>186</v>
      </c>
      <c r="C1231" s="290" t="s">
        <v>1883</v>
      </c>
      <c r="D1231" s="5">
        <v>4908492</v>
      </c>
      <c r="E1231" s="5">
        <f t="shared" si="342"/>
        <v>0</v>
      </c>
      <c r="F1231" s="5">
        <f t="shared" si="375"/>
        <v>4908492</v>
      </c>
      <c r="G1231" s="5">
        <v>0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241">
        <v>0</v>
      </c>
      <c r="N1231" s="5">
        <v>0</v>
      </c>
      <c r="O1231" s="5">
        <v>940</v>
      </c>
      <c r="P1231" s="5">
        <v>4688169.46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f>ROUND(P1231*1.5%,2)</f>
        <v>70322.539999999994</v>
      </c>
      <c r="AF1231" s="5">
        <v>150000</v>
      </c>
      <c r="AG1231" s="5">
        <v>0</v>
      </c>
      <c r="AH1231" s="246">
        <v>2022</v>
      </c>
      <c r="AI1231" s="246">
        <v>2022</v>
      </c>
      <c r="AJ1231" s="6">
        <v>2022</v>
      </c>
      <c r="AV1231" s="2" t="e">
        <f t="shared" si="344"/>
        <v>#N/A</v>
      </c>
      <c r="CB1231" s="236"/>
    </row>
    <row r="1232" spans="1:80" ht="61.5" x14ac:dyDescent="0.85">
      <c r="A1232" s="2">
        <v>1</v>
      </c>
      <c r="B1232" s="18">
        <f>SUBTOTAL(103,$A$1006:A1232)</f>
        <v>187</v>
      </c>
      <c r="C1232" s="290" t="s">
        <v>1884</v>
      </c>
      <c r="D1232" s="5">
        <v>3372238.44</v>
      </c>
      <c r="E1232" s="5">
        <f t="shared" si="342"/>
        <v>0</v>
      </c>
      <c r="F1232" s="5">
        <f t="shared" si="375"/>
        <v>3372238.44</v>
      </c>
      <c r="G1232" s="5">
        <v>0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241">
        <v>0</v>
      </c>
      <c r="N1232" s="5">
        <v>0</v>
      </c>
      <c r="O1232" s="5">
        <v>645.79999999999995</v>
      </c>
      <c r="P1232" s="5">
        <v>3174619.15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f>ROUND(P1232*1.5%,2)</f>
        <v>47619.29</v>
      </c>
      <c r="AF1232" s="5">
        <v>150000</v>
      </c>
      <c r="AG1232" s="5">
        <v>0</v>
      </c>
      <c r="AH1232" s="246">
        <v>2022</v>
      </c>
      <c r="AI1232" s="246">
        <v>2022</v>
      </c>
      <c r="AJ1232" s="6">
        <v>2022</v>
      </c>
      <c r="AV1232" s="2" t="e">
        <f t="shared" si="344"/>
        <v>#N/A</v>
      </c>
      <c r="CB1232" s="236"/>
    </row>
    <row r="1233" spans="1:80" ht="61.5" x14ac:dyDescent="0.85">
      <c r="B1233" s="3" t="s">
        <v>1348</v>
      </c>
      <c r="C1233" s="3"/>
      <c r="D1233" s="244">
        <v>3912770.8299999996</v>
      </c>
      <c r="E1233" s="233">
        <f t="shared" si="342"/>
        <v>0</v>
      </c>
      <c r="F1233" s="244">
        <f>F1234</f>
        <v>3912770.8299999996</v>
      </c>
      <c r="G1233" s="5">
        <f t="shared" ref="G1233:AG1233" si="376">G1234</f>
        <v>0</v>
      </c>
      <c r="H1233" s="5">
        <f t="shared" si="376"/>
        <v>0</v>
      </c>
      <c r="I1233" s="5">
        <f t="shared" si="376"/>
        <v>0</v>
      </c>
      <c r="J1233" s="5">
        <f t="shared" si="376"/>
        <v>0</v>
      </c>
      <c r="K1233" s="5">
        <f t="shared" si="376"/>
        <v>0</v>
      </c>
      <c r="L1233" s="5">
        <f t="shared" si="376"/>
        <v>0</v>
      </c>
      <c r="M1233" s="241">
        <f t="shared" si="376"/>
        <v>0</v>
      </c>
      <c r="N1233" s="5">
        <f t="shared" si="376"/>
        <v>0</v>
      </c>
      <c r="O1233" s="5">
        <f t="shared" si="376"/>
        <v>1320</v>
      </c>
      <c r="P1233" s="5">
        <f t="shared" si="376"/>
        <v>3736720.03</v>
      </c>
      <c r="Q1233" s="5">
        <f t="shared" si="376"/>
        <v>0</v>
      </c>
      <c r="R1233" s="5">
        <f t="shared" si="376"/>
        <v>0</v>
      </c>
      <c r="S1233" s="5">
        <f t="shared" si="376"/>
        <v>0</v>
      </c>
      <c r="T1233" s="5">
        <f t="shared" si="376"/>
        <v>0</v>
      </c>
      <c r="U1233" s="5">
        <f t="shared" si="376"/>
        <v>0</v>
      </c>
      <c r="V1233" s="5">
        <f t="shared" si="376"/>
        <v>0</v>
      </c>
      <c r="W1233" s="5">
        <f t="shared" si="376"/>
        <v>0</v>
      </c>
      <c r="X1233" s="5">
        <f t="shared" si="376"/>
        <v>0</v>
      </c>
      <c r="Y1233" s="5">
        <f t="shared" si="376"/>
        <v>0</v>
      </c>
      <c r="Z1233" s="5">
        <f t="shared" si="376"/>
        <v>0</v>
      </c>
      <c r="AA1233" s="5">
        <f t="shared" si="376"/>
        <v>0</v>
      </c>
      <c r="AB1233" s="5">
        <f t="shared" si="376"/>
        <v>0</v>
      </c>
      <c r="AC1233" s="5">
        <f t="shared" si="376"/>
        <v>0</v>
      </c>
      <c r="AD1233" s="5">
        <f t="shared" si="376"/>
        <v>0</v>
      </c>
      <c r="AE1233" s="5">
        <f t="shared" si="376"/>
        <v>56050.8</v>
      </c>
      <c r="AF1233" s="5">
        <f t="shared" si="376"/>
        <v>120000</v>
      </c>
      <c r="AG1233" s="5">
        <f t="shared" si="376"/>
        <v>0</v>
      </c>
      <c r="AH1233" s="449" t="s">
        <v>90</v>
      </c>
      <c r="AI1233" s="449" t="s">
        <v>90</v>
      </c>
      <c r="AJ1233" s="450" t="s">
        <v>90</v>
      </c>
      <c r="AV1233" s="2" t="e">
        <f t="shared" si="344"/>
        <v>#N/A</v>
      </c>
      <c r="CB1233" s="236">
        <v>3912770.8299999996</v>
      </c>
    </row>
    <row r="1234" spans="1:80" ht="61.5" x14ac:dyDescent="0.85">
      <c r="A1234" s="2">
        <v>1</v>
      </c>
      <c r="B1234" s="18">
        <f>SUBTOTAL(103,$A$1006:A1234)</f>
        <v>188</v>
      </c>
      <c r="C1234" s="290" t="s">
        <v>1885</v>
      </c>
      <c r="D1234" s="5">
        <v>3912770.8299999996</v>
      </c>
      <c r="E1234" s="5">
        <f t="shared" si="342"/>
        <v>0</v>
      </c>
      <c r="F1234" s="5">
        <f t="shared" ref="F1234" si="377">G1234+H1234+I1234+J1234+K1234+L1234+N1234+P1234+R1234+T1234+V1234+W1234+X1234+Y1234+Z1234+AA1234+AB1234+AC1234+AD1234+AE1234+AF1234+AG1234</f>
        <v>3912770.8299999996</v>
      </c>
      <c r="G1234" s="5">
        <v>0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241">
        <v>0</v>
      </c>
      <c r="N1234" s="5">
        <v>0</v>
      </c>
      <c r="O1234" s="5">
        <v>1320</v>
      </c>
      <c r="P1234" s="5">
        <v>3736720.03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f>ROUND(P1234*1.5%,2)</f>
        <v>56050.8</v>
      </c>
      <c r="AF1234" s="5">
        <v>120000</v>
      </c>
      <c r="AG1234" s="5">
        <v>0</v>
      </c>
      <c r="AH1234" s="246">
        <v>2022</v>
      </c>
      <c r="AI1234" s="246">
        <v>2022</v>
      </c>
      <c r="AJ1234" s="6">
        <v>2022</v>
      </c>
      <c r="CB1234" s="236"/>
    </row>
    <row r="1235" spans="1:80" ht="61.5" x14ac:dyDescent="0.85">
      <c r="B1235" s="3" t="s">
        <v>1369</v>
      </c>
      <c r="C1235" s="442"/>
      <c r="D1235" s="244">
        <v>4804056</v>
      </c>
      <c r="E1235" s="233">
        <f t="shared" si="342"/>
        <v>0</v>
      </c>
      <c r="F1235" s="244">
        <f>F1236</f>
        <v>4804056</v>
      </c>
      <c r="G1235" s="5">
        <f t="shared" ref="G1235:AG1235" si="378">G1236</f>
        <v>0</v>
      </c>
      <c r="H1235" s="5">
        <f t="shared" si="378"/>
        <v>0</v>
      </c>
      <c r="I1235" s="5">
        <f t="shared" si="378"/>
        <v>0</v>
      </c>
      <c r="J1235" s="5">
        <f t="shared" si="378"/>
        <v>0</v>
      </c>
      <c r="K1235" s="5">
        <f t="shared" si="378"/>
        <v>0</v>
      </c>
      <c r="L1235" s="5">
        <f t="shared" si="378"/>
        <v>0</v>
      </c>
      <c r="M1235" s="241">
        <f t="shared" si="378"/>
        <v>0</v>
      </c>
      <c r="N1235" s="5">
        <f t="shared" si="378"/>
        <v>0</v>
      </c>
      <c r="O1235" s="5">
        <f t="shared" si="378"/>
        <v>925</v>
      </c>
      <c r="P1235" s="5">
        <f t="shared" si="378"/>
        <v>4585276.8499999996</v>
      </c>
      <c r="Q1235" s="5">
        <f t="shared" si="378"/>
        <v>0</v>
      </c>
      <c r="R1235" s="5">
        <f t="shared" si="378"/>
        <v>0</v>
      </c>
      <c r="S1235" s="5">
        <f t="shared" si="378"/>
        <v>0</v>
      </c>
      <c r="T1235" s="5">
        <f t="shared" si="378"/>
        <v>0</v>
      </c>
      <c r="U1235" s="5">
        <f t="shared" si="378"/>
        <v>0</v>
      </c>
      <c r="V1235" s="5">
        <f t="shared" si="378"/>
        <v>0</v>
      </c>
      <c r="W1235" s="5">
        <f t="shared" si="378"/>
        <v>0</v>
      </c>
      <c r="X1235" s="5">
        <f t="shared" si="378"/>
        <v>0</v>
      </c>
      <c r="Y1235" s="5">
        <f t="shared" si="378"/>
        <v>0</v>
      </c>
      <c r="Z1235" s="5">
        <f t="shared" si="378"/>
        <v>0</v>
      </c>
      <c r="AA1235" s="5">
        <f t="shared" si="378"/>
        <v>0</v>
      </c>
      <c r="AB1235" s="5">
        <f t="shared" si="378"/>
        <v>0</v>
      </c>
      <c r="AC1235" s="5">
        <f t="shared" si="378"/>
        <v>0</v>
      </c>
      <c r="AD1235" s="5">
        <f t="shared" si="378"/>
        <v>0</v>
      </c>
      <c r="AE1235" s="5">
        <f t="shared" si="378"/>
        <v>68779.149999999994</v>
      </c>
      <c r="AF1235" s="5">
        <f t="shared" si="378"/>
        <v>150000</v>
      </c>
      <c r="AG1235" s="5">
        <f t="shared" si="378"/>
        <v>0</v>
      </c>
      <c r="AH1235" s="449" t="s">
        <v>90</v>
      </c>
      <c r="AI1235" s="449" t="s">
        <v>90</v>
      </c>
      <c r="AJ1235" s="450" t="s">
        <v>90</v>
      </c>
      <c r="AV1235" s="2" t="e">
        <f t="shared" ref="AV1235:AV1252" si="379">VLOOKUP(C1235,AY:AZ,2,FALSE)</f>
        <v>#N/A</v>
      </c>
      <c r="CB1235" s="236">
        <v>4804056</v>
      </c>
    </row>
    <row r="1236" spans="1:80" ht="61.5" x14ac:dyDescent="0.85">
      <c r="A1236" s="2">
        <v>1</v>
      </c>
      <c r="B1236" s="18">
        <f>SUBTOTAL(103,$A$1006:A1236)</f>
        <v>189</v>
      </c>
      <c r="C1236" s="290" t="s">
        <v>1886</v>
      </c>
      <c r="D1236" s="5">
        <v>4804056</v>
      </c>
      <c r="E1236" s="5">
        <f t="shared" si="342"/>
        <v>0</v>
      </c>
      <c r="F1236" s="5">
        <f t="shared" ref="F1236" si="380">G1236+H1236+I1236+J1236+K1236+L1236+N1236+P1236+R1236+T1236+V1236+W1236+X1236+Y1236+Z1236+AA1236+AB1236+AC1236+AD1236+AE1236+AF1236+AG1236</f>
        <v>4804056</v>
      </c>
      <c r="G1236" s="5">
        <v>0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241">
        <v>0</v>
      </c>
      <c r="N1236" s="5">
        <v>0</v>
      </c>
      <c r="O1236" s="5">
        <v>925</v>
      </c>
      <c r="P1236" s="5">
        <v>4585276.8499999996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f>ROUND(P1236*1.5%,2)</f>
        <v>68779.149999999994</v>
      </c>
      <c r="AF1236" s="5">
        <v>150000</v>
      </c>
      <c r="AG1236" s="5">
        <v>0</v>
      </c>
      <c r="AH1236" s="246">
        <v>2022</v>
      </c>
      <c r="AI1236" s="246">
        <v>2022</v>
      </c>
      <c r="AJ1236" s="6">
        <v>2022</v>
      </c>
      <c r="AV1236" s="2" t="e">
        <f t="shared" si="379"/>
        <v>#N/A</v>
      </c>
      <c r="CB1236" s="236"/>
    </row>
    <row r="1237" spans="1:80" ht="61.5" x14ac:dyDescent="0.85">
      <c r="B1237" s="3" t="s">
        <v>127</v>
      </c>
      <c r="C1237" s="442"/>
      <c r="D1237" s="244">
        <v>7284801.9000000004</v>
      </c>
      <c r="E1237" s="233">
        <f t="shared" si="342"/>
        <v>0</v>
      </c>
      <c r="F1237" s="244">
        <f>F1238</f>
        <v>7284801.9000000004</v>
      </c>
      <c r="G1237" s="5">
        <f t="shared" ref="G1237:AG1237" si="381">G1238</f>
        <v>0</v>
      </c>
      <c r="H1237" s="5">
        <f t="shared" si="381"/>
        <v>0</v>
      </c>
      <c r="I1237" s="5">
        <f t="shared" si="381"/>
        <v>0</v>
      </c>
      <c r="J1237" s="5">
        <f t="shared" si="381"/>
        <v>0</v>
      </c>
      <c r="K1237" s="5">
        <f t="shared" si="381"/>
        <v>0</v>
      </c>
      <c r="L1237" s="5">
        <f t="shared" si="381"/>
        <v>0</v>
      </c>
      <c r="M1237" s="241">
        <f t="shared" si="381"/>
        <v>0</v>
      </c>
      <c r="N1237" s="5">
        <f t="shared" si="381"/>
        <v>0</v>
      </c>
      <c r="O1237" s="5">
        <f t="shared" si="381"/>
        <v>1501.51</v>
      </c>
      <c r="P1237" s="5">
        <f t="shared" si="381"/>
        <v>6999804.8300000001</v>
      </c>
      <c r="Q1237" s="5">
        <f t="shared" si="381"/>
        <v>0</v>
      </c>
      <c r="R1237" s="5">
        <f t="shared" si="381"/>
        <v>0</v>
      </c>
      <c r="S1237" s="5">
        <f t="shared" si="381"/>
        <v>0</v>
      </c>
      <c r="T1237" s="5">
        <f t="shared" si="381"/>
        <v>0</v>
      </c>
      <c r="U1237" s="5">
        <f t="shared" si="381"/>
        <v>0</v>
      </c>
      <c r="V1237" s="5">
        <f t="shared" si="381"/>
        <v>0</v>
      </c>
      <c r="W1237" s="5">
        <f t="shared" si="381"/>
        <v>0</v>
      </c>
      <c r="X1237" s="5">
        <f t="shared" si="381"/>
        <v>0</v>
      </c>
      <c r="Y1237" s="5">
        <f t="shared" si="381"/>
        <v>0</v>
      </c>
      <c r="Z1237" s="5">
        <f t="shared" si="381"/>
        <v>0</v>
      </c>
      <c r="AA1237" s="5">
        <f t="shared" si="381"/>
        <v>0</v>
      </c>
      <c r="AB1237" s="5">
        <f t="shared" si="381"/>
        <v>0</v>
      </c>
      <c r="AC1237" s="5">
        <f t="shared" si="381"/>
        <v>0</v>
      </c>
      <c r="AD1237" s="5">
        <f t="shared" si="381"/>
        <v>0</v>
      </c>
      <c r="AE1237" s="5">
        <f t="shared" si="381"/>
        <v>104997.07</v>
      </c>
      <c r="AF1237" s="5">
        <f t="shared" si="381"/>
        <v>180000</v>
      </c>
      <c r="AG1237" s="5">
        <f t="shared" si="381"/>
        <v>0</v>
      </c>
      <c r="AH1237" s="449" t="s">
        <v>90</v>
      </c>
      <c r="AI1237" s="449" t="s">
        <v>90</v>
      </c>
      <c r="AJ1237" s="450" t="s">
        <v>90</v>
      </c>
      <c r="AV1237" s="2" t="e">
        <f t="shared" si="379"/>
        <v>#N/A</v>
      </c>
      <c r="CB1237" s="236">
        <v>7284801.9000000004</v>
      </c>
    </row>
    <row r="1238" spans="1:80" ht="61.5" x14ac:dyDescent="0.85">
      <c r="A1238" s="2">
        <v>1</v>
      </c>
      <c r="B1238" s="18">
        <f>SUBTOTAL(103,$A$1006:A1238)</f>
        <v>190</v>
      </c>
      <c r="C1238" s="290" t="s">
        <v>1887</v>
      </c>
      <c r="D1238" s="5">
        <v>7284801.9000000004</v>
      </c>
      <c r="E1238" s="5">
        <f t="shared" si="342"/>
        <v>0</v>
      </c>
      <c r="F1238" s="5">
        <f t="shared" ref="F1238" si="382">G1238+H1238+I1238+J1238+K1238+L1238+N1238+P1238+R1238+T1238+V1238+W1238+X1238+Y1238+Z1238+AA1238+AB1238+AC1238+AD1238+AE1238+AF1238+AG1238</f>
        <v>7284801.9000000004</v>
      </c>
      <c r="G1238" s="5">
        <v>0</v>
      </c>
      <c r="H1238" s="5">
        <v>0</v>
      </c>
      <c r="I1238" s="5">
        <v>0</v>
      </c>
      <c r="J1238" s="5">
        <v>0</v>
      </c>
      <c r="K1238" s="5">
        <v>0</v>
      </c>
      <c r="L1238" s="5">
        <v>0</v>
      </c>
      <c r="M1238" s="241">
        <v>0</v>
      </c>
      <c r="N1238" s="5">
        <v>0</v>
      </c>
      <c r="O1238" s="5">
        <v>1501.51</v>
      </c>
      <c r="P1238" s="5">
        <v>6999804.8300000001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f>ROUND(P1238*1.5%,2)</f>
        <v>104997.07</v>
      </c>
      <c r="AF1238" s="5">
        <v>180000</v>
      </c>
      <c r="AG1238" s="5">
        <v>0</v>
      </c>
      <c r="AH1238" s="246">
        <v>2022</v>
      </c>
      <c r="AI1238" s="246">
        <v>2022</v>
      </c>
      <c r="AJ1238" s="6">
        <v>2022</v>
      </c>
      <c r="AV1238" s="2" t="e">
        <f t="shared" si="379"/>
        <v>#N/A</v>
      </c>
      <c r="CB1238" s="236"/>
    </row>
    <row r="1239" spans="1:80" ht="61.5" x14ac:dyDescent="0.85">
      <c r="B1239" s="3" t="s">
        <v>1676</v>
      </c>
      <c r="C1239" s="3"/>
      <c r="D1239" s="244">
        <v>4011881.02</v>
      </c>
      <c r="E1239" s="233">
        <f t="shared" si="342"/>
        <v>0</v>
      </c>
      <c r="F1239" s="244">
        <f>F1240+F1241</f>
        <v>4011881.02</v>
      </c>
      <c r="G1239" s="5">
        <f t="shared" ref="G1239:AG1239" si="383">G1240+G1241</f>
        <v>0</v>
      </c>
      <c r="H1239" s="5">
        <f t="shared" si="383"/>
        <v>0</v>
      </c>
      <c r="I1239" s="5">
        <f t="shared" si="383"/>
        <v>0</v>
      </c>
      <c r="J1239" s="5">
        <f t="shared" si="383"/>
        <v>0</v>
      </c>
      <c r="K1239" s="5">
        <f t="shared" si="383"/>
        <v>0</v>
      </c>
      <c r="L1239" s="5">
        <f t="shared" si="383"/>
        <v>0</v>
      </c>
      <c r="M1239" s="241">
        <f t="shared" si="383"/>
        <v>0</v>
      </c>
      <c r="N1239" s="5">
        <f t="shared" si="383"/>
        <v>0</v>
      </c>
      <c r="O1239" s="5">
        <f t="shared" si="383"/>
        <v>771.1</v>
      </c>
      <c r="P1239" s="5">
        <f t="shared" si="383"/>
        <v>3479820.61</v>
      </c>
      <c r="Q1239" s="5">
        <f t="shared" si="383"/>
        <v>0</v>
      </c>
      <c r="R1239" s="5">
        <f t="shared" si="383"/>
        <v>0</v>
      </c>
      <c r="S1239" s="5">
        <f t="shared" si="383"/>
        <v>98</v>
      </c>
      <c r="T1239" s="5">
        <f t="shared" si="383"/>
        <v>206761.67</v>
      </c>
      <c r="U1239" s="5">
        <f t="shared" si="383"/>
        <v>0</v>
      </c>
      <c r="V1239" s="5">
        <f t="shared" si="383"/>
        <v>0</v>
      </c>
      <c r="W1239" s="5">
        <f t="shared" si="383"/>
        <v>0</v>
      </c>
      <c r="X1239" s="5">
        <f t="shared" si="383"/>
        <v>0</v>
      </c>
      <c r="Y1239" s="5">
        <f t="shared" si="383"/>
        <v>0</v>
      </c>
      <c r="Z1239" s="5">
        <f t="shared" si="383"/>
        <v>0</v>
      </c>
      <c r="AA1239" s="5">
        <f t="shared" si="383"/>
        <v>0</v>
      </c>
      <c r="AB1239" s="5">
        <f t="shared" si="383"/>
        <v>0</v>
      </c>
      <c r="AC1239" s="5">
        <f t="shared" si="383"/>
        <v>0</v>
      </c>
      <c r="AD1239" s="5">
        <f t="shared" si="383"/>
        <v>0</v>
      </c>
      <c r="AE1239" s="5">
        <f t="shared" si="383"/>
        <v>55298.74</v>
      </c>
      <c r="AF1239" s="5">
        <f t="shared" si="383"/>
        <v>270000</v>
      </c>
      <c r="AG1239" s="5">
        <f t="shared" si="383"/>
        <v>0</v>
      </c>
      <c r="AH1239" s="449" t="s">
        <v>90</v>
      </c>
      <c r="AI1239" s="449" t="s">
        <v>90</v>
      </c>
      <c r="AJ1239" s="450" t="s">
        <v>90</v>
      </c>
      <c r="AV1239" s="2" t="e">
        <f t="shared" si="379"/>
        <v>#N/A</v>
      </c>
      <c r="CB1239" s="236">
        <v>4011881.02</v>
      </c>
    </row>
    <row r="1240" spans="1:80" ht="61.5" x14ac:dyDescent="0.85">
      <c r="A1240" s="2">
        <v>1</v>
      </c>
      <c r="B1240" s="18">
        <f>SUBTOTAL(103,$A$1006:A1240)</f>
        <v>191</v>
      </c>
      <c r="C1240" s="290" t="s">
        <v>1888</v>
      </c>
      <c r="D1240" s="5">
        <v>329863.09999999998</v>
      </c>
      <c r="E1240" s="5">
        <f t="shared" si="342"/>
        <v>0</v>
      </c>
      <c r="F1240" s="5">
        <f t="shared" ref="F1240:F1241" si="384">G1240+H1240+I1240+J1240+K1240+L1240+N1240+P1240+R1240+T1240+V1240+W1240+X1240+Y1240+Z1240+AA1240+AB1240+AC1240+AD1240+AE1240+AF1240+AG1240</f>
        <v>329863.09999999998</v>
      </c>
      <c r="G1240" s="5">
        <v>0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241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98</v>
      </c>
      <c r="T1240" s="5">
        <v>206761.67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f>ROUND(T1240*1.5%,2)</f>
        <v>3101.43</v>
      </c>
      <c r="AF1240" s="5">
        <v>120000</v>
      </c>
      <c r="AG1240" s="5">
        <v>0</v>
      </c>
      <c r="AH1240" s="246">
        <v>2022</v>
      </c>
      <c r="AI1240" s="246">
        <v>2022</v>
      </c>
      <c r="AJ1240" s="6">
        <v>2022</v>
      </c>
      <c r="AV1240" s="2" t="e">
        <f t="shared" si="379"/>
        <v>#N/A</v>
      </c>
      <c r="CB1240" s="236"/>
    </row>
    <row r="1241" spans="1:80" ht="61.5" x14ac:dyDescent="0.85">
      <c r="A1241" s="2">
        <v>1</v>
      </c>
      <c r="B1241" s="18">
        <f>SUBTOTAL(103,$A$1006:A1241)</f>
        <v>192</v>
      </c>
      <c r="C1241" s="290" t="s">
        <v>1889</v>
      </c>
      <c r="D1241" s="5">
        <v>3682017.92</v>
      </c>
      <c r="E1241" s="5">
        <f t="shared" si="342"/>
        <v>0</v>
      </c>
      <c r="F1241" s="5">
        <f t="shared" si="384"/>
        <v>3682017.92</v>
      </c>
      <c r="G1241" s="5">
        <v>0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241">
        <v>0</v>
      </c>
      <c r="N1241" s="5">
        <v>0</v>
      </c>
      <c r="O1241" s="5">
        <v>771.1</v>
      </c>
      <c r="P1241" s="5">
        <v>3479820.61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f>ROUND(P1241*1.5%,2)</f>
        <v>52197.31</v>
      </c>
      <c r="AF1241" s="5">
        <v>150000</v>
      </c>
      <c r="AG1241" s="5">
        <v>0</v>
      </c>
      <c r="AH1241" s="246">
        <v>2022</v>
      </c>
      <c r="AI1241" s="246">
        <v>2022</v>
      </c>
      <c r="AJ1241" s="6">
        <v>2022</v>
      </c>
      <c r="AV1241" s="2" t="e">
        <f t="shared" si="379"/>
        <v>#N/A</v>
      </c>
      <c r="CB1241" s="236"/>
    </row>
    <row r="1242" spans="1:80" ht="61.5" x14ac:dyDescent="0.85">
      <c r="B1242" s="3" t="s">
        <v>115</v>
      </c>
      <c r="C1242" s="3"/>
      <c r="D1242" s="244">
        <v>6026117.5699999994</v>
      </c>
      <c r="E1242" s="233">
        <f t="shared" si="342"/>
        <v>-53410.450000000186</v>
      </c>
      <c r="F1242" s="244">
        <f>SUM(F1243:F1245)</f>
        <v>6079528.0199999996</v>
      </c>
      <c r="G1242" s="5">
        <f t="shared" ref="G1242:AG1242" si="385">SUM(G1243:G1245)</f>
        <v>0</v>
      </c>
      <c r="H1242" s="5">
        <f t="shared" si="385"/>
        <v>0</v>
      </c>
      <c r="I1242" s="5">
        <f t="shared" si="385"/>
        <v>0</v>
      </c>
      <c r="J1242" s="5">
        <f t="shared" si="385"/>
        <v>0</v>
      </c>
      <c r="K1242" s="5">
        <f t="shared" si="385"/>
        <v>0</v>
      </c>
      <c r="L1242" s="5">
        <f t="shared" si="385"/>
        <v>0</v>
      </c>
      <c r="M1242" s="241">
        <f t="shared" si="385"/>
        <v>0</v>
      </c>
      <c r="N1242" s="5">
        <f t="shared" si="385"/>
        <v>0</v>
      </c>
      <c r="O1242" s="5">
        <f t="shared" si="385"/>
        <v>1274.46</v>
      </c>
      <c r="P1242" s="5">
        <f t="shared" si="385"/>
        <v>5605446.3300000001</v>
      </c>
      <c r="Q1242" s="5">
        <f t="shared" si="385"/>
        <v>0</v>
      </c>
      <c r="R1242" s="5">
        <f t="shared" si="385"/>
        <v>0</v>
      </c>
      <c r="S1242" s="5">
        <f t="shared" si="385"/>
        <v>0</v>
      </c>
      <c r="T1242" s="5">
        <f t="shared" si="385"/>
        <v>0</v>
      </c>
      <c r="U1242" s="5">
        <f t="shared" si="385"/>
        <v>0</v>
      </c>
      <c r="V1242" s="5">
        <f t="shared" si="385"/>
        <v>0</v>
      </c>
      <c r="W1242" s="5">
        <f t="shared" si="385"/>
        <v>0</v>
      </c>
      <c r="X1242" s="5">
        <f t="shared" si="385"/>
        <v>0</v>
      </c>
      <c r="Y1242" s="5">
        <f t="shared" si="385"/>
        <v>0</v>
      </c>
      <c r="Z1242" s="5">
        <f t="shared" si="385"/>
        <v>0</v>
      </c>
      <c r="AA1242" s="5">
        <f t="shared" si="385"/>
        <v>0</v>
      </c>
      <c r="AB1242" s="5">
        <f t="shared" si="385"/>
        <v>0</v>
      </c>
      <c r="AC1242" s="5">
        <f t="shared" si="385"/>
        <v>0</v>
      </c>
      <c r="AD1242" s="5">
        <f t="shared" si="385"/>
        <v>0</v>
      </c>
      <c r="AE1242" s="5">
        <f t="shared" si="385"/>
        <v>84081.69</v>
      </c>
      <c r="AF1242" s="5">
        <f t="shared" si="385"/>
        <v>390000</v>
      </c>
      <c r="AG1242" s="5">
        <f t="shared" si="385"/>
        <v>0</v>
      </c>
      <c r="AH1242" s="449" t="s">
        <v>90</v>
      </c>
      <c r="AI1242" s="449" t="s">
        <v>90</v>
      </c>
      <c r="AJ1242" s="450" t="s">
        <v>90</v>
      </c>
      <c r="AV1242" s="2" t="e">
        <f t="shared" si="379"/>
        <v>#N/A</v>
      </c>
      <c r="CB1242" s="236">
        <v>6026117.5699999994</v>
      </c>
    </row>
    <row r="1243" spans="1:80" ht="61.5" x14ac:dyDescent="0.85">
      <c r="A1243" s="2">
        <v>1</v>
      </c>
      <c r="B1243" s="18">
        <f>SUBTOTAL(103,$A$1006:A1243)</f>
        <v>193</v>
      </c>
      <c r="C1243" s="290" t="s">
        <v>1890</v>
      </c>
      <c r="D1243" s="5"/>
      <c r="E1243" s="5">
        <f t="shared" si="342"/>
        <v>-3274967.59</v>
      </c>
      <c r="F1243" s="5">
        <f t="shared" ref="F1243:F1245" si="386">G1243+H1243+I1243+J1243+K1243+L1243+N1243+P1243+R1243+T1243+V1243+W1243+X1243+Y1243+Z1243+AA1243+AB1243+AC1243+AD1243+AE1243+AF1243+AG1243</f>
        <v>3274967.59</v>
      </c>
      <c r="G1243" s="5">
        <v>0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241">
        <v>0</v>
      </c>
      <c r="N1243" s="5">
        <v>0</v>
      </c>
      <c r="O1243" s="5">
        <v>767.4</v>
      </c>
      <c r="P1243" s="5">
        <v>3078785.8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f>ROUND(P1243*1.5%,2)</f>
        <v>46181.79</v>
      </c>
      <c r="AF1243" s="5">
        <v>150000</v>
      </c>
      <c r="AG1243" s="5">
        <v>0</v>
      </c>
      <c r="AH1243" s="246">
        <v>2022</v>
      </c>
      <c r="AI1243" s="246">
        <v>2022</v>
      </c>
      <c r="AJ1243" s="6">
        <v>2022</v>
      </c>
      <c r="AV1243" s="2" t="e">
        <f t="shared" si="379"/>
        <v>#N/A</v>
      </c>
      <c r="CB1243" s="236"/>
    </row>
    <row r="1244" spans="1:80" ht="61.5" x14ac:dyDescent="0.85">
      <c r="A1244" s="2">
        <v>1</v>
      </c>
      <c r="B1244" s="18">
        <f>SUBTOTAL(103,$A$1006:A1244)</f>
        <v>194</v>
      </c>
      <c r="C1244" s="290" t="s">
        <v>1891</v>
      </c>
      <c r="D1244" s="5"/>
      <c r="E1244" s="5">
        <f t="shared" si="342"/>
        <v>-1167219.1299999999</v>
      </c>
      <c r="F1244" s="5">
        <f t="shared" si="386"/>
        <v>1167219.1299999999</v>
      </c>
      <c r="G1244" s="5">
        <v>0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241">
        <v>0</v>
      </c>
      <c r="N1244" s="5">
        <v>0</v>
      </c>
      <c r="O1244" s="5">
        <v>193.5</v>
      </c>
      <c r="P1244" s="5">
        <v>1031742.99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f>ROUND(P1244*1.5%,2)</f>
        <v>15476.14</v>
      </c>
      <c r="AF1244" s="5">
        <v>120000</v>
      </c>
      <c r="AG1244" s="5">
        <v>0</v>
      </c>
      <c r="AH1244" s="246">
        <v>2022</v>
      </c>
      <c r="AI1244" s="246">
        <v>2022</v>
      </c>
      <c r="AJ1244" s="6">
        <v>2022</v>
      </c>
      <c r="AV1244" s="2" t="e">
        <f t="shared" si="379"/>
        <v>#N/A</v>
      </c>
      <c r="CB1244" s="236"/>
    </row>
    <row r="1245" spans="1:80" ht="61.5" x14ac:dyDescent="0.85">
      <c r="A1245" s="2">
        <v>1</v>
      </c>
      <c r="B1245" s="18">
        <f>SUBTOTAL(103,$A$1006:A1245)</f>
        <v>195</v>
      </c>
      <c r="C1245" s="290" t="s">
        <v>1892</v>
      </c>
      <c r="D1245" s="5">
        <v>1637341.3</v>
      </c>
      <c r="E1245" s="5">
        <f t="shared" si="342"/>
        <v>0</v>
      </c>
      <c r="F1245" s="5">
        <f t="shared" si="386"/>
        <v>1637341.3</v>
      </c>
      <c r="G1245" s="5">
        <v>0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241">
        <v>0</v>
      </c>
      <c r="N1245" s="5">
        <v>0</v>
      </c>
      <c r="O1245" s="5">
        <v>313.56</v>
      </c>
      <c r="P1245" s="5">
        <v>1494917.54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f>ROUND(P1245*1.5%,2)</f>
        <v>22423.759999999998</v>
      </c>
      <c r="AF1245" s="5">
        <v>120000</v>
      </c>
      <c r="AG1245" s="5">
        <v>0</v>
      </c>
      <c r="AH1245" s="246">
        <v>2022</v>
      </c>
      <c r="AI1245" s="246">
        <v>2022</v>
      </c>
      <c r="AJ1245" s="6">
        <v>2022</v>
      </c>
      <c r="AV1245" s="2" t="e">
        <f t="shared" si="379"/>
        <v>#N/A</v>
      </c>
      <c r="CB1245" s="236"/>
    </row>
    <row r="1246" spans="1:80" ht="61.5" x14ac:dyDescent="0.85">
      <c r="B1246" s="3" t="s">
        <v>116</v>
      </c>
      <c r="C1246" s="3"/>
      <c r="D1246" s="244">
        <v>12459674.15</v>
      </c>
      <c r="E1246" s="233">
        <f t="shared" si="342"/>
        <v>0</v>
      </c>
      <c r="F1246" s="244">
        <f>SUM(F1247:F1249)</f>
        <v>12459674.15</v>
      </c>
      <c r="G1246" s="5">
        <f t="shared" ref="G1246:AG1246" si="387">SUM(G1247:G1249)</f>
        <v>0</v>
      </c>
      <c r="H1246" s="5">
        <f t="shared" si="387"/>
        <v>0</v>
      </c>
      <c r="I1246" s="5">
        <f t="shared" si="387"/>
        <v>0</v>
      </c>
      <c r="J1246" s="5">
        <f t="shared" si="387"/>
        <v>0</v>
      </c>
      <c r="K1246" s="5">
        <f t="shared" si="387"/>
        <v>0</v>
      </c>
      <c r="L1246" s="5">
        <f t="shared" si="387"/>
        <v>0</v>
      </c>
      <c r="M1246" s="241">
        <f t="shared" si="387"/>
        <v>0</v>
      </c>
      <c r="N1246" s="5">
        <f t="shared" si="387"/>
        <v>0</v>
      </c>
      <c r="O1246" s="5">
        <f t="shared" si="387"/>
        <v>2891.3100000000004</v>
      </c>
      <c r="P1246" s="5">
        <f t="shared" si="387"/>
        <v>11802634.630000001</v>
      </c>
      <c r="Q1246" s="5">
        <f t="shared" si="387"/>
        <v>0</v>
      </c>
      <c r="R1246" s="5">
        <f t="shared" si="387"/>
        <v>0</v>
      </c>
      <c r="S1246" s="5">
        <f t="shared" si="387"/>
        <v>0</v>
      </c>
      <c r="T1246" s="5">
        <f t="shared" si="387"/>
        <v>0</v>
      </c>
      <c r="U1246" s="5">
        <f t="shared" si="387"/>
        <v>0</v>
      </c>
      <c r="V1246" s="5">
        <f t="shared" si="387"/>
        <v>0</v>
      </c>
      <c r="W1246" s="5">
        <f t="shared" si="387"/>
        <v>0</v>
      </c>
      <c r="X1246" s="5">
        <f t="shared" si="387"/>
        <v>0</v>
      </c>
      <c r="Y1246" s="5">
        <f t="shared" si="387"/>
        <v>0</v>
      </c>
      <c r="Z1246" s="5">
        <f t="shared" si="387"/>
        <v>0</v>
      </c>
      <c r="AA1246" s="5">
        <f t="shared" si="387"/>
        <v>0</v>
      </c>
      <c r="AB1246" s="5">
        <f t="shared" si="387"/>
        <v>0</v>
      </c>
      <c r="AC1246" s="5">
        <f t="shared" si="387"/>
        <v>0</v>
      </c>
      <c r="AD1246" s="5">
        <f t="shared" si="387"/>
        <v>0</v>
      </c>
      <c r="AE1246" s="5">
        <f t="shared" si="387"/>
        <v>177039.52000000002</v>
      </c>
      <c r="AF1246" s="5">
        <f t="shared" si="387"/>
        <v>480000</v>
      </c>
      <c r="AG1246" s="5">
        <f t="shared" si="387"/>
        <v>0</v>
      </c>
      <c r="AH1246" s="449" t="s">
        <v>90</v>
      </c>
      <c r="AI1246" s="449" t="s">
        <v>90</v>
      </c>
      <c r="AJ1246" s="450" t="s">
        <v>90</v>
      </c>
      <c r="AV1246" s="2" t="e">
        <f t="shared" si="379"/>
        <v>#N/A</v>
      </c>
      <c r="CB1246" s="236">
        <v>12459674.15</v>
      </c>
    </row>
    <row r="1247" spans="1:80" ht="61.5" x14ac:dyDescent="0.85">
      <c r="A1247" s="2">
        <v>1</v>
      </c>
      <c r="B1247" s="18">
        <f>SUBTOTAL(103,$A$1006:A1247)</f>
        <v>196</v>
      </c>
      <c r="C1247" s="290" t="s">
        <v>1893</v>
      </c>
      <c r="D1247" s="5">
        <v>5095413.53</v>
      </c>
      <c r="E1247" s="5">
        <f t="shared" si="342"/>
        <v>0</v>
      </c>
      <c r="F1247" s="5">
        <f t="shared" ref="F1247:F1249" si="388">G1247+H1247+I1247+J1247+K1247+L1247+N1247+P1247+R1247+T1247+V1247+W1247+X1247+Y1247+Z1247+AA1247+AB1247+AC1247+AD1247+AE1247+AF1247+AG1247</f>
        <v>5095413.53</v>
      </c>
      <c r="G1247" s="5">
        <v>0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241">
        <v>0</v>
      </c>
      <c r="N1247" s="5">
        <v>0</v>
      </c>
      <c r="O1247" s="5">
        <v>1276.79</v>
      </c>
      <c r="P1247" s="5">
        <v>4842771.95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f>ROUND(P1247*1.5%,2)</f>
        <v>72641.58</v>
      </c>
      <c r="AF1247" s="5">
        <v>180000</v>
      </c>
      <c r="AG1247" s="5">
        <v>0</v>
      </c>
      <c r="AH1247" s="246">
        <v>2022</v>
      </c>
      <c r="AI1247" s="246">
        <v>2022</v>
      </c>
      <c r="AJ1247" s="6">
        <v>2022</v>
      </c>
      <c r="AV1247" s="2" t="e">
        <f t="shared" si="379"/>
        <v>#N/A</v>
      </c>
      <c r="CB1247" s="236"/>
    </row>
    <row r="1248" spans="1:80" ht="61.5" x14ac:dyDescent="0.85">
      <c r="A1248" s="2">
        <v>1</v>
      </c>
      <c r="B1248" s="18">
        <f>SUBTOTAL(103,$A$1006:A1248)</f>
        <v>197</v>
      </c>
      <c r="C1248" s="290" t="s">
        <v>1894</v>
      </c>
      <c r="D1248" s="5">
        <v>3457309.86</v>
      </c>
      <c r="E1248" s="5">
        <f t="shared" si="342"/>
        <v>0</v>
      </c>
      <c r="F1248" s="5">
        <f t="shared" si="388"/>
        <v>3457309.86</v>
      </c>
      <c r="G1248" s="5">
        <v>0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241">
        <v>0</v>
      </c>
      <c r="N1248" s="5">
        <v>0</v>
      </c>
      <c r="O1248" s="5">
        <v>866.32</v>
      </c>
      <c r="P1248" s="5">
        <v>3258433.36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f>ROUND(P1248*1.5%,2)</f>
        <v>48876.5</v>
      </c>
      <c r="AF1248" s="5">
        <v>150000</v>
      </c>
      <c r="AG1248" s="5">
        <v>0</v>
      </c>
      <c r="AH1248" s="246">
        <v>2022</v>
      </c>
      <c r="AI1248" s="246">
        <v>2022</v>
      </c>
      <c r="AJ1248" s="6">
        <v>2022</v>
      </c>
      <c r="AV1248" s="2" t="e">
        <f t="shared" si="379"/>
        <v>#N/A</v>
      </c>
      <c r="CB1248" s="236"/>
    </row>
    <row r="1249" spans="1:84" ht="61.5" x14ac:dyDescent="0.85">
      <c r="A1249" s="2">
        <v>1</v>
      </c>
      <c r="B1249" s="18">
        <f>SUBTOTAL(103,$A$1006:A1249)</f>
        <v>198</v>
      </c>
      <c r="C1249" s="290" t="s">
        <v>1895</v>
      </c>
      <c r="D1249" s="5">
        <v>3906950.76</v>
      </c>
      <c r="E1249" s="5">
        <f t="shared" si="342"/>
        <v>0</v>
      </c>
      <c r="F1249" s="5">
        <f t="shared" si="388"/>
        <v>3906950.76</v>
      </c>
      <c r="G1249" s="5">
        <v>0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241">
        <v>0</v>
      </c>
      <c r="N1249" s="5">
        <v>0</v>
      </c>
      <c r="O1249" s="5">
        <v>748.2</v>
      </c>
      <c r="P1249" s="5">
        <v>3701429.32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f>ROUND(P1249*1.5%,2)</f>
        <v>55521.440000000002</v>
      </c>
      <c r="AF1249" s="5">
        <v>150000</v>
      </c>
      <c r="AG1249" s="5">
        <v>0</v>
      </c>
      <c r="AH1249" s="246">
        <v>2022</v>
      </c>
      <c r="AI1249" s="246">
        <v>2022</v>
      </c>
      <c r="AJ1249" s="6">
        <v>2022</v>
      </c>
      <c r="AV1249" s="2" t="e">
        <f t="shared" si="379"/>
        <v>#N/A</v>
      </c>
      <c r="CB1249" s="236"/>
    </row>
    <row r="1250" spans="1:84" ht="61.5" x14ac:dyDescent="0.85">
      <c r="B1250" s="3" t="s">
        <v>117</v>
      </c>
      <c r="C1250" s="3"/>
      <c r="D1250" s="244">
        <v>12269019.870000001</v>
      </c>
      <c r="E1250" s="233">
        <f t="shared" si="342"/>
        <v>0</v>
      </c>
      <c r="F1250" s="244">
        <f t="shared" ref="F1250:AG1250" si="389">SUM(F1251:F1253)</f>
        <v>12269019.870000001</v>
      </c>
      <c r="G1250" s="5">
        <f t="shared" si="389"/>
        <v>0</v>
      </c>
      <c r="H1250" s="5">
        <f t="shared" si="389"/>
        <v>0</v>
      </c>
      <c r="I1250" s="5">
        <f t="shared" si="389"/>
        <v>0</v>
      </c>
      <c r="J1250" s="5">
        <f t="shared" si="389"/>
        <v>0</v>
      </c>
      <c r="K1250" s="5">
        <f t="shared" si="389"/>
        <v>0</v>
      </c>
      <c r="L1250" s="5">
        <f t="shared" si="389"/>
        <v>0</v>
      </c>
      <c r="M1250" s="241">
        <f t="shared" si="389"/>
        <v>0</v>
      </c>
      <c r="N1250" s="5">
        <f t="shared" si="389"/>
        <v>0</v>
      </c>
      <c r="O1250" s="5">
        <f t="shared" si="389"/>
        <v>995</v>
      </c>
      <c r="P1250" s="5">
        <f t="shared" si="389"/>
        <v>6086660.5899999999</v>
      </c>
      <c r="Q1250" s="5">
        <f t="shared" si="389"/>
        <v>146</v>
      </c>
      <c r="R1250" s="5">
        <f t="shared" si="389"/>
        <v>565939.61</v>
      </c>
      <c r="S1250" s="5">
        <f t="shared" si="389"/>
        <v>1414.36</v>
      </c>
      <c r="T1250" s="5">
        <f t="shared" si="389"/>
        <v>5021311</v>
      </c>
      <c r="U1250" s="5">
        <f t="shared" si="389"/>
        <v>0</v>
      </c>
      <c r="V1250" s="5">
        <f t="shared" si="389"/>
        <v>0</v>
      </c>
      <c r="W1250" s="5">
        <f t="shared" si="389"/>
        <v>0</v>
      </c>
      <c r="X1250" s="5">
        <f t="shared" si="389"/>
        <v>0</v>
      </c>
      <c r="Y1250" s="5">
        <f t="shared" si="389"/>
        <v>0</v>
      </c>
      <c r="Z1250" s="5">
        <f t="shared" si="389"/>
        <v>0</v>
      </c>
      <c r="AA1250" s="5">
        <f t="shared" si="389"/>
        <v>0</v>
      </c>
      <c r="AB1250" s="5">
        <f t="shared" si="389"/>
        <v>0</v>
      </c>
      <c r="AC1250" s="5">
        <f t="shared" si="389"/>
        <v>0</v>
      </c>
      <c r="AD1250" s="5">
        <f t="shared" si="389"/>
        <v>0</v>
      </c>
      <c r="AE1250" s="5">
        <f t="shared" si="389"/>
        <v>175108.66999999998</v>
      </c>
      <c r="AF1250" s="5">
        <f t="shared" si="389"/>
        <v>420000</v>
      </c>
      <c r="AG1250" s="5">
        <f t="shared" si="389"/>
        <v>0</v>
      </c>
      <c r="AH1250" s="449" t="s">
        <v>90</v>
      </c>
      <c r="AI1250" s="449" t="s">
        <v>90</v>
      </c>
      <c r="AJ1250" s="450" t="s">
        <v>90</v>
      </c>
      <c r="AV1250" s="2" t="e">
        <f t="shared" si="379"/>
        <v>#N/A</v>
      </c>
      <c r="CB1250" s="236">
        <v>11707868.220000001</v>
      </c>
    </row>
    <row r="1251" spans="1:84" ht="61.5" x14ac:dyDescent="0.85">
      <c r="A1251" s="2">
        <v>1</v>
      </c>
      <c r="B1251" s="18">
        <f>SUBTOTAL(103,$A$1006:A1251)</f>
        <v>199</v>
      </c>
      <c r="C1251" s="290" t="s">
        <v>1896</v>
      </c>
      <c r="D1251" s="5">
        <v>694428.7</v>
      </c>
      <c r="E1251" s="5">
        <f t="shared" si="342"/>
        <v>0</v>
      </c>
      <c r="F1251" s="5">
        <f t="shared" ref="F1251:F1253" si="390">G1251+H1251+I1251+J1251+K1251+L1251+N1251+P1251+R1251+T1251+V1251+W1251+X1251+Y1251+Z1251+AA1251+AB1251+AC1251+AD1251+AE1251+AF1251+AG1251</f>
        <v>694428.7</v>
      </c>
      <c r="G1251" s="5">
        <v>0</v>
      </c>
      <c r="H1251" s="5">
        <v>0</v>
      </c>
      <c r="I1251" s="5">
        <v>0</v>
      </c>
      <c r="J1251" s="5">
        <v>0</v>
      </c>
      <c r="K1251" s="5">
        <v>0</v>
      </c>
      <c r="L1251" s="5">
        <v>0</v>
      </c>
      <c r="M1251" s="241">
        <v>0</v>
      </c>
      <c r="N1251" s="5">
        <v>0</v>
      </c>
      <c r="O1251" s="5">
        <v>0</v>
      </c>
      <c r="P1251" s="5">
        <v>0</v>
      </c>
      <c r="Q1251" s="5">
        <v>146</v>
      </c>
      <c r="R1251" s="5">
        <f>365939.61+200000</f>
        <v>565939.61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f>ROUND(R1251*1.5%,2)</f>
        <v>8489.09</v>
      </c>
      <c r="AF1251" s="5">
        <v>120000</v>
      </c>
      <c r="AG1251" s="5">
        <v>0</v>
      </c>
      <c r="AH1251" s="246">
        <v>2022</v>
      </c>
      <c r="AI1251" s="246">
        <v>2022</v>
      </c>
      <c r="AJ1251" s="6">
        <v>2022</v>
      </c>
      <c r="AV1251" s="2" t="e">
        <f t="shared" si="379"/>
        <v>#N/A</v>
      </c>
      <c r="CB1251" s="236"/>
    </row>
    <row r="1252" spans="1:84" ht="61.5" x14ac:dyDescent="0.85">
      <c r="A1252" s="2">
        <v>1</v>
      </c>
      <c r="B1252" s="18">
        <f>SUBTOTAL(103,$A$1006:A1252)</f>
        <v>200</v>
      </c>
      <c r="C1252" s="3" t="s">
        <v>1897</v>
      </c>
      <c r="D1252" s="5">
        <v>5246630.67</v>
      </c>
      <c r="E1252" s="5">
        <f t="shared" si="342"/>
        <v>0</v>
      </c>
      <c r="F1252" s="5">
        <f t="shared" si="390"/>
        <v>5246630.67</v>
      </c>
      <c r="G1252" s="5">
        <v>0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241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1414.36</v>
      </c>
      <c r="T1252" s="5">
        <f>4221311+800000</f>
        <v>5021311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f>ROUND(T1252*1.5%,2)</f>
        <v>75319.67</v>
      </c>
      <c r="AF1252" s="5">
        <v>150000</v>
      </c>
      <c r="AG1252" s="5">
        <v>0</v>
      </c>
      <c r="AH1252" s="246">
        <v>2022</v>
      </c>
      <c r="AI1252" s="246">
        <v>2022</v>
      </c>
      <c r="AJ1252" s="6">
        <v>2022</v>
      </c>
      <c r="AV1252" s="2" t="e">
        <f t="shared" si="379"/>
        <v>#N/A</v>
      </c>
      <c r="CB1252" s="236"/>
      <c r="CF1252" s="2" t="e">
        <f>VLOOKUP(C1252,CG:CH,2,FALSE)</f>
        <v>#N/A</v>
      </c>
    </row>
    <row r="1253" spans="1:84" ht="61.5" x14ac:dyDescent="0.85">
      <c r="A1253" s="2">
        <v>1</v>
      </c>
      <c r="B1253" s="18">
        <f>SUBTOTAL(103,$A$1006:A1253)</f>
        <v>201</v>
      </c>
      <c r="C1253" s="290" t="s">
        <v>1898</v>
      </c>
      <c r="D1253" s="5">
        <v>6327960.5</v>
      </c>
      <c r="E1253" s="5">
        <f t="shared" si="342"/>
        <v>0</v>
      </c>
      <c r="F1253" s="5">
        <f t="shared" si="390"/>
        <v>6327960.5</v>
      </c>
      <c r="G1253" s="5">
        <v>0</v>
      </c>
      <c r="H1253" s="5">
        <v>0</v>
      </c>
      <c r="I1253" s="5">
        <v>0</v>
      </c>
      <c r="J1253" s="5">
        <v>0</v>
      </c>
      <c r="K1253" s="5">
        <v>0</v>
      </c>
      <c r="L1253" s="5">
        <v>0</v>
      </c>
      <c r="M1253" s="241">
        <v>0</v>
      </c>
      <c r="N1253" s="5">
        <v>0</v>
      </c>
      <c r="O1253" s="5">
        <v>995</v>
      </c>
      <c r="P1253" s="5">
        <f>4971124.14+1115536.45</f>
        <v>6086660.5899999999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f>ROUND(P1253*1.5%,2)</f>
        <v>91299.91</v>
      </c>
      <c r="AF1253" s="5">
        <v>150000</v>
      </c>
      <c r="AG1253" s="5">
        <v>0</v>
      </c>
      <c r="AH1253" s="246">
        <v>2022</v>
      </c>
      <c r="AI1253" s="246">
        <v>2022</v>
      </c>
      <c r="AJ1253" s="6">
        <v>2022</v>
      </c>
      <c r="AV1253" s="2" t="e">
        <f>VLOOKUP(C1253,AY$1253:AZ$1253,2,FALSE)</f>
        <v>#N/A</v>
      </c>
      <c r="CB1253" s="236"/>
    </row>
    <row r="1254" spans="1:84" ht="61.5" x14ac:dyDescent="0.85">
      <c r="B1254" s="3" t="s">
        <v>1392</v>
      </c>
      <c r="C1254" s="442"/>
      <c r="D1254" s="244">
        <v>9221698.8000000007</v>
      </c>
      <c r="E1254" s="233">
        <f t="shared" si="342"/>
        <v>0</v>
      </c>
      <c r="F1254" s="244">
        <f>F1255+F1256</f>
        <v>9221698.8000000007</v>
      </c>
      <c r="G1254" s="5">
        <f t="shared" ref="G1254:AG1254" si="391">G1255+G1256</f>
        <v>0</v>
      </c>
      <c r="H1254" s="5">
        <f t="shared" si="391"/>
        <v>0</v>
      </c>
      <c r="I1254" s="5">
        <f t="shared" si="391"/>
        <v>0</v>
      </c>
      <c r="J1254" s="5">
        <f t="shared" si="391"/>
        <v>0</v>
      </c>
      <c r="K1254" s="5">
        <f t="shared" si="391"/>
        <v>0</v>
      </c>
      <c r="L1254" s="5">
        <f t="shared" si="391"/>
        <v>0</v>
      </c>
      <c r="M1254" s="241">
        <f t="shared" si="391"/>
        <v>0</v>
      </c>
      <c r="N1254" s="5">
        <f t="shared" si="391"/>
        <v>0</v>
      </c>
      <c r="O1254" s="5">
        <f t="shared" si="391"/>
        <v>1766</v>
      </c>
      <c r="P1254" s="5">
        <f t="shared" si="391"/>
        <v>8789851.0299999993</v>
      </c>
      <c r="Q1254" s="5">
        <f t="shared" si="391"/>
        <v>0</v>
      </c>
      <c r="R1254" s="5">
        <f t="shared" si="391"/>
        <v>0</v>
      </c>
      <c r="S1254" s="5">
        <f t="shared" si="391"/>
        <v>0</v>
      </c>
      <c r="T1254" s="5">
        <f t="shared" si="391"/>
        <v>0</v>
      </c>
      <c r="U1254" s="5">
        <f t="shared" si="391"/>
        <v>0</v>
      </c>
      <c r="V1254" s="5">
        <f t="shared" si="391"/>
        <v>0</v>
      </c>
      <c r="W1254" s="5">
        <f t="shared" si="391"/>
        <v>0</v>
      </c>
      <c r="X1254" s="5">
        <f t="shared" si="391"/>
        <v>0</v>
      </c>
      <c r="Y1254" s="5">
        <f t="shared" si="391"/>
        <v>0</v>
      </c>
      <c r="Z1254" s="5">
        <f t="shared" si="391"/>
        <v>0</v>
      </c>
      <c r="AA1254" s="5">
        <f t="shared" si="391"/>
        <v>0</v>
      </c>
      <c r="AB1254" s="5">
        <f t="shared" si="391"/>
        <v>0</v>
      </c>
      <c r="AC1254" s="5">
        <f t="shared" si="391"/>
        <v>0</v>
      </c>
      <c r="AD1254" s="5">
        <f t="shared" si="391"/>
        <v>0</v>
      </c>
      <c r="AE1254" s="5">
        <f t="shared" si="391"/>
        <v>131847.76999999999</v>
      </c>
      <c r="AF1254" s="5">
        <f t="shared" si="391"/>
        <v>300000</v>
      </c>
      <c r="AG1254" s="5">
        <f t="shared" si="391"/>
        <v>0</v>
      </c>
      <c r="AH1254" s="449" t="s">
        <v>90</v>
      </c>
      <c r="AI1254" s="449" t="s">
        <v>90</v>
      </c>
      <c r="AJ1254" s="450" t="s">
        <v>90</v>
      </c>
      <c r="AV1254" s="2" t="e">
        <f t="shared" ref="AV1254:AV1279" si="392">VLOOKUP(C1254,AY:AZ,2,FALSE)</f>
        <v>#N/A</v>
      </c>
      <c r="CB1254" s="236">
        <v>9221698.8000000007</v>
      </c>
    </row>
    <row r="1255" spans="1:84" ht="61.5" x14ac:dyDescent="0.85">
      <c r="A1255" s="2">
        <v>1</v>
      </c>
      <c r="B1255" s="18">
        <f>SUBTOTAL(103,$A$1006:A1255)</f>
        <v>202</v>
      </c>
      <c r="C1255" s="290" t="s">
        <v>1899</v>
      </c>
      <c r="D1255" s="5">
        <v>4177440</v>
      </c>
      <c r="E1255" s="5">
        <f t="shared" ref="E1255:E1279" si="393">D1255-F1255</f>
        <v>0</v>
      </c>
      <c r="F1255" s="5">
        <f t="shared" ref="F1255:F1256" si="394">G1255+H1255+I1255+J1255+K1255+L1255+N1255+P1255+R1255+T1255+V1255+W1255+X1255+Y1255+Z1255+AA1255+AB1255+AC1255+AD1255+AE1255+AF1255+AG1255</f>
        <v>4177440</v>
      </c>
      <c r="G1255" s="5">
        <v>0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241">
        <v>0</v>
      </c>
      <c r="N1255" s="5">
        <v>0</v>
      </c>
      <c r="O1255" s="5">
        <v>800</v>
      </c>
      <c r="P1255" s="5">
        <v>3967921.18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f>ROUND(P1255*1.5%,2)</f>
        <v>59518.82</v>
      </c>
      <c r="AF1255" s="5">
        <v>150000</v>
      </c>
      <c r="AG1255" s="5">
        <v>0</v>
      </c>
      <c r="AH1255" s="246">
        <v>2022</v>
      </c>
      <c r="AI1255" s="246">
        <v>2022</v>
      </c>
      <c r="AJ1255" s="6">
        <v>2022</v>
      </c>
      <c r="AV1255" s="2" t="e">
        <f t="shared" si="392"/>
        <v>#N/A</v>
      </c>
      <c r="CB1255" s="236"/>
    </row>
    <row r="1256" spans="1:84" ht="61.5" x14ac:dyDescent="0.85">
      <c r="A1256" s="2">
        <v>1</v>
      </c>
      <c r="B1256" s="18">
        <f>SUBTOTAL(103,$A$1006:A1256)</f>
        <v>203</v>
      </c>
      <c r="C1256" s="290" t="s">
        <v>1900</v>
      </c>
      <c r="D1256" s="5">
        <v>5044258.8</v>
      </c>
      <c r="E1256" s="5">
        <f t="shared" si="393"/>
        <v>0</v>
      </c>
      <c r="F1256" s="5">
        <f t="shared" si="394"/>
        <v>5044258.8</v>
      </c>
      <c r="G1256" s="5">
        <v>0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241">
        <v>0</v>
      </c>
      <c r="N1256" s="5">
        <v>0</v>
      </c>
      <c r="O1256" s="5">
        <v>966</v>
      </c>
      <c r="P1256" s="5">
        <v>4821929.8499999996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f>ROUND(P1256*1.5%,2)</f>
        <v>72328.95</v>
      </c>
      <c r="AF1256" s="5">
        <v>150000</v>
      </c>
      <c r="AG1256" s="5">
        <v>0</v>
      </c>
      <c r="AH1256" s="246">
        <v>2022</v>
      </c>
      <c r="AI1256" s="246">
        <v>2022</v>
      </c>
      <c r="AJ1256" s="6">
        <v>2022</v>
      </c>
      <c r="AV1256" s="2" t="e">
        <f t="shared" si="392"/>
        <v>#N/A</v>
      </c>
      <c r="CB1256" s="236"/>
    </row>
    <row r="1257" spans="1:84" ht="61.5" x14ac:dyDescent="0.85">
      <c r="B1257" s="3" t="s">
        <v>1397</v>
      </c>
      <c r="C1257" s="3"/>
      <c r="D1257" s="244">
        <v>3623929.1999999997</v>
      </c>
      <c r="E1257" s="233">
        <f t="shared" si="393"/>
        <v>0</v>
      </c>
      <c r="F1257" s="244">
        <f>F1258</f>
        <v>3623929.1999999997</v>
      </c>
      <c r="G1257" s="5">
        <f t="shared" ref="G1257:AG1257" si="395">G1258</f>
        <v>0</v>
      </c>
      <c r="H1257" s="5">
        <f t="shared" si="395"/>
        <v>0</v>
      </c>
      <c r="I1257" s="5">
        <f t="shared" si="395"/>
        <v>0</v>
      </c>
      <c r="J1257" s="5">
        <f t="shared" si="395"/>
        <v>0</v>
      </c>
      <c r="K1257" s="5">
        <f t="shared" si="395"/>
        <v>0</v>
      </c>
      <c r="L1257" s="5">
        <f t="shared" si="395"/>
        <v>0</v>
      </c>
      <c r="M1257" s="241">
        <f t="shared" si="395"/>
        <v>0</v>
      </c>
      <c r="N1257" s="5">
        <f t="shared" si="395"/>
        <v>0</v>
      </c>
      <c r="O1257" s="5">
        <f t="shared" si="395"/>
        <v>694</v>
      </c>
      <c r="P1257" s="5">
        <f t="shared" si="395"/>
        <v>3422590.34</v>
      </c>
      <c r="Q1257" s="5">
        <f t="shared" si="395"/>
        <v>0</v>
      </c>
      <c r="R1257" s="5">
        <f t="shared" si="395"/>
        <v>0</v>
      </c>
      <c r="S1257" s="5">
        <f t="shared" si="395"/>
        <v>0</v>
      </c>
      <c r="T1257" s="5">
        <f t="shared" si="395"/>
        <v>0</v>
      </c>
      <c r="U1257" s="5">
        <f t="shared" si="395"/>
        <v>0</v>
      </c>
      <c r="V1257" s="5">
        <f t="shared" si="395"/>
        <v>0</v>
      </c>
      <c r="W1257" s="5">
        <f t="shared" si="395"/>
        <v>0</v>
      </c>
      <c r="X1257" s="5">
        <f t="shared" si="395"/>
        <v>0</v>
      </c>
      <c r="Y1257" s="5">
        <f t="shared" si="395"/>
        <v>0</v>
      </c>
      <c r="Z1257" s="5">
        <f t="shared" si="395"/>
        <v>0</v>
      </c>
      <c r="AA1257" s="5">
        <f t="shared" si="395"/>
        <v>0</v>
      </c>
      <c r="AB1257" s="5">
        <f t="shared" si="395"/>
        <v>0</v>
      </c>
      <c r="AC1257" s="5">
        <f t="shared" si="395"/>
        <v>0</v>
      </c>
      <c r="AD1257" s="5">
        <f t="shared" si="395"/>
        <v>0</v>
      </c>
      <c r="AE1257" s="5">
        <f t="shared" si="395"/>
        <v>51338.86</v>
      </c>
      <c r="AF1257" s="5">
        <f t="shared" si="395"/>
        <v>150000</v>
      </c>
      <c r="AG1257" s="5">
        <f t="shared" si="395"/>
        <v>0</v>
      </c>
      <c r="AH1257" s="449" t="s">
        <v>90</v>
      </c>
      <c r="AI1257" s="449" t="s">
        <v>90</v>
      </c>
      <c r="AJ1257" s="450" t="s">
        <v>90</v>
      </c>
      <c r="AV1257" s="2" t="e">
        <f t="shared" si="392"/>
        <v>#N/A</v>
      </c>
      <c r="CB1257" s="236">
        <v>3623929.1999999997</v>
      </c>
    </row>
    <row r="1258" spans="1:84" ht="61.5" x14ac:dyDescent="0.85">
      <c r="A1258" s="2">
        <v>1</v>
      </c>
      <c r="B1258" s="18">
        <f>SUBTOTAL(103,$A$1006:A1258)</f>
        <v>204</v>
      </c>
      <c r="C1258" s="290" t="s">
        <v>1901</v>
      </c>
      <c r="D1258" s="5">
        <v>3623929.1999999997</v>
      </c>
      <c r="E1258" s="5">
        <f t="shared" si="393"/>
        <v>0</v>
      </c>
      <c r="F1258" s="5">
        <f t="shared" ref="F1258" si="396">G1258+H1258+I1258+J1258+K1258+L1258+N1258+P1258+R1258+T1258+V1258+W1258+X1258+Y1258+Z1258+AA1258+AB1258+AC1258+AD1258+AE1258+AF1258+AG1258</f>
        <v>3623929.1999999997</v>
      </c>
      <c r="G1258" s="5">
        <v>0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241">
        <v>0</v>
      </c>
      <c r="N1258" s="5">
        <v>0</v>
      </c>
      <c r="O1258" s="5">
        <v>694</v>
      </c>
      <c r="P1258" s="5">
        <v>3422590.34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f>ROUND(P1258*1.5%,2)</f>
        <v>51338.86</v>
      </c>
      <c r="AF1258" s="5">
        <v>150000</v>
      </c>
      <c r="AG1258" s="5">
        <v>0</v>
      </c>
      <c r="AH1258" s="246">
        <v>2022</v>
      </c>
      <c r="AI1258" s="246">
        <v>2022</v>
      </c>
      <c r="AJ1258" s="6">
        <v>2022</v>
      </c>
      <c r="AV1258" s="2" t="e">
        <f t="shared" si="392"/>
        <v>#N/A</v>
      </c>
      <c r="CB1258" s="236"/>
    </row>
    <row r="1259" spans="1:84" ht="61.5" x14ac:dyDescent="0.85">
      <c r="B1259" s="3" t="s">
        <v>1398</v>
      </c>
      <c r="C1259" s="3"/>
      <c r="D1259" s="244">
        <v>3080862</v>
      </c>
      <c r="E1259" s="233">
        <f t="shared" si="393"/>
        <v>0</v>
      </c>
      <c r="F1259" s="244">
        <f>F1260</f>
        <v>3080862</v>
      </c>
      <c r="G1259" s="5">
        <f t="shared" ref="G1259:AG1259" si="397">G1260</f>
        <v>0</v>
      </c>
      <c r="H1259" s="5">
        <f t="shared" si="397"/>
        <v>0</v>
      </c>
      <c r="I1259" s="5">
        <f t="shared" si="397"/>
        <v>0</v>
      </c>
      <c r="J1259" s="5">
        <f t="shared" si="397"/>
        <v>0</v>
      </c>
      <c r="K1259" s="5">
        <f t="shared" si="397"/>
        <v>0</v>
      </c>
      <c r="L1259" s="5">
        <f t="shared" si="397"/>
        <v>0</v>
      </c>
      <c r="M1259" s="241">
        <f t="shared" si="397"/>
        <v>0</v>
      </c>
      <c r="N1259" s="5">
        <f t="shared" si="397"/>
        <v>0</v>
      </c>
      <c r="O1259" s="5">
        <f t="shared" si="397"/>
        <v>590</v>
      </c>
      <c r="P1259" s="5">
        <f t="shared" si="397"/>
        <v>2887548.77</v>
      </c>
      <c r="Q1259" s="5">
        <f t="shared" si="397"/>
        <v>0</v>
      </c>
      <c r="R1259" s="5">
        <f t="shared" si="397"/>
        <v>0</v>
      </c>
      <c r="S1259" s="5">
        <f t="shared" si="397"/>
        <v>0</v>
      </c>
      <c r="T1259" s="5">
        <f t="shared" si="397"/>
        <v>0</v>
      </c>
      <c r="U1259" s="5">
        <f t="shared" si="397"/>
        <v>0</v>
      </c>
      <c r="V1259" s="5">
        <f t="shared" si="397"/>
        <v>0</v>
      </c>
      <c r="W1259" s="5">
        <f t="shared" si="397"/>
        <v>0</v>
      </c>
      <c r="X1259" s="5">
        <f t="shared" si="397"/>
        <v>0</v>
      </c>
      <c r="Y1259" s="5">
        <f t="shared" si="397"/>
        <v>0</v>
      </c>
      <c r="Z1259" s="5">
        <f t="shared" si="397"/>
        <v>0</v>
      </c>
      <c r="AA1259" s="5">
        <f t="shared" si="397"/>
        <v>0</v>
      </c>
      <c r="AB1259" s="5">
        <f t="shared" si="397"/>
        <v>0</v>
      </c>
      <c r="AC1259" s="5">
        <f t="shared" si="397"/>
        <v>0</v>
      </c>
      <c r="AD1259" s="5">
        <f t="shared" si="397"/>
        <v>0</v>
      </c>
      <c r="AE1259" s="5">
        <f t="shared" si="397"/>
        <v>43313.23</v>
      </c>
      <c r="AF1259" s="5">
        <f t="shared" si="397"/>
        <v>150000</v>
      </c>
      <c r="AG1259" s="5">
        <f t="shared" si="397"/>
        <v>0</v>
      </c>
      <c r="AH1259" s="449" t="s">
        <v>90</v>
      </c>
      <c r="AI1259" s="449" t="s">
        <v>90</v>
      </c>
      <c r="AJ1259" s="450" t="s">
        <v>90</v>
      </c>
      <c r="AV1259" s="2" t="e">
        <f t="shared" si="392"/>
        <v>#N/A</v>
      </c>
      <c r="CB1259" s="236">
        <v>3080862</v>
      </c>
    </row>
    <row r="1260" spans="1:84" ht="61.5" x14ac:dyDescent="0.85">
      <c r="A1260" s="2">
        <v>1</v>
      </c>
      <c r="B1260" s="18">
        <f>SUBTOTAL(103,$A$1006:A1260)</f>
        <v>205</v>
      </c>
      <c r="C1260" s="290" t="s">
        <v>1902</v>
      </c>
      <c r="D1260" s="5">
        <v>3080862</v>
      </c>
      <c r="E1260" s="5">
        <f t="shared" si="393"/>
        <v>0</v>
      </c>
      <c r="F1260" s="5">
        <f t="shared" ref="F1260" si="398">G1260+H1260+I1260+J1260+K1260+L1260+N1260+P1260+R1260+T1260+V1260+W1260+X1260+Y1260+Z1260+AA1260+AB1260+AC1260+AD1260+AE1260+AF1260+AG1260</f>
        <v>3080862</v>
      </c>
      <c r="G1260" s="5">
        <v>0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241">
        <v>0</v>
      </c>
      <c r="N1260" s="5">
        <v>0</v>
      </c>
      <c r="O1260" s="5">
        <v>590</v>
      </c>
      <c r="P1260" s="5">
        <v>2887548.77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f>ROUND(P1260*1.5%,2)</f>
        <v>43313.23</v>
      </c>
      <c r="AF1260" s="5">
        <v>150000</v>
      </c>
      <c r="AG1260" s="5">
        <v>0</v>
      </c>
      <c r="AH1260" s="246">
        <v>2022</v>
      </c>
      <c r="AI1260" s="246">
        <v>2022</v>
      </c>
      <c r="AJ1260" s="6">
        <v>2022</v>
      </c>
      <c r="AV1260" s="2" t="e">
        <f t="shared" si="392"/>
        <v>#N/A</v>
      </c>
      <c r="CB1260" s="236"/>
    </row>
    <row r="1261" spans="1:84" ht="61.5" x14ac:dyDescent="0.85">
      <c r="B1261" s="3" t="s">
        <v>118</v>
      </c>
      <c r="C1261" s="3"/>
      <c r="D1261" s="244">
        <v>2610892.59</v>
      </c>
      <c r="E1261" s="233">
        <f t="shared" si="393"/>
        <v>0</v>
      </c>
      <c r="F1261" s="244">
        <f>F1262+F1263</f>
        <v>2610892.59</v>
      </c>
      <c r="G1261" s="5">
        <f t="shared" ref="G1261:AG1261" si="399">G1262+G1263</f>
        <v>0</v>
      </c>
      <c r="H1261" s="5">
        <f t="shared" si="399"/>
        <v>0</v>
      </c>
      <c r="I1261" s="5">
        <f t="shared" si="399"/>
        <v>0</v>
      </c>
      <c r="J1261" s="5">
        <f t="shared" si="399"/>
        <v>0</v>
      </c>
      <c r="K1261" s="5">
        <f t="shared" si="399"/>
        <v>0</v>
      </c>
      <c r="L1261" s="5">
        <f t="shared" si="399"/>
        <v>0</v>
      </c>
      <c r="M1261" s="241">
        <f t="shared" si="399"/>
        <v>0</v>
      </c>
      <c r="N1261" s="5">
        <f t="shared" si="399"/>
        <v>0</v>
      </c>
      <c r="O1261" s="5">
        <f t="shared" si="399"/>
        <v>500</v>
      </c>
      <c r="P1261" s="5">
        <f t="shared" si="399"/>
        <v>2335854.77</v>
      </c>
      <c r="Q1261" s="5">
        <f t="shared" si="399"/>
        <v>0</v>
      </c>
      <c r="R1261" s="5">
        <f t="shared" si="399"/>
        <v>0</v>
      </c>
      <c r="S1261" s="5">
        <f t="shared" si="399"/>
        <v>0</v>
      </c>
      <c r="T1261" s="5">
        <f t="shared" si="399"/>
        <v>0</v>
      </c>
      <c r="U1261" s="5">
        <f t="shared" si="399"/>
        <v>0</v>
      </c>
      <c r="V1261" s="5">
        <f t="shared" si="399"/>
        <v>0</v>
      </c>
      <c r="W1261" s="5">
        <f t="shared" si="399"/>
        <v>0</v>
      </c>
      <c r="X1261" s="5">
        <f t="shared" si="399"/>
        <v>0</v>
      </c>
      <c r="Y1261" s="5">
        <f t="shared" si="399"/>
        <v>0</v>
      </c>
      <c r="Z1261" s="5">
        <f t="shared" si="399"/>
        <v>0</v>
      </c>
      <c r="AA1261" s="5">
        <f t="shared" si="399"/>
        <v>0</v>
      </c>
      <c r="AB1261" s="5">
        <f t="shared" si="399"/>
        <v>0</v>
      </c>
      <c r="AC1261" s="5">
        <f t="shared" si="399"/>
        <v>0</v>
      </c>
      <c r="AD1261" s="5">
        <f t="shared" si="399"/>
        <v>0</v>
      </c>
      <c r="AE1261" s="5">
        <f t="shared" si="399"/>
        <v>35037.82</v>
      </c>
      <c r="AF1261" s="5">
        <f t="shared" si="399"/>
        <v>240000</v>
      </c>
      <c r="AG1261" s="5">
        <f t="shared" si="399"/>
        <v>0</v>
      </c>
      <c r="AH1261" s="449" t="s">
        <v>90</v>
      </c>
      <c r="AI1261" s="449" t="s">
        <v>90</v>
      </c>
      <c r="AJ1261" s="450" t="s">
        <v>90</v>
      </c>
      <c r="AV1261" s="2" t="e">
        <f t="shared" si="392"/>
        <v>#N/A</v>
      </c>
      <c r="CB1261" s="236">
        <v>2610892.59</v>
      </c>
    </row>
    <row r="1262" spans="1:84" ht="61.5" x14ac:dyDescent="0.85">
      <c r="A1262" s="2">
        <v>1</v>
      </c>
      <c r="B1262" s="18">
        <f>SUBTOTAL(103,$A$1006:A1262)</f>
        <v>206</v>
      </c>
      <c r="C1262" s="290" t="s">
        <v>1903</v>
      </c>
      <c r="D1262" s="5">
        <v>1321115.3999999999</v>
      </c>
      <c r="E1262" s="5">
        <f t="shared" si="393"/>
        <v>0</v>
      </c>
      <c r="F1262" s="5">
        <f t="shared" ref="F1262:F1263" si="400">G1262+H1262+I1262+J1262+K1262+L1262+N1262+P1262+R1262+T1262+V1262+W1262+X1262+Y1262+Z1262+AA1262+AB1262+AC1262+AD1262+AE1262+AF1262+AG1262</f>
        <v>1321115.3999999999</v>
      </c>
      <c r="G1262" s="5">
        <v>0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241">
        <v>0</v>
      </c>
      <c r="N1262" s="5">
        <v>0</v>
      </c>
      <c r="O1262" s="5">
        <v>253</v>
      </c>
      <c r="P1262" s="5">
        <v>1183364.93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f>ROUND(P1262*1.5%,2)</f>
        <v>17750.47</v>
      </c>
      <c r="AF1262" s="5">
        <v>120000</v>
      </c>
      <c r="AG1262" s="5">
        <v>0</v>
      </c>
      <c r="AH1262" s="246">
        <v>2022</v>
      </c>
      <c r="AI1262" s="246">
        <v>2022</v>
      </c>
      <c r="AJ1262" s="6">
        <v>2022</v>
      </c>
      <c r="AV1262" s="2" t="e">
        <f t="shared" si="392"/>
        <v>#N/A</v>
      </c>
      <c r="CB1262" s="236"/>
    </row>
    <row r="1263" spans="1:84" ht="61.5" x14ac:dyDescent="0.85">
      <c r="A1263" s="2">
        <v>1</v>
      </c>
      <c r="B1263" s="18">
        <f>SUBTOTAL(103,$A$1006:A1263)</f>
        <v>207</v>
      </c>
      <c r="C1263" s="290" t="s">
        <v>1904</v>
      </c>
      <c r="D1263" s="5">
        <v>1289777.1900000002</v>
      </c>
      <c r="E1263" s="5">
        <f t="shared" si="393"/>
        <v>0</v>
      </c>
      <c r="F1263" s="5">
        <f t="shared" si="400"/>
        <v>1289777.1900000002</v>
      </c>
      <c r="G1263" s="5">
        <v>0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241">
        <v>0</v>
      </c>
      <c r="N1263" s="5">
        <v>0</v>
      </c>
      <c r="O1263" s="5">
        <v>247</v>
      </c>
      <c r="P1263" s="5">
        <v>1152489.8400000001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f>ROUND(P1263*1.5%,2)</f>
        <v>17287.349999999999</v>
      </c>
      <c r="AF1263" s="5">
        <v>120000</v>
      </c>
      <c r="AG1263" s="5">
        <v>0</v>
      </c>
      <c r="AH1263" s="246">
        <v>2022</v>
      </c>
      <c r="AI1263" s="246">
        <v>2022</v>
      </c>
      <c r="AJ1263" s="6">
        <v>2022</v>
      </c>
      <c r="AV1263" s="2" t="e">
        <f t="shared" si="392"/>
        <v>#N/A</v>
      </c>
      <c r="CB1263" s="236"/>
    </row>
    <row r="1264" spans="1:84" ht="61.5" x14ac:dyDescent="0.85">
      <c r="B1264" s="3" t="s">
        <v>120</v>
      </c>
      <c r="C1264" s="442"/>
      <c r="D1264" s="244">
        <v>6332416.4000000004</v>
      </c>
      <c r="E1264" s="233">
        <f t="shared" si="393"/>
        <v>0</v>
      </c>
      <c r="F1264" s="244">
        <f>F1265+F1266+F1267</f>
        <v>6332416.4000000004</v>
      </c>
      <c r="G1264" s="5">
        <f t="shared" ref="G1264:AG1264" si="401">G1265+G1266+G1267</f>
        <v>0</v>
      </c>
      <c r="H1264" s="5">
        <f t="shared" si="401"/>
        <v>0</v>
      </c>
      <c r="I1264" s="5">
        <f t="shared" si="401"/>
        <v>0</v>
      </c>
      <c r="J1264" s="5">
        <f t="shared" si="401"/>
        <v>0</v>
      </c>
      <c r="K1264" s="5">
        <f t="shared" si="401"/>
        <v>0</v>
      </c>
      <c r="L1264" s="5">
        <f t="shared" si="401"/>
        <v>0</v>
      </c>
      <c r="M1264" s="241">
        <f t="shared" si="401"/>
        <v>0</v>
      </c>
      <c r="N1264" s="5">
        <f t="shared" si="401"/>
        <v>0</v>
      </c>
      <c r="O1264" s="5">
        <f t="shared" si="401"/>
        <v>696</v>
      </c>
      <c r="P1264" s="5">
        <f t="shared" si="401"/>
        <v>3349359.61</v>
      </c>
      <c r="Q1264" s="5">
        <f t="shared" si="401"/>
        <v>0</v>
      </c>
      <c r="R1264" s="5">
        <f t="shared" si="401"/>
        <v>0</v>
      </c>
      <c r="S1264" s="5">
        <f t="shared" si="401"/>
        <v>910</v>
      </c>
      <c r="T1264" s="5">
        <f t="shared" si="401"/>
        <v>2485533.4</v>
      </c>
      <c r="U1264" s="5">
        <f t="shared" si="401"/>
        <v>0</v>
      </c>
      <c r="V1264" s="5">
        <f t="shared" si="401"/>
        <v>0</v>
      </c>
      <c r="W1264" s="5">
        <f t="shared" si="401"/>
        <v>0</v>
      </c>
      <c r="X1264" s="5">
        <f t="shared" si="401"/>
        <v>0</v>
      </c>
      <c r="Y1264" s="5">
        <f t="shared" si="401"/>
        <v>0</v>
      </c>
      <c r="Z1264" s="5">
        <f t="shared" si="401"/>
        <v>0</v>
      </c>
      <c r="AA1264" s="5">
        <f t="shared" si="401"/>
        <v>0</v>
      </c>
      <c r="AB1264" s="5">
        <f t="shared" si="401"/>
        <v>0</v>
      </c>
      <c r="AC1264" s="5">
        <f t="shared" si="401"/>
        <v>0</v>
      </c>
      <c r="AD1264" s="5">
        <f t="shared" si="401"/>
        <v>0</v>
      </c>
      <c r="AE1264" s="5">
        <f t="shared" si="401"/>
        <v>87523.39</v>
      </c>
      <c r="AF1264" s="5">
        <f t="shared" si="401"/>
        <v>410000</v>
      </c>
      <c r="AG1264" s="5">
        <f t="shared" si="401"/>
        <v>0</v>
      </c>
      <c r="AH1264" s="449" t="s">
        <v>90</v>
      </c>
      <c r="AI1264" s="449" t="s">
        <v>90</v>
      </c>
      <c r="AJ1264" s="450" t="s">
        <v>90</v>
      </c>
      <c r="AV1264" s="2" t="e">
        <f t="shared" si="392"/>
        <v>#N/A</v>
      </c>
      <c r="CB1264" s="236">
        <v>6332416.4000000004</v>
      </c>
    </row>
    <row r="1265" spans="1:262" ht="61.5" x14ac:dyDescent="0.85">
      <c r="A1265" s="2">
        <v>1</v>
      </c>
      <c r="B1265" s="18">
        <f>SUBTOTAL(103,$A$1006:A1265)</f>
        <v>208</v>
      </c>
      <c r="C1265" s="290" t="s">
        <v>1905</v>
      </c>
      <c r="D1265" s="5">
        <v>3549600</v>
      </c>
      <c r="E1265" s="5">
        <f t="shared" si="393"/>
        <v>0</v>
      </c>
      <c r="F1265" s="5">
        <f t="shared" ref="F1265:F1267" si="402">G1265+H1265+I1265+J1265+K1265+L1265+N1265+P1265+R1265+T1265+V1265+W1265+X1265+Y1265+Z1265+AA1265+AB1265+AC1265+AD1265+AE1265+AF1265+AG1265</f>
        <v>3549600</v>
      </c>
      <c r="G1265" s="5">
        <v>0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241">
        <v>0</v>
      </c>
      <c r="N1265" s="5">
        <v>0</v>
      </c>
      <c r="O1265" s="5">
        <v>696</v>
      </c>
      <c r="P1265" s="5">
        <v>3349359.61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f>ROUND(P1265*1.5%,2)</f>
        <v>50240.39</v>
      </c>
      <c r="AF1265" s="5">
        <v>150000</v>
      </c>
      <c r="AG1265" s="5">
        <v>0</v>
      </c>
      <c r="AH1265" s="246">
        <v>2022</v>
      </c>
      <c r="AI1265" s="246">
        <v>2022</v>
      </c>
      <c r="AJ1265" s="6">
        <v>2022</v>
      </c>
      <c r="AV1265" s="2" t="e">
        <f t="shared" si="392"/>
        <v>#N/A</v>
      </c>
      <c r="CB1265" s="236"/>
    </row>
    <row r="1266" spans="1:262" ht="61.5" x14ac:dyDescent="0.85">
      <c r="A1266" s="2">
        <v>1</v>
      </c>
      <c r="B1266" s="18">
        <f>SUBTOTAL(103,$A$1006:A1266)</f>
        <v>209</v>
      </c>
      <c r="C1266" s="290" t="s">
        <v>1906</v>
      </c>
      <c r="D1266" s="5">
        <v>1391408.2</v>
      </c>
      <c r="E1266" s="5">
        <f t="shared" si="393"/>
        <v>0</v>
      </c>
      <c r="F1266" s="5">
        <f t="shared" si="402"/>
        <v>1391408.2</v>
      </c>
      <c r="G1266" s="5">
        <v>0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241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455</v>
      </c>
      <c r="T1266" s="5">
        <v>1242766.7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f>ROUND(T1266*1.5%,2)</f>
        <v>18641.5</v>
      </c>
      <c r="AF1266" s="5">
        <v>130000</v>
      </c>
      <c r="AG1266" s="5">
        <v>0</v>
      </c>
      <c r="AH1266" s="246">
        <v>2022</v>
      </c>
      <c r="AI1266" s="246">
        <v>2022</v>
      </c>
      <c r="AJ1266" s="6">
        <v>2022</v>
      </c>
      <c r="AV1266" s="2" t="e">
        <f t="shared" si="392"/>
        <v>#N/A</v>
      </c>
      <c r="CB1266" s="236"/>
    </row>
    <row r="1267" spans="1:262" ht="61.5" x14ac:dyDescent="0.85">
      <c r="A1267" s="2">
        <v>1</v>
      </c>
      <c r="B1267" s="18">
        <f>SUBTOTAL(103,$A$1006:A1267)</f>
        <v>210</v>
      </c>
      <c r="C1267" s="290" t="s">
        <v>1907</v>
      </c>
      <c r="D1267" s="5">
        <v>1391408.2</v>
      </c>
      <c r="E1267" s="5">
        <f t="shared" si="393"/>
        <v>0</v>
      </c>
      <c r="F1267" s="5">
        <f t="shared" si="402"/>
        <v>1391408.2</v>
      </c>
      <c r="G1267" s="5">
        <v>0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241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455</v>
      </c>
      <c r="T1267" s="5">
        <v>1242766.7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f>ROUND(T1267*1.5%,2)</f>
        <v>18641.5</v>
      </c>
      <c r="AF1267" s="5">
        <v>130000</v>
      </c>
      <c r="AG1267" s="5">
        <v>0</v>
      </c>
      <c r="AH1267" s="246">
        <v>2022</v>
      </c>
      <c r="AI1267" s="246">
        <v>2022</v>
      </c>
      <c r="AJ1267" s="6">
        <v>2022</v>
      </c>
      <c r="AV1267" s="2" t="e">
        <f t="shared" si="392"/>
        <v>#N/A</v>
      </c>
      <c r="CB1267" s="236"/>
    </row>
    <row r="1268" spans="1:262" ht="61.5" x14ac:dyDescent="0.85">
      <c r="B1268" s="3" t="s">
        <v>121</v>
      </c>
      <c r="C1268" s="3"/>
      <c r="D1268" s="244">
        <v>4686244.08</v>
      </c>
      <c r="E1268" s="233">
        <f t="shared" si="393"/>
        <v>-898415.66000000015</v>
      </c>
      <c r="F1268" s="244">
        <f>F1269</f>
        <v>5584659.7400000002</v>
      </c>
      <c r="G1268" s="5">
        <f t="shared" ref="G1268:AG1268" si="403">G1269</f>
        <v>0</v>
      </c>
      <c r="H1268" s="5">
        <f t="shared" si="403"/>
        <v>0</v>
      </c>
      <c r="I1268" s="5">
        <f t="shared" si="403"/>
        <v>0</v>
      </c>
      <c r="J1268" s="5">
        <f t="shared" si="403"/>
        <v>0</v>
      </c>
      <c r="K1268" s="5">
        <f t="shared" si="403"/>
        <v>0</v>
      </c>
      <c r="L1268" s="5">
        <f t="shared" si="403"/>
        <v>0</v>
      </c>
      <c r="M1268" s="241">
        <f t="shared" si="403"/>
        <v>0</v>
      </c>
      <c r="N1268" s="5">
        <f t="shared" si="403"/>
        <v>0</v>
      </c>
      <c r="O1268" s="5">
        <f t="shared" si="403"/>
        <v>720</v>
      </c>
      <c r="P1268" s="5">
        <f t="shared" si="403"/>
        <v>5374049</v>
      </c>
      <c r="Q1268" s="5">
        <f t="shared" si="403"/>
        <v>0</v>
      </c>
      <c r="R1268" s="5">
        <f t="shared" si="403"/>
        <v>0</v>
      </c>
      <c r="S1268" s="5">
        <f t="shared" si="403"/>
        <v>0</v>
      </c>
      <c r="T1268" s="5">
        <f t="shared" si="403"/>
        <v>0</v>
      </c>
      <c r="U1268" s="5">
        <f t="shared" si="403"/>
        <v>0</v>
      </c>
      <c r="V1268" s="5">
        <f t="shared" si="403"/>
        <v>0</v>
      </c>
      <c r="W1268" s="5">
        <f t="shared" si="403"/>
        <v>0</v>
      </c>
      <c r="X1268" s="5">
        <f t="shared" si="403"/>
        <v>0</v>
      </c>
      <c r="Y1268" s="5">
        <f t="shared" si="403"/>
        <v>0</v>
      </c>
      <c r="Z1268" s="5">
        <f t="shared" si="403"/>
        <v>0</v>
      </c>
      <c r="AA1268" s="5">
        <f t="shared" si="403"/>
        <v>0</v>
      </c>
      <c r="AB1268" s="5">
        <f t="shared" si="403"/>
        <v>0</v>
      </c>
      <c r="AC1268" s="5">
        <f t="shared" si="403"/>
        <v>0</v>
      </c>
      <c r="AD1268" s="5">
        <f t="shared" si="403"/>
        <v>0</v>
      </c>
      <c r="AE1268" s="5">
        <f t="shared" si="403"/>
        <v>80610.740000000005</v>
      </c>
      <c r="AF1268" s="5">
        <f t="shared" si="403"/>
        <v>130000</v>
      </c>
      <c r="AG1268" s="5">
        <f t="shared" si="403"/>
        <v>0</v>
      </c>
      <c r="AH1268" s="449" t="s">
        <v>90</v>
      </c>
      <c r="AI1268" s="449" t="s">
        <v>90</v>
      </c>
      <c r="AJ1268" s="450" t="s">
        <v>90</v>
      </c>
      <c r="AV1268" s="2" t="e">
        <f t="shared" si="392"/>
        <v>#N/A</v>
      </c>
      <c r="CB1268" s="236">
        <v>4686244.08</v>
      </c>
    </row>
    <row r="1269" spans="1:262" ht="61.5" x14ac:dyDescent="0.85">
      <c r="A1269" s="2">
        <v>1</v>
      </c>
      <c r="B1269" s="18">
        <f>SUBTOTAL(103,$A$1006:A1269)</f>
        <v>211</v>
      </c>
      <c r="C1269" s="290" t="s">
        <v>1908</v>
      </c>
      <c r="D1269" s="5">
        <v>4686244.08</v>
      </c>
      <c r="E1269" s="5">
        <f t="shared" si="393"/>
        <v>-898415.66000000015</v>
      </c>
      <c r="F1269" s="5">
        <f t="shared" ref="F1269" si="404">G1269+H1269+I1269+J1269+K1269+L1269+N1269+P1269+R1269+T1269+V1269+W1269+X1269+Y1269+Z1269+AA1269+AB1269+AC1269+AD1269+AE1269+AF1269+AG1269</f>
        <v>5584659.7400000002</v>
      </c>
      <c r="G1269" s="5">
        <v>0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241">
        <v>0</v>
      </c>
      <c r="N1269" s="5">
        <v>0</v>
      </c>
      <c r="O1269" s="5">
        <v>720</v>
      </c>
      <c r="P1269" s="5">
        <f>2853393.18+1635517.24+885138.58</f>
        <v>5374049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f>ROUND(P1269*1.5%,2)</f>
        <v>80610.740000000005</v>
      </c>
      <c r="AF1269" s="5">
        <v>130000</v>
      </c>
      <c r="AG1269" s="5">
        <v>0</v>
      </c>
      <c r="AH1269" s="246">
        <v>2022</v>
      </c>
      <c r="AI1269" s="246">
        <v>2022</v>
      </c>
      <c r="AJ1269" s="6">
        <v>2022</v>
      </c>
      <c r="AV1269" s="2" t="e">
        <f t="shared" si="392"/>
        <v>#N/A</v>
      </c>
      <c r="CB1269" s="236"/>
    </row>
    <row r="1270" spans="1:262" ht="61.5" x14ac:dyDescent="0.85">
      <c r="B1270" s="3" t="s">
        <v>1411</v>
      </c>
      <c r="C1270" s="3"/>
      <c r="D1270" s="244">
        <v>3600600</v>
      </c>
      <c r="E1270" s="233">
        <f t="shared" si="393"/>
        <v>0</v>
      </c>
      <c r="F1270" s="244">
        <f>F1271</f>
        <v>3600600</v>
      </c>
      <c r="G1270" s="5">
        <f t="shared" ref="G1270:AG1270" si="405">G1271</f>
        <v>0</v>
      </c>
      <c r="H1270" s="5">
        <f t="shared" si="405"/>
        <v>0</v>
      </c>
      <c r="I1270" s="5">
        <f t="shared" si="405"/>
        <v>0</v>
      </c>
      <c r="J1270" s="5">
        <f t="shared" si="405"/>
        <v>0</v>
      </c>
      <c r="K1270" s="5">
        <f t="shared" si="405"/>
        <v>0</v>
      </c>
      <c r="L1270" s="5">
        <f t="shared" si="405"/>
        <v>0</v>
      </c>
      <c r="M1270" s="241">
        <f t="shared" si="405"/>
        <v>0</v>
      </c>
      <c r="N1270" s="5">
        <f t="shared" si="405"/>
        <v>0</v>
      </c>
      <c r="O1270" s="5">
        <f t="shared" si="405"/>
        <v>0</v>
      </c>
      <c r="P1270" s="5">
        <f t="shared" si="405"/>
        <v>0</v>
      </c>
      <c r="Q1270" s="5">
        <f t="shared" si="405"/>
        <v>0</v>
      </c>
      <c r="R1270" s="5">
        <f t="shared" si="405"/>
        <v>0</v>
      </c>
      <c r="S1270" s="5">
        <f t="shared" si="405"/>
        <v>333.4</v>
      </c>
      <c r="T1270" s="5">
        <f t="shared" si="405"/>
        <v>3399605.91</v>
      </c>
      <c r="U1270" s="5">
        <f t="shared" si="405"/>
        <v>0</v>
      </c>
      <c r="V1270" s="5">
        <f t="shared" si="405"/>
        <v>0</v>
      </c>
      <c r="W1270" s="5">
        <f t="shared" si="405"/>
        <v>0</v>
      </c>
      <c r="X1270" s="5">
        <f t="shared" si="405"/>
        <v>0</v>
      </c>
      <c r="Y1270" s="5">
        <f t="shared" si="405"/>
        <v>0</v>
      </c>
      <c r="Z1270" s="5">
        <f t="shared" si="405"/>
        <v>0</v>
      </c>
      <c r="AA1270" s="5">
        <f t="shared" si="405"/>
        <v>0</v>
      </c>
      <c r="AB1270" s="5">
        <f t="shared" si="405"/>
        <v>0</v>
      </c>
      <c r="AC1270" s="5">
        <f t="shared" si="405"/>
        <v>0</v>
      </c>
      <c r="AD1270" s="5">
        <f t="shared" si="405"/>
        <v>0</v>
      </c>
      <c r="AE1270" s="5">
        <f t="shared" si="405"/>
        <v>50994.09</v>
      </c>
      <c r="AF1270" s="5">
        <f t="shared" si="405"/>
        <v>150000</v>
      </c>
      <c r="AG1270" s="5">
        <f t="shared" si="405"/>
        <v>0</v>
      </c>
      <c r="AH1270" s="449" t="s">
        <v>90</v>
      </c>
      <c r="AI1270" s="449" t="s">
        <v>90</v>
      </c>
      <c r="AJ1270" s="450" t="s">
        <v>90</v>
      </c>
      <c r="AV1270" s="2" t="e">
        <f t="shared" si="392"/>
        <v>#N/A</v>
      </c>
      <c r="CB1270" s="236">
        <v>3600600</v>
      </c>
    </row>
    <row r="1271" spans="1:262" ht="61.5" x14ac:dyDescent="0.85">
      <c r="A1271" s="2">
        <v>1</v>
      </c>
      <c r="B1271" s="18">
        <f>SUBTOTAL(103,$A$1006:A1271)</f>
        <v>212</v>
      </c>
      <c r="C1271" s="290" t="s">
        <v>1694</v>
      </c>
      <c r="D1271" s="5">
        <v>3600600</v>
      </c>
      <c r="E1271" s="5">
        <f t="shared" si="393"/>
        <v>0</v>
      </c>
      <c r="F1271" s="5">
        <f t="shared" ref="F1271" si="406">G1271+H1271+I1271+J1271+K1271+L1271+N1271+P1271+R1271+T1271+V1271+W1271+X1271+Y1271+Z1271+AA1271+AB1271+AC1271+AD1271+AE1271+AF1271+AG1271</f>
        <v>3600600</v>
      </c>
      <c r="G1271" s="5">
        <v>0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241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333.4</v>
      </c>
      <c r="T1271" s="5">
        <f>1668008.87+1731597.04</f>
        <v>3399605.91</v>
      </c>
      <c r="U1271" s="5">
        <v>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f>ROUND((P1271+T1271)*1.5%,2)</f>
        <v>50994.09</v>
      </c>
      <c r="AF1271" s="5">
        <v>150000</v>
      </c>
      <c r="AG1271" s="5">
        <v>0</v>
      </c>
      <c r="AH1271" s="246">
        <v>2022</v>
      </c>
      <c r="AI1271" s="246">
        <v>2022</v>
      </c>
      <c r="AJ1271" s="6">
        <v>2022</v>
      </c>
      <c r="AV1271" s="2" t="e">
        <f t="shared" si="392"/>
        <v>#N/A</v>
      </c>
      <c r="CB1271" s="236"/>
    </row>
    <row r="1272" spans="1:262" ht="61.5" x14ac:dyDescent="0.85">
      <c r="B1272" s="3" t="s">
        <v>126</v>
      </c>
      <c r="C1272" s="3"/>
      <c r="D1272" s="244">
        <v>2233993.96</v>
      </c>
      <c r="E1272" s="233">
        <f t="shared" si="393"/>
        <v>0</v>
      </c>
      <c r="F1272" s="244">
        <f>F1273</f>
        <v>2233993.96</v>
      </c>
      <c r="G1272" s="5">
        <f t="shared" ref="G1272:AG1272" si="407">G1273</f>
        <v>0</v>
      </c>
      <c r="H1272" s="5">
        <f t="shared" si="407"/>
        <v>0</v>
      </c>
      <c r="I1272" s="5">
        <f t="shared" si="407"/>
        <v>0</v>
      </c>
      <c r="J1272" s="5">
        <f t="shared" si="407"/>
        <v>0</v>
      </c>
      <c r="K1272" s="5">
        <f t="shared" si="407"/>
        <v>0</v>
      </c>
      <c r="L1272" s="5">
        <f t="shared" si="407"/>
        <v>0</v>
      </c>
      <c r="M1272" s="241">
        <f t="shared" si="407"/>
        <v>0</v>
      </c>
      <c r="N1272" s="5">
        <f t="shared" si="407"/>
        <v>0</v>
      </c>
      <c r="O1272" s="5">
        <f t="shared" si="407"/>
        <v>376</v>
      </c>
      <c r="P1272" s="5">
        <f t="shared" si="407"/>
        <v>2082752.67</v>
      </c>
      <c r="Q1272" s="5">
        <f t="shared" si="407"/>
        <v>0</v>
      </c>
      <c r="R1272" s="5">
        <f t="shared" si="407"/>
        <v>0</v>
      </c>
      <c r="S1272" s="5">
        <f t="shared" si="407"/>
        <v>0</v>
      </c>
      <c r="T1272" s="5">
        <f t="shared" si="407"/>
        <v>0</v>
      </c>
      <c r="U1272" s="5">
        <f t="shared" si="407"/>
        <v>0</v>
      </c>
      <c r="V1272" s="5">
        <f t="shared" si="407"/>
        <v>0</v>
      </c>
      <c r="W1272" s="5">
        <f t="shared" si="407"/>
        <v>0</v>
      </c>
      <c r="X1272" s="5">
        <f t="shared" si="407"/>
        <v>0</v>
      </c>
      <c r="Y1272" s="5">
        <f t="shared" si="407"/>
        <v>0</v>
      </c>
      <c r="Z1272" s="5">
        <f t="shared" si="407"/>
        <v>0</v>
      </c>
      <c r="AA1272" s="5">
        <f t="shared" si="407"/>
        <v>0</v>
      </c>
      <c r="AB1272" s="5">
        <f t="shared" si="407"/>
        <v>0</v>
      </c>
      <c r="AC1272" s="5">
        <f t="shared" si="407"/>
        <v>0</v>
      </c>
      <c r="AD1272" s="5">
        <f t="shared" si="407"/>
        <v>0</v>
      </c>
      <c r="AE1272" s="5">
        <f t="shared" si="407"/>
        <v>31241.29</v>
      </c>
      <c r="AF1272" s="5">
        <f t="shared" si="407"/>
        <v>120000</v>
      </c>
      <c r="AG1272" s="5">
        <f t="shared" si="407"/>
        <v>0</v>
      </c>
      <c r="AH1272" s="449" t="s">
        <v>90</v>
      </c>
      <c r="AI1272" s="449" t="s">
        <v>90</v>
      </c>
      <c r="AJ1272" s="450" t="s">
        <v>90</v>
      </c>
      <c r="AV1272" s="2" t="e">
        <f t="shared" si="392"/>
        <v>#N/A</v>
      </c>
      <c r="CB1272" s="236">
        <v>2233993.96</v>
      </c>
    </row>
    <row r="1273" spans="1:262" ht="61.5" x14ac:dyDescent="0.85">
      <c r="A1273" s="2">
        <v>1</v>
      </c>
      <c r="B1273" s="18">
        <f>SUBTOTAL(103,$A$1006:A1273)</f>
        <v>213</v>
      </c>
      <c r="C1273" s="290" t="s">
        <v>1909</v>
      </c>
      <c r="D1273" s="5">
        <v>2233993.96</v>
      </c>
      <c r="E1273" s="5">
        <f t="shared" si="393"/>
        <v>0</v>
      </c>
      <c r="F1273" s="5">
        <f t="shared" ref="F1273" si="408">G1273+H1273+I1273+J1273+K1273+L1273+N1273+P1273+R1273+T1273+V1273+W1273+X1273+Y1273+Z1273+AA1273+AB1273+AC1273+AD1273+AE1273+AF1273+AG1273</f>
        <v>2233993.96</v>
      </c>
      <c r="G1273" s="5">
        <v>0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241">
        <v>0</v>
      </c>
      <c r="N1273" s="5">
        <v>0</v>
      </c>
      <c r="O1273" s="5">
        <v>376</v>
      </c>
      <c r="P1273" s="5">
        <f>1771034.48+311718.19</f>
        <v>2082752.67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f>ROUND(P1273*1.5%,2)</f>
        <v>31241.29</v>
      </c>
      <c r="AF1273" s="5">
        <v>120000</v>
      </c>
      <c r="AG1273" s="5">
        <v>0</v>
      </c>
      <c r="AH1273" s="246">
        <v>2022</v>
      </c>
      <c r="AI1273" s="246">
        <v>2022</v>
      </c>
      <c r="AJ1273" s="6">
        <v>2022</v>
      </c>
      <c r="AV1273" s="2" t="e">
        <f t="shared" si="392"/>
        <v>#N/A</v>
      </c>
      <c r="CB1273" s="236"/>
    </row>
    <row r="1274" spans="1:262" ht="61.5" x14ac:dyDescent="0.85">
      <c r="B1274" s="3" t="s">
        <v>123</v>
      </c>
      <c r="C1274" s="442"/>
      <c r="D1274" s="244">
        <v>14392200</v>
      </c>
      <c r="E1274" s="233">
        <f t="shared" si="393"/>
        <v>0</v>
      </c>
      <c r="F1274" s="244">
        <f>SUM(F1275:F1277)</f>
        <v>14392200</v>
      </c>
      <c r="G1274" s="5">
        <f t="shared" ref="G1274:AG1274" si="409">SUM(G1275:G1277)</f>
        <v>0</v>
      </c>
      <c r="H1274" s="5">
        <f t="shared" si="409"/>
        <v>0</v>
      </c>
      <c r="I1274" s="5">
        <f t="shared" si="409"/>
        <v>0</v>
      </c>
      <c r="J1274" s="5">
        <f t="shared" si="409"/>
        <v>0</v>
      </c>
      <c r="K1274" s="5">
        <f t="shared" si="409"/>
        <v>0</v>
      </c>
      <c r="L1274" s="5">
        <f t="shared" si="409"/>
        <v>0</v>
      </c>
      <c r="M1274" s="241">
        <f t="shared" si="409"/>
        <v>0</v>
      </c>
      <c r="N1274" s="5">
        <f t="shared" si="409"/>
        <v>0</v>
      </c>
      <c r="O1274" s="5">
        <f t="shared" si="409"/>
        <v>2822</v>
      </c>
      <c r="P1274" s="5">
        <f t="shared" si="409"/>
        <v>13706600.99</v>
      </c>
      <c r="Q1274" s="5">
        <f t="shared" si="409"/>
        <v>0</v>
      </c>
      <c r="R1274" s="5">
        <f t="shared" si="409"/>
        <v>0</v>
      </c>
      <c r="S1274" s="5">
        <f t="shared" si="409"/>
        <v>0</v>
      </c>
      <c r="T1274" s="5">
        <f t="shared" si="409"/>
        <v>0</v>
      </c>
      <c r="U1274" s="5">
        <f t="shared" si="409"/>
        <v>0</v>
      </c>
      <c r="V1274" s="5">
        <f t="shared" si="409"/>
        <v>0</v>
      </c>
      <c r="W1274" s="5">
        <f t="shared" si="409"/>
        <v>0</v>
      </c>
      <c r="X1274" s="5">
        <f t="shared" si="409"/>
        <v>0</v>
      </c>
      <c r="Y1274" s="5">
        <f t="shared" si="409"/>
        <v>0</v>
      </c>
      <c r="Z1274" s="5">
        <f t="shared" si="409"/>
        <v>0</v>
      </c>
      <c r="AA1274" s="5">
        <f t="shared" si="409"/>
        <v>0</v>
      </c>
      <c r="AB1274" s="5">
        <f t="shared" si="409"/>
        <v>0</v>
      </c>
      <c r="AC1274" s="5">
        <f t="shared" si="409"/>
        <v>0</v>
      </c>
      <c r="AD1274" s="5">
        <f t="shared" si="409"/>
        <v>0</v>
      </c>
      <c r="AE1274" s="5">
        <f t="shared" si="409"/>
        <v>205599.01</v>
      </c>
      <c r="AF1274" s="5">
        <f t="shared" si="409"/>
        <v>480000</v>
      </c>
      <c r="AG1274" s="5">
        <f t="shared" si="409"/>
        <v>0</v>
      </c>
      <c r="AH1274" s="449" t="s">
        <v>90</v>
      </c>
      <c r="AI1274" s="449" t="s">
        <v>90</v>
      </c>
      <c r="AJ1274" s="450" t="s">
        <v>90</v>
      </c>
      <c r="AV1274" s="2" t="e">
        <f t="shared" si="392"/>
        <v>#N/A</v>
      </c>
      <c r="CB1274" s="236">
        <v>14392200</v>
      </c>
    </row>
    <row r="1275" spans="1:262" ht="61.5" x14ac:dyDescent="0.85">
      <c r="A1275" s="2">
        <v>1</v>
      </c>
      <c r="B1275" s="18">
        <f>SUBTOTAL(103,$A$1006:A1275)</f>
        <v>214</v>
      </c>
      <c r="C1275" s="290" t="s">
        <v>1910</v>
      </c>
      <c r="D1275" s="5">
        <v>6002700</v>
      </c>
      <c r="E1275" s="5">
        <f t="shared" si="393"/>
        <v>0</v>
      </c>
      <c r="F1275" s="5">
        <f t="shared" ref="F1275:F1277" si="410">G1275+H1275+I1275+J1275+K1275+L1275+N1275+P1275+R1275+T1275+V1275+W1275+X1275+Y1275+Z1275+AA1275+AB1275+AC1275+AD1275+AE1275+AF1275+AG1275</f>
        <v>6002700</v>
      </c>
      <c r="G1275" s="5">
        <v>0</v>
      </c>
      <c r="H1275" s="5">
        <v>0</v>
      </c>
      <c r="I1275" s="5">
        <v>0</v>
      </c>
      <c r="J1275" s="5">
        <v>0</v>
      </c>
      <c r="K1275" s="5">
        <v>0</v>
      </c>
      <c r="L1275" s="5">
        <v>0</v>
      </c>
      <c r="M1275" s="241">
        <v>0</v>
      </c>
      <c r="N1275" s="5">
        <v>0</v>
      </c>
      <c r="O1275" s="5">
        <v>1177</v>
      </c>
      <c r="P1275" s="5">
        <v>5736650.25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f>ROUND(P1275*1.5%,2)</f>
        <v>86049.75</v>
      </c>
      <c r="AF1275" s="5">
        <v>180000</v>
      </c>
      <c r="AG1275" s="5">
        <v>0</v>
      </c>
      <c r="AH1275" s="246">
        <v>2022</v>
      </c>
      <c r="AI1275" s="246">
        <v>2022</v>
      </c>
      <c r="AJ1275" s="6">
        <v>2022</v>
      </c>
      <c r="AV1275" s="2" t="e">
        <f t="shared" si="392"/>
        <v>#N/A</v>
      </c>
      <c r="CB1275" s="236"/>
    </row>
    <row r="1276" spans="1:262" ht="61.5" x14ac:dyDescent="0.85">
      <c r="A1276" s="2">
        <v>1</v>
      </c>
      <c r="B1276" s="18">
        <f>SUBTOTAL(103,$A$1006:A1276)</f>
        <v>215</v>
      </c>
      <c r="C1276" s="290" t="s">
        <v>1911</v>
      </c>
      <c r="D1276" s="5">
        <v>4059600</v>
      </c>
      <c r="E1276" s="5">
        <f t="shared" si="393"/>
        <v>0</v>
      </c>
      <c r="F1276" s="5">
        <f t="shared" si="410"/>
        <v>4059600</v>
      </c>
      <c r="G1276" s="5">
        <v>0</v>
      </c>
      <c r="H1276" s="5">
        <v>0</v>
      </c>
      <c r="I1276" s="5">
        <v>0</v>
      </c>
      <c r="J1276" s="5">
        <v>0</v>
      </c>
      <c r="K1276" s="5">
        <v>0</v>
      </c>
      <c r="L1276" s="5">
        <v>0</v>
      </c>
      <c r="M1276" s="241">
        <v>0</v>
      </c>
      <c r="N1276" s="5">
        <v>0</v>
      </c>
      <c r="O1276" s="5">
        <v>796</v>
      </c>
      <c r="P1276" s="5">
        <v>3851822.66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f>ROUND(P1276*1.5%,2)</f>
        <v>57777.34</v>
      </c>
      <c r="AF1276" s="5">
        <v>150000</v>
      </c>
      <c r="AG1276" s="5">
        <v>0</v>
      </c>
      <c r="AH1276" s="246">
        <v>2022</v>
      </c>
      <c r="AI1276" s="246">
        <v>2022</v>
      </c>
      <c r="AJ1276" s="6">
        <v>2022</v>
      </c>
      <c r="AV1276" s="2" t="e">
        <f t="shared" si="392"/>
        <v>#N/A</v>
      </c>
      <c r="CB1276" s="236"/>
    </row>
    <row r="1277" spans="1:262" ht="61.5" x14ac:dyDescent="0.85">
      <c r="A1277" s="2">
        <v>1</v>
      </c>
      <c r="B1277" s="18">
        <f>SUBTOTAL(103,$A$1006:A1277)</f>
        <v>216</v>
      </c>
      <c r="C1277" s="290" t="s">
        <v>1912</v>
      </c>
      <c r="D1277" s="5">
        <v>4329900</v>
      </c>
      <c r="E1277" s="5">
        <f t="shared" si="393"/>
        <v>0</v>
      </c>
      <c r="F1277" s="5">
        <f t="shared" si="410"/>
        <v>4329900</v>
      </c>
      <c r="G1277" s="5">
        <v>0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241">
        <v>0</v>
      </c>
      <c r="N1277" s="5">
        <v>0</v>
      </c>
      <c r="O1277" s="5">
        <v>849</v>
      </c>
      <c r="P1277" s="5">
        <v>4118128.08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f>ROUND(P1277*1.5%,2)</f>
        <v>61771.92</v>
      </c>
      <c r="AF1277" s="5">
        <v>150000</v>
      </c>
      <c r="AG1277" s="5">
        <v>0</v>
      </c>
      <c r="AH1277" s="246">
        <v>2022</v>
      </c>
      <c r="AI1277" s="246">
        <v>2022</v>
      </c>
      <c r="AJ1277" s="6">
        <v>2022</v>
      </c>
      <c r="AV1277" s="2" t="e">
        <f t="shared" si="392"/>
        <v>#N/A</v>
      </c>
      <c r="CB1277" s="236"/>
    </row>
    <row r="1278" spans="1:262" ht="61.5" x14ac:dyDescent="0.85">
      <c r="B1278" s="3" t="s">
        <v>1420</v>
      </c>
      <c r="C1278" s="3"/>
      <c r="D1278" s="244">
        <v>3396600</v>
      </c>
      <c r="E1278" s="233">
        <f t="shared" si="393"/>
        <v>0</v>
      </c>
      <c r="F1278" s="244">
        <f>F1279</f>
        <v>3396600</v>
      </c>
      <c r="G1278" s="5">
        <f t="shared" ref="G1278:AG1278" si="411">G1279</f>
        <v>0</v>
      </c>
      <c r="H1278" s="5">
        <f t="shared" si="411"/>
        <v>0</v>
      </c>
      <c r="I1278" s="5">
        <f t="shared" si="411"/>
        <v>0</v>
      </c>
      <c r="J1278" s="5">
        <f t="shared" si="411"/>
        <v>0</v>
      </c>
      <c r="K1278" s="5">
        <f t="shared" si="411"/>
        <v>0</v>
      </c>
      <c r="L1278" s="5">
        <f t="shared" si="411"/>
        <v>0</v>
      </c>
      <c r="M1278" s="241">
        <f t="shared" si="411"/>
        <v>0</v>
      </c>
      <c r="N1278" s="5">
        <f t="shared" si="411"/>
        <v>0</v>
      </c>
      <c r="O1278" s="5">
        <f t="shared" si="411"/>
        <v>666</v>
      </c>
      <c r="P1278" s="5">
        <f t="shared" si="411"/>
        <v>3198620.69</v>
      </c>
      <c r="Q1278" s="5">
        <f t="shared" si="411"/>
        <v>0</v>
      </c>
      <c r="R1278" s="5">
        <f t="shared" si="411"/>
        <v>0</v>
      </c>
      <c r="S1278" s="5">
        <f t="shared" si="411"/>
        <v>0</v>
      </c>
      <c r="T1278" s="5">
        <f t="shared" si="411"/>
        <v>0</v>
      </c>
      <c r="U1278" s="5">
        <f t="shared" si="411"/>
        <v>0</v>
      </c>
      <c r="V1278" s="5">
        <f t="shared" si="411"/>
        <v>0</v>
      </c>
      <c r="W1278" s="5">
        <f t="shared" si="411"/>
        <v>0</v>
      </c>
      <c r="X1278" s="5">
        <f t="shared" si="411"/>
        <v>0</v>
      </c>
      <c r="Y1278" s="5">
        <f t="shared" si="411"/>
        <v>0</v>
      </c>
      <c r="Z1278" s="5">
        <f t="shared" si="411"/>
        <v>0</v>
      </c>
      <c r="AA1278" s="5">
        <f t="shared" si="411"/>
        <v>0</v>
      </c>
      <c r="AB1278" s="5">
        <f t="shared" si="411"/>
        <v>0</v>
      </c>
      <c r="AC1278" s="5">
        <f t="shared" si="411"/>
        <v>0</v>
      </c>
      <c r="AD1278" s="5">
        <f t="shared" si="411"/>
        <v>0</v>
      </c>
      <c r="AE1278" s="5">
        <f t="shared" si="411"/>
        <v>47979.31</v>
      </c>
      <c r="AF1278" s="5">
        <f t="shared" si="411"/>
        <v>150000</v>
      </c>
      <c r="AG1278" s="5">
        <f t="shared" si="411"/>
        <v>0</v>
      </c>
      <c r="AH1278" s="449" t="s">
        <v>90</v>
      </c>
      <c r="AI1278" s="449" t="s">
        <v>90</v>
      </c>
      <c r="AJ1278" s="450" t="s">
        <v>90</v>
      </c>
      <c r="AV1278" s="2" t="e">
        <f t="shared" si="392"/>
        <v>#N/A</v>
      </c>
      <c r="CB1278" s="236">
        <v>3396600</v>
      </c>
    </row>
    <row r="1279" spans="1:262" ht="61.5" x14ac:dyDescent="0.85">
      <c r="A1279" s="2">
        <v>1</v>
      </c>
      <c r="B1279" s="18">
        <f>SUBTOTAL(103,$A$1006:A1279)</f>
        <v>217</v>
      </c>
      <c r="C1279" s="290" t="s">
        <v>948</v>
      </c>
      <c r="D1279" s="5">
        <v>3396600</v>
      </c>
      <c r="E1279" s="5">
        <f t="shared" si="393"/>
        <v>0</v>
      </c>
      <c r="F1279" s="5">
        <f t="shared" ref="F1279" si="412">G1279+H1279+I1279+J1279+K1279+L1279+N1279+P1279+R1279+T1279+V1279+W1279+X1279+Y1279+Z1279+AA1279+AB1279+AC1279+AD1279+AE1279+AF1279+AG1279</f>
        <v>3396600</v>
      </c>
      <c r="G1279" s="5">
        <v>0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241">
        <v>0</v>
      </c>
      <c r="N1279" s="5">
        <v>0</v>
      </c>
      <c r="O1279" s="5">
        <v>666</v>
      </c>
      <c r="P1279" s="5">
        <v>3198620.69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f>ROUND(P1279*1.5%,2)</f>
        <v>47979.31</v>
      </c>
      <c r="AF1279" s="5">
        <v>150000</v>
      </c>
      <c r="AG1279" s="5">
        <v>0</v>
      </c>
      <c r="AH1279" s="246">
        <v>2022</v>
      </c>
      <c r="AI1279" s="246">
        <v>2022</v>
      </c>
      <c r="AJ1279" s="6">
        <v>2022</v>
      </c>
      <c r="AV1279" s="2">
        <f t="shared" si="392"/>
        <v>1</v>
      </c>
      <c r="CB1279" s="236"/>
    </row>
    <row r="1280" spans="1:262" s="267" customFormat="1" ht="189" customHeight="1" x14ac:dyDescent="0.3">
      <c r="B1280" s="268" t="s">
        <v>1913</v>
      </c>
      <c r="C1280" s="269"/>
      <c r="D1280" s="269"/>
      <c r="E1280" s="269"/>
      <c r="F1280" s="269"/>
      <c r="G1280" s="269"/>
      <c r="H1280" s="269"/>
      <c r="I1280" s="269"/>
      <c r="J1280" s="269"/>
      <c r="K1280" s="269"/>
      <c r="L1280" s="269"/>
      <c r="M1280" s="269"/>
      <c r="N1280" s="269"/>
      <c r="O1280" s="269"/>
      <c r="P1280" s="269"/>
      <c r="Q1280" s="269"/>
      <c r="R1280" s="269"/>
      <c r="S1280" s="269"/>
      <c r="T1280" s="269"/>
      <c r="U1280" s="269"/>
      <c r="V1280" s="269"/>
      <c r="W1280" s="269"/>
      <c r="X1280" s="269"/>
      <c r="Y1280" s="269"/>
      <c r="Z1280" s="269"/>
      <c r="AA1280" s="269"/>
      <c r="AB1280" s="269"/>
      <c r="AC1280" s="269"/>
      <c r="AD1280" s="269"/>
      <c r="AE1280" s="269"/>
      <c r="AF1280" s="269"/>
      <c r="AG1280" s="269"/>
      <c r="AH1280" s="269"/>
      <c r="AI1280" s="269"/>
      <c r="AJ1280" s="270"/>
      <c r="AK1280" s="271"/>
      <c r="AL1280" s="272"/>
      <c r="AM1280" s="271"/>
      <c r="AN1280" s="271"/>
      <c r="AO1280" s="271"/>
      <c r="AP1280" s="451"/>
      <c r="AQ1280" s="451"/>
      <c r="AR1280" s="451"/>
      <c r="AS1280" s="451"/>
      <c r="AT1280" s="451"/>
      <c r="AU1280" s="451"/>
      <c r="AV1280" s="451"/>
      <c r="AW1280" s="451"/>
      <c r="AX1280" s="451"/>
      <c r="AY1280" s="451"/>
      <c r="AZ1280" s="451"/>
      <c r="BA1280" s="451"/>
      <c r="BB1280" s="451"/>
      <c r="BC1280" s="451"/>
      <c r="BD1280" s="451"/>
      <c r="BE1280" s="451"/>
      <c r="BF1280" s="451"/>
      <c r="BG1280" s="451"/>
      <c r="BH1280" s="451"/>
      <c r="BI1280" s="451"/>
      <c r="BJ1280" s="451"/>
      <c r="BK1280" s="451"/>
      <c r="BL1280" s="451"/>
      <c r="BM1280" s="451"/>
      <c r="BN1280" s="451"/>
      <c r="BO1280" s="451"/>
      <c r="BP1280" s="451"/>
      <c r="BQ1280" s="451"/>
      <c r="BR1280" s="451"/>
      <c r="BS1280" s="451"/>
      <c r="BT1280" s="452"/>
      <c r="BU1280" s="451"/>
      <c r="BV1280" s="451"/>
      <c r="BW1280" s="451"/>
      <c r="BX1280" s="451"/>
      <c r="BY1280" s="451"/>
      <c r="BZ1280" s="451"/>
      <c r="CA1280" s="451"/>
      <c r="CB1280" s="451"/>
      <c r="CC1280" s="451"/>
      <c r="CD1280" s="451"/>
      <c r="CE1280" s="451"/>
      <c r="CF1280" s="451"/>
      <c r="CG1280" s="451"/>
      <c r="CH1280" s="451"/>
      <c r="CI1280" s="451"/>
      <c r="CJ1280" s="452" t="e">
        <f>VLOOKUP(C1280,CL:CM,2,FALSE)</f>
        <v>#N/A</v>
      </c>
      <c r="CK1280" s="451"/>
      <c r="CL1280" s="451"/>
      <c r="CM1280" s="452" t="e">
        <f>VLOOKUP(C1280,CO:CP,2,FALSE)</f>
        <v>#N/A</v>
      </c>
      <c r="CN1280" s="451"/>
      <c r="CO1280" s="451"/>
      <c r="CP1280" s="451"/>
      <c r="CQ1280" s="451"/>
      <c r="CR1280" s="451"/>
      <c r="CS1280" s="451"/>
      <c r="CT1280" s="451"/>
      <c r="CU1280" s="451"/>
      <c r="CV1280" s="451"/>
      <c r="CW1280" s="451"/>
      <c r="CX1280" s="451"/>
      <c r="CY1280" s="451"/>
      <c r="CZ1280" s="451"/>
      <c r="DA1280" s="451"/>
      <c r="DB1280" s="451"/>
      <c r="DC1280" s="451"/>
      <c r="DD1280" s="451"/>
      <c r="DE1280" s="451"/>
      <c r="DF1280" s="451"/>
      <c r="DG1280" s="451"/>
      <c r="DH1280" s="451"/>
      <c r="DI1280" s="451"/>
      <c r="DJ1280" s="451"/>
      <c r="DK1280" s="451"/>
      <c r="DL1280" s="451"/>
      <c r="DM1280" s="451"/>
      <c r="DN1280" s="451"/>
      <c r="DO1280" s="451"/>
      <c r="DP1280" s="451"/>
      <c r="DQ1280" s="451"/>
      <c r="DR1280" s="451"/>
      <c r="DS1280" s="451"/>
      <c r="DT1280" s="451"/>
      <c r="DU1280" s="451"/>
      <c r="DV1280" s="451"/>
      <c r="DW1280" s="451"/>
      <c r="DX1280" s="451"/>
      <c r="DY1280" s="451"/>
      <c r="DZ1280" s="451"/>
      <c r="EA1280" s="451"/>
      <c r="EB1280" s="451"/>
      <c r="EC1280" s="451"/>
      <c r="ED1280" s="451"/>
      <c r="EE1280" s="451"/>
      <c r="EF1280" s="451"/>
      <c r="EG1280" s="451"/>
      <c r="EH1280" s="451"/>
      <c r="EI1280" s="451"/>
      <c r="EJ1280" s="451"/>
      <c r="EK1280" s="451"/>
      <c r="EL1280" s="451"/>
      <c r="EM1280" s="451"/>
      <c r="EN1280" s="451"/>
      <c r="EO1280" s="451"/>
      <c r="EP1280" s="451"/>
      <c r="EQ1280" s="451"/>
      <c r="ER1280" s="451"/>
      <c r="ES1280" s="451"/>
      <c r="ET1280" s="451"/>
      <c r="EU1280" s="451"/>
      <c r="EV1280" s="451"/>
      <c r="EW1280" s="452" t="e">
        <f>VLOOKUP(C1280,FA:FB,2,FALSE)</f>
        <v>#N/A</v>
      </c>
      <c r="EX1280" s="451"/>
      <c r="EY1280" s="451"/>
      <c r="EZ1280" s="451"/>
      <c r="FA1280" s="451"/>
      <c r="FB1280" s="451"/>
      <c r="FC1280" s="451"/>
      <c r="FD1280" s="451"/>
      <c r="FE1280" s="451"/>
      <c r="FF1280" s="451"/>
      <c r="FG1280" s="451"/>
      <c r="FH1280" s="451"/>
      <c r="FI1280" s="451"/>
      <c r="FJ1280" s="451"/>
      <c r="FK1280" s="451"/>
      <c r="FL1280" s="451"/>
      <c r="FM1280" s="451"/>
      <c r="FN1280" s="451"/>
      <c r="FO1280" s="451"/>
      <c r="FP1280" s="451"/>
      <c r="FQ1280" s="451"/>
      <c r="FR1280" s="451"/>
      <c r="FS1280" s="451"/>
      <c r="FT1280" s="451"/>
      <c r="FU1280" s="451"/>
      <c r="FV1280" s="451"/>
      <c r="FW1280" s="451"/>
      <c r="FX1280" s="451"/>
      <c r="FY1280" s="451"/>
      <c r="FZ1280" s="451"/>
      <c r="GA1280" s="451"/>
      <c r="GB1280" s="451"/>
      <c r="GC1280" s="451"/>
      <c r="GD1280" s="451"/>
      <c r="GE1280" s="451"/>
      <c r="GF1280" s="451"/>
      <c r="GG1280" s="451"/>
      <c r="GH1280" s="451"/>
      <c r="GI1280" s="451"/>
      <c r="GJ1280" s="451"/>
      <c r="GK1280" s="451"/>
      <c r="GL1280" s="451"/>
      <c r="GM1280" s="451"/>
      <c r="GN1280" s="451"/>
      <c r="GO1280" s="451"/>
      <c r="GP1280" s="451"/>
      <c r="GQ1280" s="451"/>
      <c r="GR1280" s="451"/>
      <c r="GS1280" s="451"/>
      <c r="GT1280" s="451"/>
      <c r="GU1280" s="451"/>
      <c r="GV1280" s="451"/>
      <c r="GW1280" s="451"/>
      <c r="GX1280" s="451"/>
      <c r="GY1280" s="451"/>
      <c r="GZ1280" s="451"/>
      <c r="HA1280" s="451"/>
      <c r="HB1280" s="451"/>
      <c r="HC1280" s="451"/>
      <c r="HD1280" s="451"/>
      <c r="HE1280" s="451"/>
      <c r="HF1280" s="451"/>
      <c r="HG1280" s="451"/>
      <c r="HH1280" s="451"/>
      <c r="HI1280" s="451"/>
      <c r="HJ1280" s="451"/>
      <c r="HK1280" s="451"/>
      <c r="HL1280" s="451"/>
      <c r="HM1280" s="451"/>
      <c r="HN1280" s="451"/>
      <c r="HO1280" s="451"/>
      <c r="HP1280" s="451"/>
      <c r="HQ1280" s="451" t="s">
        <v>1914</v>
      </c>
      <c r="HR1280" s="451">
        <v>50864.91</v>
      </c>
      <c r="HS1280" s="451"/>
      <c r="HT1280" s="451"/>
      <c r="HU1280" s="451"/>
      <c r="HV1280" s="451"/>
      <c r="HW1280" s="451"/>
      <c r="HX1280" s="451"/>
      <c r="HY1280" s="451"/>
      <c r="HZ1280" s="451"/>
      <c r="IA1280" s="451"/>
      <c r="IB1280" s="451"/>
      <c r="IC1280" s="451"/>
      <c r="ID1280" s="451"/>
      <c r="IE1280" s="451"/>
      <c r="IF1280" s="451"/>
      <c r="IG1280" s="451"/>
      <c r="IH1280" s="451"/>
      <c r="II1280" s="451"/>
      <c r="IJ1280" s="451"/>
      <c r="IK1280" s="451"/>
      <c r="IL1280" s="451"/>
      <c r="IM1280" s="451"/>
      <c r="IN1280" s="451"/>
      <c r="IO1280" s="451"/>
      <c r="IP1280" s="451"/>
      <c r="IQ1280" s="451"/>
      <c r="IR1280" s="451"/>
      <c r="IS1280" s="451"/>
      <c r="IT1280" s="451"/>
      <c r="IU1280" s="451"/>
      <c r="IV1280" s="451"/>
      <c r="IW1280" s="451"/>
      <c r="IX1280" s="451"/>
      <c r="IY1280" s="451"/>
      <c r="IZ1280" s="451"/>
      <c r="JA1280" s="451"/>
      <c r="JB1280" s="451"/>
    </row>
    <row r="1281" spans="1:262" s="267" customFormat="1" ht="189" customHeight="1" x14ac:dyDescent="0.3">
      <c r="B1281" s="274" t="s">
        <v>1915</v>
      </c>
      <c r="C1281" s="275"/>
      <c r="D1281" s="275"/>
      <c r="E1281" s="275"/>
      <c r="F1281" s="275"/>
      <c r="G1281" s="275"/>
      <c r="H1281" s="275"/>
      <c r="I1281" s="275"/>
      <c r="J1281" s="275"/>
      <c r="K1281" s="275"/>
      <c r="L1281" s="275"/>
      <c r="M1281" s="275"/>
      <c r="N1281" s="275"/>
      <c r="O1281" s="275"/>
      <c r="P1281" s="275"/>
      <c r="Q1281" s="275"/>
      <c r="R1281" s="275"/>
      <c r="S1281" s="275"/>
      <c r="T1281" s="275"/>
      <c r="U1281" s="275"/>
      <c r="V1281" s="275"/>
      <c r="W1281" s="275"/>
      <c r="X1281" s="275"/>
      <c r="Y1281" s="275"/>
      <c r="Z1281" s="275"/>
      <c r="AA1281" s="275"/>
      <c r="AB1281" s="275"/>
      <c r="AC1281" s="275"/>
      <c r="AD1281" s="275"/>
      <c r="AE1281" s="275"/>
      <c r="AF1281" s="275"/>
      <c r="AG1281" s="275"/>
      <c r="AH1281" s="275"/>
      <c r="AI1281" s="275"/>
      <c r="AJ1281" s="276"/>
      <c r="AK1281" s="277"/>
      <c r="AL1281" s="278"/>
      <c r="AM1281" s="277"/>
      <c r="AN1281" s="277"/>
      <c r="AO1281" s="277"/>
      <c r="AP1281" s="451"/>
      <c r="AQ1281" s="451"/>
      <c r="AR1281" s="451"/>
      <c r="AS1281" s="451"/>
      <c r="AT1281" s="451"/>
      <c r="AU1281" s="451"/>
      <c r="AV1281" s="451"/>
      <c r="AW1281" s="451"/>
      <c r="AX1281" s="451"/>
      <c r="AY1281" s="451"/>
      <c r="AZ1281" s="451"/>
      <c r="BA1281" s="451"/>
      <c r="BB1281" s="451"/>
      <c r="BC1281" s="451"/>
      <c r="BD1281" s="451"/>
      <c r="BE1281" s="451"/>
      <c r="BF1281" s="451"/>
      <c r="BG1281" s="451"/>
      <c r="BH1281" s="451"/>
      <c r="BI1281" s="451"/>
      <c r="BJ1281" s="451"/>
      <c r="BK1281" s="451"/>
      <c r="BL1281" s="451"/>
      <c r="BM1281" s="451"/>
      <c r="BN1281" s="451"/>
      <c r="BO1281" s="451"/>
      <c r="BP1281" s="451"/>
      <c r="BQ1281" s="451"/>
      <c r="BR1281" s="451"/>
      <c r="BS1281" s="451"/>
      <c r="BT1281" s="451"/>
      <c r="BU1281" s="451"/>
      <c r="BV1281" s="451"/>
      <c r="BW1281" s="451"/>
      <c r="BX1281" s="451"/>
      <c r="BY1281" s="451"/>
      <c r="BZ1281" s="451"/>
      <c r="CA1281" s="451"/>
      <c r="CB1281" s="451"/>
      <c r="CC1281" s="451"/>
      <c r="CD1281" s="451"/>
      <c r="CE1281" s="451"/>
      <c r="CF1281" s="451"/>
      <c r="CG1281" s="451"/>
      <c r="CH1281" s="451"/>
      <c r="CI1281" s="451"/>
      <c r="CJ1281" s="451"/>
      <c r="CK1281" s="451"/>
      <c r="CL1281" s="451"/>
      <c r="CM1281" s="451"/>
      <c r="CN1281" s="451"/>
      <c r="CO1281" s="451"/>
      <c r="CP1281" s="451"/>
      <c r="CQ1281" s="451"/>
      <c r="CR1281" s="451"/>
      <c r="CS1281" s="451"/>
      <c r="CT1281" s="451"/>
      <c r="CU1281" s="451"/>
      <c r="CV1281" s="451"/>
      <c r="CW1281" s="451"/>
      <c r="CX1281" s="451"/>
      <c r="CY1281" s="451"/>
      <c r="CZ1281" s="451"/>
      <c r="DA1281" s="451"/>
      <c r="DB1281" s="451"/>
      <c r="DC1281" s="451"/>
      <c r="DD1281" s="451"/>
      <c r="DE1281" s="451"/>
      <c r="DF1281" s="451"/>
      <c r="DG1281" s="451"/>
      <c r="DH1281" s="451"/>
      <c r="DI1281" s="451"/>
      <c r="DJ1281" s="451"/>
      <c r="DK1281" s="451"/>
      <c r="DL1281" s="451"/>
      <c r="DM1281" s="451"/>
      <c r="DN1281" s="451"/>
      <c r="DO1281" s="451"/>
      <c r="DP1281" s="451"/>
      <c r="DQ1281" s="451"/>
      <c r="DR1281" s="451"/>
      <c r="DS1281" s="451"/>
      <c r="DT1281" s="451"/>
      <c r="DU1281" s="451"/>
      <c r="DV1281" s="451"/>
      <c r="DW1281" s="451"/>
      <c r="DX1281" s="451"/>
      <c r="DY1281" s="451"/>
      <c r="DZ1281" s="451"/>
      <c r="EA1281" s="451"/>
      <c r="EB1281" s="451"/>
      <c r="EC1281" s="451"/>
      <c r="ED1281" s="451"/>
      <c r="EE1281" s="451"/>
      <c r="EF1281" s="451"/>
      <c r="EG1281" s="451"/>
      <c r="EH1281" s="451"/>
      <c r="EI1281" s="451"/>
      <c r="EJ1281" s="451"/>
      <c r="EK1281" s="451"/>
      <c r="EL1281" s="451"/>
      <c r="EM1281" s="451"/>
      <c r="EN1281" s="451"/>
      <c r="EO1281" s="451"/>
      <c r="EP1281" s="451"/>
      <c r="EQ1281" s="451"/>
      <c r="ER1281" s="451"/>
      <c r="ES1281" s="451"/>
      <c r="ET1281" s="451"/>
      <c r="EU1281" s="451"/>
      <c r="EV1281" s="451"/>
      <c r="EW1281" s="451"/>
      <c r="EX1281" s="451"/>
      <c r="EY1281" s="451"/>
      <c r="EZ1281" s="451"/>
      <c r="FA1281" s="451"/>
      <c r="FB1281" s="451"/>
      <c r="FC1281" s="451"/>
      <c r="FD1281" s="451"/>
      <c r="FE1281" s="451"/>
      <c r="FF1281" s="451"/>
      <c r="FG1281" s="451"/>
      <c r="FH1281" s="451"/>
      <c r="FI1281" s="451"/>
      <c r="FJ1281" s="451"/>
      <c r="FK1281" s="451"/>
      <c r="FL1281" s="451"/>
      <c r="FM1281" s="451"/>
      <c r="FN1281" s="451"/>
      <c r="FO1281" s="451"/>
      <c r="FP1281" s="451"/>
      <c r="FQ1281" s="451"/>
      <c r="FR1281" s="451"/>
      <c r="FS1281" s="451"/>
      <c r="FT1281" s="451"/>
      <c r="FU1281" s="451"/>
      <c r="FV1281" s="451"/>
      <c r="FW1281" s="451"/>
      <c r="FX1281" s="451"/>
      <c r="FY1281" s="451"/>
      <c r="FZ1281" s="451"/>
      <c r="GA1281" s="451"/>
      <c r="GB1281" s="451"/>
      <c r="GC1281" s="451"/>
      <c r="GD1281" s="451"/>
      <c r="GE1281" s="451"/>
      <c r="GF1281" s="451"/>
      <c r="GG1281" s="451"/>
      <c r="GH1281" s="451"/>
      <c r="GI1281" s="451"/>
      <c r="GJ1281" s="451"/>
      <c r="GK1281" s="451"/>
      <c r="GL1281" s="451"/>
      <c r="GM1281" s="451"/>
      <c r="GN1281" s="451"/>
      <c r="GO1281" s="451"/>
      <c r="GP1281" s="451"/>
      <c r="GQ1281" s="451"/>
      <c r="GR1281" s="451"/>
      <c r="GS1281" s="451"/>
      <c r="GT1281" s="451"/>
      <c r="GU1281" s="451"/>
      <c r="GV1281" s="451"/>
      <c r="GW1281" s="451"/>
      <c r="GX1281" s="451"/>
      <c r="GY1281" s="451"/>
      <c r="GZ1281" s="451"/>
      <c r="HA1281" s="451"/>
      <c r="HB1281" s="451"/>
      <c r="HC1281" s="451"/>
      <c r="HD1281" s="451"/>
      <c r="HE1281" s="451"/>
      <c r="HF1281" s="451"/>
      <c r="HG1281" s="451"/>
      <c r="HH1281" s="451"/>
      <c r="HI1281" s="451"/>
      <c r="HJ1281" s="451"/>
      <c r="HK1281" s="451"/>
      <c r="HL1281" s="451"/>
      <c r="HM1281" s="451"/>
      <c r="HN1281" s="451"/>
      <c r="HO1281" s="451"/>
      <c r="HP1281" s="451"/>
      <c r="HQ1281" s="451" t="s">
        <v>1916</v>
      </c>
      <c r="HR1281" s="451">
        <v>47587.5</v>
      </c>
      <c r="HS1281" s="451"/>
      <c r="HT1281" s="451"/>
      <c r="HU1281" s="451"/>
      <c r="HV1281" s="451"/>
      <c r="HW1281" s="451"/>
      <c r="HX1281" s="451"/>
      <c r="HY1281" s="451"/>
      <c r="HZ1281" s="451"/>
      <c r="IA1281" s="451"/>
      <c r="IB1281" s="451"/>
      <c r="IC1281" s="451"/>
      <c r="ID1281" s="451"/>
      <c r="IE1281" s="451"/>
      <c r="IF1281" s="451"/>
      <c r="IG1281" s="451"/>
      <c r="IH1281" s="451"/>
      <c r="II1281" s="451"/>
      <c r="IJ1281" s="451"/>
      <c r="IK1281" s="451"/>
      <c r="IL1281" s="451"/>
      <c r="IM1281" s="451"/>
      <c r="IN1281" s="451"/>
      <c r="IO1281" s="451"/>
      <c r="IP1281" s="451"/>
      <c r="IQ1281" s="451"/>
      <c r="IR1281" s="451"/>
      <c r="IS1281" s="451"/>
      <c r="IT1281" s="451"/>
      <c r="IU1281" s="451"/>
      <c r="IV1281" s="451"/>
      <c r="IW1281" s="451"/>
      <c r="IX1281" s="451"/>
      <c r="IY1281" s="451"/>
      <c r="IZ1281" s="451"/>
      <c r="JA1281" s="451"/>
      <c r="JB1281" s="451"/>
    </row>
    <row r="1282" spans="1:262" s="267" customFormat="1" ht="76.5" x14ac:dyDescent="0.85">
      <c r="B1282" s="279" t="s">
        <v>1917</v>
      </c>
      <c r="C1282" s="280"/>
      <c r="D1282" s="281">
        <v>8174681</v>
      </c>
      <c r="E1282" s="281">
        <f t="shared" ref="E1282:E1288" si="413">D1282-F1282</f>
        <v>1140479.2699999996</v>
      </c>
      <c r="F1282" s="5">
        <f>F1283+F1285+F1287</f>
        <v>7034201.7300000004</v>
      </c>
      <c r="G1282" s="281">
        <f t="shared" ref="G1282:AG1282" si="414">G1283+G1287+G1285</f>
        <v>0</v>
      </c>
      <c r="H1282" s="281">
        <f t="shared" si="414"/>
        <v>0</v>
      </c>
      <c r="I1282" s="281">
        <f t="shared" si="414"/>
        <v>0</v>
      </c>
      <c r="J1282" s="281">
        <f t="shared" si="414"/>
        <v>0</v>
      </c>
      <c r="K1282" s="281">
        <f t="shared" si="414"/>
        <v>0</v>
      </c>
      <c r="L1282" s="281">
        <f t="shared" si="414"/>
        <v>0</v>
      </c>
      <c r="M1282" s="282">
        <f t="shared" si="414"/>
        <v>0</v>
      </c>
      <c r="N1282" s="281">
        <f t="shared" si="414"/>
        <v>0</v>
      </c>
      <c r="O1282" s="281">
        <f t="shared" si="414"/>
        <v>1981.3</v>
      </c>
      <c r="P1282" s="281">
        <f t="shared" si="414"/>
        <v>6992437.3499999996</v>
      </c>
      <c r="Q1282" s="281">
        <f t="shared" si="414"/>
        <v>0</v>
      </c>
      <c r="R1282" s="281">
        <f t="shared" si="414"/>
        <v>0</v>
      </c>
      <c r="S1282" s="281">
        <f t="shared" si="414"/>
        <v>0</v>
      </c>
      <c r="T1282" s="281">
        <f t="shared" si="414"/>
        <v>0</v>
      </c>
      <c r="U1282" s="281">
        <f t="shared" si="414"/>
        <v>0</v>
      </c>
      <c r="V1282" s="281">
        <f t="shared" si="414"/>
        <v>0</v>
      </c>
      <c r="W1282" s="281">
        <f t="shared" si="414"/>
        <v>0</v>
      </c>
      <c r="X1282" s="281">
        <f t="shared" si="414"/>
        <v>0</v>
      </c>
      <c r="Y1282" s="281">
        <f t="shared" si="414"/>
        <v>0</v>
      </c>
      <c r="Z1282" s="281">
        <f t="shared" si="414"/>
        <v>0</v>
      </c>
      <c r="AA1282" s="281">
        <f t="shared" si="414"/>
        <v>0</v>
      </c>
      <c r="AB1282" s="281">
        <f t="shared" si="414"/>
        <v>0</v>
      </c>
      <c r="AC1282" s="281">
        <f t="shared" si="414"/>
        <v>0</v>
      </c>
      <c r="AD1282" s="281">
        <f t="shared" si="414"/>
        <v>0</v>
      </c>
      <c r="AE1282" s="281">
        <f t="shared" si="414"/>
        <v>41764.380000000005</v>
      </c>
      <c r="AF1282" s="281">
        <f t="shared" si="414"/>
        <v>0</v>
      </c>
      <c r="AG1282" s="281">
        <f t="shared" si="414"/>
        <v>0</v>
      </c>
      <c r="AH1282" s="283" t="s">
        <v>1918</v>
      </c>
      <c r="AI1282" s="283" t="s">
        <v>1918</v>
      </c>
      <c r="AJ1282" s="283" t="s">
        <v>1918</v>
      </c>
      <c r="AK1282" s="284"/>
      <c r="AL1282" s="272"/>
      <c r="AM1282" s="284"/>
      <c r="AN1282" s="284"/>
      <c r="AO1282" s="284"/>
      <c r="AP1282" s="451"/>
      <c r="AQ1282" s="451"/>
      <c r="AR1282" s="451"/>
      <c r="AS1282" s="451"/>
      <c r="AT1282" s="451"/>
      <c r="AU1282" s="451"/>
      <c r="AV1282" s="451"/>
      <c r="AW1282" s="451"/>
      <c r="AX1282" s="451"/>
      <c r="AY1282" s="451"/>
      <c r="AZ1282" s="451"/>
      <c r="BA1282" s="451"/>
      <c r="BB1282" s="451"/>
      <c r="BC1282" s="451"/>
      <c r="BD1282" s="451"/>
      <c r="BE1282" s="451"/>
      <c r="BF1282" s="451"/>
      <c r="BG1282" s="451"/>
      <c r="BH1282" s="451"/>
      <c r="BI1282" s="451"/>
      <c r="BJ1282" s="451"/>
      <c r="BK1282" s="451"/>
      <c r="BL1282" s="451"/>
      <c r="BM1282" s="451"/>
      <c r="BN1282" s="451"/>
      <c r="BO1282" s="451"/>
      <c r="BP1282" s="451"/>
      <c r="BQ1282" s="451"/>
      <c r="BR1282" s="451"/>
      <c r="BS1282" s="451"/>
      <c r="BT1282" s="451"/>
      <c r="BU1282" s="451"/>
      <c r="BV1282" s="451"/>
      <c r="BW1282" s="451"/>
      <c r="BX1282" s="451"/>
      <c r="BY1282" s="451"/>
      <c r="BZ1282" s="451"/>
      <c r="CA1282" s="451"/>
      <c r="CB1282" s="451"/>
      <c r="CC1282" s="451"/>
      <c r="CD1282" s="451"/>
      <c r="CE1282" s="451"/>
      <c r="CF1282" s="451"/>
      <c r="CG1282" s="451"/>
      <c r="CH1282" s="451"/>
      <c r="CI1282" s="451"/>
      <c r="CJ1282" s="451"/>
      <c r="CK1282" s="451"/>
      <c r="CL1282" s="451"/>
      <c r="CM1282" s="451"/>
      <c r="CN1282" s="451"/>
      <c r="CO1282" s="451"/>
      <c r="CP1282" s="451"/>
      <c r="CQ1282" s="451"/>
      <c r="CR1282" s="451"/>
      <c r="CS1282" s="451"/>
      <c r="CT1282" s="451"/>
      <c r="CU1282" s="451"/>
      <c r="CV1282" s="451"/>
      <c r="CW1282" s="451"/>
      <c r="CX1282" s="451"/>
      <c r="CY1282" s="451"/>
      <c r="CZ1282" s="451"/>
      <c r="DA1282" s="451"/>
      <c r="DB1282" s="451"/>
      <c r="DC1282" s="451"/>
      <c r="DD1282" s="451"/>
      <c r="DE1282" s="451"/>
      <c r="DF1282" s="451"/>
      <c r="DG1282" s="451"/>
      <c r="DH1282" s="451"/>
      <c r="DI1282" s="451"/>
      <c r="DJ1282" s="451"/>
      <c r="DK1282" s="451"/>
      <c r="DL1282" s="451"/>
      <c r="DM1282" s="451"/>
      <c r="DN1282" s="451"/>
      <c r="DO1282" s="451"/>
      <c r="DP1282" s="451"/>
      <c r="DQ1282" s="451"/>
      <c r="DR1282" s="451"/>
      <c r="DS1282" s="451"/>
      <c r="DT1282" s="451"/>
      <c r="DU1282" s="451"/>
      <c r="DV1282" s="451"/>
      <c r="DW1282" s="451"/>
      <c r="DX1282" s="451"/>
      <c r="DY1282" s="451"/>
      <c r="DZ1282" s="451"/>
      <c r="EA1282" s="451"/>
      <c r="EB1282" s="451"/>
      <c r="EC1282" s="451"/>
      <c r="ED1282" s="451"/>
      <c r="EE1282" s="451"/>
      <c r="EF1282" s="451"/>
      <c r="EG1282" s="451"/>
      <c r="EH1282" s="451"/>
      <c r="EI1282" s="451"/>
      <c r="EJ1282" s="451"/>
      <c r="EK1282" s="451"/>
      <c r="EL1282" s="451"/>
      <c r="EM1282" s="451"/>
      <c r="EN1282" s="451"/>
      <c r="EO1282" s="451"/>
      <c r="EP1282" s="451"/>
      <c r="EQ1282" s="451"/>
      <c r="ER1282" s="451"/>
      <c r="ES1282" s="451"/>
      <c r="ET1282" s="451"/>
      <c r="EU1282" s="451"/>
      <c r="EV1282" s="451"/>
      <c r="EW1282" s="451"/>
      <c r="EX1282" s="451"/>
      <c r="EY1282" s="451"/>
      <c r="EZ1282" s="451"/>
      <c r="FA1282" s="451"/>
      <c r="FB1282" s="451"/>
      <c r="FC1282" s="451"/>
      <c r="FD1282" s="451"/>
      <c r="FE1282" s="451"/>
      <c r="FF1282" s="451"/>
      <c r="FG1282" s="451"/>
      <c r="FH1282" s="451"/>
      <c r="FI1282" s="451"/>
      <c r="FJ1282" s="451"/>
      <c r="FK1282" s="451"/>
      <c r="FL1282" s="451"/>
      <c r="FM1282" s="451"/>
      <c r="FN1282" s="451"/>
      <c r="FO1282" s="451"/>
      <c r="FP1282" s="451"/>
      <c r="FQ1282" s="451"/>
      <c r="FR1282" s="451"/>
      <c r="FS1282" s="451"/>
      <c r="FT1282" s="451"/>
      <c r="FU1282" s="451"/>
      <c r="FV1282" s="451"/>
      <c r="FW1282" s="451"/>
      <c r="FX1282" s="451"/>
      <c r="FY1282" s="451"/>
      <c r="FZ1282" s="451"/>
      <c r="GA1282" s="451"/>
      <c r="GB1282" s="451"/>
      <c r="GC1282" s="451"/>
      <c r="GD1282" s="451"/>
      <c r="GE1282" s="451"/>
      <c r="GF1282" s="451"/>
      <c r="GG1282" s="451"/>
      <c r="GH1282" s="451"/>
      <c r="GI1282" s="451"/>
      <c r="GJ1282" s="451"/>
      <c r="GK1282" s="451"/>
      <c r="GL1282" s="451"/>
      <c r="GM1282" s="451"/>
      <c r="GN1282" s="451"/>
      <c r="GO1282" s="451"/>
      <c r="GP1282" s="451"/>
      <c r="GQ1282" s="451"/>
      <c r="GR1282" s="451"/>
      <c r="GS1282" s="451"/>
      <c r="GT1282" s="451"/>
      <c r="GU1282" s="451"/>
      <c r="GV1282" s="451"/>
      <c r="GW1282" s="451"/>
      <c r="GX1282" s="451"/>
      <c r="GY1282" s="451"/>
      <c r="GZ1282" s="451"/>
      <c r="HA1282" s="451"/>
      <c r="HB1282" s="451"/>
      <c r="HC1282" s="451"/>
      <c r="HD1282" s="451"/>
      <c r="HE1282" s="451"/>
      <c r="HF1282" s="451"/>
      <c r="HG1282" s="451"/>
      <c r="HH1282" s="451"/>
      <c r="HI1282" s="451"/>
      <c r="HJ1282" s="451"/>
      <c r="HK1282" s="451"/>
      <c r="HL1282" s="451"/>
      <c r="HM1282" s="451"/>
      <c r="HN1282" s="451"/>
      <c r="HO1282" s="451"/>
      <c r="HP1282" s="451"/>
      <c r="HQ1282" s="451" t="s">
        <v>1919</v>
      </c>
      <c r="HR1282" s="451">
        <v>53254.36</v>
      </c>
      <c r="HS1282" s="451"/>
      <c r="HT1282" s="451"/>
      <c r="HU1282" s="451"/>
      <c r="HV1282" s="451"/>
      <c r="HW1282" s="451"/>
      <c r="HX1282" s="451"/>
      <c r="HY1282" s="451"/>
      <c r="HZ1282" s="451"/>
      <c r="IA1282" s="451"/>
      <c r="IB1282" s="451"/>
      <c r="IC1282" s="451"/>
      <c r="ID1282" s="451"/>
      <c r="IE1282" s="451"/>
      <c r="IF1282" s="451"/>
      <c r="IG1282" s="451"/>
      <c r="IH1282" s="451"/>
      <c r="II1282" s="451"/>
      <c r="IJ1282" s="451"/>
      <c r="IK1282" s="451"/>
      <c r="IL1282" s="451"/>
      <c r="IM1282" s="451"/>
      <c r="IN1282" s="451"/>
      <c r="IO1282" s="451"/>
      <c r="IP1282" s="451"/>
      <c r="IQ1282" s="451"/>
      <c r="IR1282" s="451"/>
      <c r="IS1282" s="451"/>
      <c r="IT1282" s="451"/>
      <c r="IU1282" s="451"/>
      <c r="IV1282" s="451"/>
      <c r="IW1282" s="451"/>
      <c r="IX1282" s="451"/>
      <c r="IY1282" s="451"/>
      <c r="IZ1282" s="451"/>
      <c r="JA1282" s="451"/>
      <c r="JB1282" s="451"/>
    </row>
    <row r="1283" spans="1:262" s="267" customFormat="1" ht="76.5" x14ac:dyDescent="0.85">
      <c r="B1283" s="285" t="s">
        <v>123</v>
      </c>
      <c r="C1283" s="286"/>
      <c r="D1283" s="281">
        <v>2094823</v>
      </c>
      <c r="E1283" s="281">
        <f t="shared" si="413"/>
        <v>258708.59999999986</v>
      </c>
      <c r="F1283" s="5">
        <f t="shared" ref="F1283:F1288" si="415">G1283+H1283+I1283+J1283+K1283+L1283+N1283+P1283+R1283+T1283+V1283+W1283+X1283+Y1283+Z1283+AA1283+AB1283+AC1283+AD1283+AE1283+AF1283+AG1283</f>
        <v>1836114.4000000001</v>
      </c>
      <c r="G1283" s="281">
        <f t="shared" ref="G1283:AG1285" si="416">SUM(G1284:G1284)</f>
        <v>0</v>
      </c>
      <c r="H1283" s="281">
        <f t="shared" si="416"/>
        <v>0</v>
      </c>
      <c r="I1283" s="281">
        <f t="shared" si="416"/>
        <v>0</v>
      </c>
      <c r="J1283" s="281">
        <f t="shared" si="416"/>
        <v>0</v>
      </c>
      <c r="K1283" s="281">
        <f t="shared" si="416"/>
        <v>0</v>
      </c>
      <c r="L1283" s="281">
        <f t="shared" si="416"/>
        <v>0</v>
      </c>
      <c r="M1283" s="282">
        <f t="shared" si="416"/>
        <v>0</v>
      </c>
      <c r="N1283" s="281">
        <f t="shared" si="416"/>
        <v>0</v>
      </c>
      <c r="O1283" s="281">
        <f t="shared" si="416"/>
        <v>454</v>
      </c>
      <c r="P1283" s="281">
        <f t="shared" si="416"/>
        <v>1810719.07</v>
      </c>
      <c r="Q1283" s="281">
        <f t="shared" si="416"/>
        <v>0</v>
      </c>
      <c r="R1283" s="281">
        <f t="shared" si="416"/>
        <v>0</v>
      </c>
      <c r="S1283" s="281">
        <f t="shared" si="416"/>
        <v>0</v>
      </c>
      <c r="T1283" s="281">
        <f t="shared" si="416"/>
        <v>0</v>
      </c>
      <c r="U1283" s="281">
        <f t="shared" si="416"/>
        <v>0</v>
      </c>
      <c r="V1283" s="281">
        <f t="shared" si="416"/>
        <v>0</v>
      </c>
      <c r="W1283" s="281">
        <f t="shared" si="416"/>
        <v>0</v>
      </c>
      <c r="X1283" s="281">
        <f t="shared" si="416"/>
        <v>0</v>
      </c>
      <c r="Y1283" s="281">
        <f t="shared" si="416"/>
        <v>0</v>
      </c>
      <c r="Z1283" s="281">
        <f t="shared" si="416"/>
        <v>0</v>
      </c>
      <c r="AA1283" s="281">
        <f t="shared" si="416"/>
        <v>0</v>
      </c>
      <c r="AB1283" s="281">
        <f t="shared" si="416"/>
        <v>0</v>
      </c>
      <c r="AC1283" s="281">
        <f t="shared" si="416"/>
        <v>0</v>
      </c>
      <c r="AD1283" s="281">
        <f t="shared" si="416"/>
        <v>0</v>
      </c>
      <c r="AE1283" s="281">
        <f t="shared" si="416"/>
        <v>25395.33</v>
      </c>
      <c r="AF1283" s="281">
        <f t="shared" si="416"/>
        <v>0</v>
      </c>
      <c r="AG1283" s="281">
        <f t="shared" si="416"/>
        <v>0</v>
      </c>
      <c r="AH1283" s="283" t="s">
        <v>1918</v>
      </c>
      <c r="AI1283" s="283" t="s">
        <v>1918</v>
      </c>
      <c r="AJ1283" s="283" t="s">
        <v>1918</v>
      </c>
      <c r="AK1283" s="272"/>
      <c r="AL1283" s="278"/>
      <c r="AM1283" s="287"/>
      <c r="AN1283" s="272"/>
      <c r="AO1283" s="272"/>
      <c r="AP1283" s="451"/>
      <c r="AQ1283" s="451"/>
      <c r="AR1283" s="451"/>
      <c r="AS1283" s="451"/>
      <c r="AT1283" s="453"/>
      <c r="AU1283" s="253"/>
      <c r="AV1283" s="451"/>
      <c r="AW1283" s="451"/>
      <c r="AX1283" s="451"/>
      <c r="AY1283" s="451"/>
      <c r="AZ1283" s="451"/>
      <c r="BA1283" s="451"/>
      <c r="BB1283" s="451"/>
      <c r="BC1283" s="451"/>
      <c r="BD1283" s="451"/>
      <c r="BE1283" s="451"/>
      <c r="BF1283" s="451"/>
      <c r="BG1283" s="451"/>
      <c r="BH1283" s="452"/>
      <c r="BI1283" s="451"/>
      <c r="BJ1283" s="451"/>
      <c r="BK1283" s="451"/>
      <c r="BL1283" s="451"/>
      <c r="BM1283" s="451"/>
      <c r="BN1283" s="451"/>
      <c r="BO1283" s="451"/>
      <c r="BP1283" s="451"/>
      <c r="BQ1283" s="451"/>
      <c r="BR1283" s="451"/>
      <c r="BS1283" s="451"/>
      <c r="BT1283" s="452"/>
      <c r="BU1283" s="451"/>
      <c r="BV1283" s="451"/>
      <c r="BW1283" s="253"/>
      <c r="BX1283" s="451"/>
      <c r="BY1283" s="451"/>
      <c r="BZ1283" s="451"/>
      <c r="CA1283" s="451"/>
      <c r="CB1283" s="451"/>
      <c r="CC1283" s="451"/>
      <c r="CD1283" s="451"/>
      <c r="CE1283" s="451"/>
      <c r="CF1283" s="451"/>
      <c r="CG1283" s="451"/>
      <c r="CH1283" s="451"/>
      <c r="CI1283" s="451"/>
      <c r="CJ1283" s="452"/>
      <c r="CK1283" s="451"/>
      <c r="CL1283" s="451"/>
      <c r="CM1283" s="452"/>
      <c r="CN1283" s="451"/>
      <c r="CO1283" s="451"/>
      <c r="CP1283" s="451"/>
      <c r="CQ1283" s="451"/>
      <c r="CR1283" s="451"/>
      <c r="CS1283" s="451"/>
      <c r="CT1283" s="451"/>
      <c r="CU1283" s="451"/>
      <c r="CV1283" s="451"/>
      <c r="CW1283" s="451"/>
      <c r="CX1283" s="451"/>
      <c r="CY1283" s="451"/>
      <c r="CZ1283" s="451"/>
      <c r="DA1283" s="451"/>
      <c r="DB1283" s="451"/>
      <c r="DC1283" s="451"/>
      <c r="DD1283" s="451"/>
      <c r="DE1283" s="451"/>
      <c r="DF1283" s="451"/>
      <c r="DG1283" s="451"/>
      <c r="DH1283" s="451"/>
      <c r="DI1283" s="451"/>
      <c r="DJ1283" s="451"/>
      <c r="DK1283" s="451"/>
      <c r="DL1283" s="451"/>
      <c r="DM1283" s="451"/>
      <c r="DN1283" s="451"/>
      <c r="DO1283" s="451"/>
      <c r="DP1283" s="451"/>
      <c r="DQ1283" s="451"/>
      <c r="DR1283" s="451"/>
      <c r="DS1283" s="451"/>
      <c r="DT1283" s="451"/>
      <c r="DU1283" s="451"/>
      <c r="DV1283" s="451"/>
      <c r="DW1283" s="451"/>
      <c r="DX1283" s="451"/>
      <c r="DY1283" s="451"/>
      <c r="DZ1283" s="451"/>
      <c r="EA1283" s="451"/>
      <c r="EB1283" s="451"/>
      <c r="EC1283" s="451"/>
      <c r="ED1283" s="451"/>
      <c r="EE1283" s="451"/>
      <c r="EF1283" s="451"/>
      <c r="EG1283" s="451"/>
      <c r="EH1283" s="451"/>
      <c r="EI1283" s="451"/>
      <c r="EJ1283" s="451"/>
      <c r="EK1283" s="451"/>
      <c r="EL1283" s="236"/>
      <c r="EM1283" s="451"/>
      <c r="EN1283" s="253"/>
      <c r="EO1283" s="451"/>
      <c r="EP1283" s="451"/>
      <c r="EQ1283" s="451"/>
      <c r="ER1283" s="451"/>
      <c r="ES1283" s="451"/>
      <c r="ET1283" s="451"/>
      <c r="EU1283" s="451"/>
      <c r="EV1283" s="451"/>
      <c r="EW1283" s="452"/>
      <c r="EX1283" s="451"/>
      <c r="EY1283" s="451"/>
      <c r="EZ1283" s="451"/>
      <c r="FA1283" s="451"/>
      <c r="FB1283" s="451"/>
      <c r="FC1283" s="451"/>
      <c r="FD1283" s="451"/>
      <c r="FE1283" s="451"/>
      <c r="FF1283" s="451"/>
      <c r="FG1283" s="451"/>
      <c r="FH1283" s="451"/>
      <c r="FI1283" s="451"/>
      <c r="FJ1283" s="451"/>
      <c r="FK1283" s="236"/>
      <c r="FL1283" s="451"/>
      <c r="FM1283" s="451"/>
      <c r="FN1283" s="454"/>
      <c r="FO1283" s="253"/>
      <c r="FP1283" s="451"/>
      <c r="FQ1283" s="451"/>
      <c r="FR1283" s="451"/>
      <c r="FS1283" s="451"/>
      <c r="FT1283" s="451"/>
      <c r="FU1283" s="451"/>
      <c r="FV1283" s="451"/>
      <c r="FW1283" s="451"/>
      <c r="FX1283" s="452"/>
      <c r="FY1283" s="451"/>
      <c r="FZ1283" s="451"/>
      <c r="GA1283" s="451"/>
      <c r="GB1283" s="451"/>
      <c r="GC1283" s="451"/>
      <c r="GD1283" s="451"/>
      <c r="GE1283" s="451"/>
      <c r="GF1283" s="451"/>
      <c r="GG1283" s="451"/>
      <c r="GH1283" s="451"/>
      <c r="GI1283" s="451"/>
      <c r="GJ1283" s="451"/>
      <c r="GK1283" s="451"/>
      <c r="GL1283" s="451"/>
      <c r="GM1283" s="451"/>
      <c r="GN1283" s="451"/>
      <c r="GO1283" s="451"/>
      <c r="GP1283" s="455"/>
      <c r="GQ1283" s="451"/>
      <c r="GR1283" s="451"/>
      <c r="GS1283" s="451"/>
      <c r="GT1283" s="451"/>
      <c r="GU1283" s="451"/>
      <c r="GV1283" s="451"/>
      <c r="GW1283" s="451"/>
      <c r="GX1283" s="451"/>
      <c r="GY1283" s="451"/>
      <c r="GZ1283" s="452"/>
      <c r="HA1283" s="451"/>
      <c r="HB1283" s="253"/>
      <c r="HC1283" s="451"/>
      <c r="HD1283" s="452"/>
      <c r="HE1283" s="451"/>
      <c r="HF1283" s="451"/>
      <c r="HG1283" s="451"/>
      <c r="HH1283" s="451"/>
      <c r="HI1283" s="451"/>
      <c r="HJ1283" s="451"/>
      <c r="HK1283" s="451"/>
      <c r="HL1283" s="451"/>
      <c r="HM1283" s="451"/>
      <c r="HN1283" s="451"/>
      <c r="HO1283" s="451"/>
      <c r="HP1283" s="451"/>
      <c r="HQ1283" s="451" t="s">
        <v>1920</v>
      </c>
      <c r="HR1283" s="451">
        <v>44890.35</v>
      </c>
      <c r="HS1283" s="451"/>
      <c r="HT1283" s="451"/>
      <c r="HU1283" s="451"/>
      <c r="HV1283" s="451"/>
      <c r="HW1283" s="451"/>
      <c r="HX1283" s="451"/>
      <c r="HY1283" s="451"/>
      <c r="HZ1283" s="451"/>
      <c r="IA1283" s="451"/>
      <c r="IB1283" s="451"/>
      <c r="IC1283" s="451"/>
      <c r="ID1283" s="451"/>
      <c r="IE1283" s="451"/>
      <c r="IF1283" s="451"/>
      <c r="IG1283" s="451"/>
      <c r="IH1283" s="451"/>
      <c r="II1283" s="451"/>
      <c r="IJ1283" s="451"/>
      <c r="IK1283" s="451"/>
      <c r="IL1283" s="451"/>
      <c r="IM1283" s="451"/>
      <c r="IN1283" s="451"/>
      <c r="IO1283" s="451"/>
      <c r="IP1283" s="451"/>
      <c r="IQ1283" s="451"/>
      <c r="IR1283" s="451"/>
      <c r="IS1283" s="451"/>
      <c r="IT1283" s="451"/>
      <c r="IU1283" s="451"/>
      <c r="IV1283" s="451"/>
      <c r="IW1283" s="451"/>
      <c r="IX1283" s="451"/>
      <c r="IY1283" s="451"/>
      <c r="IZ1283" s="451"/>
      <c r="JA1283" s="451"/>
      <c r="JB1283" s="451"/>
    </row>
    <row r="1284" spans="1:262" s="267" customFormat="1" ht="63" x14ac:dyDescent="0.85">
      <c r="A1284" s="273"/>
      <c r="B1284" s="288">
        <v>1</v>
      </c>
      <c r="C1284" s="286" t="s">
        <v>1921</v>
      </c>
      <c r="D1284" s="281">
        <v>2094823</v>
      </c>
      <c r="E1284" s="281">
        <f t="shared" si="413"/>
        <v>258708.59999999986</v>
      </c>
      <c r="F1284" s="5">
        <f t="shared" si="415"/>
        <v>1836114.4000000001</v>
      </c>
      <c r="G1284" s="289">
        <v>0</v>
      </c>
      <c r="H1284" s="251">
        <v>0</v>
      </c>
      <c r="I1284" s="251">
        <v>0</v>
      </c>
      <c r="J1284" s="251">
        <v>0</v>
      </c>
      <c r="K1284" s="251">
        <v>0</v>
      </c>
      <c r="L1284" s="251">
        <v>0</v>
      </c>
      <c r="M1284" s="282">
        <v>0</v>
      </c>
      <c r="N1284" s="251">
        <v>0</v>
      </c>
      <c r="O1284" s="7">
        <v>454</v>
      </c>
      <c r="P1284" s="7">
        <v>1810719.07</v>
      </c>
      <c r="Q1284" s="251">
        <v>0</v>
      </c>
      <c r="R1284" s="251">
        <v>0</v>
      </c>
      <c r="S1284" s="251">
        <v>0</v>
      </c>
      <c r="T1284" s="251">
        <v>0</v>
      </c>
      <c r="U1284" s="251">
        <v>0</v>
      </c>
      <c r="V1284" s="251">
        <v>0</v>
      </c>
      <c r="W1284" s="251">
        <v>0</v>
      </c>
      <c r="X1284" s="251">
        <v>0</v>
      </c>
      <c r="Y1284" s="251">
        <v>0</v>
      </c>
      <c r="Z1284" s="251">
        <v>0</v>
      </c>
      <c r="AA1284" s="251">
        <v>0</v>
      </c>
      <c r="AB1284" s="251">
        <v>0</v>
      </c>
      <c r="AC1284" s="251">
        <v>0</v>
      </c>
      <c r="AD1284" s="251">
        <v>0</v>
      </c>
      <c r="AE1284" s="7">
        <v>25395.33</v>
      </c>
      <c r="AF1284" s="251">
        <v>0</v>
      </c>
      <c r="AG1284" s="251">
        <v>0</v>
      </c>
      <c r="AH1284" s="66" t="s">
        <v>49</v>
      </c>
      <c r="AI1284" s="66">
        <v>2020</v>
      </c>
      <c r="AJ1284" s="66">
        <v>2020</v>
      </c>
      <c r="AK1284" s="272"/>
      <c r="AL1284" s="272"/>
      <c r="AM1284" s="287"/>
      <c r="AN1284" s="272"/>
      <c r="AO1284" s="272"/>
      <c r="AP1284" s="451"/>
      <c r="AQ1284" s="451"/>
      <c r="AR1284" s="451"/>
      <c r="AS1284" s="451"/>
      <c r="AT1284" s="453"/>
      <c r="AU1284" s="253"/>
      <c r="AV1284" s="451"/>
      <c r="AW1284" s="451"/>
      <c r="AX1284" s="451"/>
      <c r="AY1284" s="451"/>
      <c r="AZ1284" s="451"/>
      <c r="BA1284" s="451"/>
      <c r="BB1284" s="451"/>
      <c r="BC1284" s="451"/>
      <c r="BD1284" s="451"/>
      <c r="BE1284" s="451"/>
      <c r="BF1284" s="451"/>
      <c r="BG1284" s="451"/>
      <c r="BH1284" s="452"/>
      <c r="BI1284" s="451"/>
      <c r="BJ1284" s="451"/>
      <c r="BK1284" s="451"/>
      <c r="BL1284" s="451"/>
      <c r="BM1284" s="451"/>
      <c r="BN1284" s="451"/>
      <c r="BO1284" s="451"/>
      <c r="BP1284" s="451"/>
      <c r="BQ1284" s="451"/>
      <c r="BR1284" s="451"/>
      <c r="BS1284" s="451"/>
      <c r="BT1284" s="452"/>
      <c r="BU1284" s="451"/>
      <c r="BV1284" s="451"/>
      <c r="BW1284" s="253"/>
      <c r="BX1284" s="451"/>
      <c r="BY1284" s="451"/>
      <c r="BZ1284" s="451"/>
      <c r="CA1284" s="451"/>
      <c r="CB1284" s="451"/>
      <c r="CC1284" s="451"/>
      <c r="CD1284" s="451"/>
      <c r="CE1284" s="451"/>
      <c r="CF1284" s="451"/>
      <c r="CG1284" s="451"/>
      <c r="CH1284" s="451"/>
      <c r="CI1284" s="451"/>
      <c r="CJ1284" s="452"/>
      <c r="CK1284" s="451"/>
      <c r="CL1284" s="451"/>
      <c r="CM1284" s="452"/>
      <c r="CN1284" s="451"/>
      <c r="CO1284" s="451"/>
      <c r="CP1284" s="451"/>
      <c r="CQ1284" s="451"/>
      <c r="CR1284" s="451"/>
      <c r="CS1284" s="451"/>
      <c r="CT1284" s="451"/>
      <c r="CU1284" s="451"/>
      <c r="CV1284" s="451"/>
      <c r="CW1284" s="451"/>
      <c r="CX1284" s="451"/>
      <c r="CY1284" s="451"/>
      <c r="CZ1284" s="451"/>
      <c r="DA1284" s="451"/>
      <c r="DB1284" s="451"/>
      <c r="DC1284" s="451"/>
      <c r="DD1284" s="451"/>
      <c r="DE1284" s="451"/>
      <c r="DF1284" s="451"/>
      <c r="DG1284" s="451"/>
      <c r="DH1284" s="451"/>
      <c r="DI1284" s="451"/>
      <c r="DJ1284" s="451"/>
      <c r="DK1284" s="451"/>
      <c r="DL1284" s="451"/>
      <c r="DM1284" s="451"/>
      <c r="DN1284" s="451"/>
      <c r="DO1284" s="451"/>
      <c r="DP1284" s="451"/>
      <c r="DQ1284" s="451"/>
      <c r="DR1284" s="451"/>
      <c r="DS1284" s="451"/>
      <c r="DT1284" s="451"/>
      <c r="DU1284" s="451"/>
      <c r="DV1284" s="451"/>
      <c r="DW1284" s="451"/>
      <c r="DX1284" s="451"/>
      <c r="DY1284" s="451"/>
      <c r="DZ1284" s="451"/>
      <c r="EA1284" s="451"/>
      <c r="EB1284" s="451"/>
      <c r="EC1284" s="451"/>
      <c r="ED1284" s="451"/>
      <c r="EE1284" s="451"/>
      <c r="EF1284" s="451"/>
      <c r="EG1284" s="451"/>
      <c r="EH1284" s="451"/>
      <c r="EI1284" s="451"/>
      <c r="EJ1284" s="451"/>
      <c r="EK1284" s="451"/>
      <c r="EL1284" s="236"/>
      <c r="EM1284" s="451"/>
      <c r="EN1284" s="253"/>
      <c r="EO1284" s="451"/>
      <c r="EP1284" s="451"/>
      <c r="EQ1284" s="451"/>
      <c r="ER1284" s="451"/>
      <c r="ES1284" s="451"/>
      <c r="ET1284" s="451"/>
      <c r="EU1284" s="451"/>
      <c r="EV1284" s="451"/>
      <c r="EW1284" s="452"/>
      <c r="EX1284" s="451"/>
      <c r="EY1284" s="451"/>
      <c r="EZ1284" s="451"/>
      <c r="FA1284" s="451"/>
      <c r="FB1284" s="451"/>
      <c r="FC1284" s="451"/>
      <c r="FD1284" s="451"/>
      <c r="FE1284" s="451"/>
      <c r="FF1284" s="451"/>
      <c r="FG1284" s="451"/>
      <c r="FH1284" s="451"/>
      <c r="FI1284" s="451"/>
      <c r="FJ1284" s="451"/>
      <c r="FK1284" s="236"/>
      <c r="FL1284" s="451"/>
      <c r="FM1284" s="451"/>
      <c r="FN1284" s="253"/>
      <c r="FO1284" s="253"/>
      <c r="FP1284" s="451"/>
      <c r="FQ1284" s="451"/>
      <c r="FR1284" s="451"/>
      <c r="FS1284" s="451"/>
      <c r="FT1284" s="451"/>
      <c r="FU1284" s="451"/>
      <c r="FV1284" s="451"/>
      <c r="FW1284" s="451"/>
      <c r="FX1284" s="452"/>
      <c r="FY1284" s="451"/>
      <c r="FZ1284" s="451"/>
      <c r="GA1284" s="451"/>
      <c r="GB1284" s="451"/>
      <c r="GC1284" s="451"/>
      <c r="GD1284" s="451"/>
      <c r="GE1284" s="451"/>
      <c r="GF1284" s="451"/>
      <c r="GG1284" s="451"/>
      <c r="GH1284" s="451"/>
      <c r="GI1284" s="451"/>
      <c r="GJ1284" s="451"/>
      <c r="GK1284" s="451"/>
      <c r="GL1284" s="451"/>
      <c r="GM1284" s="451"/>
      <c r="GN1284" s="451"/>
      <c r="GO1284" s="451"/>
      <c r="GP1284" s="455"/>
      <c r="GQ1284" s="451"/>
      <c r="GR1284" s="451"/>
      <c r="GS1284" s="451"/>
      <c r="GT1284" s="451"/>
      <c r="GU1284" s="451"/>
      <c r="GV1284" s="451"/>
      <c r="GW1284" s="451"/>
      <c r="GX1284" s="451"/>
      <c r="GY1284" s="451"/>
      <c r="GZ1284" s="452"/>
      <c r="HA1284" s="451"/>
      <c r="HB1284" s="253"/>
      <c r="HC1284" s="451"/>
      <c r="HD1284" s="451"/>
      <c r="HE1284" s="451"/>
      <c r="HF1284" s="451"/>
      <c r="HG1284" s="451"/>
      <c r="HH1284" s="451"/>
      <c r="HI1284" s="451"/>
      <c r="HJ1284" s="451"/>
      <c r="HK1284" s="451"/>
      <c r="HL1284" s="451"/>
      <c r="HM1284" s="451"/>
      <c r="HN1284" s="451"/>
      <c r="HO1284" s="451"/>
      <c r="HP1284" s="451"/>
      <c r="HQ1284" s="451" t="s">
        <v>1922</v>
      </c>
      <c r="HR1284" s="451">
        <v>52429.26</v>
      </c>
      <c r="HS1284" s="451"/>
      <c r="HT1284" s="451"/>
      <c r="HU1284" s="451"/>
      <c r="HV1284" s="451"/>
      <c r="HW1284" s="451"/>
      <c r="HX1284" s="451"/>
      <c r="HY1284" s="451"/>
      <c r="HZ1284" s="451"/>
      <c r="IA1284" s="451"/>
      <c r="IB1284" s="451"/>
      <c r="IC1284" s="451"/>
      <c r="ID1284" s="451"/>
      <c r="IE1284" s="451"/>
      <c r="IF1284" s="451"/>
      <c r="IG1284" s="451"/>
      <c r="IH1284" s="451"/>
      <c r="II1284" s="451"/>
      <c r="IJ1284" s="451"/>
      <c r="IK1284" s="451"/>
      <c r="IL1284" s="451"/>
      <c r="IM1284" s="451"/>
      <c r="IN1284" s="451"/>
      <c r="IO1284" s="451"/>
      <c r="IP1284" s="451"/>
      <c r="IQ1284" s="451"/>
      <c r="IR1284" s="451"/>
      <c r="IS1284" s="451"/>
      <c r="IT1284" s="451"/>
      <c r="IU1284" s="451"/>
      <c r="IV1284" s="451"/>
      <c r="IW1284" s="451"/>
      <c r="IX1284" s="451"/>
      <c r="IY1284" s="451"/>
      <c r="IZ1284" s="451"/>
      <c r="JA1284" s="451"/>
      <c r="JB1284" s="451"/>
    </row>
    <row r="1285" spans="1:262" s="267" customFormat="1" ht="76.5" x14ac:dyDescent="0.85">
      <c r="B1285" s="285" t="s">
        <v>96</v>
      </c>
      <c r="C1285" s="286"/>
      <c r="D1285" s="281">
        <v>2852270</v>
      </c>
      <c r="E1285" s="281">
        <f t="shared" si="413"/>
        <v>208389</v>
      </c>
      <c r="F1285" s="5">
        <f t="shared" si="415"/>
        <v>2643881</v>
      </c>
      <c r="G1285" s="281">
        <f t="shared" si="416"/>
        <v>0</v>
      </c>
      <c r="H1285" s="281">
        <f t="shared" si="416"/>
        <v>0</v>
      </c>
      <c r="I1285" s="281">
        <f t="shared" si="416"/>
        <v>0</v>
      </c>
      <c r="J1285" s="281">
        <f t="shared" si="416"/>
        <v>0</v>
      </c>
      <c r="K1285" s="281">
        <f t="shared" si="416"/>
        <v>0</v>
      </c>
      <c r="L1285" s="281">
        <f t="shared" si="416"/>
        <v>0</v>
      </c>
      <c r="M1285" s="282">
        <f t="shared" si="416"/>
        <v>0</v>
      </c>
      <c r="N1285" s="281">
        <f t="shared" si="416"/>
        <v>0</v>
      </c>
      <c r="O1285" s="281">
        <f t="shared" si="416"/>
        <v>720</v>
      </c>
      <c r="P1285" s="281">
        <f t="shared" si="416"/>
        <v>2643881</v>
      </c>
      <c r="Q1285" s="281">
        <f t="shared" si="416"/>
        <v>0</v>
      </c>
      <c r="R1285" s="281">
        <f t="shared" si="416"/>
        <v>0</v>
      </c>
      <c r="S1285" s="281">
        <f t="shared" si="416"/>
        <v>0</v>
      </c>
      <c r="T1285" s="281">
        <f t="shared" si="416"/>
        <v>0</v>
      </c>
      <c r="U1285" s="281">
        <f t="shared" si="416"/>
        <v>0</v>
      </c>
      <c r="V1285" s="281">
        <f t="shared" si="416"/>
        <v>0</v>
      </c>
      <c r="W1285" s="281">
        <f t="shared" si="416"/>
        <v>0</v>
      </c>
      <c r="X1285" s="281">
        <f t="shared" si="416"/>
        <v>0</v>
      </c>
      <c r="Y1285" s="281">
        <f t="shared" si="416"/>
        <v>0</v>
      </c>
      <c r="Z1285" s="281">
        <f t="shared" si="416"/>
        <v>0</v>
      </c>
      <c r="AA1285" s="281">
        <f t="shared" si="416"/>
        <v>0</v>
      </c>
      <c r="AB1285" s="281">
        <f t="shared" si="416"/>
        <v>0</v>
      </c>
      <c r="AC1285" s="281">
        <f t="shared" si="416"/>
        <v>0</v>
      </c>
      <c r="AD1285" s="281">
        <f t="shared" si="416"/>
        <v>0</v>
      </c>
      <c r="AE1285" s="281">
        <f t="shared" si="416"/>
        <v>0</v>
      </c>
      <c r="AF1285" s="281">
        <f t="shared" si="416"/>
        <v>0</v>
      </c>
      <c r="AG1285" s="281">
        <f t="shared" si="416"/>
        <v>0</v>
      </c>
      <c r="AH1285" s="283" t="s">
        <v>1918</v>
      </c>
      <c r="AI1285" s="283" t="s">
        <v>1918</v>
      </c>
      <c r="AJ1285" s="283" t="s">
        <v>1918</v>
      </c>
      <c r="AK1285" s="272"/>
      <c r="AL1285" s="278"/>
      <c r="AM1285" s="287"/>
      <c r="AN1285" s="272"/>
      <c r="AO1285" s="272"/>
      <c r="AP1285" s="451"/>
      <c r="AQ1285" s="451"/>
      <c r="AR1285" s="451"/>
      <c r="AS1285" s="451"/>
      <c r="AT1285" s="453"/>
      <c r="AU1285" s="253"/>
      <c r="AV1285" s="451"/>
      <c r="AW1285" s="451"/>
      <c r="AX1285" s="451"/>
      <c r="AY1285" s="451"/>
      <c r="AZ1285" s="451"/>
      <c r="BA1285" s="451"/>
      <c r="BB1285" s="451"/>
      <c r="BC1285" s="451"/>
      <c r="BD1285" s="451"/>
      <c r="BE1285" s="451"/>
      <c r="BF1285" s="451"/>
      <c r="BG1285" s="451"/>
      <c r="BH1285" s="452"/>
      <c r="BI1285" s="451"/>
      <c r="BJ1285" s="451"/>
      <c r="BK1285" s="451"/>
      <c r="BL1285" s="451"/>
      <c r="BM1285" s="451"/>
      <c r="BN1285" s="451"/>
      <c r="BO1285" s="451"/>
      <c r="BP1285" s="451"/>
      <c r="BQ1285" s="451"/>
      <c r="BR1285" s="451"/>
      <c r="BS1285" s="451"/>
      <c r="BT1285" s="452"/>
      <c r="BU1285" s="451"/>
      <c r="BV1285" s="451"/>
      <c r="BW1285" s="253"/>
      <c r="BX1285" s="451"/>
      <c r="BY1285" s="451"/>
      <c r="BZ1285" s="451"/>
      <c r="CA1285" s="451"/>
      <c r="CB1285" s="451"/>
      <c r="CC1285" s="451"/>
      <c r="CD1285" s="451"/>
      <c r="CE1285" s="451"/>
      <c r="CF1285" s="451"/>
      <c r="CG1285" s="451"/>
      <c r="CH1285" s="451"/>
      <c r="CI1285" s="451"/>
      <c r="CJ1285" s="452"/>
      <c r="CK1285" s="451"/>
      <c r="CL1285" s="451"/>
      <c r="CM1285" s="452"/>
      <c r="CN1285" s="451"/>
      <c r="CO1285" s="451"/>
      <c r="CP1285" s="451"/>
      <c r="CQ1285" s="451"/>
      <c r="CR1285" s="451"/>
      <c r="CS1285" s="451"/>
      <c r="CT1285" s="451"/>
      <c r="CU1285" s="451"/>
      <c r="CV1285" s="451"/>
      <c r="CW1285" s="451"/>
      <c r="CX1285" s="451"/>
      <c r="CY1285" s="451"/>
      <c r="CZ1285" s="451"/>
      <c r="DA1285" s="451"/>
      <c r="DB1285" s="451"/>
      <c r="DC1285" s="451"/>
      <c r="DD1285" s="451"/>
      <c r="DE1285" s="451"/>
      <c r="DF1285" s="451"/>
      <c r="DG1285" s="451"/>
      <c r="DH1285" s="451"/>
      <c r="DI1285" s="451"/>
      <c r="DJ1285" s="451"/>
      <c r="DK1285" s="451"/>
      <c r="DL1285" s="451"/>
      <c r="DM1285" s="451"/>
      <c r="DN1285" s="451"/>
      <c r="DO1285" s="451"/>
      <c r="DP1285" s="451"/>
      <c r="DQ1285" s="451"/>
      <c r="DR1285" s="451"/>
      <c r="DS1285" s="451"/>
      <c r="DT1285" s="451"/>
      <c r="DU1285" s="451"/>
      <c r="DV1285" s="451"/>
      <c r="DW1285" s="451"/>
      <c r="DX1285" s="451"/>
      <c r="DY1285" s="451"/>
      <c r="DZ1285" s="451"/>
      <c r="EA1285" s="451"/>
      <c r="EB1285" s="451"/>
      <c r="EC1285" s="451"/>
      <c r="ED1285" s="451"/>
      <c r="EE1285" s="451"/>
      <c r="EF1285" s="451"/>
      <c r="EG1285" s="451"/>
      <c r="EH1285" s="451"/>
      <c r="EI1285" s="451"/>
      <c r="EJ1285" s="451"/>
      <c r="EK1285" s="451"/>
      <c r="EL1285" s="236"/>
      <c r="EM1285" s="451"/>
      <c r="EN1285" s="253"/>
      <c r="EO1285" s="451"/>
      <c r="EP1285" s="451"/>
      <c r="EQ1285" s="451"/>
      <c r="ER1285" s="451"/>
      <c r="ES1285" s="451"/>
      <c r="ET1285" s="451"/>
      <c r="EU1285" s="451"/>
      <c r="EV1285" s="451"/>
      <c r="EW1285" s="452"/>
      <c r="EX1285" s="451"/>
      <c r="EY1285" s="451"/>
      <c r="EZ1285" s="451"/>
      <c r="FA1285" s="451"/>
      <c r="FB1285" s="451"/>
      <c r="FC1285" s="451"/>
      <c r="FD1285" s="451"/>
      <c r="FE1285" s="451"/>
      <c r="FF1285" s="451"/>
      <c r="FG1285" s="451"/>
      <c r="FH1285" s="451"/>
      <c r="FI1285" s="451"/>
      <c r="FJ1285" s="451"/>
      <c r="FK1285" s="236"/>
      <c r="FL1285" s="451"/>
      <c r="FM1285" s="451"/>
      <c r="FN1285" s="454"/>
      <c r="FO1285" s="253"/>
      <c r="FP1285" s="451"/>
      <c r="FQ1285" s="451"/>
      <c r="FR1285" s="451"/>
      <c r="FS1285" s="451"/>
      <c r="FT1285" s="451"/>
      <c r="FU1285" s="451"/>
      <c r="FV1285" s="451"/>
      <c r="FW1285" s="451"/>
      <c r="FX1285" s="452"/>
      <c r="FY1285" s="451"/>
      <c r="FZ1285" s="451"/>
      <c r="GA1285" s="451"/>
      <c r="GB1285" s="451"/>
      <c r="GC1285" s="451"/>
      <c r="GD1285" s="451"/>
      <c r="GE1285" s="451"/>
      <c r="GF1285" s="451"/>
      <c r="GG1285" s="451"/>
      <c r="GH1285" s="451"/>
      <c r="GI1285" s="451"/>
      <c r="GJ1285" s="451"/>
      <c r="GK1285" s="451"/>
      <c r="GL1285" s="451"/>
      <c r="GM1285" s="451"/>
      <c r="GN1285" s="451"/>
      <c r="GO1285" s="451"/>
      <c r="GP1285" s="455"/>
      <c r="GQ1285" s="451"/>
      <c r="GR1285" s="451"/>
      <c r="GS1285" s="451"/>
      <c r="GT1285" s="451"/>
      <c r="GU1285" s="451"/>
      <c r="GV1285" s="451"/>
      <c r="GW1285" s="451"/>
      <c r="GX1285" s="451"/>
      <c r="GY1285" s="451"/>
      <c r="GZ1285" s="452"/>
      <c r="HA1285" s="451"/>
      <c r="HB1285" s="253"/>
      <c r="HC1285" s="451"/>
      <c r="HD1285" s="452"/>
      <c r="HE1285" s="451"/>
      <c r="HF1285" s="451"/>
      <c r="HG1285" s="451"/>
      <c r="HH1285" s="451"/>
      <c r="HI1285" s="451"/>
      <c r="HJ1285" s="451"/>
      <c r="HK1285" s="451"/>
      <c r="HL1285" s="451"/>
      <c r="HM1285" s="451"/>
      <c r="HN1285" s="451"/>
      <c r="HO1285" s="451"/>
      <c r="HP1285" s="451"/>
      <c r="HQ1285" s="451" t="s">
        <v>1920</v>
      </c>
      <c r="HR1285" s="451">
        <v>44890.35</v>
      </c>
      <c r="HS1285" s="451"/>
      <c r="HT1285" s="451"/>
      <c r="HU1285" s="451"/>
      <c r="HV1285" s="451"/>
      <c r="HW1285" s="451"/>
      <c r="HX1285" s="451"/>
      <c r="HY1285" s="451"/>
      <c r="HZ1285" s="451"/>
      <c r="IA1285" s="451"/>
      <c r="IB1285" s="451"/>
      <c r="IC1285" s="451"/>
      <c r="ID1285" s="451"/>
      <c r="IE1285" s="451"/>
      <c r="IF1285" s="451"/>
      <c r="IG1285" s="451"/>
      <c r="IH1285" s="451"/>
      <c r="II1285" s="451"/>
      <c r="IJ1285" s="451"/>
      <c r="IK1285" s="451"/>
      <c r="IL1285" s="451"/>
      <c r="IM1285" s="451"/>
      <c r="IN1285" s="451"/>
      <c r="IO1285" s="451"/>
      <c r="IP1285" s="451"/>
      <c r="IQ1285" s="451"/>
      <c r="IR1285" s="451"/>
      <c r="IS1285" s="451"/>
      <c r="IT1285" s="451"/>
      <c r="IU1285" s="451"/>
      <c r="IV1285" s="451"/>
      <c r="IW1285" s="451"/>
      <c r="IX1285" s="451"/>
      <c r="IY1285" s="451"/>
      <c r="IZ1285" s="451"/>
      <c r="JA1285" s="451"/>
      <c r="JB1285" s="451"/>
    </row>
    <row r="1286" spans="1:262" s="240" customFormat="1" ht="76.5" customHeight="1" x14ac:dyDescent="0.85">
      <c r="A1286" s="273"/>
      <c r="B1286" s="288">
        <v>2</v>
      </c>
      <c r="C1286" s="290" t="s">
        <v>1923</v>
      </c>
      <c r="D1286" s="251">
        <v>2852270</v>
      </c>
      <c r="E1286" s="251">
        <f t="shared" si="413"/>
        <v>208389</v>
      </c>
      <c r="F1286" s="5">
        <f t="shared" si="415"/>
        <v>2643881</v>
      </c>
      <c r="G1286" s="289">
        <v>0</v>
      </c>
      <c r="H1286" s="251">
        <v>0</v>
      </c>
      <c r="I1286" s="251">
        <v>0</v>
      </c>
      <c r="J1286" s="251">
        <v>0</v>
      </c>
      <c r="K1286" s="251">
        <v>0</v>
      </c>
      <c r="L1286" s="251">
        <v>0</v>
      </c>
      <c r="M1286" s="282">
        <v>0</v>
      </c>
      <c r="N1286" s="251">
        <v>0</v>
      </c>
      <c r="O1286" s="7">
        <v>720</v>
      </c>
      <c r="P1286" s="7">
        <v>2643881</v>
      </c>
      <c r="Q1286" s="251">
        <v>0</v>
      </c>
      <c r="R1286" s="251">
        <v>0</v>
      </c>
      <c r="S1286" s="251">
        <v>0</v>
      </c>
      <c r="T1286" s="251">
        <v>0</v>
      </c>
      <c r="U1286" s="251">
        <v>0</v>
      </c>
      <c r="V1286" s="251">
        <v>0</v>
      </c>
      <c r="W1286" s="251">
        <v>0</v>
      </c>
      <c r="X1286" s="251">
        <v>0</v>
      </c>
      <c r="Y1286" s="251">
        <v>0</v>
      </c>
      <c r="Z1286" s="251">
        <v>0</v>
      </c>
      <c r="AA1286" s="251">
        <v>0</v>
      </c>
      <c r="AB1286" s="251">
        <v>0</v>
      </c>
      <c r="AC1286" s="251">
        <v>0</v>
      </c>
      <c r="AD1286" s="251">
        <v>0</v>
      </c>
      <c r="AE1286" s="251">
        <v>0</v>
      </c>
      <c r="AF1286" s="251">
        <v>0</v>
      </c>
      <c r="AG1286" s="251">
        <v>0</v>
      </c>
      <c r="AH1286" s="66" t="s">
        <v>49</v>
      </c>
      <c r="AI1286" s="66">
        <v>2020</v>
      </c>
      <c r="AJ1286" s="66" t="s">
        <v>49</v>
      </c>
      <c r="AK1286" s="272"/>
      <c r="AL1286" s="272"/>
      <c r="AM1286" s="287"/>
      <c r="AN1286" s="272"/>
      <c r="AO1286" s="272"/>
      <c r="AP1286" s="242"/>
      <c r="AQ1286" s="242"/>
      <c r="AR1286" s="242"/>
      <c r="AS1286" s="242"/>
      <c r="AT1286" s="251"/>
      <c r="AU1286" s="253"/>
      <c r="AV1286" s="242"/>
      <c r="AW1286" s="242"/>
      <c r="AX1286" s="242"/>
      <c r="AY1286" s="242"/>
      <c r="AZ1286" s="242"/>
      <c r="BA1286" s="242"/>
      <c r="BB1286" s="242"/>
      <c r="BC1286" s="242"/>
      <c r="BD1286" s="242"/>
      <c r="BE1286" s="242"/>
      <c r="BF1286" s="242"/>
      <c r="BG1286" s="242"/>
      <c r="BH1286" s="452"/>
      <c r="BI1286" s="242"/>
      <c r="BJ1286" s="242"/>
      <c r="BK1286" s="242"/>
      <c r="BL1286" s="242"/>
      <c r="BM1286" s="242"/>
      <c r="BN1286" s="242"/>
      <c r="BO1286" s="242"/>
      <c r="BP1286" s="242"/>
      <c r="BQ1286" s="242"/>
      <c r="BR1286" s="242"/>
      <c r="BS1286" s="242"/>
      <c r="BT1286" s="452"/>
      <c r="BU1286" s="242"/>
      <c r="BV1286" s="242"/>
      <c r="BW1286" s="253"/>
      <c r="BX1286" s="242"/>
      <c r="BY1286" s="242"/>
      <c r="BZ1286" s="242"/>
      <c r="CA1286" s="242"/>
      <c r="CB1286" s="242"/>
      <c r="CC1286" s="242"/>
      <c r="CD1286" s="242"/>
      <c r="CE1286" s="242"/>
      <c r="CF1286" s="242"/>
      <c r="CG1286" s="242"/>
      <c r="CH1286" s="242"/>
      <c r="CI1286" s="242"/>
      <c r="CJ1286" s="452"/>
      <c r="CK1286" s="242"/>
      <c r="CL1286" s="242"/>
      <c r="CM1286" s="452"/>
      <c r="CN1286" s="242"/>
      <c r="CO1286" s="242"/>
      <c r="CP1286" s="242"/>
      <c r="CQ1286" s="242"/>
      <c r="CR1286" s="242"/>
      <c r="CS1286" s="242"/>
      <c r="CT1286" s="242"/>
      <c r="CU1286" s="242"/>
      <c r="CV1286" s="242"/>
      <c r="CW1286" s="242"/>
      <c r="CX1286" s="242"/>
      <c r="CY1286" s="242"/>
      <c r="CZ1286" s="242"/>
      <c r="DA1286" s="242"/>
      <c r="DB1286" s="242"/>
      <c r="DC1286" s="242"/>
      <c r="DD1286" s="242"/>
      <c r="DE1286" s="242"/>
      <c r="DF1286" s="242"/>
      <c r="DG1286" s="242"/>
      <c r="DH1286" s="242"/>
      <c r="DI1286" s="242"/>
      <c r="DJ1286" s="242"/>
      <c r="DK1286" s="242"/>
      <c r="DL1286" s="242"/>
      <c r="DM1286" s="242"/>
      <c r="DN1286" s="242"/>
      <c r="DO1286" s="242"/>
      <c r="DP1286" s="242"/>
      <c r="DQ1286" s="242"/>
      <c r="DR1286" s="242"/>
      <c r="DS1286" s="242"/>
      <c r="DT1286" s="242"/>
      <c r="DU1286" s="242"/>
      <c r="DV1286" s="242"/>
      <c r="DW1286" s="242"/>
      <c r="DX1286" s="242"/>
      <c r="DY1286" s="242"/>
      <c r="DZ1286" s="242"/>
      <c r="EA1286" s="242"/>
      <c r="EB1286" s="242"/>
      <c r="EC1286" s="242"/>
      <c r="ED1286" s="242"/>
      <c r="EE1286" s="242"/>
      <c r="EF1286" s="242"/>
      <c r="EG1286" s="242"/>
      <c r="EH1286" s="242"/>
      <c r="EI1286" s="242"/>
      <c r="EJ1286" s="242"/>
      <c r="EK1286" s="242"/>
      <c r="EL1286" s="236"/>
      <c r="EM1286" s="242"/>
      <c r="EN1286" s="253"/>
      <c r="EO1286" s="242"/>
      <c r="EP1286" s="242"/>
      <c r="EQ1286" s="242"/>
      <c r="ER1286" s="242"/>
      <c r="ES1286" s="242"/>
      <c r="ET1286" s="242"/>
      <c r="EU1286" s="242"/>
      <c r="EV1286" s="242"/>
      <c r="EW1286" s="452"/>
      <c r="EX1286" s="242"/>
      <c r="EY1286" s="242"/>
      <c r="EZ1286" s="242"/>
      <c r="FA1286" s="242"/>
      <c r="FB1286" s="242"/>
      <c r="FC1286" s="242"/>
      <c r="FD1286" s="242"/>
      <c r="FE1286" s="242"/>
      <c r="FF1286" s="242"/>
      <c r="FG1286" s="242"/>
      <c r="FH1286" s="242"/>
      <c r="FI1286" s="242"/>
      <c r="FJ1286" s="242"/>
      <c r="FK1286" s="236"/>
      <c r="FL1286" s="242"/>
      <c r="FM1286" s="242"/>
      <c r="FN1286" s="253"/>
      <c r="FO1286" s="253"/>
      <c r="FP1286" s="242"/>
      <c r="FQ1286" s="242"/>
      <c r="FR1286" s="242"/>
      <c r="FS1286" s="242"/>
      <c r="FT1286" s="242"/>
      <c r="FU1286" s="242"/>
      <c r="FV1286" s="242"/>
      <c r="FW1286" s="242"/>
      <c r="FX1286" s="452"/>
      <c r="FY1286" s="242"/>
      <c r="FZ1286" s="242"/>
      <c r="GA1286" s="242"/>
      <c r="GB1286" s="242"/>
      <c r="GC1286" s="242"/>
      <c r="GD1286" s="242"/>
      <c r="GE1286" s="242"/>
      <c r="GF1286" s="242"/>
      <c r="GG1286" s="242"/>
      <c r="GH1286" s="242"/>
      <c r="GI1286" s="242"/>
      <c r="GJ1286" s="242"/>
      <c r="GK1286" s="242"/>
      <c r="GL1286" s="242"/>
      <c r="GM1286" s="242"/>
      <c r="GN1286" s="242"/>
      <c r="GO1286" s="242"/>
      <c r="GP1286" s="455"/>
      <c r="GQ1286" s="242"/>
      <c r="GR1286" s="242"/>
      <c r="GS1286" s="242"/>
      <c r="GT1286" s="242"/>
      <c r="GU1286" s="242"/>
      <c r="GV1286" s="242"/>
      <c r="GW1286" s="242"/>
      <c r="GX1286" s="242"/>
      <c r="GY1286" s="242"/>
      <c r="GZ1286" s="452"/>
      <c r="HA1286" s="242"/>
      <c r="HB1286" s="253"/>
      <c r="HC1286" s="242"/>
      <c r="HD1286" s="242"/>
      <c r="HE1286" s="242"/>
      <c r="HF1286" s="242"/>
      <c r="HG1286" s="242"/>
      <c r="HH1286" s="242"/>
      <c r="HI1286" s="242"/>
      <c r="HJ1286" s="242"/>
      <c r="HK1286" s="242"/>
      <c r="HL1286" s="242"/>
      <c r="HM1286" s="242"/>
      <c r="HN1286" s="242"/>
      <c r="HO1286" s="242"/>
      <c r="HP1286" s="242"/>
      <c r="HQ1286" s="242" t="s">
        <v>1922</v>
      </c>
      <c r="HR1286" s="242">
        <v>52429.26</v>
      </c>
      <c r="HS1286" s="242"/>
      <c r="HT1286" s="242"/>
      <c r="HU1286" s="242"/>
      <c r="HV1286" s="242"/>
      <c r="HW1286" s="242"/>
      <c r="HX1286" s="242"/>
      <c r="HY1286" s="242"/>
      <c r="HZ1286" s="242"/>
      <c r="IA1286" s="242"/>
      <c r="IB1286" s="242"/>
      <c r="IC1286" s="242"/>
      <c r="ID1286" s="242"/>
      <c r="IE1286" s="242"/>
      <c r="IF1286" s="242"/>
      <c r="IG1286" s="242"/>
      <c r="IH1286" s="242"/>
      <c r="II1286" s="242"/>
      <c r="IJ1286" s="242"/>
      <c r="IK1286" s="242"/>
      <c r="IL1286" s="242"/>
      <c r="IM1286" s="242"/>
      <c r="IN1286" s="242"/>
      <c r="IO1286" s="242"/>
      <c r="IP1286" s="242"/>
      <c r="IQ1286" s="242"/>
      <c r="IR1286" s="242"/>
      <c r="IS1286" s="242"/>
      <c r="IT1286" s="242"/>
      <c r="IU1286" s="242"/>
      <c r="IV1286" s="242"/>
      <c r="IW1286" s="242"/>
      <c r="IX1286" s="242"/>
      <c r="IY1286" s="242"/>
      <c r="IZ1286" s="242"/>
      <c r="JA1286" s="242"/>
      <c r="JB1286" s="242"/>
    </row>
    <row r="1287" spans="1:262" s="267" customFormat="1" ht="76.5" x14ac:dyDescent="0.85">
      <c r="B1287" s="285" t="s">
        <v>1842</v>
      </c>
      <c r="C1287" s="286"/>
      <c r="D1287" s="281">
        <v>3227588</v>
      </c>
      <c r="E1287" s="281">
        <f t="shared" si="413"/>
        <v>673381.67000000039</v>
      </c>
      <c r="F1287" s="5">
        <f t="shared" si="415"/>
        <v>2554206.3299999996</v>
      </c>
      <c r="G1287" s="281">
        <f t="shared" ref="G1287:AG1287" si="417">SUM(G1288:G1288)</f>
        <v>0</v>
      </c>
      <c r="H1287" s="281">
        <f t="shared" si="417"/>
        <v>0</v>
      </c>
      <c r="I1287" s="281">
        <f t="shared" si="417"/>
        <v>0</v>
      </c>
      <c r="J1287" s="281">
        <f t="shared" si="417"/>
        <v>0</v>
      </c>
      <c r="K1287" s="281">
        <f t="shared" si="417"/>
        <v>0</v>
      </c>
      <c r="L1287" s="281">
        <f t="shared" si="417"/>
        <v>0</v>
      </c>
      <c r="M1287" s="282">
        <f t="shared" si="417"/>
        <v>0</v>
      </c>
      <c r="N1287" s="281">
        <f t="shared" si="417"/>
        <v>0</v>
      </c>
      <c r="O1287" s="281">
        <f t="shared" si="417"/>
        <v>807.3</v>
      </c>
      <c r="P1287" s="281">
        <f t="shared" si="417"/>
        <v>2537837.2799999998</v>
      </c>
      <c r="Q1287" s="281">
        <f t="shared" si="417"/>
        <v>0</v>
      </c>
      <c r="R1287" s="281">
        <f t="shared" si="417"/>
        <v>0</v>
      </c>
      <c r="S1287" s="281">
        <f t="shared" si="417"/>
        <v>0</v>
      </c>
      <c r="T1287" s="281">
        <f t="shared" si="417"/>
        <v>0</v>
      </c>
      <c r="U1287" s="281">
        <f t="shared" si="417"/>
        <v>0</v>
      </c>
      <c r="V1287" s="281">
        <f t="shared" si="417"/>
        <v>0</v>
      </c>
      <c r="W1287" s="281">
        <f t="shared" si="417"/>
        <v>0</v>
      </c>
      <c r="X1287" s="281">
        <f t="shared" si="417"/>
        <v>0</v>
      </c>
      <c r="Y1287" s="281">
        <f t="shared" si="417"/>
        <v>0</v>
      </c>
      <c r="Z1287" s="281">
        <f t="shared" si="417"/>
        <v>0</v>
      </c>
      <c r="AA1287" s="281">
        <f t="shared" si="417"/>
        <v>0</v>
      </c>
      <c r="AB1287" s="281">
        <f t="shared" si="417"/>
        <v>0</v>
      </c>
      <c r="AC1287" s="281">
        <f t="shared" si="417"/>
        <v>0</v>
      </c>
      <c r="AD1287" s="281">
        <f t="shared" si="417"/>
        <v>0</v>
      </c>
      <c r="AE1287" s="251">
        <f t="shared" si="417"/>
        <v>16369.05</v>
      </c>
      <c r="AF1287" s="281">
        <f t="shared" si="417"/>
        <v>0</v>
      </c>
      <c r="AG1287" s="281">
        <f t="shared" si="417"/>
        <v>0</v>
      </c>
      <c r="AH1287" s="283" t="s">
        <v>1918</v>
      </c>
      <c r="AI1287" s="283" t="s">
        <v>1918</v>
      </c>
      <c r="AJ1287" s="283" t="s">
        <v>1918</v>
      </c>
      <c r="AK1287" s="272"/>
      <c r="AL1287" s="278"/>
      <c r="AM1287" s="287"/>
      <c r="AN1287" s="272"/>
      <c r="AO1287" s="272"/>
      <c r="AP1287" s="451"/>
      <c r="AQ1287" s="451"/>
      <c r="AR1287" s="451"/>
      <c r="AS1287" s="451"/>
      <c r="AT1287" s="453"/>
      <c r="AU1287" s="253"/>
      <c r="AV1287" s="451"/>
      <c r="AW1287" s="451"/>
      <c r="AX1287" s="451"/>
      <c r="AY1287" s="451"/>
      <c r="AZ1287" s="451"/>
      <c r="BA1287" s="451"/>
      <c r="BB1287" s="451"/>
      <c r="BC1287" s="451"/>
      <c r="BD1287" s="451"/>
      <c r="BE1287" s="451"/>
      <c r="BF1287" s="451"/>
      <c r="BG1287" s="451"/>
      <c r="BH1287" s="452"/>
      <c r="BI1287" s="451"/>
      <c r="BJ1287" s="451"/>
      <c r="BK1287" s="451"/>
      <c r="BL1287" s="451"/>
      <c r="BM1287" s="451"/>
      <c r="BN1287" s="451"/>
      <c r="BO1287" s="451"/>
      <c r="BP1287" s="451"/>
      <c r="BQ1287" s="451"/>
      <c r="BR1287" s="451"/>
      <c r="BS1287" s="451"/>
      <c r="BT1287" s="452"/>
      <c r="BU1287" s="451"/>
      <c r="BV1287" s="451"/>
      <c r="BW1287" s="253"/>
      <c r="BX1287" s="451"/>
      <c r="BY1287" s="451"/>
      <c r="BZ1287" s="451"/>
      <c r="CA1287" s="451"/>
      <c r="CB1287" s="451"/>
      <c r="CC1287" s="451"/>
      <c r="CD1287" s="451"/>
      <c r="CE1287" s="451"/>
      <c r="CF1287" s="451"/>
      <c r="CG1287" s="451"/>
      <c r="CH1287" s="451"/>
      <c r="CI1287" s="451"/>
      <c r="CJ1287" s="452"/>
      <c r="CK1287" s="451"/>
      <c r="CL1287" s="451"/>
      <c r="CM1287" s="452"/>
      <c r="CN1287" s="451"/>
      <c r="CO1287" s="451"/>
      <c r="CP1287" s="451"/>
      <c r="CQ1287" s="451"/>
      <c r="CR1287" s="451"/>
      <c r="CS1287" s="451"/>
      <c r="CT1287" s="451"/>
      <c r="CU1287" s="451"/>
      <c r="CV1287" s="451"/>
      <c r="CW1287" s="451"/>
      <c r="CX1287" s="451"/>
      <c r="CY1287" s="451"/>
      <c r="CZ1287" s="451"/>
      <c r="DA1287" s="451"/>
      <c r="DB1287" s="451"/>
      <c r="DC1287" s="451"/>
      <c r="DD1287" s="451"/>
      <c r="DE1287" s="451"/>
      <c r="DF1287" s="451"/>
      <c r="DG1287" s="451"/>
      <c r="DH1287" s="451"/>
      <c r="DI1287" s="451"/>
      <c r="DJ1287" s="451"/>
      <c r="DK1287" s="451"/>
      <c r="DL1287" s="451"/>
      <c r="DM1287" s="451"/>
      <c r="DN1287" s="451"/>
      <c r="DO1287" s="451"/>
      <c r="DP1287" s="451"/>
      <c r="DQ1287" s="451"/>
      <c r="DR1287" s="451"/>
      <c r="DS1287" s="451"/>
      <c r="DT1287" s="451"/>
      <c r="DU1287" s="451"/>
      <c r="DV1287" s="451"/>
      <c r="DW1287" s="451"/>
      <c r="DX1287" s="451"/>
      <c r="DY1287" s="451"/>
      <c r="DZ1287" s="451"/>
      <c r="EA1287" s="451"/>
      <c r="EB1287" s="451"/>
      <c r="EC1287" s="451"/>
      <c r="ED1287" s="451"/>
      <c r="EE1287" s="451"/>
      <c r="EF1287" s="451"/>
      <c r="EG1287" s="451"/>
      <c r="EH1287" s="451"/>
      <c r="EI1287" s="451"/>
      <c r="EJ1287" s="451"/>
      <c r="EK1287" s="451"/>
      <c r="EL1287" s="236"/>
      <c r="EM1287" s="451"/>
      <c r="EN1287" s="253"/>
      <c r="EO1287" s="451"/>
      <c r="EP1287" s="451"/>
      <c r="EQ1287" s="451"/>
      <c r="ER1287" s="451"/>
      <c r="ES1287" s="451"/>
      <c r="ET1287" s="451"/>
      <c r="EU1287" s="451"/>
      <c r="EV1287" s="451"/>
      <c r="EW1287" s="452"/>
      <c r="EX1287" s="451"/>
      <c r="EY1287" s="451"/>
      <c r="EZ1287" s="451"/>
      <c r="FA1287" s="451"/>
      <c r="FB1287" s="451"/>
      <c r="FC1287" s="451"/>
      <c r="FD1287" s="451"/>
      <c r="FE1287" s="451"/>
      <c r="FF1287" s="451"/>
      <c r="FG1287" s="451"/>
      <c r="FH1287" s="451"/>
      <c r="FI1287" s="451"/>
      <c r="FJ1287" s="451"/>
      <c r="FK1287" s="236"/>
      <c r="FL1287" s="451"/>
      <c r="FM1287" s="451"/>
      <c r="FN1287" s="454"/>
      <c r="FO1287" s="253"/>
      <c r="FP1287" s="451"/>
      <c r="FQ1287" s="451"/>
      <c r="FR1287" s="451"/>
      <c r="FS1287" s="451"/>
      <c r="FT1287" s="451"/>
      <c r="FU1287" s="451"/>
      <c r="FV1287" s="451"/>
      <c r="FW1287" s="451"/>
      <c r="FX1287" s="452"/>
      <c r="FY1287" s="451"/>
      <c r="FZ1287" s="451"/>
      <c r="GA1287" s="451"/>
      <c r="GB1287" s="451"/>
      <c r="GC1287" s="451"/>
      <c r="GD1287" s="451"/>
      <c r="GE1287" s="451"/>
      <c r="GF1287" s="451"/>
      <c r="GG1287" s="451"/>
      <c r="GH1287" s="451"/>
      <c r="GI1287" s="451"/>
      <c r="GJ1287" s="451"/>
      <c r="GK1287" s="451"/>
      <c r="GL1287" s="451"/>
      <c r="GM1287" s="451"/>
      <c r="GN1287" s="451"/>
      <c r="GO1287" s="451"/>
      <c r="GP1287" s="455"/>
      <c r="GQ1287" s="451"/>
      <c r="GR1287" s="451"/>
      <c r="GS1287" s="451"/>
      <c r="GT1287" s="451"/>
      <c r="GU1287" s="451"/>
      <c r="GV1287" s="451"/>
      <c r="GW1287" s="451"/>
      <c r="GX1287" s="451"/>
      <c r="GY1287" s="451"/>
      <c r="GZ1287" s="452"/>
      <c r="HA1287" s="451"/>
      <c r="HB1287" s="253"/>
      <c r="HC1287" s="451"/>
      <c r="HD1287" s="452"/>
      <c r="HE1287" s="451"/>
      <c r="HF1287" s="451"/>
      <c r="HG1287" s="451"/>
      <c r="HH1287" s="451"/>
      <c r="HI1287" s="451"/>
      <c r="HJ1287" s="451"/>
      <c r="HK1287" s="451"/>
      <c r="HL1287" s="451"/>
      <c r="HM1287" s="451"/>
      <c r="HN1287" s="451"/>
      <c r="HO1287" s="451"/>
      <c r="HP1287" s="451"/>
      <c r="HQ1287" s="451" t="s">
        <v>1920</v>
      </c>
      <c r="HR1287" s="451">
        <v>44890.35</v>
      </c>
      <c r="HS1287" s="451"/>
      <c r="HT1287" s="451"/>
      <c r="HU1287" s="451"/>
      <c r="HV1287" s="451"/>
      <c r="HW1287" s="451"/>
      <c r="HX1287" s="451"/>
      <c r="HY1287" s="451"/>
      <c r="HZ1287" s="451"/>
      <c r="IA1287" s="451"/>
      <c r="IB1287" s="451"/>
      <c r="IC1287" s="451"/>
      <c r="ID1287" s="451"/>
      <c r="IE1287" s="451"/>
      <c r="IF1287" s="451"/>
      <c r="IG1287" s="451"/>
      <c r="IH1287" s="451"/>
      <c r="II1287" s="451"/>
      <c r="IJ1287" s="451"/>
      <c r="IK1287" s="451"/>
      <c r="IL1287" s="451"/>
      <c r="IM1287" s="451"/>
      <c r="IN1287" s="451"/>
      <c r="IO1287" s="451"/>
      <c r="IP1287" s="451"/>
      <c r="IQ1287" s="451"/>
      <c r="IR1287" s="451"/>
      <c r="IS1287" s="451"/>
      <c r="IT1287" s="451"/>
      <c r="IU1287" s="451"/>
      <c r="IV1287" s="451"/>
      <c r="IW1287" s="451"/>
      <c r="IX1287" s="451"/>
      <c r="IY1287" s="451"/>
      <c r="IZ1287" s="451"/>
      <c r="JA1287" s="451"/>
      <c r="JB1287" s="451"/>
    </row>
    <row r="1288" spans="1:262" s="240" customFormat="1" ht="76.5" customHeight="1" x14ac:dyDescent="0.85">
      <c r="A1288" s="273"/>
      <c r="B1288" s="288">
        <v>3</v>
      </c>
      <c r="C1288" s="290" t="s">
        <v>1924</v>
      </c>
      <c r="D1288" s="251">
        <v>3227588</v>
      </c>
      <c r="E1288" s="251">
        <f t="shared" si="413"/>
        <v>673381.67000000039</v>
      </c>
      <c r="F1288" s="5">
        <f t="shared" si="415"/>
        <v>2554206.3299999996</v>
      </c>
      <c r="G1288" s="289">
        <v>0</v>
      </c>
      <c r="H1288" s="251">
        <v>0</v>
      </c>
      <c r="I1288" s="251">
        <v>0</v>
      </c>
      <c r="J1288" s="251">
        <v>0</v>
      </c>
      <c r="K1288" s="251">
        <v>0</v>
      </c>
      <c r="L1288" s="251">
        <v>0</v>
      </c>
      <c r="M1288" s="282">
        <v>0</v>
      </c>
      <c r="N1288" s="251">
        <v>0</v>
      </c>
      <c r="O1288" s="456">
        <v>807.3</v>
      </c>
      <c r="P1288" s="456">
        <v>2537837.2799999998</v>
      </c>
      <c r="Q1288" s="251">
        <v>0</v>
      </c>
      <c r="R1288" s="251">
        <v>0</v>
      </c>
      <c r="S1288" s="251">
        <v>0</v>
      </c>
      <c r="T1288" s="251">
        <v>0</v>
      </c>
      <c r="U1288" s="251">
        <v>0</v>
      </c>
      <c r="V1288" s="251">
        <v>0</v>
      </c>
      <c r="W1288" s="251">
        <v>0</v>
      </c>
      <c r="X1288" s="251">
        <v>0</v>
      </c>
      <c r="Y1288" s="251">
        <v>0</v>
      </c>
      <c r="Z1288" s="251">
        <v>0</v>
      </c>
      <c r="AA1288" s="251">
        <v>0</v>
      </c>
      <c r="AB1288" s="251">
        <v>0</v>
      </c>
      <c r="AC1288" s="251">
        <v>0</v>
      </c>
      <c r="AD1288" s="251">
        <v>0</v>
      </c>
      <c r="AE1288" s="251">
        <v>16369.05</v>
      </c>
      <c r="AF1288" s="251">
        <v>0</v>
      </c>
      <c r="AG1288" s="251">
        <v>0</v>
      </c>
      <c r="AH1288" s="66" t="s">
        <v>49</v>
      </c>
      <c r="AI1288" s="66">
        <v>2020</v>
      </c>
      <c r="AJ1288" s="66">
        <v>2020</v>
      </c>
      <c r="AK1288" s="272"/>
      <c r="AL1288" s="272"/>
      <c r="AM1288" s="287"/>
      <c r="AN1288" s="272"/>
      <c r="AO1288" s="272"/>
      <c r="AP1288" s="242"/>
      <c r="AQ1288" s="242"/>
      <c r="AR1288" s="242"/>
      <c r="AS1288" s="242"/>
      <c r="AT1288" s="251"/>
      <c r="AU1288" s="253"/>
      <c r="AV1288" s="242"/>
      <c r="AW1288" s="242"/>
      <c r="AX1288" s="242"/>
      <c r="AY1288" s="242"/>
      <c r="AZ1288" s="242"/>
      <c r="BA1288" s="242"/>
      <c r="BB1288" s="242"/>
      <c r="BC1288" s="242"/>
      <c r="BD1288" s="242"/>
      <c r="BE1288" s="242"/>
      <c r="BF1288" s="242"/>
      <c r="BG1288" s="242"/>
      <c r="BH1288" s="452"/>
      <c r="BI1288" s="242"/>
      <c r="BJ1288" s="242"/>
      <c r="BK1288" s="242"/>
      <c r="BL1288" s="242"/>
      <c r="BM1288" s="242"/>
      <c r="BN1288" s="242"/>
      <c r="BO1288" s="242"/>
      <c r="BP1288" s="242"/>
      <c r="BQ1288" s="242"/>
      <c r="BR1288" s="242"/>
      <c r="BS1288" s="242"/>
      <c r="BT1288" s="452"/>
      <c r="BU1288" s="242"/>
      <c r="BV1288" s="242"/>
      <c r="BW1288" s="253"/>
      <c r="BX1288" s="242"/>
      <c r="BY1288" s="242"/>
      <c r="BZ1288" s="242"/>
      <c r="CA1288" s="242"/>
      <c r="CB1288" s="242"/>
      <c r="CC1288" s="242"/>
      <c r="CD1288" s="242"/>
      <c r="CE1288" s="242"/>
      <c r="CF1288" s="242"/>
      <c r="CG1288" s="242"/>
      <c r="CH1288" s="242"/>
      <c r="CI1288" s="242"/>
      <c r="CJ1288" s="452"/>
      <c r="CK1288" s="242"/>
      <c r="CL1288" s="242"/>
      <c r="CM1288" s="452"/>
      <c r="CN1288" s="242"/>
      <c r="CO1288" s="242"/>
      <c r="CP1288" s="242"/>
      <c r="CQ1288" s="242"/>
      <c r="CR1288" s="242"/>
      <c r="CS1288" s="242"/>
      <c r="CT1288" s="242"/>
      <c r="CU1288" s="242"/>
      <c r="CV1288" s="242"/>
      <c r="CW1288" s="242"/>
      <c r="CX1288" s="242"/>
      <c r="CY1288" s="242"/>
      <c r="CZ1288" s="242"/>
      <c r="DA1288" s="242"/>
      <c r="DB1288" s="242"/>
      <c r="DC1288" s="242"/>
      <c r="DD1288" s="242"/>
      <c r="DE1288" s="242"/>
      <c r="DF1288" s="242"/>
      <c r="DG1288" s="242"/>
      <c r="DH1288" s="242"/>
      <c r="DI1288" s="242"/>
      <c r="DJ1288" s="242"/>
      <c r="DK1288" s="242"/>
      <c r="DL1288" s="242"/>
      <c r="DM1288" s="242"/>
      <c r="DN1288" s="242"/>
      <c r="DO1288" s="242"/>
      <c r="DP1288" s="242"/>
      <c r="DQ1288" s="242"/>
      <c r="DR1288" s="242"/>
      <c r="DS1288" s="242"/>
      <c r="DT1288" s="242"/>
      <c r="DU1288" s="242"/>
      <c r="DV1288" s="242"/>
      <c r="DW1288" s="242"/>
      <c r="DX1288" s="242"/>
      <c r="DY1288" s="242"/>
      <c r="DZ1288" s="242"/>
      <c r="EA1288" s="242"/>
      <c r="EB1288" s="242"/>
      <c r="EC1288" s="242"/>
      <c r="ED1288" s="242"/>
      <c r="EE1288" s="242"/>
      <c r="EF1288" s="242"/>
      <c r="EG1288" s="242"/>
      <c r="EH1288" s="242"/>
      <c r="EI1288" s="242"/>
      <c r="EJ1288" s="242"/>
      <c r="EK1288" s="242"/>
      <c r="EL1288" s="236"/>
      <c r="EM1288" s="242"/>
      <c r="EN1288" s="253"/>
      <c r="EO1288" s="242"/>
      <c r="EP1288" s="242"/>
      <c r="EQ1288" s="242"/>
      <c r="ER1288" s="242"/>
      <c r="ES1288" s="242"/>
      <c r="ET1288" s="242"/>
      <c r="EU1288" s="242"/>
      <c r="EV1288" s="242"/>
      <c r="EW1288" s="452"/>
      <c r="EX1288" s="242"/>
      <c r="EY1288" s="242"/>
      <c r="EZ1288" s="242"/>
      <c r="FA1288" s="242"/>
      <c r="FB1288" s="242"/>
      <c r="FC1288" s="242"/>
      <c r="FD1288" s="242"/>
      <c r="FE1288" s="242"/>
      <c r="FF1288" s="242"/>
      <c r="FG1288" s="242"/>
      <c r="FH1288" s="242"/>
      <c r="FI1288" s="242"/>
      <c r="FJ1288" s="242"/>
      <c r="FK1288" s="236"/>
      <c r="FL1288" s="242"/>
      <c r="FM1288" s="242"/>
      <c r="FN1288" s="253"/>
      <c r="FO1288" s="253"/>
      <c r="FP1288" s="242"/>
      <c r="FQ1288" s="242"/>
      <c r="FR1288" s="242"/>
      <c r="FS1288" s="242"/>
      <c r="FT1288" s="242"/>
      <c r="FU1288" s="242"/>
      <c r="FV1288" s="242"/>
      <c r="FW1288" s="242"/>
      <c r="FX1288" s="452"/>
      <c r="FY1288" s="242"/>
      <c r="FZ1288" s="242"/>
      <c r="GA1288" s="242"/>
      <c r="GB1288" s="242"/>
      <c r="GC1288" s="242"/>
      <c r="GD1288" s="242"/>
      <c r="GE1288" s="242"/>
      <c r="GF1288" s="242"/>
      <c r="GG1288" s="242"/>
      <c r="GH1288" s="242"/>
      <c r="GI1288" s="242"/>
      <c r="GJ1288" s="242"/>
      <c r="GK1288" s="242"/>
      <c r="GL1288" s="242"/>
      <c r="GM1288" s="242"/>
      <c r="GN1288" s="242"/>
      <c r="GO1288" s="242"/>
      <c r="GP1288" s="455"/>
      <c r="GQ1288" s="242"/>
      <c r="GR1288" s="242"/>
      <c r="GS1288" s="242"/>
      <c r="GT1288" s="242"/>
      <c r="GU1288" s="242"/>
      <c r="GV1288" s="242"/>
      <c r="GW1288" s="242"/>
      <c r="GX1288" s="242"/>
      <c r="GY1288" s="242"/>
      <c r="GZ1288" s="452"/>
      <c r="HA1288" s="242"/>
      <c r="HB1288" s="253"/>
      <c r="HC1288" s="242"/>
      <c r="HD1288" s="242"/>
      <c r="HE1288" s="242"/>
      <c r="HF1288" s="242"/>
      <c r="HG1288" s="242"/>
      <c r="HH1288" s="242"/>
      <c r="HI1288" s="242"/>
      <c r="HJ1288" s="242"/>
      <c r="HK1288" s="242"/>
      <c r="HL1288" s="242"/>
      <c r="HM1288" s="242"/>
      <c r="HN1288" s="242"/>
      <c r="HO1288" s="242"/>
      <c r="HP1288" s="242"/>
      <c r="HQ1288" s="242" t="s">
        <v>1922</v>
      </c>
      <c r="HR1288" s="242">
        <v>52429.26</v>
      </c>
      <c r="HS1288" s="242"/>
      <c r="HT1288" s="242"/>
      <c r="HU1288" s="242"/>
      <c r="HV1288" s="242"/>
      <c r="HW1288" s="242"/>
      <c r="HX1288" s="242"/>
      <c r="HY1288" s="242"/>
      <c r="HZ1288" s="242"/>
      <c r="IA1288" s="242"/>
      <c r="IB1288" s="242"/>
      <c r="IC1288" s="242"/>
      <c r="ID1288" s="242"/>
      <c r="IE1288" s="242"/>
      <c r="IF1288" s="242"/>
      <c r="IG1288" s="242"/>
      <c r="IH1288" s="242"/>
      <c r="II1288" s="242"/>
      <c r="IJ1288" s="242"/>
      <c r="IK1288" s="242"/>
      <c r="IL1288" s="242"/>
      <c r="IM1288" s="242"/>
      <c r="IN1288" s="242"/>
      <c r="IO1288" s="242"/>
      <c r="IP1288" s="242"/>
      <c r="IQ1288" s="242"/>
      <c r="IR1288" s="242"/>
      <c r="IS1288" s="242"/>
      <c r="IT1288" s="242"/>
      <c r="IU1288" s="242"/>
      <c r="IV1288" s="242"/>
      <c r="IW1288" s="242"/>
      <c r="IX1288" s="242"/>
      <c r="IY1288" s="242"/>
      <c r="IZ1288" s="242"/>
      <c r="JA1288" s="242"/>
      <c r="JB1288" s="242"/>
    </row>
    <row r="1289" spans="1:262" s="267" customFormat="1" ht="189" customHeight="1" x14ac:dyDescent="0.3">
      <c r="B1289" s="274" t="s">
        <v>1925</v>
      </c>
      <c r="C1289" s="275"/>
      <c r="D1289" s="275"/>
      <c r="E1289" s="275"/>
      <c r="F1289" s="275"/>
      <c r="G1289" s="275"/>
      <c r="H1289" s="275"/>
      <c r="I1289" s="275"/>
      <c r="J1289" s="275"/>
      <c r="K1289" s="275"/>
      <c r="L1289" s="275"/>
      <c r="M1289" s="275"/>
      <c r="N1289" s="275"/>
      <c r="O1289" s="275"/>
      <c r="P1289" s="275"/>
      <c r="Q1289" s="275"/>
      <c r="R1289" s="275"/>
      <c r="S1289" s="275"/>
      <c r="T1289" s="275"/>
      <c r="U1289" s="275"/>
      <c r="V1289" s="275"/>
      <c r="W1289" s="275"/>
      <c r="X1289" s="275"/>
      <c r="Y1289" s="275"/>
      <c r="Z1289" s="275"/>
      <c r="AA1289" s="275"/>
      <c r="AB1289" s="275"/>
      <c r="AC1289" s="275"/>
      <c r="AD1289" s="275"/>
      <c r="AE1289" s="275"/>
      <c r="AF1289" s="275"/>
      <c r="AG1289" s="275"/>
      <c r="AH1289" s="275"/>
      <c r="AI1289" s="275"/>
      <c r="AJ1289" s="276"/>
      <c r="AK1289" s="277"/>
      <c r="AL1289" s="278"/>
      <c r="AM1289" s="277"/>
      <c r="AN1289" s="277"/>
      <c r="AO1289" s="277"/>
      <c r="AP1289" s="451"/>
      <c r="AQ1289" s="451"/>
      <c r="AR1289" s="451"/>
      <c r="AS1289" s="451"/>
      <c r="AT1289" s="451"/>
      <c r="AU1289" s="451"/>
      <c r="AV1289" s="451"/>
      <c r="AW1289" s="451"/>
      <c r="AX1289" s="451"/>
      <c r="AY1289" s="451"/>
      <c r="AZ1289" s="451"/>
      <c r="BA1289" s="451"/>
      <c r="BB1289" s="451"/>
      <c r="BC1289" s="451"/>
      <c r="BD1289" s="451"/>
      <c r="BE1289" s="451"/>
      <c r="BF1289" s="451"/>
      <c r="BG1289" s="451"/>
      <c r="BH1289" s="451"/>
      <c r="BI1289" s="451"/>
      <c r="BJ1289" s="451"/>
      <c r="BK1289" s="451"/>
      <c r="BL1289" s="451"/>
      <c r="BM1289" s="451"/>
      <c r="BN1289" s="451"/>
      <c r="BO1289" s="451"/>
      <c r="BP1289" s="451"/>
      <c r="BQ1289" s="451"/>
      <c r="BR1289" s="451"/>
      <c r="BS1289" s="451"/>
      <c r="BT1289" s="451"/>
      <c r="BU1289" s="451"/>
      <c r="BV1289" s="451"/>
      <c r="BW1289" s="451"/>
      <c r="BX1289" s="451"/>
      <c r="BY1289" s="451"/>
      <c r="BZ1289" s="451"/>
      <c r="CA1289" s="451"/>
      <c r="CB1289" s="451"/>
      <c r="CC1289" s="451"/>
      <c r="CD1289" s="451"/>
      <c r="CE1289" s="451"/>
      <c r="CF1289" s="451"/>
      <c r="CG1289" s="451"/>
      <c r="CH1289" s="451"/>
      <c r="CI1289" s="451"/>
      <c r="CJ1289" s="451"/>
      <c r="CK1289" s="451"/>
      <c r="CL1289" s="451"/>
      <c r="CM1289" s="451"/>
      <c r="CN1289" s="451"/>
      <c r="CO1289" s="451"/>
      <c r="CP1289" s="451"/>
      <c r="CQ1289" s="451"/>
      <c r="CR1289" s="451"/>
      <c r="CS1289" s="451"/>
      <c r="CT1289" s="451"/>
      <c r="CU1289" s="451"/>
      <c r="CV1289" s="451"/>
      <c r="CW1289" s="451"/>
      <c r="CX1289" s="451"/>
      <c r="CY1289" s="451"/>
      <c r="CZ1289" s="451"/>
      <c r="DA1289" s="451"/>
      <c r="DB1289" s="451"/>
      <c r="DC1289" s="451"/>
      <c r="DD1289" s="451"/>
      <c r="DE1289" s="451"/>
      <c r="DF1289" s="451"/>
      <c r="DG1289" s="451"/>
      <c r="DH1289" s="451"/>
      <c r="DI1289" s="451"/>
      <c r="DJ1289" s="451"/>
      <c r="DK1289" s="451"/>
      <c r="DL1289" s="451"/>
      <c r="DM1289" s="451"/>
      <c r="DN1289" s="451"/>
      <c r="DO1289" s="451"/>
      <c r="DP1289" s="451"/>
      <c r="DQ1289" s="451"/>
      <c r="DR1289" s="451"/>
      <c r="DS1289" s="451"/>
      <c r="DT1289" s="451"/>
      <c r="DU1289" s="451"/>
      <c r="DV1289" s="451"/>
      <c r="DW1289" s="451"/>
      <c r="DX1289" s="451"/>
      <c r="DY1289" s="451"/>
      <c r="DZ1289" s="451"/>
      <c r="EA1289" s="451"/>
      <c r="EB1289" s="451"/>
      <c r="EC1289" s="451"/>
      <c r="ED1289" s="451"/>
      <c r="EE1289" s="451"/>
      <c r="EF1289" s="451"/>
      <c r="EG1289" s="451"/>
      <c r="EH1289" s="451"/>
      <c r="EI1289" s="451"/>
      <c r="EJ1289" s="451"/>
      <c r="EK1289" s="451"/>
      <c r="EL1289" s="451"/>
      <c r="EM1289" s="451"/>
      <c r="EN1289" s="451"/>
      <c r="EO1289" s="451"/>
      <c r="EP1289" s="451"/>
      <c r="EQ1289" s="451"/>
      <c r="ER1289" s="451"/>
      <c r="ES1289" s="451"/>
      <c r="ET1289" s="451"/>
      <c r="EU1289" s="451"/>
      <c r="EV1289" s="451"/>
      <c r="EW1289" s="451"/>
      <c r="EX1289" s="451"/>
      <c r="EY1289" s="451"/>
      <c r="EZ1289" s="451"/>
      <c r="FA1289" s="451"/>
      <c r="FB1289" s="451"/>
      <c r="FC1289" s="451"/>
      <c r="FD1289" s="451"/>
      <c r="FE1289" s="451"/>
      <c r="FF1289" s="451"/>
      <c r="FG1289" s="451"/>
      <c r="FH1289" s="451"/>
      <c r="FI1289" s="451"/>
      <c r="FJ1289" s="451"/>
      <c r="FK1289" s="451"/>
      <c r="FL1289" s="451"/>
      <c r="FM1289" s="451"/>
      <c r="FN1289" s="451"/>
      <c r="FO1289" s="451"/>
      <c r="FP1289" s="451"/>
      <c r="FQ1289" s="451"/>
      <c r="FR1289" s="451"/>
      <c r="FS1289" s="451"/>
      <c r="FT1289" s="451"/>
      <c r="FU1289" s="451"/>
      <c r="FV1289" s="451"/>
      <c r="FW1289" s="451"/>
      <c r="FX1289" s="451"/>
      <c r="FY1289" s="451"/>
      <c r="FZ1289" s="451"/>
      <c r="GA1289" s="451"/>
      <c r="GB1289" s="451"/>
      <c r="GC1289" s="451"/>
      <c r="GD1289" s="451"/>
      <c r="GE1289" s="451"/>
      <c r="GF1289" s="451"/>
      <c r="GG1289" s="451"/>
      <c r="GH1289" s="451"/>
      <c r="GI1289" s="451"/>
      <c r="GJ1289" s="451"/>
      <c r="GK1289" s="451"/>
      <c r="GL1289" s="451"/>
      <c r="GM1289" s="451"/>
      <c r="GN1289" s="451"/>
      <c r="GO1289" s="451"/>
      <c r="GP1289" s="451"/>
      <c r="GQ1289" s="451"/>
      <c r="GR1289" s="451"/>
      <c r="GS1289" s="451"/>
      <c r="GT1289" s="451"/>
      <c r="GU1289" s="451"/>
      <c r="GV1289" s="451"/>
      <c r="GW1289" s="451"/>
      <c r="GX1289" s="451"/>
      <c r="GY1289" s="451"/>
      <c r="GZ1289" s="451"/>
      <c r="HA1289" s="451"/>
      <c r="HB1289" s="451"/>
      <c r="HC1289" s="451"/>
      <c r="HD1289" s="451"/>
      <c r="HE1289" s="451"/>
      <c r="HF1289" s="451"/>
      <c r="HG1289" s="451"/>
      <c r="HH1289" s="451"/>
      <c r="HI1289" s="451"/>
      <c r="HJ1289" s="451"/>
      <c r="HK1289" s="451"/>
      <c r="HL1289" s="451"/>
      <c r="HM1289" s="451"/>
      <c r="HN1289" s="451"/>
      <c r="HO1289" s="451"/>
      <c r="HP1289" s="451"/>
      <c r="HQ1289" s="451" t="s">
        <v>1916</v>
      </c>
      <c r="HR1289" s="451">
        <v>47587.5</v>
      </c>
      <c r="HS1289" s="451"/>
      <c r="HT1289" s="451"/>
      <c r="HU1289" s="451"/>
      <c r="HV1289" s="451"/>
      <c r="HW1289" s="451"/>
      <c r="HX1289" s="451"/>
      <c r="HY1289" s="451"/>
      <c r="HZ1289" s="451"/>
      <c r="IA1289" s="451"/>
      <c r="IB1289" s="451"/>
      <c r="IC1289" s="451"/>
      <c r="ID1289" s="451"/>
      <c r="IE1289" s="451"/>
      <c r="IF1289" s="451"/>
      <c r="IG1289" s="451"/>
      <c r="IH1289" s="451"/>
      <c r="II1289" s="451"/>
      <c r="IJ1289" s="451"/>
      <c r="IK1289" s="451"/>
      <c r="IL1289" s="451"/>
      <c r="IM1289" s="451"/>
      <c r="IN1289" s="451"/>
      <c r="IO1289" s="451"/>
      <c r="IP1289" s="451"/>
      <c r="IQ1289" s="451"/>
      <c r="IR1289" s="451"/>
      <c r="IS1289" s="451"/>
      <c r="IT1289" s="451"/>
      <c r="IU1289" s="451"/>
      <c r="IV1289" s="451"/>
      <c r="IW1289" s="451"/>
      <c r="IX1289" s="451"/>
      <c r="IY1289" s="451"/>
      <c r="IZ1289" s="451"/>
      <c r="JA1289" s="451"/>
      <c r="JB1289" s="451"/>
    </row>
    <row r="1290" spans="1:262" s="267" customFormat="1" ht="76.5" x14ac:dyDescent="0.3">
      <c r="B1290" s="279" t="s">
        <v>1917</v>
      </c>
      <c r="C1290" s="280"/>
      <c r="D1290" s="251">
        <v>15488140.189999998</v>
      </c>
      <c r="E1290" s="251">
        <f t="shared" ref="E1290:E1298" si="418">D1290-F1290</f>
        <v>-1954244.1400000043</v>
      </c>
      <c r="F1290" s="251">
        <f>F1291+F1297+F1295</f>
        <v>17442384.330000002</v>
      </c>
      <c r="G1290" s="281">
        <f t="shared" ref="G1290:AG1290" si="419">G1291+G1297+G1295</f>
        <v>0</v>
      </c>
      <c r="H1290" s="281">
        <f t="shared" si="419"/>
        <v>0</v>
      </c>
      <c r="I1290" s="281">
        <f t="shared" si="419"/>
        <v>994637</v>
      </c>
      <c r="J1290" s="281">
        <f t="shared" si="419"/>
        <v>0</v>
      </c>
      <c r="K1290" s="281">
        <f t="shared" si="419"/>
        <v>1224682</v>
      </c>
      <c r="L1290" s="281">
        <f t="shared" si="419"/>
        <v>0</v>
      </c>
      <c r="M1290" s="282">
        <f t="shared" si="419"/>
        <v>0</v>
      </c>
      <c r="N1290" s="281">
        <f t="shared" si="419"/>
        <v>0</v>
      </c>
      <c r="O1290" s="281">
        <f t="shared" si="419"/>
        <v>4580.72</v>
      </c>
      <c r="P1290" s="281">
        <f t="shared" si="419"/>
        <v>14965296.1</v>
      </c>
      <c r="Q1290" s="281">
        <f t="shared" si="419"/>
        <v>0</v>
      </c>
      <c r="R1290" s="281">
        <f t="shared" si="419"/>
        <v>0</v>
      </c>
      <c r="S1290" s="281">
        <f t="shared" si="419"/>
        <v>0</v>
      </c>
      <c r="T1290" s="281">
        <f t="shared" si="419"/>
        <v>0</v>
      </c>
      <c r="U1290" s="281">
        <f t="shared" si="419"/>
        <v>0</v>
      </c>
      <c r="V1290" s="281">
        <f t="shared" si="419"/>
        <v>0</v>
      </c>
      <c r="W1290" s="281">
        <f t="shared" si="419"/>
        <v>0</v>
      </c>
      <c r="X1290" s="281">
        <f t="shared" si="419"/>
        <v>0</v>
      </c>
      <c r="Y1290" s="281">
        <f t="shared" si="419"/>
        <v>0</v>
      </c>
      <c r="Z1290" s="281">
        <f t="shared" si="419"/>
        <v>0</v>
      </c>
      <c r="AA1290" s="281">
        <f t="shared" si="419"/>
        <v>0</v>
      </c>
      <c r="AB1290" s="281">
        <f t="shared" si="419"/>
        <v>0</v>
      </c>
      <c r="AC1290" s="281">
        <f t="shared" si="419"/>
        <v>0</v>
      </c>
      <c r="AD1290" s="281">
        <f t="shared" si="419"/>
        <v>0</v>
      </c>
      <c r="AE1290" s="251">
        <f t="shared" si="419"/>
        <v>257769.22999999998</v>
      </c>
      <c r="AF1290" s="281">
        <f t="shared" si="419"/>
        <v>0</v>
      </c>
      <c r="AG1290" s="281">
        <f t="shared" si="419"/>
        <v>0</v>
      </c>
      <c r="AH1290" s="283" t="s">
        <v>1918</v>
      </c>
      <c r="AI1290" s="283" t="s">
        <v>1918</v>
      </c>
      <c r="AJ1290" s="283" t="s">
        <v>1918</v>
      </c>
      <c r="AK1290" s="284"/>
      <c r="AL1290" s="272"/>
      <c r="AM1290" s="284"/>
      <c r="AN1290" s="284"/>
      <c r="AO1290" s="284"/>
      <c r="AP1290" s="451"/>
      <c r="AQ1290" s="451"/>
      <c r="AR1290" s="451"/>
      <c r="AS1290" s="451"/>
      <c r="AT1290" s="451"/>
      <c r="AU1290" s="451"/>
      <c r="AV1290" s="451"/>
      <c r="AW1290" s="451"/>
      <c r="AX1290" s="451"/>
      <c r="AY1290" s="451"/>
      <c r="AZ1290" s="451"/>
      <c r="BA1290" s="451"/>
      <c r="BB1290" s="451"/>
      <c r="BC1290" s="451"/>
      <c r="BD1290" s="451"/>
      <c r="BE1290" s="451"/>
      <c r="BF1290" s="451"/>
      <c r="BG1290" s="451"/>
      <c r="BH1290" s="451"/>
      <c r="BI1290" s="451"/>
      <c r="BJ1290" s="451"/>
      <c r="BK1290" s="451"/>
      <c r="BL1290" s="451"/>
      <c r="BM1290" s="451"/>
      <c r="BN1290" s="451"/>
      <c r="BO1290" s="451"/>
      <c r="BP1290" s="451"/>
      <c r="BQ1290" s="451"/>
      <c r="BR1290" s="451"/>
      <c r="BS1290" s="451"/>
      <c r="BT1290" s="451"/>
      <c r="BU1290" s="451"/>
      <c r="BV1290" s="451"/>
      <c r="BW1290" s="451"/>
      <c r="BX1290" s="451"/>
      <c r="BY1290" s="451"/>
      <c r="BZ1290" s="451"/>
      <c r="CA1290" s="451"/>
      <c r="CB1290" s="451"/>
      <c r="CC1290" s="451"/>
      <c r="CD1290" s="451"/>
      <c r="CE1290" s="451"/>
      <c r="CF1290" s="451"/>
      <c r="CG1290" s="451"/>
      <c r="CH1290" s="451"/>
      <c r="CI1290" s="451"/>
      <c r="CJ1290" s="451"/>
      <c r="CK1290" s="451"/>
      <c r="CL1290" s="451"/>
      <c r="CM1290" s="451"/>
      <c r="CN1290" s="451"/>
      <c r="CO1290" s="451"/>
      <c r="CP1290" s="451"/>
      <c r="CQ1290" s="451"/>
      <c r="CR1290" s="451"/>
      <c r="CS1290" s="451"/>
      <c r="CT1290" s="451"/>
      <c r="CU1290" s="451"/>
      <c r="CV1290" s="451"/>
      <c r="CW1290" s="451"/>
      <c r="CX1290" s="451"/>
      <c r="CY1290" s="451"/>
      <c r="CZ1290" s="451"/>
      <c r="DA1290" s="451"/>
      <c r="DB1290" s="451"/>
      <c r="DC1290" s="451"/>
      <c r="DD1290" s="451"/>
      <c r="DE1290" s="451"/>
      <c r="DF1290" s="451"/>
      <c r="DG1290" s="451"/>
      <c r="DH1290" s="451"/>
      <c r="DI1290" s="451"/>
      <c r="DJ1290" s="451"/>
      <c r="DK1290" s="451"/>
      <c r="DL1290" s="451"/>
      <c r="DM1290" s="451"/>
      <c r="DN1290" s="451"/>
      <c r="DO1290" s="451"/>
      <c r="DP1290" s="451"/>
      <c r="DQ1290" s="451"/>
      <c r="DR1290" s="451"/>
      <c r="DS1290" s="451"/>
      <c r="DT1290" s="451"/>
      <c r="DU1290" s="451"/>
      <c r="DV1290" s="451"/>
      <c r="DW1290" s="451"/>
      <c r="DX1290" s="451"/>
      <c r="DY1290" s="451"/>
      <c r="DZ1290" s="451"/>
      <c r="EA1290" s="451"/>
      <c r="EB1290" s="451"/>
      <c r="EC1290" s="451"/>
      <c r="ED1290" s="451"/>
      <c r="EE1290" s="451"/>
      <c r="EF1290" s="451"/>
      <c r="EG1290" s="451"/>
      <c r="EH1290" s="451"/>
      <c r="EI1290" s="451"/>
      <c r="EJ1290" s="451"/>
      <c r="EK1290" s="451"/>
      <c r="EL1290" s="451"/>
      <c r="EM1290" s="451"/>
      <c r="EN1290" s="451"/>
      <c r="EO1290" s="451"/>
      <c r="EP1290" s="451"/>
      <c r="EQ1290" s="451"/>
      <c r="ER1290" s="451"/>
      <c r="ES1290" s="451"/>
      <c r="ET1290" s="451"/>
      <c r="EU1290" s="451"/>
      <c r="EV1290" s="451"/>
      <c r="EW1290" s="451"/>
      <c r="EX1290" s="451"/>
      <c r="EY1290" s="451"/>
      <c r="EZ1290" s="451"/>
      <c r="FA1290" s="451"/>
      <c r="FB1290" s="451"/>
      <c r="FC1290" s="451"/>
      <c r="FD1290" s="451"/>
      <c r="FE1290" s="451"/>
      <c r="FF1290" s="451"/>
      <c r="FG1290" s="451"/>
      <c r="FH1290" s="451"/>
      <c r="FI1290" s="451"/>
      <c r="FJ1290" s="451"/>
      <c r="FK1290" s="451"/>
      <c r="FL1290" s="451"/>
      <c r="FM1290" s="451"/>
      <c r="FN1290" s="451"/>
      <c r="FO1290" s="451"/>
      <c r="FP1290" s="451"/>
      <c r="FQ1290" s="451"/>
      <c r="FR1290" s="451"/>
      <c r="FS1290" s="451"/>
      <c r="FT1290" s="451"/>
      <c r="FU1290" s="451"/>
      <c r="FV1290" s="451"/>
      <c r="FW1290" s="451"/>
      <c r="FX1290" s="451"/>
      <c r="FY1290" s="451"/>
      <c r="FZ1290" s="451"/>
      <c r="GA1290" s="451"/>
      <c r="GB1290" s="451"/>
      <c r="GC1290" s="451"/>
      <c r="GD1290" s="451"/>
      <c r="GE1290" s="451"/>
      <c r="GF1290" s="451"/>
      <c r="GG1290" s="451"/>
      <c r="GH1290" s="451"/>
      <c r="GI1290" s="451"/>
      <c r="GJ1290" s="451"/>
      <c r="GK1290" s="451"/>
      <c r="GL1290" s="451"/>
      <c r="GM1290" s="451"/>
      <c r="GN1290" s="451"/>
      <c r="GO1290" s="451"/>
      <c r="GP1290" s="451"/>
      <c r="GQ1290" s="451"/>
      <c r="GR1290" s="451"/>
      <c r="GS1290" s="451"/>
      <c r="GT1290" s="451"/>
      <c r="GU1290" s="451"/>
      <c r="GV1290" s="451"/>
      <c r="GW1290" s="451"/>
      <c r="GX1290" s="451"/>
      <c r="GY1290" s="451"/>
      <c r="GZ1290" s="451"/>
      <c r="HA1290" s="451"/>
      <c r="HB1290" s="451"/>
      <c r="HC1290" s="451"/>
      <c r="HD1290" s="451"/>
      <c r="HE1290" s="451"/>
      <c r="HF1290" s="451"/>
      <c r="HG1290" s="451"/>
      <c r="HH1290" s="451"/>
      <c r="HI1290" s="451"/>
      <c r="HJ1290" s="451"/>
      <c r="HK1290" s="451"/>
      <c r="HL1290" s="451"/>
      <c r="HM1290" s="451"/>
      <c r="HN1290" s="451"/>
      <c r="HO1290" s="451"/>
      <c r="HP1290" s="451"/>
      <c r="HQ1290" s="451" t="s">
        <v>1919</v>
      </c>
      <c r="HR1290" s="451">
        <v>53254.36</v>
      </c>
      <c r="HS1290" s="451"/>
      <c r="HT1290" s="451"/>
      <c r="HU1290" s="451"/>
      <c r="HV1290" s="451"/>
      <c r="HW1290" s="451"/>
      <c r="HX1290" s="451"/>
      <c r="HY1290" s="451"/>
      <c r="HZ1290" s="451"/>
      <c r="IA1290" s="451"/>
      <c r="IB1290" s="451"/>
      <c r="IC1290" s="451"/>
      <c r="ID1290" s="451"/>
      <c r="IE1290" s="451"/>
      <c r="IF1290" s="451"/>
      <c r="IG1290" s="451"/>
      <c r="IH1290" s="451"/>
      <c r="II1290" s="451"/>
      <c r="IJ1290" s="451"/>
      <c r="IK1290" s="451"/>
      <c r="IL1290" s="451"/>
      <c r="IM1290" s="451"/>
      <c r="IN1290" s="451"/>
      <c r="IO1290" s="451"/>
      <c r="IP1290" s="451"/>
      <c r="IQ1290" s="451"/>
      <c r="IR1290" s="451"/>
      <c r="IS1290" s="451"/>
      <c r="IT1290" s="451"/>
      <c r="IU1290" s="451"/>
      <c r="IV1290" s="451"/>
      <c r="IW1290" s="451"/>
      <c r="IX1290" s="451"/>
      <c r="IY1290" s="451"/>
      <c r="IZ1290" s="451"/>
      <c r="JA1290" s="451"/>
      <c r="JB1290" s="451"/>
    </row>
    <row r="1291" spans="1:262" s="267" customFormat="1" ht="76.5" x14ac:dyDescent="0.85">
      <c r="B1291" s="285" t="s">
        <v>108</v>
      </c>
      <c r="C1291" s="286"/>
      <c r="D1291" s="251">
        <v>13655036.579999998</v>
      </c>
      <c r="E1291" s="251">
        <f t="shared" si="418"/>
        <v>22052.909999998286</v>
      </c>
      <c r="F1291" s="251">
        <f>SUM(F1292:F1294)</f>
        <v>13632983.67</v>
      </c>
      <c r="G1291" s="281">
        <f t="shared" ref="G1291:AG1291" si="420">SUM(G1292:G1294)</f>
        <v>0</v>
      </c>
      <c r="H1291" s="281">
        <f t="shared" si="420"/>
        <v>0</v>
      </c>
      <c r="I1291" s="281">
        <f t="shared" si="420"/>
        <v>994637</v>
      </c>
      <c r="J1291" s="281">
        <f t="shared" si="420"/>
        <v>0</v>
      </c>
      <c r="K1291" s="281">
        <f t="shared" si="420"/>
        <v>1224682</v>
      </c>
      <c r="L1291" s="281">
        <f t="shared" si="420"/>
        <v>0</v>
      </c>
      <c r="M1291" s="282">
        <f t="shared" si="420"/>
        <v>0</v>
      </c>
      <c r="N1291" s="281">
        <f t="shared" si="420"/>
        <v>0</v>
      </c>
      <c r="O1291" s="281">
        <f t="shared" si="420"/>
        <v>3519.62</v>
      </c>
      <c r="P1291" s="281">
        <f t="shared" si="420"/>
        <v>11212192</v>
      </c>
      <c r="Q1291" s="281">
        <f t="shared" si="420"/>
        <v>0</v>
      </c>
      <c r="R1291" s="281">
        <f t="shared" si="420"/>
        <v>0</v>
      </c>
      <c r="S1291" s="281">
        <f t="shared" si="420"/>
        <v>0</v>
      </c>
      <c r="T1291" s="281">
        <f t="shared" si="420"/>
        <v>0</v>
      </c>
      <c r="U1291" s="281">
        <f t="shared" si="420"/>
        <v>0</v>
      </c>
      <c r="V1291" s="281">
        <f t="shared" si="420"/>
        <v>0</v>
      </c>
      <c r="W1291" s="281">
        <f t="shared" si="420"/>
        <v>0</v>
      </c>
      <c r="X1291" s="281">
        <f t="shared" si="420"/>
        <v>0</v>
      </c>
      <c r="Y1291" s="281">
        <f t="shared" si="420"/>
        <v>0</v>
      </c>
      <c r="Z1291" s="281">
        <f t="shared" si="420"/>
        <v>0</v>
      </c>
      <c r="AA1291" s="281">
        <f t="shared" si="420"/>
        <v>0</v>
      </c>
      <c r="AB1291" s="281">
        <f t="shared" si="420"/>
        <v>0</v>
      </c>
      <c r="AC1291" s="281">
        <f t="shared" si="420"/>
        <v>0</v>
      </c>
      <c r="AD1291" s="281">
        <f t="shared" si="420"/>
        <v>0</v>
      </c>
      <c r="AE1291" s="251">
        <f t="shared" si="420"/>
        <v>201472.66999999998</v>
      </c>
      <c r="AF1291" s="281">
        <f t="shared" si="420"/>
        <v>0</v>
      </c>
      <c r="AG1291" s="281">
        <f t="shared" si="420"/>
        <v>0</v>
      </c>
      <c r="AH1291" s="283" t="s">
        <v>1918</v>
      </c>
      <c r="AI1291" s="283" t="s">
        <v>1918</v>
      </c>
      <c r="AJ1291" s="283" t="s">
        <v>1918</v>
      </c>
      <c r="AK1291" s="272"/>
      <c r="AL1291" s="278"/>
      <c r="AM1291" s="287"/>
      <c r="AN1291" s="272"/>
      <c r="AO1291" s="272"/>
      <c r="AP1291" s="451"/>
      <c r="AQ1291" s="451"/>
      <c r="AR1291" s="451"/>
      <c r="AS1291" s="451"/>
      <c r="AT1291" s="453"/>
      <c r="AU1291" s="253"/>
      <c r="AV1291" s="451"/>
      <c r="AW1291" s="451"/>
      <c r="AX1291" s="451"/>
      <c r="AY1291" s="451"/>
      <c r="AZ1291" s="451"/>
      <c r="BA1291" s="451"/>
      <c r="BB1291" s="451"/>
      <c r="BC1291" s="451"/>
      <c r="BD1291" s="451"/>
      <c r="BE1291" s="451"/>
      <c r="BF1291" s="451"/>
      <c r="BG1291" s="451"/>
      <c r="BH1291" s="452"/>
      <c r="BI1291" s="451"/>
      <c r="BJ1291" s="451"/>
      <c r="BK1291" s="451"/>
      <c r="BL1291" s="451"/>
      <c r="BM1291" s="451"/>
      <c r="BN1291" s="451"/>
      <c r="BO1291" s="451"/>
      <c r="BP1291" s="451"/>
      <c r="BQ1291" s="451"/>
      <c r="BR1291" s="451"/>
      <c r="BS1291" s="451"/>
      <c r="BT1291" s="452"/>
      <c r="BU1291" s="451"/>
      <c r="BV1291" s="451"/>
      <c r="BW1291" s="253"/>
      <c r="BX1291" s="451"/>
      <c r="BY1291" s="451"/>
      <c r="BZ1291" s="451"/>
      <c r="CA1291" s="451"/>
      <c r="CB1291" s="451"/>
      <c r="CC1291" s="451"/>
      <c r="CD1291" s="451"/>
      <c r="CE1291" s="451"/>
      <c r="CF1291" s="451"/>
      <c r="CG1291" s="451"/>
      <c r="CH1291" s="451"/>
      <c r="CI1291" s="451"/>
      <c r="CJ1291" s="452"/>
      <c r="CK1291" s="451"/>
      <c r="CL1291" s="451"/>
      <c r="CM1291" s="452"/>
      <c r="CN1291" s="451"/>
      <c r="CO1291" s="451"/>
      <c r="CP1291" s="451"/>
      <c r="CQ1291" s="451"/>
      <c r="CR1291" s="451"/>
      <c r="CS1291" s="451"/>
      <c r="CT1291" s="451"/>
      <c r="CU1291" s="451"/>
      <c r="CV1291" s="451"/>
      <c r="CW1291" s="451"/>
      <c r="CX1291" s="451"/>
      <c r="CY1291" s="451"/>
      <c r="CZ1291" s="451"/>
      <c r="DA1291" s="451"/>
      <c r="DB1291" s="451"/>
      <c r="DC1291" s="451"/>
      <c r="DD1291" s="451"/>
      <c r="DE1291" s="451"/>
      <c r="DF1291" s="451"/>
      <c r="DG1291" s="451"/>
      <c r="DH1291" s="451"/>
      <c r="DI1291" s="451"/>
      <c r="DJ1291" s="451"/>
      <c r="DK1291" s="451"/>
      <c r="DL1291" s="451"/>
      <c r="DM1291" s="451"/>
      <c r="DN1291" s="451"/>
      <c r="DO1291" s="451"/>
      <c r="DP1291" s="451"/>
      <c r="DQ1291" s="451"/>
      <c r="DR1291" s="451"/>
      <c r="DS1291" s="451"/>
      <c r="DT1291" s="451"/>
      <c r="DU1291" s="451"/>
      <c r="DV1291" s="451"/>
      <c r="DW1291" s="451"/>
      <c r="DX1291" s="451"/>
      <c r="DY1291" s="451"/>
      <c r="DZ1291" s="451"/>
      <c r="EA1291" s="451"/>
      <c r="EB1291" s="451"/>
      <c r="EC1291" s="451"/>
      <c r="ED1291" s="451"/>
      <c r="EE1291" s="451"/>
      <c r="EF1291" s="451"/>
      <c r="EG1291" s="451"/>
      <c r="EH1291" s="451"/>
      <c r="EI1291" s="451"/>
      <c r="EJ1291" s="451"/>
      <c r="EK1291" s="451"/>
      <c r="EL1291" s="236"/>
      <c r="EM1291" s="451"/>
      <c r="EN1291" s="253"/>
      <c r="EO1291" s="451"/>
      <c r="EP1291" s="451"/>
      <c r="EQ1291" s="451"/>
      <c r="ER1291" s="451"/>
      <c r="ES1291" s="451"/>
      <c r="ET1291" s="451"/>
      <c r="EU1291" s="451"/>
      <c r="EV1291" s="451"/>
      <c r="EW1291" s="452"/>
      <c r="EX1291" s="451"/>
      <c r="EY1291" s="451"/>
      <c r="EZ1291" s="451"/>
      <c r="FA1291" s="451"/>
      <c r="FB1291" s="451"/>
      <c r="FC1291" s="451"/>
      <c r="FD1291" s="451"/>
      <c r="FE1291" s="451"/>
      <c r="FF1291" s="451"/>
      <c r="FG1291" s="451"/>
      <c r="FH1291" s="451"/>
      <c r="FI1291" s="451"/>
      <c r="FJ1291" s="451"/>
      <c r="FK1291" s="236"/>
      <c r="FL1291" s="451"/>
      <c r="FM1291" s="451"/>
      <c r="FN1291" s="454"/>
      <c r="FO1291" s="253"/>
      <c r="FP1291" s="451"/>
      <c r="FQ1291" s="451"/>
      <c r="FR1291" s="451"/>
      <c r="FS1291" s="451"/>
      <c r="FT1291" s="451"/>
      <c r="FU1291" s="451"/>
      <c r="FV1291" s="451"/>
      <c r="FW1291" s="451"/>
      <c r="FX1291" s="452"/>
      <c r="FY1291" s="451"/>
      <c r="FZ1291" s="451"/>
      <c r="GA1291" s="451"/>
      <c r="GB1291" s="451"/>
      <c r="GC1291" s="451"/>
      <c r="GD1291" s="451"/>
      <c r="GE1291" s="451"/>
      <c r="GF1291" s="451"/>
      <c r="GG1291" s="451"/>
      <c r="GH1291" s="451"/>
      <c r="GI1291" s="451"/>
      <c r="GJ1291" s="451"/>
      <c r="GK1291" s="451"/>
      <c r="GL1291" s="451"/>
      <c r="GM1291" s="451"/>
      <c r="GN1291" s="451"/>
      <c r="GO1291" s="451"/>
      <c r="GP1291" s="455"/>
      <c r="GQ1291" s="451"/>
      <c r="GR1291" s="451"/>
      <c r="GS1291" s="451"/>
      <c r="GT1291" s="451"/>
      <c r="GU1291" s="451"/>
      <c r="GV1291" s="451"/>
      <c r="GW1291" s="451"/>
      <c r="GX1291" s="451"/>
      <c r="GY1291" s="451"/>
      <c r="GZ1291" s="452"/>
      <c r="HA1291" s="451"/>
      <c r="HB1291" s="253"/>
      <c r="HC1291" s="451"/>
      <c r="HD1291" s="452"/>
      <c r="HE1291" s="451"/>
      <c r="HF1291" s="451"/>
      <c r="HG1291" s="451"/>
      <c r="HH1291" s="451"/>
      <c r="HI1291" s="451"/>
      <c r="HJ1291" s="451"/>
      <c r="HK1291" s="451"/>
      <c r="HL1291" s="451"/>
      <c r="HM1291" s="451"/>
      <c r="HN1291" s="451"/>
      <c r="HO1291" s="451"/>
      <c r="HP1291" s="451"/>
      <c r="HQ1291" s="451" t="s">
        <v>1920</v>
      </c>
      <c r="HR1291" s="451">
        <v>44890.35</v>
      </c>
      <c r="HS1291" s="451"/>
      <c r="HT1291" s="451"/>
      <c r="HU1291" s="451"/>
      <c r="HV1291" s="451"/>
      <c r="HW1291" s="451"/>
      <c r="HX1291" s="451"/>
      <c r="HY1291" s="451"/>
      <c r="HZ1291" s="451"/>
      <c r="IA1291" s="451"/>
      <c r="IB1291" s="451"/>
      <c r="IC1291" s="451"/>
      <c r="ID1291" s="451"/>
      <c r="IE1291" s="451"/>
      <c r="IF1291" s="451"/>
      <c r="IG1291" s="451"/>
      <c r="IH1291" s="451"/>
      <c r="II1291" s="451"/>
      <c r="IJ1291" s="451"/>
      <c r="IK1291" s="451"/>
      <c r="IL1291" s="451"/>
      <c r="IM1291" s="451"/>
      <c r="IN1291" s="451"/>
      <c r="IO1291" s="451"/>
      <c r="IP1291" s="451"/>
      <c r="IQ1291" s="451"/>
      <c r="IR1291" s="451"/>
      <c r="IS1291" s="451"/>
      <c r="IT1291" s="451"/>
      <c r="IU1291" s="451"/>
      <c r="IV1291" s="451"/>
      <c r="IW1291" s="451"/>
      <c r="IX1291" s="451"/>
      <c r="IY1291" s="451"/>
      <c r="IZ1291" s="451"/>
      <c r="JA1291" s="451"/>
      <c r="JB1291" s="451"/>
    </row>
    <row r="1292" spans="1:262" s="267" customFormat="1" ht="63" x14ac:dyDescent="0.85">
      <c r="A1292" s="273"/>
      <c r="B1292" s="288">
        <v>1</v>
      </c>
      <c r="C1292" s="286" t="s">
        <v>1926</v>
      </c>
      <c r="D1292" s="251">
        <v>4228150.99</v>
      </c>
      <c r="E1292" s="251">
        <f t="shared" si="418"/>
        <v>0</v>
      </c>
      <c r="F1292" s="251">
        <f>G1292+H1292+I1292+J1292+K1292+L1292+N1292+P1292+R1292+T1292+V1292+W1292+X1292+Y1292+Z1292+AA1292+AB1292+AC1292+AD1292+AE1292+AF1292+AG1292</f>
        <v>4228150.99</v>
      </c>
      <c r="G1292" s="289">
        <v>0</v>
      </c>
      <c r="H1292" s="251">
        <v>0</v>
      </c>
      <c r="I1292" s="251">
        <v>0</v>
      </c>
      <c r="J1292" s="251">
        <v>0</v>
      </c>
      <c r="K1292" s="251">
        <v>0</v>
      </c>
      <c r="L1292" s="251">
        <v>0</v>
      </c>
      <c r="M1292" s="282">
        <v>0</v>
      </c>
      <c r="N1292" s="251">
        <v>0</v>
      </c>
      <c r="O1292" s="251">
        <v>1122.67</v>
      </c>
      <c r="P1292" s="251">
        <v>4165666</v>
      </c>
      <c r="Q1292" s="251">
        <v>0</v>
      </c>
      <c r="R1292" s="251">
        <v>0</v>
      </c>
      <c r="S1292" s="251">
        <v>0</v>
      </c>
      <c r="T1292" s="251">
        <v>0</v>
      </c>
      <c r="U1292" s="251">
        <v>0</v>
      </c>
      <c r="V1292" s="251">
        <v>0</v>
      </c>
      <c r="W1292" s="251">
        <v>0</v>
      </c>
      <c r="X1292" s="251">
        <v>0</v>
      </c>
      <c r="Y1292" s="251">
        <v>0</v>
      </c>
      <c r="Z1292" s="251">
        <v>0</v>
      </c>
      <c r="AA1292" s="251">
        <v>0</v>
      </c>
      <c r="AB1292" s="251">
        <v>0</v>
      </c>
      <c r="AC1292" s="251">
        <v>0</v>
      </c>
      <c r="AD1292" s="251">
        <v>0</v>
      </c>
      <c r="AE1292" s="251">
        <v>62484.99</v>
      </c>
      <c r="AF1292" s="251">
        <v>0</v>
      </c>
      <c r="AG1292" s="251">
        <v>0</v>
      </c>
      <c r="AH1292" s="66" t="s">
        <v>49</v>
      </c>
      <c r="AI1292" s="66">
        <v>2020</v>
      </c>
      <c r="AJ1292" s="66">
        <v>2020</v>
      </c>
      <c r="AK1292" s="272"/>
      <c r="AL1292" s="272"/>
      <c r="AM1292" s="287"/>
      <c r="AN1292" s="272"/>
      <c r="AO1292" s="272"/>
      <c r="AP1292" s="451"/>
      <c r="AQ1292" s="451"/>
      <c r="AR1292" s="451"/>
      <c r="AS1292" s="451"/>
      <c r="AT1292" s="453"/>
      <c r="AU1292" s="253"/>
      <c r="AV1292" s="451"/>
      <c r="AW1292" s="451"/>
      <c r="AX1292" s="451"/>
      <c r="AY1292" s="451"/>
      <c r="AZ1292" s="451"/>
      <c r="BA1292" s="451"/>
      <c r="BB1292" s="451"/>
      <c r="BC1292" s="451"/>
      <c r="BD1292" s="451"/>
      <c r="BE1292" s="451"/>
      <c r="BF1292" s="451"/>
      <c r="BG1292" s="451"/>
      <c r="BH1292" s="452"/>
      <c r="BI1292" s="451"/>
      <c r="BJ1292" s="451"/>
      <c r="BK1292" s="451"/>
      <c r="BL1292" s="451"/>
      <c r="BM1292" s="451"/>
      <c r="BN1292" s="451"/>
      <c r="BO1292" s="451"/>
      <c r="BP1292" s="451"/>
      <c r="BQ1292" s="451"/>
      <c r="BR1292" s="451"/>
      <c r="BS1292" s="451"/>
      <c r="BT1292" s="452"/>
      <c r="BU1292" s="451"/>
      <c r="BV1292" s="451"/>
      <c r="BW1292" s="253"/>
      <c r="BX1292" s="451"/>
      <c r="BY1292" s="451"/>
      <c r="BZ1292" s="451"/>
      <c r="CA1292" s="451"/>
      <c r="CB1292" s="451"/>
      <c r="CC1292" s="451"/>
      <c r="CD1292" s="451"/>
      <c r="CE1292" s="451"/>
      <c r="CF1292" s="451"/>
      <c r="CG1292" s="451"/>
      <c r="CH1292" s="451"/>
      <c r="CI1292" s="451"/>
      <c r="CJ1292" s="452"/>
      <c r="CK1292" s="451"/>
      <c r="CL1292" s="451"/>
      <c r="CM1292" s="452"/>
      <c r="CN1292" s="451"/>
      <c r="CO1292" s="451"/>
      <c r="CP1292" s="451"/>
      <c r="CQ1292" s="451"/>
      <c r="CR1292" s="451"/>
      <c r="CS1292" s="451"/>
      <c r="CT1292" s="451"/>
      <c r="CU1292" s="451"/>
      <c r="CV1292" s="451"/>
      <c r="CW1292" s="451"/>
      <c r="CX1292" s="451"/>
      <c r="CY1292" s="451"/>
      <c r="CZ1292" s="451"/>
      <c r="DA1292" s="451"/>
      <c r="DB1292" s="451"/>
      <c r="DC1292" s="451"/>
      <c r="DD1292" s="451"/>
      <c r="DE1292" s="451"/>
      <c r="DF1292" s="451"/>
      <c r="DG1292" s="451"/>
      <c r="DH1292" s="451"/>
      <c r="DI1292" s="451"/>
      <c r="DJ1292" s="451"/>
      <c r="DK1292" s="451"/>
      <c r="DL1292" s="451"/>
      <c r="DM1292" s="451"/>
      <c r="DN1292" s="451"/>
      <c r="DO1292" s="451"/>
      <c r="DP1292" s="451"/>
      <c r="DQ1292" s="451"/>
      <c r="DR1292" s="451"/>
      <c r="DS1292" s="451"/>
      <c r="DT1292" s="451"/>
      <c r="DU1292" s="451"/>
      <c r="DV1292" s="451"/>
      <c r="DW1292" s="451"/>
      <c r="DX1292" s="451"/>
      <c r="DY1292" s="451"/>
      <c r="DZ1292" s="451"/>
      <c r="EA1292" s="451"/>
      <c r="EB1292" s="451"/>
      <c r="EC1292" s="451"/>
      <c r="ED1292" s="451"/>
      <c r="EE1292" s="451"/>
      <c r="EF1292" s="451"/>
      <c r="EG1292" s="451"/>
      <c r="EH1292" s="451"/>
      <c r="EI1292" s="451"/>
      <c r="EJ1292" s="451"/>
      <c r="EK1292" s="451"/>
      <c r="EL1292" s="236"/>
      <c r="EM1292" s="451"/>
      <c r="EN1292" s="253"/>
      <c r="EO1292" s="451"/>
      <c r="EP1292" s="451"/>
      <c r="EQ1292" s="451"/>
      <c r="ER1292" s="451"/>
      <c r="ES1292" s="451"/>
      <c r="ET1292" s="451"/>
      <c r="EU1292" s="451"/>
      <c r="EV1292" s="451"/>
      <c r="EW1292" s="452"/>
      <c r="EX1292" s="451"/>
      <c r="EY1292" s="451"/>
      <c r="EZ1292" s="451"/>
      <c r="FA1292" s="451"/>
      <c r="FB1292" s="451"/>
      <c r="FC1292" s="451"/>
      <c r="FD1292" s="451"/>
      <c r="FE1292" s="451"/>
      <c r="FF1292" s="451"/>
      <c r="FG1292" s="451"/>
      <c r="FH1292" s="451"/>
      <c r="FI1292" s="451"/>
      <c r="FJ1292" s="451"/>
      <c r="FK1292" s="236"/>
      <c r="FL1292" s="451"/>
      <c r="FM1292" s="451"/>
      <c r="FN1292" s="253"/>
      <c r="FO1292" s="253"/>
      <c r="FP1292" s="451"/>
      <c r="FQ1292" s="451"/>
      <c r="FR1292" s="451"/>
      <c r="FS1292" s="451"/>
      <c r="FT1292" s="451"/>
      <c r="FU1292" s="451"/>
      <c r="FV1292" s="451"/>
      <c r="FW1292" s="451"/>
      <c r="FX1292" s="452"/>
      <c r="FY1292" s="451"/>
      <c r="FZ1292" s="451"/>
      <c r="GA1292" s="451"/>
      <c r="GB1292" s="451"/>
      <c r="GC1292" s="451"/>
      <c r="GD1292" s="451"/>
      <c r="GE1292" s="451"/>
      <c r="GF1292" s="451"/>
      <c r="GG1292" s="451"/>
      <c r="GH1292" s="451"/>
      <c r="GI1292" s="451"/>
      <c r="GJ1292" s="451"/>
      <c r="GK1292" s="451"/>
      <c r="GL1292" s="451"/>
      <c r="GM1292" s="451"/>
      <c r="GN1292" s="451"/>
      <c r="GO1292" s="451"/>
      <c r="GP1292" s="455"/>
      <c r="GQ1292" s="451"/>
      <c r="GR1292" s="451"/>
      <c r="GS1292" s="451"/>
      <c r="GT1292" s="451"/>
      <c r="GU1292" s="451"/>
      <c r="GV1292" s="451"/>
      <c r="GW1292" s="451"/>
      <c r="GX1292" s="451"/>
      <c r="GY1292" s="451"/>
      <c r="GZ1292" s="452"/>
      <c r="HA1292" s="451"/>
      <c r="HB1292" s="253"/>
      <c r="HC1292" s="451"/>
      <c r="HD1292" s="451"/>
      <c r="HE1292" s="451"/>
      <c r="HF1292" s="451"/>
      <c r="HG1292" s="451"/>
      <c r="HH1292" s="451"/>
      <c r="HI1292" s="451"/>
      <c r="HJ1292" s="451"/>
      <c r="HK1292" s="451"/>
      <c r="HL1292" s="451"/>
      <c r="HM1292" s="451"/>
      <c r="HN1292" s="451"/>
      <c r="HO1292" s="451"/>
      <c r="HP1292" s="451"/>
      <c r="HQ1292" s="451" t="s">
        <v>1922</v>
      </c>
      <c r="HR1292" s="451">
        <v>52429.26</v>
      </c>
      <c r="HS1292" s="451"/>
      <c r="HT1292" s="451"/>
      <c r="HU1292" s="451"/>
      <c r="HV1292" s="451"/>
      <c r="HW1292" s="451"/>
      <c r="HX1292" s="451"/>
      <c r="HY1292" s="451"/>
      <c r="HZ1292" s="451"/>
      <c r="IA1292" s="451"/>
      <c r="IB1292" s="451"/>
      <c r="IC1292" s="451"/>
      <c r="ID1292" s="451"/>
      <c r="IE1292" s="451"/>
      <c r="IF1292" s="451"/>
      <c r="IG1292" s="451"/>
      <c r="IH1292" s="451"/>
      <c r="II1292" s="451"/>
      <c r="IJ1292" s="451"/>
      <c r="IK1292" s="451"/>
      <c r="IL1292" s="451"/>
      <c r="IM1292" s="451"/>
      <c r="IN1292" s="451"/>
      <c r="IO1292" s="451"/>
      <c r="IP1292" s="451"/>
      <c r="IQ1292" s="451"/>
      <c r="IR1292" s="451"/>
      <c r="IS1292" s="451"/>
      <c r="IT1292" s="451"/>
      <c r="IU1292" s="451"/>
      <c r="IV1292" s="451"/>
      <c r="IW1292" s="451"/>
      <c r="IX1292" s="451"/>
      <c r="IY1292" s="451"/>
      <c r="IZ1292" s="451"/>
      <c r="JA1292" s="451"/>
      <c r="JB1292" s="451"/>
    </row>
    <row r="1293" spans="1:262" s="267" customFormat="1" ht="63" x14ac:dyDescent="0.85">
      <c r="A1293" s="273"/>
      <c r="B1293" s="288">
        <v>2</v>
      </c>
      <c r="C1293" s="286" t="s">
        <v>1927</v>
      </c>
      <c r="D1293" s="251">
        <v>2813818.53</v>
      </c>
      <c r="E1293" s="251">
        <f t="shared" si="418"/>
        <v>22052.909999999683</v>
      </c>
      <c r="F1293" s="251">
        <f>G1293+H1293+I1293+J1293+K1293+L1293+N1293+P1293+R1293+T1293+V1293+W1293+X1293+Y1293+Z1293+AA1293+AB1293+AC1293+AD1293+AE1293+AF1293+AG1293</f>
        <v>2791765.62</v>
      </c>
      <c r="G1293" s="289">
        <v>0</v>
      </c>
      <c r="H1293" s="251">
        <v>0</v>
      </c>
      <c r="I1293" s="251">
        <v>0</v>
      </c>
      <c r="J1293" s="251">
        <v>0</v>
      </c>
      <c r="K1293" s="251">
        <v>0</v>
      </c>
      <c r="L1293" s="251">
        <v>0</v>
      </c>
      <c r="M1293" s="282">
        <v>0</v>
      </c>
      <c r="N1293" s="251">
        <v>0</v>
      </c>
      <c r="O1293" s="251">
        <v>847.2</v>
      </c>
      <c r="P1293" s="251">
        <v>2750508</v>
      </c>
      <c r="Q1293" s="251">
        <v>0</v>
      </c>
      <c r="R1293" s="251">
        <v>0</v>
      </c>
      <c r="S1293" s="251">
        <v>0</v>
      </c>
      <c r="T1293" s="251">
        <v>0</v>
      </c>
      <c r="U1293" s="251">
        <v>0</v>
      </c>
      <c r="V1293" s="251">
        <v>0</v>
      </c>
      <c r="W1293" s="251">
        <v>0</v>
      </c>
      <c r="X1293" s="251">
        <v>0</v>
      </c>
      <c r="Y1293" s="251">
        <v>0</v>
      </c>
      <c r="Z1293" s="251">
        <v>0</v>
      </c>
      <c r="AA1293" s="251">
        <v>0</v>
      </c>
      <c r="AB1293" s="251">
        <v>0</v>
      </c>
      <c r="AC1293" s="251">
        <v>0</v>
      </c>
      <c r="AD1293" s="251">
        <v>0</v>
      </c>
      <c r="AE1293" s="251">
        <v>41257.620000000003</v>
      </c>
      <c r="AF1293" s="251">
        <v>0</v>
      </c>
      <c r="AG1293" s="251">
        <v>0</v>
      </c>
      <c r="AH1293" s="66" t="s">
        <v>49</v>
      </c>
      <c r="AI1293" s="66">
        <v>2020</v>
      </c>
      <c r="AJ1293" s="66">
        <v>2020</v>
      </c>
      <c r="AK1293" s="272"/>
      <c r="AL1293" s="272"/>
      <c r="AM1293" s="287"/>
      <c r="AN1293" s="272"/>
      <c r="AO1293" s="272"/>
      <c r="AP1293" s="451"/>
      <c r="AQ1293" s="451"/>
      <c r="AR1293" s="451"/>
      <c r="AS1293" s="451"/>
      <c r="AT1293" s="453"/>
      <c r="AU1293" s="253"/>
      <c r="AV1293" s="451"/>
      <c r="AW1293" s="451"/>
      <c r="AX1293" s="451"/>
      <c r="AY1293" s="451"/>
      <c r="AZ1293" s="451"/>
      <c r="BA1293" s="451"/>
      <c r="BB1293" s="451"/>
      <c r="BC1293" s="451"/>
      <c r="BD1293" s="451"/>
      <c r="BE1293" s="451"/>
      <c r="BF1293" s="451"/>
      <c r="BG1293" s="451"/>
      <c r="BH1293" s="452"/>
      <c r="BI1293" s="451"/>
      <c r="BJ1293" s="451"/>
      <c r="BK1293" s="451"/>
      <c r="BL1293" s="451"/>
      <c r="BM1293" s="451"/>
      <c r="BN1293" s="451"/>
      <c r="BO1293" s="451"/>
      <c r="BP1293" s="451"/>
      <c r="BQ1293" s="451"/>
      <c r="BR1293" s="451"/>
      <c r="BS1293" s="451"/>
      <c r="BT1293" s="452"/>
      <c r="BU1293" s="451"/>
      <c r="BV1293" s="451"/>
      <c r="BW1293" s="253"/>
      <c r="BX1293" s="451"/>
      <c r="BY1293" s="451"/>
      <c r="BZ1293" s="451"/>
      <c r="CA1293" s="451"/>
      <c r="CB1293" s="451"/>
      <c r="CC1293" s="451"/>
      <c r="CD1293" s="451"/>
      <c r="CE1293" s="451"/>
      <c r="CF1293" s="451"/>
      <c r="CG1293" s="451"/>
      <c r="CH1293" s="451"/>
      <c r="CI1293" s="451"/>
      <c r="CJ1293" s="452"/>
      <c r="CK1293" s="451"/>
      <c r="CL1293" s="451"/>
      <c r="CM1293" s="452"/>
      <c r="CN1293" s="451"/>
      <c r="CO1293" s="451"/>
      <c r="CP1293" s="451"/>
      <c r="CQ1293" s="451"/>
      <c r="CR1293" s="451"/>
      <c r="CS1293" s="451"/>
      <c r="CT1293" s="451"/>
      <c r="CU1293" s="451"/>
      <c r="CV1293" s="451"/>
      <c r="CW1293" s="451"/>
      <c r="CX1293" s="451"/>
      <c r="CY1293" s="451"/>
      <c r="CZ1293" s="451"/>
      <c r="DA1293" s="451"/>
      <c r="DB1293" s="451"/>
      <c r="DC1293" s="451"/>
      <c r="DD1293" s="451"/>
      <c r="DE1293" s="451"/>
      <c r="DF1293" s="451"/>
      <c r="DG1293" s="451"/>
      <c r="DH1293" s="451"/>
      <c r="DI1293" s="451"/>
      <c r="DJ1293" s="451"/>
      <c r="DK1293" s="451"/>
      <c r="DL1293" s="451"/>
      <c r="DM1293" s="451"/>
      <c r="DN1293" s="451"/>
      <c r="DO1293" s="451"/>
      <c r="DP1293" s="451"/>
      <c r="DQ1293" s="451"/>
      <c r="DR1293" s="451"/>
      <c r="DS1293" s="451"/>
      <c r="DT1293" s="451"/>
      <c r="DU1293" s="451"/>
      <c r="DV1293" s="451"/>
      <c r="DW1293" s="451"/>
      <c r="DX1293" s="451"/>
      <c r="DY1293" s="451"/>
      <c r="DZ1293" s="451"/>
      <c r="EA1293" s="451"/>
      <c r="EB1293" s="451"/>
      <c r="EC1293" s="451"/>
      <c r="ED1293" s="451"/>
      <c r="EE1293" s="451"/>
      <c r="EF1293" s="451"/>
      <c r="EG1293" s="451"/>
      <c r="EH1293" s="451"/>
      <c r="EI1293" s="451"/>
      <c r="EJ1293" s="451"/>
      <c r="EK1293" s="451"/>
      <c r="EL1293" s="236"/>
      <c r="EM1293" s="451"/>
      <c r="EN1293" s="253"/>
      <c r="EO1293" s="451"/>
      <c r="EP1293" s="451"/>
      <c r="EQ1293" s="451"/>
      <c r="ER1293" s="451"/>
      <c r="ES1293" s="451"/>
      <c r="ET1293" s="451"/>
      <c r="EU1293" s="451"/>
      <c r="EV1293" s="451"/>
      <c r="EW1293" s="452"/>
      <c r="EX1293" s="451"/>
      <c r="EY1293" s="451"/>
      <c r="EZ1293" s="451"/>
      <c r="FA1293" s="451"/>
      <c r="FB1293" s="451"/>
      <c r="FC1293" s="451"/>
      <c r="FD1293" s="451"/>
      <c r="FE1293" s="451"/>
      <c r="FF1293" s="451"/>
      <c r="FG1293" s="451"/>
      <c r="FH1293" s="451"/>
      <c r="FI1293" s="451"/>
      <c r="FJ1293" s="451"/>
      <c r="FK1293" s="236"/>
      <c r="FL1293" s="451"/>
      <c r="FM1293" s="451"/>
      <c r="FN1293" s="253"/>
      <c r="FO1293" s="253"/>
      <c r="FP1293" s="451"/>
      <c r="FQ1293" s="451"/>
      <c r="FR1293" s="451"/>
      <c r="FS1293" s="451"/>
      <c r="FT1293" s="451"/>
      <c r="FU1293" s="451"/>
      <c r="FV1293" s="451"/>
      <c r="FW1293" s="451"/>
      <c r="FX1293" s="452"/>
      <c r="FY1293" s="451"/>
      <c r="FZ1293" s="451"/>
      <c r="GA1293" s="451"/>
      <c r="GB1293" s="451"/>
      <c r="GC1293" s="451"/>
      <c r="GD1293" s="451"/>
      <c r="GE1293" s="451"/>
      <c r="GF1293" s="451"/>
      <c r="GG1293" s="451"/>
      <c r="GH1293" s="451"/>
      <c r="GI1293" s="451"/>
      <c r="GJ1293" s="451"/>
      <c r="GK1293" s="451"/>
      <c r="GL1293" s="451"/>
      <c r="GM1293" s="451"/>
      <c r="GN1293" s="451"/>
      <c r="GO1293" s="451"/>
      <c r="GP1293" s="455"/>
      <c r="GQ1293" s="451"/>
      <c r="GR1293" s="451"/>
      <c r="GS1293" s="451"/>
      <c r="GT1293" s="451"/>
      <c r="GU1293" s="451"/>
      <c r="GV1293" s="451"/>
      <c r="GW1293" s="451"/>
      <c r="GX1293" s="451"/>
      <c r="GY1293" s="451"/>
      <c r="GZ1293" s="452"/>
      <c r="HA1293" s="451"/>
      <c r="HB1293" s="253"/>
      <c r="HC1293" s="451"/>
      <c r="HD1293" s="451"/>
      <c r="HE1293" s="451"/>
      <c r="HF1293" s="451"/>
      <c r="HG1293" s="451"/>
      <c r="HH1293" s="451"/>
      <c r="HI1293" s="451"/>
      <c r="HJ1293" s="451"/>
      <c r="HK1293" s="451"/>
      <c r="HL1293" s="451"/>
      <c r="HM1293" s="451"/>
      <c r="HN1293" s="451"/>
      <c r="HO1293" s="451"/>
      <c r="HP1293" s="451"/>
      <c r="HQ1293" s="451" t="s">
        <v>1922</v>
      </c>
      <c r="HR1293" s="451">
        <v>52429.26</v>
      </c>
      <c r="HS1293" s="451"/>
      <c r="HT1293" s="451"/>
      <c r="HU1293" s="451"/>
      <c r="HV1293" s="451"/>
      <c r="HW1293" s="451"/>
      <c r="HX1293" s="451"/>
      <c r="HY1293" s="451"/>
      <c r="HZ1293" s="451"/>
      <c r="IA1293" s="451"/>
      <c r="IB1293" s="451"/>
      <c r="IC1293" s="451"/>
      <c r="ID1293" s="451"/>
      <c r="IE1293" s="451"/>
      <c r="IF1293" s="451"/>
      <c r="IG1293" s="451"/>
      <c r="IH1293" s="451"/>
      <c r="II1293" s="451"/>
      <c r="IJ1293" s="451"/>
      <c r="IK1293" s="451"/>
      <c r="IL1293" s="451"/>
      <c r="IM1293" s="451"/>
      <c r="IN1293" s="451"/>
      <c r="IO1293" s="451"/>
      <c r="IP1293" s="451"/>
      <c r="IQ1293" s="451"/>
      <c r="IR1293" s="451"/>
      <c r="IS1293" s="451"/>
      <c r="IT1293" s="451"/>
      <c r="IU1293" s="451"/>
      <c r="IV1293" s="451"/>
      <c r="IW1293" s="451"/>
      <c r="IX1293" s="451"/>
      <c r="IY1293" s="451"/>
      <c r="IZ1293" s="451"/>
      <c r="JA1293" s="451"/>
      <c r="JB1293" s="451"/>
    </row>
    <row r="1294" spans="1:262" s="267" customFormat="1" ht="63" x14ac:dyDescent="0.85">
      <c r="A1294" s="273"/>
      <c r="B1294" s="288">
        <v>3</v>
      </c>
      <c r="C1294" s="286" t="s">
        <v>1928</v>
      </c>
      <c r="D1294" s="251">
        <v>6613067.0599999996</v>
      </c>
      <c r="E1294" s="251">
        <f t="shared" si="418"/>
        <v>0</v>
      </c>
      <c r="F1294" s="251">
        <f>G1294+H1294+I1294+J1294+K1294+L1294+N1294+P1294+R1294+T1294+V1294+W1294+X1294+Y1294+Z1294+AA1294+AB1294+AC1294+AD1294+AE1294+AF1294+AG1294</f>
        <v>6613067.0599999996</v>
      </c>
      <c r="G1294" s="289">
        <v>0</v>
      </c>
      <c r="H1294" s="251">
        <v>0</v>
      </c>
      <c r="I1294" s="251">
        <v>994637</v>
      </c>
      <c r="J1294" s="251">
        <v>0</v>
      </c>
      <c r="K1294" s="251">
        <v>1224682</v>
      </c>
      <c r="L1294" s="251">
        <v>0</v>
      </c>
      <c r="M1294" s="282">
        <v>0</v>
      </c>
      <c r="N1294" s="251">
        <v>0</v>
      </c>
      <c r="O1294" s="251">
        <v>1549.75</v>
      </c>
      <c r="P1294" s="251">
        <v>4296018</v>
      </c>
      <c r="Q1294" s="251">
        <v>0</v>
      </c>
      <c r="R1294" s="251">
        <v>0</v>
      </c>
      <c r="S1294" s="251">
        <v>0</v>
      </c>
      <c r="T1294" s="251">
        <v>0</v>
      </c>
      <c r="U1294" s="251">
        <v>0</v>
      </c>
      <c r="V1294" s="251">
        <v>0</v>
      </c>
      <c r="W1294" s="251">
        <v>0</v>
      </c>
      <c r="X1294" s="251">
        <v>0</v>
      </c>
      <c r="Y1294" s="251">
        <v>0</v>
      </c>
      <c r="Z1294" s="251">
        <v>0</v>
      </c>
      <c r="AA1294" s="251">
        <v>0</v>
      </c>
      <c r="AB1294" s="251">
        <v>0</v>
      </c>
      <c r="AC1294" s="251">
        <v>0</v>
      </c>
      <c r="AD1294" s="251">
        <v>0</v>
      </c>
      <c r="AE1294" s="251">
        <f>ROUND((P1294+T1294+K1294+I1294)*1.5%,2)</f>
        <v>97730.06</v>
      </c>
      <c r="AF1294" s="251">
        <v>0</v>
      </c>
      <c r="AG1294" s="251">
        <v>0</v>
      </c>
      <c r="AH1294" s="66" t="s">
        <v>49</v>
      </c>
      <c r="AI1294" s="66">
        <v>2020</v>
      </c>
      <c r="AJ1294" s="66">
        <v>2020</v>
      </c>
      <c r="AK1294" s="272"/>
      <c r="AL1294" s="272"/>
      <c r="AM1294" s="287"/>
      <c r="AN1294" s="272"/>
      <c r="AO1294" s="272"/>
      <c r="AP1294" s="451"/>
      <c r="AQ1294" s="451"/>
      <c r="AR1294" s="451"/>
      <c r="AS1294" s="451"/>
      <c r="AT1294" s="453"/>
      <c r="AU1294" s="253"/>
      <c r="AV1294" s="451"/>
      <c r="AW1294" s="451"/>
      <c r="AX1294" s="451"/>
      <c r="AY1294" s="451"/>
      <c r="AZ1294" s="451"/>
      <c r="BA1294" s="451"/>
      <c r="BB1294" s="451"/>
      <c r="BC1294" s="451"/>
      <c r="BD1294" s="451"/>
      <c r="BE1294" s="451"/>
      <c r="BF1294" s="451"/>
      <c r="BG1294" s="451"/>
      <c r="BH1294" s="452"/>
      <c r="BI1294" s="451"/>
      <c r="BJ1294" s="451"/>
      <c r="BK1294" s="451"/>
      <c r="BL1294" s="451"/>
      <c r="BM1294" s="451"/>
      <c r="BN1294" s="451"/>
      <c r="BO1294" s="451"/>
      <c r="BP1294" s="451"/>
      <c r="BQ1294" s="451"/>
      <c r="BR1294" s="451"/>
      <c r="BS1294" s="451"/>
      <c r="BT1294" s="452"/>
      <c r="BU1294" s="451"/>
      <c r="BV1294" s="451"/>
      <c r="BW1294" s="253"/>
      <c r="BX1294" s="451"/>
      <c r="BY1294" s="451"/>
      <c r="BZ1294" s="451"/>
      <c r="CA1294" s="451"/>
      <c r="CB1294" s="451"/>
      <c r="CC1294" s="451"/>
      <c r="CD1294" s="451"/>
      <c r="CE1294" s="451"/>
      <c r="CF1294" s="451"/>
      <c r="CG1294" s="451"/>
      <c r="CH1294" s="451"/>
      <c r="CI1294" s="451"/>
      <c r="CJ1294" s="452"/>
      <c r="CK1294" s="451"/>
      <c r="CL1294" s="451"/>
      <c r="CM1294" s="452"/>
      <c r="CN1294" s="451"/>
      <c r="CO1294" s="451"/>
      <c r="CP1294" s="451"/>
      <c r="CQ1294" s="451"/>
      <c r="CR1294" s="451"/>
      <c r="CS1294" s="451"/>
      <c r="CT1294" s="451"/>
      <c r="CU1294" s="451"/>
      <c r="CV1294" s="451"/>
      <c r="CW1294" s="451"/>
      <c r="CX1294" s="451"/>
      <c r="CY1294" s="451"/>
      <c r="CZ1294" s="451"/>
      <c r="DA1294" s="451"/>
      <c r="DB1294" s="451"/>
      <c r="DC1294" s="451"/>
      <c r="DD1294" s="451"/>
      <c r="DE1294" s="451"/>
      <c r="DF1294" s="451"/>
      <c r="DG1294" s="451"/>
      <c r="DH1294" s="451"/>
      <c r="DI1294" s="451"/>
      <c r="DJ1294" s="451"/>
      <c r="DK1294" s="451"/>
      <c r="DL1294" s="451"/>
      <c r="DM1294" s="451"/>
      <c r="DN1294" s="451"/>
      <c r="DO1294" s="451"/>
      <c r="DP1294" s="451"/>
      <c r="DQ1294" s="451"/>
      <c r="DR1294" s="451"/>
      <c r="DS1294" s="451"/>
      <c r="DT1294" s="451"/>
      <c r="DU1294" s="451"/>
      <c r="DV1294" s="451"/>
      <c r="DW1294" s="451"/>
      <c r="DX1294" s="451"/>
      <c r="DY1294" s="451"/>
      <c r="DZ1294" s="451"/>
      <c r="EA1294" s="451"/>
      <c r="EB1294" s="451"/>
      <c r="EC1294" s="451"/>
      <c r="ED1294" s="451"/>
      <c r="EE1294" s="451"/>
      <c r="EF1294" s="451"/>
      <c r="EG1294" s="451"/>
      <c r="EH1294" s="451"/>
      <c r="EI1294" s="451"/>
      <c r="EJ1294" s="451"/>
      <c r="EK1294" s="451"/>
      <c r="EL1294" s="236"/>
      <c r="EM1294" s="451"/>
      <c r="EN1294" s="253"/>
      <c r="EO1294" s="451"/>
      <c r="EP1294" s="451"/>
      <c r="EQ1294" s="451"/>
      <c r="ER1294" s="451"/>
      <c r="ES1294" s="451"/>
      <c r="ET1294" s="451"/>
      <c r="EU1294" s="451"/>
      <c r="EV1294" s="451"/>
      <c r="EW1294" s="452"/>
      <c r="EX1294" s="451"/>
      <c r="EY1294" s="451"/>
      <c r="EZ1294" s="451"/>
      <c r="FA1294" s="451"/>
      <c r="FB1294" s="451"/>
      <c r="FC1294" s="451"/>
      <c r="FD1294" s="451"/>
      <c r="FE1294" s="451"/>
      <c r="FF1294" s="451"/>
      <c r="FG1294" s="451"/>
      <c r="FH1294" s="451"/>
      <c r="FI1294" s="451"/>
      <c r="FJ1294" s="451"/>
      <c r="FK1294" s="236"/>
      <c r="FL1294" s="451"/>
      <c r="FM1294" s="451"/>
      <c r="FN1294" s="253"/>
      <c r="FO1294" s="253"/>
      <c r="FP1294" s="451"/>
      <c r="FQ1294" s="451"/>
      <c r="FR1294" s="451"/>
      <c r="FS1294" s="451"/>
      <c r="FT1294" s="451"/>
      <c r="FU1294" s="451"/>
      <c r="FV1294" s="451"/>
      <c r="FW1294" s="451"/>
      <c r="FX1294" s="452"/>
      <c r="FY1294" s="451"/>
      <c r="FZ1294" s="451"/>
      <c r="GA1294" s="451"/>
      <c r="GB1294" s="451"/>
      <c r="GC1294" s="451"/>
      <c r="GD1294" s="451"/>
      <c r="GE1294" s="451"/>
      <c r="GF1294" s="451"/>
      <c r="GG1294" s="451"/>
      <c r="GH1294" s="451"/>
      <c r="GI1294" s="451"/>
      <c r="GJ1294" s="451"/>
      <c r="GK1294" s="451"/>
      <c r="GL1294" s="451"/>
      <c r="GM1294" s="451"/>
      <c r="GN1294" s="451"/>
      <c r="GO1294" s="451"/>
      <c r="GP1294" s="455"/>
      <c r="GQ1294" s="451"/>
      <c r="GR1294" s="451"/>
      <c r="GS1294" s="451"/>
      <c r="GT1294" s="451"/>
      <c r="GU1294" s="451"/>
      <c r="GV1294" s="451"/>
      <c r="GW1294" s="451"/>
      <c r="GX1294" s="451"/>
      <c r="GY1294" s="451"/>
      <c r="GZ1294" s="452"/>
      <c r="HA1294" s="451"/>
      <c r="HB1294" s="253"/>
      <c r="HC1294" s="451"/>
      <c r="HD1294" s="451"/>
      <c r="HE1294" s="451"/>
      <c r="HF1294" s="451"/>
      <c r="HG1294" s="451"/>
      <c r="HH1294" s="451"/>
      <c r="HI1294" s="451"/>
      <c r="HJ1294" s="451"/>
      <c r="HK1294" s="451"/>
      <c r="HL1294" s="451"/>
      <c r="HM1294" s="451"/>
      <c r="HN1294" s="451"/>
      <c r="HO1294" s="451"/>
      <c r="HP1294" s="451"/>
      <c r="HQ1294" s="451" t="s">
        <v>1922</v>
      </c>
      <c r="HR1294" s="451">
        <v>52429.26</v>
      </c>
      <c r="HS1294" s="451"/>
      <c r="HT1294" s="451"/>
      <c r="HU1294" s="451"/>
      <c r="HV1294" s="451"/>
      <c r="HW1294" s="451"/>
      <c r="HX1294" s="451"/>
      <c r="HY1294" s="451"/>
      <c r="HZ1294" s="451"/>
      <c r="IA1294" s="451"/>
      <c r="IB1294" s="451"/>
      <c r="IC1294" s="451"/>
      <c r="ID1294" s="451"/>
      <c r="IE1294" s="451"/>
      <c r="IF1294" s="451"/>
      <c r="IG1294" s="451"/>
      <c r="IH1294" s="451"/>
      <c r="II1294" s="451"/>
      <c r="IJ1294" s="451"/>
      <c r="IK1294" s="451"/>
      <c r="IL1294" s="451"/>
      <c r="IM1294" s="451"/>
      <c r="IN1294" s="451"/>
      <c r="IO1294" s="451"/>
      <c r="IP1294" s="451"/>
      <c r="IQ1294" s="451"/>
      <c r="IR1294" s="451"/>
      <c r="IS1294" s="451"/>
      <c r="IT1294" s="451"/>
      <c r="IU1294" s="451"/>
      <c r="IV1294" s="451"/>
      <c r="IW1294" s="451"/>
      <c r="IX1294" s="451"/>
      <c r="IY1294" s="451"/>
      <c r="IZ1294" s="451"/>
      <c r="JA1294" s="451"/>
      <c r="JB1294" s="451"/>
    </row>
    <row r="1295" spans="1:262" s="267" customFormat="1" ht="76.5" x14ac:dyDescent="0.85">
      <c r="B1295" s="285" t="s">
        <v>1329</v>
      </c>
      <c r="C1295" s="286"/>
      <c r="D1295" s="251">
        <v>1833103.6099999999</v>
      </c>
      <c r="E1295" s="251">
        <f t="shared" si="418"/>
        <v>0</v>
      </c>
      <c r="F1295" s="251">
        <f t="shared" ref="F1295:AG1297" si="421">SUM(F1296:F1296)</f>
        <v>1833103.6099999999</v>
      </c>
      <c r="G1295" s="281">
        <f t="shared" si="421"/>
        <v>0</v>
      </c>
      <c r="H1295" s="281">
        <f t="shared" si="421"/>
        <v>0</v>
      </c>
      <c r="I1295" s="281">
        <f t="shared" si="421"/>
        <v>0</v>
      </c>
      <c r="J1295" s="281">
        <f t="shared" si="421"/>
        <v>0</v>
      </c>
      <c r="K1295" s="281">
        <f t="shared" si="421"/>
        <v>0</v>
      </c>
      <c r="L1295" s="281">
        <f t="shared" si="421"/>
        <v>0</v>
      </c>
      <c r="M1295" s="282">
        <f t="shared" si="421"/>
        <v>0</v>
      </c>
      <c r="N1295" s="281">
        <f t="shared" si="421"/>
        <v>0</v>
      </c>
      <c r="O1295" s="281">
        <f t="shared" si="421"/>
        <v>691.1</v>
      </c>
      <c r="P1295" s="281">
        <f t="shared" si="421"/>
        <v>1806013.41</v>
      </c>
      <c r="Q1295" s="281">
        <f t="shared" si="421"/>
        <v>0</v>
      </c>
      <c r="R1295" s="281">
        <f t="shared" si="421"/>
        <v>0</v>
      </c>
      <c r="S1295" s="281">
        <f t="shared" si="421"/>
        <v>0</v>
      </c>
      <c r="T1295" s="281">
        <f t="shared" si="421"/>
        <v>0</v>
      </c>
      <c r="U1295" s="281">
        <f t="shared" si="421"/>
        <v>0</v>
      </c>
      <c r="V1295" s="281">
        <f t="shared" si="421"/>
        <v>0</v>
      </c>
      <c r="W1295" s="281">
        <f t="shared" si="421"/>
        <v>0</v>
      </c>
      <c r="X1295" s="281">
        <f t="shared" si="421"/>
        <v>0</v>
      </c>
      <c r="Y1295" s="281">
        <f t="shared" si="421"/>
        <v>0</v>
      </c>
      <c r="Z1295" s="281">
        <f t="shared" si="421"/>
        <v>0</v>
      </c>
      <c r="AA1295" s="281">
        <f t="shared" si="421"/>
        <v>0</v>
      </c>
      <c r="AB1295" s="281">
        <f t="shared" si="421"/>
        <v>0</v>
      </c>
      <c r="AC1295" s="281">
        <f t="shared" si="421"/>
        <v>0</v>
      </c>
      <c r="AD1295" s="281">
        <f t="shared" si="421"/>
        <v>0</v>
      </c>
      <c r="AE1295" s="251">
        <f t="shared" si="421"/>
        <v>27090.2</v>
      </c>
      <c r="AF1295" s="281">
        <f t="shared" si="421"/>
        <v>0</v>
      </c>
      <c r="AG1295" s="281">
        <f t="shared" si="421"/>
        <v>0</v>
      </c>
      <c r="AH1295" s="283" t="s">
        <v>1918</v>
      </c>
      <c r="AI1295" s="283" t="s">
        <v>1918</v>
      </c>
      <c r="AJ1295" s="283" t="s">
        <v>1918</v>
      </c>
      <c r="AK1295" s="272"/>
      <c r="AL1295" s="278"/>
      <c r="AM1295" s="287"/>
      <c r="AN1295" s="272"/>
      <c r="AO1295" s="272"/>
      <c r="AP1295" s="451"/>
      <c r="AQ1295" s="451"/>
      <c r="AR1295" s="451"/>
      <c r="AS1295" s="451"/>
      <c r="AT1295" s="453"/>
      <c r="AU1295" s="253"/>
      <c r="AV1295" s="451"/>
      <c r="AW1295" s="451"/>
      <c r="AX1295" s="451"/>
      <c r="AY1295" s="451"/>
      <c r="AZ1295" s="451"/>
      <c r="BA1295" s="451"/>
      <c r="BB1295" s="451"/>
      <c r="BC1295" s="451"/>
      <c r="BD1295" s="451"/>
      <c r="BE1295" s="451"/>
      <c r="BF1295" s="451"/>
      <c r="BG1295" s="451"/>
      <c r="BH1295" s="452"/>
      <c r="BI1295" s="451"/>
      <c r="BJ1295" s="451"/>
      <c r="BK1295" s="451"/>
      <c r="BL1295" s="451"/>
      <c r="BM1295" s="451"/>
      <c r="BN1295" s="451"/>
      <c r="BO1295" s="451"/>
      <c r="BP1295" s="451"/>
      <c r="BQ1295" s="451"/>
      <c r="BR1295" s="451"/>
      <c r="BS1295" s="451"/>
      <c r="BT1295" s="452"/>
      <c r="BU1295" s="451"/>
      <c r="BV1295" s="451"/>
      <c r="BW1295" s="253"/>
      <c r="BX1295" s="451"/>
      <c r="BY1295" s="451"/>
      <c r="BZ1295" s="451"/>
      <c r="CA1295" s="451"/>
      <c r="CB1295" s="451"/>
      <c r="CC1295" s="451"/>
      <c r="CD1295" s="451"/>
      <c r="CE1295" s="451"/>
      <c r="CF1295" s="451"/>
      <c r="CG1295" s="451"/>
      <c r="CH1295" s="451"/>
      <c r="CI1295" s="451"/>
      <c r="CJ1295" s="452"/>
      <c r="CK1295" s="451"/>
      <c r="CL1295" s="451"/>
      <c r="CM1295" s="452"/>
      <c r="CN1295" s="451"/>
      <c r="CO1295" s="451"/>
      <c r="CP1295" s="451"/>
      <c r="CQ1295" s="451"/>
      <c r="CR1295" s="451"/>
      <c r="CS1295" s="451"/>
      <c r="CT1295" s="451"/>
      <c r="CU1295" s="451"/>
      <c r="CV1295" s="451"/>
      <c r="CW1295" s="451"/>
      <c r="CX1295" s="451"/>
      <c r="CY1295" s="451"/>
      <c r="CZ1295" s="451"/>
      <c r="DA1295" s="451"/>
      <c r="DB1295" s="451"/>
      <c r="DC1295" s="451"/>
      <c r="DD1295" s="451"/>
      <c r="DE1295" s="451"/>
      <c r="DF1295" s="451"/>
      <c r="DG1295" s="451"/>
      <c r="DH1295" s="451"/>
      <c r="DI1295" s="451"/>
      <c r="DJ1295" s="451"/>
      <c r="DK1295" s="451"/>
      <c r="DL1295" s="451"/>
      <c r="DM1295" s="451"/>
      <c r="DN1295" s="451"/>
      <c r="DO1295" s="451"/>
      <c r="DP1295" s="451"/>
      <c r="DQ1295" s="451"/>
      <c r="DR1295" s="451"/>
      <c r="DS1295" s="451"/>
      <c r="DT1295" s="451"/>
      <c r="DU1295" s="451"/>
      <c r="DV1295" s="451"/>
      <c r="DW1295" s="451"/>
      <c r="DX1295" s="451"/>
      <c r="DY1295" s="451"/>
      <c r="DZ1295" s="451"/>
      <c r="EA1295" s="451"/>
      <c r="EB1295" s="451"/>
      <c r="EC1295" s="451"/>
      <c r="ED1295" s="451"/>
      <c r="EE1295" s="451"/>
      <c r="EF1295" s="451"/>
      <c r="EG1295" s="451"/>
      <c r="EH1295" s="451"/>
      <c r="EI1295" s="451"/>
      <c r="EJ1295" s="451"/>
      <c r="EK1295" s="451"/>
      <c r="EL1295" s="236"/>
      <c r="EM1295" s="451"/>
      <c r="EN1295" s="253"/>
      <c r="EO1295" s="451"/>
      <c r="EP1295" s="451"/>
      <c r="EQ1295" s="451"/>
      <c r="ER1295" s="451"/>
      <c r="ES1295" s="451"/>
      <c r="ET1295" s="451"/>
      <c r="EU1295" s="451"/>
      <c r="EV1295" s="451"/>
      <c r="EW1295" s="452"/>
      <c r="EX1295" s="451"/>
      <c r="EY1295" s="451"/>
      <c r="EZ1295" s="451"/>
      <c r="FA1295" s="451"/>
      <c r="FB1295" s="451"/>
      <c r="FC1295" s="451"/>
      <c r="FD1295" s="451"/>
      <c r="FE1295" s="451"/>
      <c r="FF1295" s="451"/>
      <c r="FG1295" s="451"/>
      <c r="FH1295" s="451"/>
      <c r="FI1295" s="451"/>
      <c r="FJ1295" s="451"/>
      <c r="FK1295" s="236"/>
      <c r="FL1295" s="451"/>
      <c r="FM1295" s="451"/>
      <c r="FN1295" s="454"/>
      <c r="FO1295" s="253"/>
      <c r="FP1295" s="451"/>
      <c r="FQ1295" s="451"/>
      <c r="FR1295" s="451"/>
      <c r="FS1295" s="451"/>
      <c r="FT1295" s="451"/>
      <c r="FU1295" s="451"/>
      <c r="FV1295" s="451"/>
      <c r="FW1295" s="451"/>
      <c r="FX1295" s="452"/>
      <c r="FY1295" s="451"/>
      <c r="FZ1295" s="451"/>
      <c r="GA1295" s="451"/>
      <c r="GB1295" s="451"/>
      <c r="GC1295" s="451"/>
      <c r="GD1295" s="451"/>
      <c r="GE1295" s="451"/>
      <c r="GF1295" s="451"/>
      <c r="GG1295" s="451"/>
      <c r="GH1295" s="451"/>
      <c r="GI1295" s="451"/>
      <c r="GJ1295" s="451"/>
      <c r="GK1295" s="451"/>
      <c r="GL1295" s="451"/>
      <c r="GM1295" s="451"/>
      <c r="GN1295" s="451"/>
      <c r="GO1295" s="451"/>
      <c r="GP1295" s="455"/>
      <c r="GQ1295" s="451"/>
      <c r="GR1295" s="451"/>
      <c r="GS1295" s="451"/>
      <c r="GT1295" s="451"/>
      <c r="GU1295" s="451"/>
      <c r="GV1295" s="451"/>
      <c r="GW1295" s="451"/>
      <c r="GX1295" s="451"/>
      <c r="GY1295" s="451"/>
      <c r="GZ1295" s="452"/>
      <c r="HA1295" s="451"/>
      <c r="HB1295" s="253"/>
      <c r="HC1295" s="451"/>
      <c r="HD1295" s="452"/>
      <c r="HE1295" s="451"/>
      <c r="HF1295" s="451"/>
      <c r="HG1295" s="451"/>
      <c r="HH1295" s="451"/>
      <c r="HI1295" s="451"/>
      <c r="HJ1295" s="451"/>
      <c r="HK1295" s="451"/>
      <c r="HL1295" s="451"/>
      <c r="HM1295" s="451"/>
      <c r="HN1295" s="451"/>
      <c r="HO1295" s="451"/>
      <c r="HP1295" s="451"/>
      <c r="HQ1295" s="451" t="s">
        <v>1920</v>
      </c>
      <c r="HR1295" s="451">
        <v>44890.35</v>
      </c>
      <c r="HS1295" s="451"/>
      <c r="HT1295" s="451"/>
      <c r="HU1295" s="451"/>
      <c r="HV1295" s="451"/>
      <c r="HW1295" s="451"/>
      <c r="HX1295" s="451"/>
      <c r="HY1295" s="451"/>
      <c r="HZ1295" s="451"/>
      <c r="IA1295" s="451"/>
      <c r="IB1295" s="451"/>
      <c r="IC1295" s="451"/>
      <c r="ID1295" s="451"/>
      <c r="IE1295" s="451"/>
      <c r="IF1295" s="451"/>
      <c r="IG1295" s="451"/>
      <c r="IH1295" s="451"/>
      <c r="II1295" s="451"/>
      <c r="IJ1295" s="451"/>
      <c r="IK1295" s="451"/>
      <c r="IL1295" s="451"/>
      <c r="IM1295" s="451"/>
      <c r="IN1295" s="451"/>
      <c r="IO1295" s="451"/>
      <c r="IP1295" s="451"/>
      <c r="IQ1295" s="451"/>
      <c r="IR1295" s="451"/>
      <c r="IS1295" s="451"/>
      <c r="IT1295" s="451"/>
      <c r="IU1295" s="451"/>
      <c r="IV1295" s="451"/>
      <c r="IW1295" s="451"/>
      <c r="IX1295" s="451"/>
      <c r="IY1295" s="451"/>
      <c r="IZ1295" s="451"/>
      <c r="JA1295" s="451"/>
      <c r="JB1295" s="451"/>
    </row>
    <row r="1296" spans="1:262" s="240" customFormat="1" ht="76.5" customHeight="1" x14ac:dyDescent="0.85">
      <c r="A1296" s="273"/>
      <c r="B1296" s="288">
        <v>4</v>
      </c>
      <c r="C1296" s="290" t="s">
        <v>1929</v>
      </c>
      <c r="D1296" s="251">
        <v>1833103.6099999999</v>
      </c>
      <c r="E1296" s="251">
        <f t="shared" si="418"/>
        <v>0</v>
      </c>
      <c r="F1296" s="251">
        <f>G1296+H1296+I1296+J1296+K1296+L1296+N1296+P1296+R1296+T1296+V1296+W1296+X1296+Y1296+Z1296+AA1296+AB1296+AC1296+AD1296+AE1296+AF1296+AG1296</f>
        <v>1833103.6099999999</v>
      </c>
      <c r="G1296" s="289">
        <v>0</v>
      </c>
      <c r="H1296" s="251">
        <v>0</v>
      </c>
      <c r="I1296" s="251">
        <v>0</v>
      </c>
      <c r="J1296" s="251">
        <v>0</v>
      </c>
      <c r="K1296" s="251">
        <v>0</v>
      </c>
      <c r="L1296" s="251">
        <v>0</v>
      </c>
      <c r="M1296" s="282">
        <v>0</v>
      </c>
      <c r="N1296" s="251">
        <v>0</v>
      </c>
      <c r="O1296" s="251">
        <v>691.1</v>
      </c>
      <c r="P1296" s="251">
        <v>1806013.41</v>
      </c>
      <c r="Q1296" s="251">
        <v>0</v>
      </c>
      <c r="R1296" s="251">
        <v>0</v>
      </c>
      <c r="S1296" s="251">
        <v>0</v>
      </c>
      <c r="T1296" s="251">
        <v>0</v>
      </c>
      <c r="U1296" s="251">
        <v>0</v>
      </c>
      <c r="V1296" s="251">
        <v>0</v>
      </c>
      <c r="W1296" s="251">
        <v>0</v>
      </c>
      <c r="X1296" s="251">
        <v>0</v>
      </c>
      <c r="Y1296" s="251">
        <v>0</v>
      </c>
      <c r="Z1296" s="251">
        <v>0</v>
      </c>
      <c r="AA1296" s="251">
        <v>0</v>
      </c>
      <c r="AB1296" s="251">
        <v>0</v>
      </c>
      <c r="AC1296" s="251">
        <v>0</v>
      </c>
      <c r="AD1296" s="251">
        <v>0</v>
      </c>
      <c r="AE1296" s="251">
        <f>ROUND((P1296+T1296)*1.5%,2)</f>
        <v>27090.2</v>
      </c>
      <c r="AF1296" s="251">
        <v>0</v>
      </c>
      <c r="AG1296" s="251">
        <v>0</v>
      </c>
      <c r="AH1296" s="66" t="s">
        <v>49</v>
      </c>
      <c r="AI1296" s="66">
        <v>2020</v>
      </c>
      <c r="AJ1296" s="66">
        <v>2020</v>
      </c>
      <c r="AK1296" s="272"/>
      <c r="AL1296" s="272"/>
      <c r="AM1296" s="287"/>
      <c r="AN1296" s="272"/>
      <c r="AO1296" s="272"/>
      <c r="AP1296" s="242"/>
      <c r="AQ1296" s="242"/>
      <c r="AR1296" s="242"/>
      <c r="AS1296" s="242"/>
      <c r="AT1296" s="251"/>
      <c r="AU1296" s="253"/>
      <c r="AV1296" s="242"/>
      <c r="AW1296" s="242"/>
      <c r="AX1296" s="242"/>
      <c r="AY1296" s="242"/>
      <c r="AZ1296" s="242"/>
      <c r="BA1296" s="242"/>
      <c r="BB1296" s="242"/>
      <c r="BC1296" s="242"/>
      <c r="BD1296" s="242"/>
      <c r="BE1296" s="242"/>
      <c r="BF1296" s="242"/>
      <c r="BG1296" s="242"/>
      <c r="BH1296" s="452"/>
      <c r="BI1296" s="242"/>
      <c r="BJ1296" s="242"/>
      <c r="BK1296" s="242"/>
      <c r="BL1296" s="242"/>
      <c r="BM1296" s="242"/>
      <c r="BN1296" s="242"/>
      <c r="BO1296" s="242"/>
      <c r="BP1296" s="242"/>
      <c r="BQ1296" s="242"/>
      <c r="BR1296" s="242"/>
      <c r="BS1296" s="242"/>
      <c r="BT1296" s="452"/>
      <c r="BU1296" s="242"/>
      <c r="BV1296" s="242"/>
      <c r="BW1296" s="253"/>
      <c r="BX1296" s="242"/>
      <c r="BY1296" s="242"/>
      <c r="BZ1296" s="242"/>
      <c r="CA1296" s="242"/>
      <c r="CB1296" s="242"/>
      <c r="CC1296" s="242"/>
      <c r="CD1296" s="242"/>
      <c r="CE1296" s="242"/>
      <c r="CF1296" s="242"/>
      <c r="CG1296" s="242"/>
      <c r="CH1296" s="242"/>
      <c r="CI1296" s="242"/>
      <c r="CJ1296" s="452"/>
      <c r="CK1296" s="242"/>
      <c r="CL1296" s="242"/>
      <c r="CM1296" s="452"/>
      <c r="CN1296" s="242"/>
      <c r="CO1296" s="242"/>
      <c r="CP1296" s="242"/>
      <c r="CQ1296" s="242"/>
      <c r="CR1296" s="242"/>
      <c r="CS1296" s="242"/>
      <c r="CT1296" s="242"/>
      <c r="CU1296" s="242"/>
      <c r="CV1296" s="242"/>
      <c r="CW1296" s="242"/>
      <c r="CX1296" s="242"/>
      <c r="CY1296" s="242"/>
      <c r="CZ1296" s="242"/>
      <c r="DA1296" s="242"/>
      <c r="DB1296" s="242"/>
      <c r="DC1296" s="242"/>
      <c r="DD1296" s="242"/>
      <c r="DE1296" s="242"/>
      <c r="DF1296" s="242"/>
      <c r="DG1296" s="242"/>
      <c r="DH1296" s="242"/>
      <c r="DI1296" s="242"/>
      <c r="DJ1296" s="242"/>
      <c r="DK1296" s="242"/>
      <c r="DL1296" s="242"/>
      <c r="DM1296" s="242"/>
      <c r="DN1296" s="242"/>
      <c r="DO1296" s="242"/>
      <c r="DP1296" s="242"/>
      <c r="DQ1296" s="242"/>
      <c r="DR1296" s="242"/>
      <c r="DS1296" s="242"/>
      <c r="DT1296" s="242"/>
      <c r="DU1296" s="242"/>
      <c r="DV1296" s="242"/>
      <c r="DW1296" s="242"/>
      <c r="DX1296" s="242"/>
      <c r="DY1296" s="242"/>
      <c r="DZ1296" s="242"/>
      <c r="EA1296" s="242"/>
      <c r="EB1296" s="242"/>
      <c r="EC1296" s="242"/>
      <c r="ED1296" s="242"/>
      <c r="EE1296" s="242"/>
      <c r="EF1296" s="242"/>
      <c r="EG1296" s="242"/>
      <c r="EH1296" s="242"/>
      <c r="EI1296" s="242"/>
      <c r="EJ1296" s="242"/>
      <c r="EK1296" s="242"/>
      <c r="EL1296" s="236"/>
      <c r="EM1296" s="242"/>
      <c r="EN1296" s="253"/>
      <c r="EO1296" s="242"/>
      <c r="EP1296" s="242"/>
      <c r="EQ1296" s="242"/>
      <c r="ER1296" s="242"/>
      <c r="ES1296" s="242"/>
      <c r="ET1296" s="242"/>
      <c r="EU1296" s="242"/>
      <c r="EV1296" s="242"/>
      <c r="EW1296" s="452"/>
      <c r="EX1296" s="242"/>
      <c r="EY1296" s="242"/>
      <c r="EZ1296" s="242"/>
      <c r="FA1296" s="242"/>
      <c r="FB1296" s="242"/>
      <c r="FC1296" s="242"/>
      <c r="FD1296" s="242"/>
      <c r="FE1296" s="242"/>
      <c r="FF1296" s="242"/>
      <c r="FG1296" s="242"/>
      <c r="FH1296" s="242"/>
      <c r="FI1296" s="242"/>
      <c r="FJ1296" s="242"/>
      <c r="FK1296" s="236"/>
      <c r="FL1296" s="242"/>
      <c r="FM1296" s="242"/>
      <c r="FN1296" s="253"/>
      <c r="FO1296" s="253"/>
      <c r="FP1296" s="242"/>
      <c r="FQ1296" s="242"/>
      <c r="FR1296" s="242"/>
      <c r="FS1296" s="242"/>
      <c r="FT1296" s="242"/>
      <c r="FU1296" s="242"/>
      <c r="FV1296" s="242"/>
      <c r="FW1296" s="242"/>
      <c r="FX1296" s="452"/>
      <c r="FY1296" s="242"/>
      <c r="FZ1296" s="242"/>
      <c r="GA1296" s="242"/>
      <c r="GB1296" s="242"/>
      <c r="GC1296" s="242"/>
      <c r="GD1296" s="242"/>
      <c r="GE1296" s="242"/>
      <c r="GF1296" s="242"/>
      <c r="GG1296" s="242"/>
      <c r="GH1296" s="242"/>
      <c r="GI1296" s="242"/>
      <c r="GJ1296" s="242"/>
      <c r="GK1296" s="242"/>
      <c r="GL1296" s="242"/>
      <c r="GM1296" s="242"/>
      <c r="GN1296" s="242"/>
      <c r="GO1296" s="242"/>
      <c r="GP1296" s="455"/>
      <c r="GQ1296" s="242"/>
      <c r="GR1296" s="242"/>
      <c r="GS1296" s="242"/>
      <c r="GT1296" s="242"/>
      <c r="GU1296" s="242"/>
      <c r="GV1296" s="242"/>
      <c r="GW1296" s="242"/>
      <c r="GX1296" s="242"/>
      <c r="GY1296" s="242"/>
      <c r="GZ1296" s="452"/>
      <c r="HA1296" s="242"/>
      <c r="HB1296" s="253"/>
      <c r="HC1296" s="242"/>
      <c r="HD1296" s="242"/>
      <c r="HE1296" s="242"/>
      <c r="HF1296" s="242"/>
      <c r="HG1296" s="242"/>
      <c r="HH1296" s="242"/>
      <c r="HI1296" s="242"/>
      <c r="HJ1296" s="242"/>
      <c r="HK1296" s="242"/>
      <c r="HL1296" s="242"/>
      <c r="HM1296" s="242"/>
      <c r="HN1296" s="242"/>
      <c r="HO1296" s="242"/>
      <c r="HP1296" s="242"/>
      <c r="HQ1296" s="242" t="s">
        <v>1922</v>
      </c>
      <c r="HR1296" s="242">
        <v>52429.26</v>
      </c>
      <c r="HS1296" s="242"/>
      <c r="HT1296" s="242"/>
      <c r="HU1296" s="242"/>
      <c r="HV1296" s="242"/>
      <c r="HW1296" s="242"/>
      <c r="HX1296" s="242"/>
      <c r="HY1296" s="242"/>
      <c r="HZ1296" s="242"/>
      <c r="IA1296" s="242"/>
      <c r="IB1296" s="242"/>
      <c r="IC1296" s="242"/>
      <c r="ID1296" s="242"/>
      <c r="IE1296" s="242"/>
      <c r="IF1296" s="242"/>
      <c r="IG1296" s="242"/>
      <c r="IH1296" s="242"/>
      <c r="II1296" s="242"/>
      <c r="IJ1296" s="242"/>
      <c r="IK1296" s="242"/>
      <c r="IL1296" s="242"/>
      <c r="IM1296" s="242"/>
      <c r="IN1296" s="242"/>
      <c r="IO1296" s="242"/>
      <c r="IP1296" s="242"/>
      <c r="IQ1296" s="242"/>
      <c r="IR1296" s="242"/>
      <c r="IS1296" s="242"/>
      <c r="IT1296" s="242"/>
      <c r="IU1296" s="242"/>
      <c r="IV1296" s="242"/>
      <c r="IW1296" s="242"/>
      <c r="IX1296" s="242"/>
      <c r="IY1296" s="242"/>
      <c r="IZ1296" s="242"/>
      <c r="JA1296" s="242"/>
      <c r="JB1296" s="242"/>
    </row>
    <row r="1297" spans="1:262" s="267" customFormat="1" ht="76.5" x14ac:dyDescent="0.85">
      <c r="B1297" s="285" t="s">
        <v>1320</v>
      </c>
      <c r="C1297" s="286"/>
      <c r="D1297" s="251"/>
      <c r="E1297" s="251">
        <f t="shared" si="418"/>
        <v>-1976297.05</v>
      </c>
      <c r="F1297" s="251">
        <f t="shared" si="421"/>
        <v>1976297.05</v>
      </c>
      <c r="G1297" s="281">
        <f t="shared" si="421"/>
        <v>0</v>
      </c>
      <c r="H1297" s="281">
        <f t="shared" si="421"/>
        <v>0</v>
      </c>
      <c r="I1297" s="281">
        <f t="shared" si="421"/>
        <v>0</v>
      </c>
      <c r="J1297" s="281">
        <f t="shared" si="421"/>
        <v>0</v>
      </c>
      <c r="K1297" s="281">
        <f t="shared" si="421"/>
        <v>0</v>
      </c>
      <c r="L1297" s="281">
        <f t="shared" si="421"/>
        <v>0</v>
      </c>
      <c r="M1297" s="282">
        <f t="shared" si="421"/>
        <v>0</v>
      </c>
      <c r="N1297" s="281">
        <f t="shared" si="421"/>
        <v>0</v>
      </c>
      <c r="O1297" s="281">
        <f t="shared" si="421"/>
        <v>370</v>
      </c>
      <c r="P1297" s="281">
        <f t="shared" si="421"/>
        <v>1947090.69</v>
      </c>
      <c r="Q1297" s="281">
        <f t="shared" si="421"/>
        <v>0</v>
      </c>
      <c r="R1297" s="281">
        <f t="shared" si="421"/>
        <v>0</v>
      </c>
      <c r="S1297" s="281">
        <f t="shared" si="421"/>
        <v>0</v>
      </c>
      <c r="T1297" s="281">
        <f t="shared" si="421"/>
        <v>0</v>
      </c>
      <c r="U1297" s="281">
        <f t="shared" si="421"/>
        <v>0</v>
      </c>
      <c r="V1297" s="281">
        <f t="shared" si="421"/>
        <v>0</v>
      </c>
      <c r="W1297" s="281">
        <f t="shared" si="421"/>
        <v>0</v>
      </c>
      <c r="X1297" s="281">
        <f t="shared" si="421"/>
        <v>0</v>
      </c>
      <c r="Y1297" s="281">
        <f t="shared" si="421"/>
        <v>0</v>
      </c>
      <c r="Z1297" s="281">
        <f t="shared" si="421"/>
        <v>0</v>
      </c>
      <c r="AA1297" s="281">
        <f t="shared" si="421"/>
        <v>0</v>
      </c>
      <c r="AB1297" s="281">
        <f t="shared" si="421"/>
        <v>0</v>
      </c>
      <c r="AC1297" s="281">
        <f t="shared" si="421"/>
        <v>0</v>
      </c>
      <c r="AD1297" s="281">
        <f t="shared" si="421"/>
        <v>0</v>
      </c>
      <c r="AE1297" s="251">
        <f t="shared" si="421"/>
        <v>29206.36</v>
      </c>
      <c r="AF1297" s="281">
        <f t="shared" si="421"/>
        <v>0</v>
      </c>
      <c r="AG1297" s="281">
        <f t="shared" si="421"/>
        <v>0</v>
      </c>
      <c r="AH1297" s="283" t="s">
        <v>1918</v>
      </c>
      <c r="AI1297" s="283" t="s">
        <v>1918</v>
      </c>
      <c r="AJ1297" s="283" t="s">
        <v>1918</v>
      </c>
      <c r="AK1297" s="272"/>
      <c r="AL1297" s="278"/>
      <c r="AM1297" s="287"/>
      <c r="AN1297" s="272"/>
      <c r="AO1297" s="272"/>
      <c r="AP1297" s="451"/>
      <c r="AQ1297" s="451"/>
      <c r="AR1297" s="451"/>
      <c r="AS1297" s="451"/>
      <c r="AT1297" s="453"/>
      <c r="AU1297" s="253"/>
      <c r="AV1297" s="451"/>
      <c r="AW1297" s="451"/>
      <c r="AX1297" s="451"/>
      <c r="AY1297" s="451"/>
      <c r="AZ1297" s="451"/>
      <c r="BA1297" s="451"/>
      <c r="BB1297" s="451"/>
      <c r="BC1297" s="451"/>
      <c r="BD1297" s="451"/>
      <c r="BE1297" s="451"/>
      <c r="BF1297" s="451"/>
      <c r="BG1297" s="451"/>
      <c r="BH1297" s="452"/>
      <c r="BI1297" s="451"/>
      <c r="BJ1297" s="451"/>
      <c r="BK1297" s="451"/>
      <c r="BL1297" s="451"/>
      <c r="BM1297" s="451"/>
      <c r="BN1297" s="451"/>
      <c r="BO1297" s="451"/>
      <c r="BP1297" s="451"/>
      <c r="BQ1297" s="451"/>
      <c r="BR1297" s="451"/>
      <c r="BS1297" s="451"/>
      <c r="BT1297" s="452"/>
      <c r="BU1297" s="451"/>
      <c r="BV1297" s="451"/>
      <c r="BW1297" s="253"/>
      <c r="BX1297" s="451"/>
      <c r="BY1297" s="451"/>
      <c r="BZ1297" s="451"/>
      <c r="CA1297" s="451"/>
      <c r="CB1297" s="451"/>
      <c r="CC1297" s="451"/>
      <c r="CD1297" s="451"/>
      <c r="CE1297" s="451"/>
      <c r="CF1297" s="451"/>
      <c r="CG1297" s="451"/>
      <c r="CH1297" s="451"/>
      <c r="CI1297" s="451"/>
      <c r="CJ1297" s="452"/>
      <c r="CK1297" s="451"/>
      <c r="CL1297" s="451"/>
      <c r="CM1297" s="452"/>
      <c r="CN1297" s="451"/>
      <c r="CO1297" s="451"/>
      <c r="CP1297" s="451"/>
      <c r="CQ1297" s="451"/>
      <c r="CR1297" s="451"/>
      <c r="CS1297" s="451"/>
      <c r="CT1297" s="451"/>
      <c r="CU1297" s="451"/>
      <c r="CV1297" s="451"/>
      <c r="CW1297" s="451"/>
      <c r="CX1297" s="451"/>
      <c r="CY1297" s="451"/>
      <c r="CZ1297" s="451"/>
      <c r="DA1297" s="451"/>
      <c r="DB1297" s="451"/>
      <c r="DC1297" s="451"/>
      <c r="DD1297" s="451"/>
      <c r="DE1297" s="451"/>
      <c r="DF1297" s="451"/>
      <c r="DG1297" s="451"/>
      <c r="DH1297" s="451"/>
      <c r="DI1297" s="451"/>
      <c r="DJ1297" s="451"/>
      <c r="DK1297" s="451"/>
      <c r="DL1297" s="451"/>
      <c r="DM1297" s="451"/>
      <c r="DN1297" s="451"/>
      <c r="DO1297" s="451"/>
      <c r="DP1297" s="451"/>
      <c r="DQ1297" s="451"/>
      <c r="DR1297" s="451"/>
      <c r="DS1297" s="451"/>
      <c r="DT1297" s="451"/>
      <c r="DU1297" s="451"/>
      <c r="DV1297" s="451"/>
      <c r="DW1297" s="451"/>
      <c r="DX1297" s="451"/>
      <c r="DY1297" s="451"/>
      <c r="DZ1297" s="451"/>
      <c r="EA1297" s="451"/>
      <c r="EB1297" s="451"/>
      <c r="EC1297" s="451"/>
      <c r="ED1297" s="451"/>
      <c r="EE1297" s="451"/>
      <c r="EF1297" s="451"/>
      <c r="EG1297" s="451"/>
      <c r="EH1297" s="451"/>
      <c r="EI1297" s="451"/>
      <c r="EJ1297" s="451"/>
      <c r="EK1297" s="451"/>
      <c r="EL1297" s="236"/>
      <c r="EM1297" s="451"/>
      <c r="EN1297" s="253"/>
      <c r="EO1297" s="451"/>
      <c r="EP1297" s="451"/>
      <c r="EQ1297" s="451"/>
      <c r="ER1297" s="451"/>
      <c r="ES1297" s="451"/>
      <c r="ET1297" s="451"/>
      <c r="EU1297" s="451"/>
      <c r="EV1297" s="451"/>
      <c r="EW1297" s="452"/>
      <c r="EX1297" s="451"/>
      <c r="EY1297" s="451"/>
      <c r="EZ1297" s="451"/>
      <c r="FA1297" s="451"/>
      <c r="FB1297" s="451"/>
      <c r="FC1297" s="451"/>
      <c r="FD1297" s="451"/>
      <c r="FE1297" s="451"/>
      <c r="FF1297" s="451"/>
      <c r="FG1297" s="451"/>
      <c r="FH1297" s="451"/>
      <c r="FI1297" s="451"/>
      <c r="FJ1297" s="451"/>
      <c r="FK1297" s="236"/>
      <c r="FL1297" s="451"/>
      <c r="FM1297" s="451"/>
      <c r="FN1297" s="454"/>
      <c r="FO1297" s="253"/>
      <c r="FP1297" s="451"/>
      <c r="FQ1297" s="451"/>
      <c r="FR1297" s="451"/>
      <c r="FS1297" s="451"/>
      <c r="FT1297" s="451"/>
      <c r="FU1297" s="451"/>
      <c r="FV1297" s="451"/>
      <c r="FW1297" s="451"/>
      <c r="FX1297" s="452"/>
      <c r="FY1297" s="451"/>
      <c r="FZ1297" s="451"/>
      <c r="GA1297" s="451"/>
      <c r="GB1297" s="451"/>
      <c r="GC1297" s="451"/>
      <c r="GD1297" s="451"/>
      <c r="GE1297" s="451"/>
      <c r="GF1297" s="451"/>
      <c r="GG1297" s="451"/>
      <c r="GH1297" s="451"/>
      <c r="GI1297" s="451"/>
      <c r="GJ1297" s="451"/>
      <c r="GK1297" s="451"/>
      <c r="GL1297" s="451"/>
      <c r="GM1297" s="451"/>
      <c r="GN1297" s="451"/>
      <c r="GO1297" s="451"/>
      <c r="GP1297" s="455"/>
      <c r="GQ1297" s="451"/>
      <c r="GR1297" s="451"/>
      <c r="GS1297" s="451"/>
      <c r="GT1297" s="451"/>
      <c r="GU1297" s="451"/>
      <c r="GV1297" s="451"/>
      <c r="GW1297" s="451"/>
      <c r="GX1297" s="451"/>
      <c r="GY1297" s="451"/>
      <c r="GZ1297" s="452"/>
      <c r="HA1297" s="451"/>
      <c r="HB1297" s="253"/>
      <c r="HC1297" s="451"/>
      <c r="HD1297" s="452"/>
      <c r="HE1297" s="451"/>
      <c r="HF1297" s="451"/>
      <c r="HG1297" s="451"/>
      <c r="HH1297" s="451"/>
      <c r="HI1297" s="451"/>
      <c r="HJ1297" s="451"/>
      <c r="HK1297" s="451"/>
      <c r="HL1297" s="451"/>
      <c r="HM1297" s="451"/>
      <c r="HN1297" s="451"/>
      <c r="HO1297" s="451"/>
      <c r="HP1297" s="451"/>
      <c r="HQ1297" s="451" t="s">
        <v>1920</v>
      </c>
      <c r="HR1297" s="451">
        <v>44890.35</v>
      </c>
      <c r="HS1297" s="451"/>
      <c r="HT1297" s="451"/>
      <c r="HU1297" s="451"/>
      <c r="HV1297" s="451"/>
      <c r="HW1297" s="451"/>
      <c r="HX1297" s="451"/>
      <c r="HY1297" s="451"/>
      <c r="HZ1297" s="451"/>
      <c r="IA1297" s="451"/>
      <c r="IB1297" s="451"/>
      <c r="IC1297" s="451"/>
      <c r="ID1297" s="451"/>
      <c r="IE1297" s="451"/>
      <c r="IF1297" s="451"/>
      <c r="IG1297" s="451"/>
      <c r="IH1297" s="451"/>
      <c r="II1297" s="451"/>
      <c r="IJ1297" s="451"/>
      <c r="IK1297" s="451"/>
      <c r="IL1297" s="451"/>
      <c r="IM1297" s="451"/>
      <c r="IN1297" s="451"/>
      <c r="IO1297" s="451"/>
      <c r="IP1297" s="451"/>
      <c r="IQ1297" s="451"/>
      <c r="IR1297" s="451"/>
      <c r="IS1297" s="451"/>
      <c r="IT1297" s="451"/>
      <c r="IU1297" s="451"/>
      <c r="IV1297" s="451"/>
      <c r="IW1297" s="451"/>
      <c r="IX1297" s="451"/>
      <c r="IY1297" s="451"/>
      <c r="IZ1297" s="451"/>
      <c r="JA1297" s="451"/>
      <c r="JB1297" s="451"/>
    </row>
    <row r="1298" spans="1:262" s="240" customFormat="1" ht="76.5" customHeight="1" x14ac:dyDescent="0.85">
      <c r="A1298" s="273"/>
      <c r="B1298" s="288">
        <v>5</v>
      </c>
      <c r="C1298" s="290" t="s">
        <v>1930</v>
      </c>
      <c r="D1298" s="251"/>
      <c r="E1298" s="251">
        <f t="shared" si="418"/>
        <v>-1976297.05</v>
      </c>
      <c r="F1298" s="251">
        <f>G1298+H1298+I1298+J1298+K1298+L1298+N1298+P1298+R1298+T1298+V1298+W1298+X1298+Y1298+Z1298+AA1298+AB1298+AC1298+AD1298+AE1298+AF1298+AG1298</f>
        <v>1976297.05</v>
      </c>
      <c r="G1298" s="289">
        <v>0</v>
      </c>
      <c r="H1298" s="251">
        <v>0</v>
      </c>
      <c r="I1298" s="251">
        <v>0</v>
      </c>
      <c r="J1298" s="251">
        <v>0</v>
      </c>
      <c r="K1298" s="251">
        <v>0</v>
      </c>
      <c r="L1298" s="251">
        <v>0</v>
      </c>
      <c r="M1298" s="282">
        <v>0</v>
      </c>
      <c r="N1298" s="251">
        <v>0</v>
      </c>
      <c r="O1298" s="251">
        <v>370</v>
      </c>
      <c r="P1298" s="251">
        <v>1947090.69</v>
      </c>
      <c r="Q1298" s="251">
        <v>0</v>
      </c>
      <c r="R1298" s="251">
        <v>0</v>
      </c>
      <c r="S1298" s="251">
        <v>0</v>
      </c>
      <c r="T1298" s="251">
        <v>0</v>
      </c>
      <c r="U1298" s="251">
        <v>0</v>
      </c>
      <c r="V1298" s="251">
        <v>0</v>
      </c>
      <c r="W1298" s="251">
        <v>0</v>
      </c>
      <c r="X1298" s="251">
        <v>0</v>
      </c>
      <c r="Y1298" s="251">
        <v>0</v>
      </c>
      <c r="Z1298" s="251">
        <v>0</v>
      </c>
      <c r="AA1298" s="251">
        <v>0</v>
      </c>
      <c r="AB1298" s="251">
        <v>0</v>
      </c>
      <c r="AC1298" s="251">
        <v>0</v>
      </c>
      <c r="AD1298" s="251">
        <v>0</v>
      </c>
      <c r="AE1298" s="251">
        <f>ROUND(P1298*1.5%,2)</f>
        <v>29206.36</v>
      </c>
      <c r="AF1298" s="251">
        <v>0</v>
      </c>
      <c r="AG1298" s="251">
        <v>0</v>
      </c>
      <c r="AH1298" s="66" t="s">
        <v>49</v>
      </c>
      <c r="AI1298" s="66">
        <v>2020</v>
      </c>
      <c r="AJ1298" s="66">
        <v>2020</v>
      </c>
      <c r="AK1298" s="272"/>
      <c r="AL1298" s="272"/>
      <c r="AM1298" s="287"/>
      <c r="AN1298" s="272"/>
      <c r="AO1298" s="272"/>
      <c r="AP1298" s="242"/>
      <c r="AQ1298" s="242"/>
      <c r="AR1298" s="242"/>
      <c r="AS1298" s="242"/>
      <c r="AT1298" s="251"/>
      <c r="AU1298" s="253"/>
      <c r="AV1298" s="242"/>
      <c r="AW1298" s="242"/>
      <c r="AX1298" s="242"/>
      <c r="AY1298" s="242"/>
      <c r="AZ1298" s="242"/>
      <c r="BA1298" s="242"/>
      <c r="BB1298" s="242"/>
      <c r="BC1298" s="242"/>
      <c r="BD1298" s="242"/>
      <c r="BE1298" s="242"/>
      <c r="BF1298" s="242"/>
      <c r="BG1298" s="242"/>
      <c r="BH1298" s="452"/>
      <c r="BI1298" s="242"/>
      <c r="BJ1298" s="242"/>
      <c r="BK1298" s="242"/>
      <c r="BL1298" s="242"/>
      <c r="BM1298" s="242"/>
      <c r="BN1298" s="242"/>
      <c r="BO1298" s="242"/>
      <c r="BP1298" s="242"/>
      <c r="BQ1298" s="242"/>
      <c r="BR1298" s="242"/>
      <c r="BS1298" s="242"/>
      <c r="BT1298" s="452"/>
      <c r="BU1298" s="242"/>
      <c r="BV1298" s="242"/>
      <c r="BW1298" s="253"/>
      <c r="BX1298" s="242"/>
      <c r="BY1298" s="242"/>
      <c r="BZ1298" s="242"/>
      <c r="CA1298" s="242"/>
      <c r="CB1298" s="242"/>
      <c r="CC1298" s="242"/>
      <c r="CD1298" s="242"/>
      <c r="CE1298" s="242"/>
      <c r="CF1298" s="242"/>
      <c r="CG1298" s="242"/>
      <c r="CH1298" s="242"/>
      <c r="CI1298" s="242"/>
      <c r="CJ1298" s="452"/>
      <c r="CK1298" s="242"/>
      <c r="CL1298" s="242"/>
      <c r="CM1298" s="452"/>
      <c r="CN1298" s="242"/>
      <c r="CO1298" s="242"/>
      <c r="CP1298" s="242"/>
      <c r="CQ1298" s="242"/>
      <c r="CR1298" s="242"/>
      <c r="CS1298" s="242"/>
      <c r="CT1298" s="242"/>
      <c r="CU1298" s="242"/>
      <c r="CV1298" s="242"/>
      <c r="CW1298" s="242"/>
      <c r="CX1298" s="242"/>
      <c r="CY1298" s="242"/>
      <c r="CZ1298" s="242"/>
      <c r="DA1298" s="242"/>
      <c r="DB1298" s="242"/>
      <c r="DC1298" s="242"/>
      <c r="DD1298" s="242"/>
      <c r="DE1298" s="242"/>
      <c r="DF1298" s="242"/>
      <c r="DG1298" s="242"/>
      <c r="DH1298" s="242"/>
      <c r="DI1298" s="242"/>
      <c r="DJ1298" s="242"/>
      <c r="DK1298" s="242"/>
      <c r="DL1298" s="242"/>
      <c r="DM1298" s="242"/>
      <c r="DN1298" s="242"/>
      <c r="DO1298" s="242"/>
      <c r="DP1298" s="242"/>
      <c r="DQ1298" s="242"/>
      <c r="DR1298" s="242"/>
      <c r="DS1298" s="242"/>
      <c r="DT1298" s="242"/>
      <c r="DU1298" s="242"/>
      <c r="DV1298" s="242"/>
      <c r="DW1298" s="242"/>
      <c r="DX1298" s="242"/>
      <c r="DY1298" s="242"/>
      <c r="DZ1298" s="242"/>
      <c r="EA1298" s="242"/>
      <c r="EB1298" s="242"/>
      <c r="EC1298" s="242"/>
      <c r="ED1298" s="242"/>
      <c r="EE1298" s="242"/>
      <c r="EF1298" s="242"/>
      <c r="EG1298" s="242"/>
      <c r="EH1298" s="242"/>
      <c r="EI1298" s="242"/>
      <c r="EJ1298" s="242"/>
      <c r="EK1298" s="242"/>
      <c r="EL1298" s="236"/>
      <c r="EM1298" s="242"/>
      <c r="EN1298" s="253"/>
      <c r="EO1298" s="242"/>
      <c r="EP1298" s="242"/>
      <c r="EQ1298" s="242"/>
      <c r="ER1298" s="242"/>
      <c r="ES1298" s="242"/>
      <c r="ET1298" s="242"/>
      <c r="EU1298" s="242"/>
      <c r="EV1298" s="242"/>
      <c r="EW1298" s="452"/>
      <c r="EX1298" s="242"/>
      <c r="EY1298" s="242"/>
      <c r="EZ1298" s="242"/>
      <c r="FA1298" s="242"/>
      <c r="FB1298" s="242"/>
      <c r="FC1298" s="242"/>
      <c r="FD1298" s="242"/>
      <c r="FE1298" s="242"/>
      <c r="FF1298" s="242"/>
      <c r="FG1298" s="242"/>
      <c r="FH1298" s="242"/>
      <c r="FI1298" s="242"/>
      <c r="FJ1298" s="242"/>
      <c r="FK1298" s="236"/>
      <c r="FL1298" s="242"/>
      <c r="FM1298" s="242"/>
      <c r="FN1298" s="253"/>
      <c r="FO1298" s="253"/>
      <c r="FP1298" s="242"/>
      <c r="FQ1298" s="242"/>
      <c r="FR1298" s="242"/>
      <c r="FS1298" s="242"/>
      <c r="FT1298" s="242"/>
      <c r="FU1298" s="242"/>
      <c r="FV1298" s="242"/>
      <c r="FW1298" s="242"/>
      <c r="FX1298" s="452"/>
      <c r="FY1298" s="242"/>
      <c r="FZ1298" s="242"/>
      <c r="GA1298" s="242"/>
      <c r="GB1298" s="242"/>
      <c r="GC1298" s="242"/>
      <c r="GD1298" s="242"/>
      <c r="GE1298" s="242"/>
      <c r="GF1298" s="242"/>
      <c r="GG1298" s="242"/>
      <c r="GH1298" s="242"/>
      <c r="GI1298" s="242"/>
      <c r="GJ1298" s="242"/>
      <c r="GK1298" s="242"/>
      <c r="GL1298" s="242"/>
      <c r="GM1298" s="242"/>
      <c r="GN1298" s="242"/>
      <c r="GO1298" s="242"/>
      <c r="GP1298" s="455"/>
      <c r="GQ1298" s="242"/>
      <c r="GR1298" s="242"/>
      <c r="GS1298" s="242"/>
      <c r="GT1298" s="242"/>
      <c r="GU1298" s="242"/>
      <c r="GV1298" s="242"/>
      <c r="GW1298" s="242"/>
      <c r="GX1298" s="242"/>
      <c r="GY1298" s="242"/>
      <c r="GZ1298" s="452"/>
      <c r="HA1298" s="242"/>
      <c r="HB1298" s="253"/>
      <c r="HC1298" s="242"/>
      <c r="HD1298" s="242"/>
      <c r="HE1298" s="242"/>
      <c r="HF1298" s="242"/>
      <c r="HG1298" s="242"/>
      <c r="HH1298" s="242"/>
      <c r="HI1298" s="242"/>
      <c r="HJ1298" s="242"/>
      <c r="HK1298" s="242"/>
      <c r="HL1298" s="242"/>
      <c r="HM1298" s="242"/>
      <c r="HN1298" s="242"/>
      <c r="HO1298" s="242"/>
      <c r="HP1298" s="242"/>
      <c r="HQ1298" s="242" t="s">
        <v>1922</v>
      </c>
      <c r="HR1298" s="242">
        <v>52429.26</v>
      </c>
      <c r="HS1298" s="242"/>
      <c r="HT1298" s="242"/>
      <c r="HU1298" s="242"/>
      <c r="HV1298" s="242"/>
      <c r="HW1298" s="242"/>
      <c r="HX1298" s="242"/>
      <c r="HY1298" s="242"/>
      <c r="HZ1298" s="242"/>
      <c r="IA1298" s="242"/>
      <c r="IB1298" s="242"/>
      <c r="IC1298" s="242"/>
      <c r="ID1298" s="242"/>
      <c r="IE1298" s="242"/>
      <c r="IF1298" s="242"/>
      <c r="IG1298" s="242"/>
      <c r="IH1298" s="242"/>
      <c r="II1298" s="242"/>
      <c r="IJ1298" s="242"/>
      <c r="IK1298" s="242"/>
      <c r="IL1298" s="242"/>
      <c r="IM1298" s="242"/>
      <c r="IN1298" s="242"/>
      <c r="IO1298" s="242"/>
      <c r="IP1298" s="242"/>
      <c r="IQ1298" s="242"/>
      <c r="IR1298" s="242"/>
      <c r="IS1298" s="242"/>
      <c r="IT1298" s="242"/>
      <c r="IU1298" s="242"/>
      <c r="IV1298" s="242"/>
      <c r="IW1298" s="242"/>
      <c r="IX1298" s="242"/>
      <c r="IY1298" s="242"/>
      <c r="IZ1298" s="242"/>
      <c r="JA1298" s="242"/>
      <c r="JB1298" s="242"/>
    </row>
  </sheetData>
  <autoFilter ref="A21:HR1298"/>
  <mergeCells count="47">
    <mergeCell ref="B1280:AJ1280"/>
    <mergeCell ref="B1281:AJ1281"/>
    <mergeCell ref="B1282:C1282"/>
    <mergeCell ref="B1289:AJ1289"/>
    <mergeCell ref="B1290:C1290"/>
    <mergeCell ref="AD12:AD16"/>
    <mergeCell ref="AE12:AE16"/>
    <mergeCell ref="AF12:AF16"/>
    <mergeCell ref="AG12:AG16"/>
    <mergeCell ref="G13:G16"/>
    <mergeCell ref="H13:H16"/>
    <mergeCell ref="I13:I16"/>
    <mergeCell ref="J13:J16"/>
    <mergeCell ref="K13:K16"/>
    <mergeCell ref="L13:L16"/>
    <mergeCell ref="X12:X16"/>
    <mergeCell ref="Y12:Y16"/>
    <mergeCell ref="Z12:Z16"/>
    <mergeCell ref="AA12:AA16"/>
    <mergeCell ref="AB12:AB16"/>
    <mergeCell ref="AC12:AC16"/>
    <mergeCell ref="AI11:AI17"/>
    <mergeCell ref="AJ11:AJ17"/>
    <mergeCell ref="E12:E17"/>
    <mergeCell ref="G12:L12"/>
    <mergeCell ref="M12:N16"/>
    <mergeCell ref="O12:P16"/>
    <mergeCell ref="Q12:R16"/>
    <mergeCell ref="S12:T16"/>
    <mergeCell ref="U12:V16"/>
    <mergeCell ref="W12:W16"/>
    <mergeCell ref="B7:B8"/>
    <mergeCell ref="C7:AJ8"/>
    <mergeCell ref="C9:AJ9"/>
    <mergeCell ref="B11:B17"/>
    <mergeCell ref="C11:C17"/>
    <mergeCell ref="D11:D16"/>
    <mergeCell ref="F11:F16"/>
    <mergeCell ref="G11:V11"/>
    <mergeCell ref="W11:AG11"/>
    <mergeCell ref="AH11:AH17"/>
    <mergeCell ref="Y1:AJ1"/>
    <mergeCell ref="X2:AJ2"/>
    <mergeCell ref="X3:AJ3"/>
    <mergeCell ref="B4:AJ4"/>
    <mergeCell ref="B5:AJ5"/>
    <mergeCell ref="B6:AJ6"/>
  </mergeCells>
  <pageMargins left="0" right="0.16" top="0.39370078740157483" bottom="0.39370078740157483" header="0" footer="0"/>
  <pageSetup paperSize="9" scale="10" orientation="portrait" r:id="rId1"/>
  <headerFooter differentFirst="1">
    <oddHeader>&amp;C&amp;48&amp;P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I1488"/>
  <sheetViews>
    <sheetView view="pageBreakPreview" topLeftCell="B7" zoomScale="30" zoomScaleNormal="40" zoomScaleSheetLayoutView="30" workbookViewId="0">
      <pane xSplit="2" ySplit="6" topLeftCell="D13" activePane="bottomRight" state="frozen"/>
      <selection activeCell="B7" sqref="B7"/>
      <selection pane="topRight" activeCell="D7" sqref="D7"/>
      <selection pane="bottomLeft" activeCell="B13" sqref="B13"/>
      <selection pane="bottomRight" activeCell="K31" sqref="K31"/>
    </sheetView>
  </sheetViews>
  <sheetFormatPr defaultRowHeight="27.75" x14ac:dyDescent="0.4"/>
  <cols>
    <col min="1" max="1" width="9.140625" style="1" hidden="1" customWidth="1"/>
    <col min="2" max="2" width="19.42578125" style="349" customWidth="1"/>
    <col min="3" max="3" width="168.7109375" style="1" bestFit="1" customWidth="1"/>
    <col min="4" max="4" width="35.140625" style="1" customWidth="1"/>
    <col min="5" max="5" width="29.28515625" style="349" customWidth="1"/>
    <col min="6" max="6" width="52.140625" style="1" customWidth="1"/>
    <col min="7" max="7" width="16.85546875" style="1" customWidth="1"/>
    <col min="8" max="8" width="17" style="1" customWidth="1"/>
    <col min="9" max="9" width="35.7109375" style="1" customWidth="1"/>
    <col min="10" max="10" width="34.7109375" style="1" customWidth="1"/>
    <col min="11" max="11" width="34.28515625" style="1" customWidth="1"/>
    <col min="12" max="12" width="22" style="350" customWidth="1"/>
    <col min="13" max="13" width="32.7109375" style="349" customWidth="1"/>
    <col min="14" max="14" width="43.28515625" style="349" customWidth="1"/>
    <col min="15" max="15" width="136.85546875" style="351" customWidth="1"/>
    <col min="16" max="16" width="46.7109375" style="352" customWidth="1"/>
    <col min="17" max="18" width="30.5703125" style="352" customWidth="1"/>
    <col min="19" max="19" width="41.42578125" style="352" customWidth="1"/>
    <col min="20" max="20" width="30.85546875" style="352" customWidth="1"/>
    <col min="21" max="21" width="32.28515625" style="352" customWidth="1"/>
    <col min="22" max="23" width="32.28515625" style="352" hidden="1" customWidth="1"/>
    <col min="24" max="24" width="32.28515625" style="299" hidden="1" customWidth="1"/>
    <col min="25" max="25" width="28.140625" style="298" hidden="1" customWidth="1"/>
    <col min="26" max="26" width="34.85546875" style="298" hidden="1" customWidth="1"/>
    <col min="27" max="28" width="23" style="298" hidden="1" customWidth="1"/>
    <col min="29" max="29" width="23.85546875" style="298" hidden="1" customWidth="1"/>
    <col min="30" max="30" width="39.28515625" style="299" hidden="1" customWidth="1"/>
    <col min="31" max="31" width="16" style="298" hidden="1" customWidth="1"/>
    <col min="32" max="32" width="30" style="299" hidden="1" customWidth="1"/>
    <col min="33" max="33" width="27.42578125" style="298" hidden="1" customWidth="1"/>
    <col min="34" max="34" width="28.85546875" style="299" hidden="1" customWidth="1"/>
    <col min="35" max="35" width="23.7109375" style="298" hidden="1" customWidth="1"/>
    <col min="36" max="36" width="47.7109375" style="299" hidden="1" customWidth="1"/>
    <col min="37" max="37" width="36.7109375" style="298" hidden="1" customWidth="1"/>
    <col min="38" max="38" width="28.85546875" style="298" hidden="1" customWidth="1"/>
    <col min="39" max="40" width="31.7109375" style="298" hidden="1" customWidth="1"/>
    <col min="41" max="41" width="37.7109375" style="298" hidden="1" customWidth="1"/>
    <col min="42" max="42" width="36" style="1" hidden="1" customWidth="1"/>
    <col min="43" max="74" width="9.140625" style="1" hidden="1" customWidth="1"/>
    <col min="75" max="76" width="9.140625" style="1" customWidth="1"/>
    <col min="77" max="77" width="38.28515625" style="1" bestFit="1" customWidth="1"/>
    <col min="78" max="128" width="9.140625" style="1" customWidth="1"/>
    <col min="129" max="147" width="9.140625" style="1"/>
    <col min="148" max="148" width="13" style="1" bestFit="1" customWidth="1"/>
    <col min="149" max="220" width="9.140625" style="1"/>
    <col min="221" max="221" width="20.5703125" style="1" bestFit="1" customWidth="1"/>
    <col min="222" max="16384" width="9.140625" style="1"/>
  </cols>
  <sheetData>
    <row r="1" spans="1:89" ht="36" x14ac:dyDescent="0.55000000000000004">
      <c r="B1" s="2"/>
      <c r="C1" s="222"/>
      <c r="D1" s="2"/>
      <c r="E1" s="291"/>
      <c r="F1" s="2"/>
      <c r="G1" s="2"/>
      <c r="H1" s="2"/>
      <c r="I1" s="2"/>
      <c r="J1" s="2"/>
      <c r="K1" s="292"/>
      <c r="L1" s="293"/>
      <c r="M1" s="221"/>
      <c r="N1" s="291"/>
      <c r="O1" s="294"/>
      <c r="P1" s="294"/>
      <c r="Q1" s="294"/>
      <c r="R1" s="294"/>
      <c r="S1" s="295" t="s">
        <v>1931</v>
      </c>
      <c r="T1" s="295"/>
      <c r="U1" s="295"/>
      <c r="V1" s="296"/>
      <c r="W1" s="296"/>
      <c r="X1" s="297"/>
    </row>
    <row r="2" spans="1:89" ht="112.5" customHeight="1" x14ac:dyDescent="0.4">
      <c r="B2" s="2"/>
      <c r="C2" s="222"/>
      <c r="D2" s="2"/>
      <c r="E2" s="291"/>
      <c r="F2" s="2"/>
      <c r="G2" s="2"/>
      <c r="H2" s="2"/>
      <c r="I2" s="2"/>
      <c r="J2" s="2"/>
      <c r="K2" s="292"/>
      <c r="L2" s="293"/>
      <c r="M2" s="221"/>
      <c r="N2" s="291"/>
      <c r="O2" s="300" t="s">
        <v>1932</v>
      </c>
      <c r="P2" s="300"/>
      <c r="Q2" s="300"/>
      <c r="R2" s="300"/>
      <c r="S2" s="300"/>
      <c r="T2" s="300"/>
      <c r="U2" s="300"/>
      <c r="V2" s="301"/>
      <c r="W2" s="301"/>
      <c r="X2" s="302"/>
    </row>
    <row r="3" spans="1:89" ht="15" customHeight="1" x14ac:dyDescent="0.4">
      <c r="B3" s="2"/>
      <c r="C3" s="222"/>
      <c r="D3" s="2"/>
      <c r="E3" s="291"/>
      <c r="F3" s="2"/>
      <c r="G3" s="2"/>
      <c r="H3" s="2"/>
      <c r="I3" s="2"/>
      <c r="J3" s="2"/>
      <c r="K3" s="292"/>
      <c r="L3" s="293"/>
      <c r="M3" s="221"/>
      <c r="N3" s="291"/>
      <c r="O3" s="300"/>
      <c r="P3" s="300"/>
      <c r="Q3" s="300"/>
      <c r="R3" s="300"/>
      <c r="S3" s="300"/>
      <c r="T3" s="300"/>
      <c r="U3" s="300"/>
      <c r="V3" s="301"/>
      <c r="W3" s="301"/>
      <c r="X3" s="302"/>
    </row>
    <row r="4" spans="1:89" ht="15" customHeight="1" x14ac:dyDescent="0.4">
      <c r="B4" s="303" t="s">
        <v>1933</v>
      </c>
      <c r="C4" s="303"/>
      <c r="D4" s="303"/>
      <c r="E4" s="303"/>
      <c r="F4" s="303"/>
      <c r="G4" s="303"/>
      <c r="H4" s="303"/>
      <c r="I4" s="303"/>
      <c r="J4" s="303"/>
      <c r="K4" s="303"/>
      <c r="L4" s="304"/>
      <c r="M4" s="303"/>
      <c r="N4" s="303"/>
      <c r="O4" s="303"/>
      <c r="P4" s="303"/>
      <c r="Q4" s="303"/>
      <c r="R4" s="303"/>
      <c r="S4" s="303"/>
      <c r="T4" s="303"/>
      <c r="U4" s="303"/>
      <c r="V4" s="305"/>
      <c r="W4" s="305"/>
      <c r="X4" s="306"/>
    </row>
    <row r="5" spans="1:89" ht="15" customHeight="1" x14ac:dyDescent="0.4">
      <c r="B5" s="303"/>
      <c r="C5" s="303"/>
      <c r="D5" s="303"/>
      <c r="E5" s="303"/>
      <c r="F5" s="303"/>
      <c r="G5" s="303"/>
      <c r="H5" s="303"/>
      <c r="I5" s="303"/>
      <c r="J5" s="303"/>
      <c r="K5" s="303"/>
      <c r="L5" s="304"/>
      <c r="M5" s="303"/>
      <c r="N5" s="303"/>
      <c r="O5" s="303"/>
      <c r="P5" s="303"/>
      <c r="Q5" s="303"/>
      <c r="R5" s="303"/>
      <c r="S5" s="303"/>
      <c r="T5" s="303"/>
      <c r="U5" s="303"/>
      <c r="V5" s="305"/>
      <c r="W5" s="305"/>
      <c r="X5" s="306"/>
    </row>
    <row r="6" spans="1:89" ht="159" customHeight="1" x14ac:dyDescent="0.4">
      <c r="B6" s="303"/>
      <c r="C6" s="303"/>
      <c r="D6" s="303"/>
      <c r="E6" s="303"/>
      <c r="F6" s="303"/>
      <c r="G6" s="303"/>
      <c r="H6" s="303"/>
      <c r="I6" s="303"/>
      <c r="J6" s="303"/>
      <c r="K6" s="303"/>
      <c r="L6" s="304"/>
      <c r="M6" s="303"/>
      <c r="N6" s="303"/>
      <c r="O6" s="303"/>
      <c r="P6" s="303"/>
      <c r="Q6" s="303"/>
      <c r="R6" s="303"/>
      <c r="S6" s="303"/>
      <c r="T6" s="303"/>
      <c r="U6" s="303"/>
      <c r="V6" s="305"/>
      <c r="W6" s="305"/>
      <c r="X6" s="306"/>
    </row>
    <row r="8" spans="1:89" s="307" customFormat="1" ht="96.75" customHeight="1" x14ac:dyDescent="0.4">
      <c r="B8" s="308" t="s">
        <v>0</v>
      </c>
      <c r="C8" s="308" t="s">
        <v>1934</v>
      </c>
      <c r="D8" s="308" t="s">
        <v>32</v>
      </c>
      <c r="E8" s="308"/>
      <c r="F8" s="309" t="s">
        <v>33</v>
      </c>
      <c r="G8" s="309" t="s">
        <v>34</v>
      </c>
      <c r="H8" s="309" t="s">
        <v>35</v>
      </c>
      <c r="I8" s="309" t="s">
        <v>36</v>
      </c>
      <c r="J8" s="308" t="s">
        <v>37</v>
      </c>
      <c r="K8" s="308"/>
      <c r="L8" s="310" t="s">
        <v>1935</v>
      </c>
      <c r="M8" s="311" t="s">
        <v>1936</v>
      </c>
      <c r="N8" s="311" t="s">
        <v>1937</v>
      </c>
      <c r="O8" s="308" t="s">
        <v>38</v>
      </c>
      <c r="P8" s="312" t="s">
        <v>1938</v>
      </c>
      <c r="Q8" s="312"/>
      <c r="R8" s="312"/>
      <c r="S8" s="312"/>
      <c r="T8" s="313" t="s">
        <v>39</v>
      </c>
      <c r="U8" s="313" t="s">
        <v>40</v>
      </c>
      <c r="V8" s="314"/>
      <c r="W8" s="314"/>
      <c r="X8" s="315"/>
      <c r="Y8" s="298"/>
      <c r="Z8" s="298"/>
      <c r="AA8" s="298"/>
      <c r="AB8" s="298"/>
      <c r="AC8" s="298"/>
      <c r="AD8" s="299"/>
      <c r="AE8" s="298"/>
      <c r="AF8" s="299"/>
      <c r="AG8" s="298"/>
      <c r="AH8" s="299"/>
      <c r="AI8" s="298"/>
      <c r="AJ8" s="299"/>
      <c r="AK8" s="298"/>
      <c r="AL8" s="298"/>
      <c r="AM8" s="298"/>
      <c r="AN8" s="298"/>
      <c r="AO8" s="298"/>
    </row>
    <row r="9" spans="1:89" s="307" customFormat="1" ht="339.75" customHeight="1" x14ac:dyDescent="0.4">
      <c r="B9" s="308"/>
      <c r="C9" s="308"/>
      <c r="D9" s="309" t="s">
        <v>41</v>
      </c>
      <c r="E9" s="309" t="s">
        <v>42</v>
      </c>
      <c r="F9" s="308"/>
      <c r="G9" s="308"/>
      <c r="H9" s="308"/>
      <c r="I9" s="308"/>
      <c r="J9" s="309" t="s">
        <v>43</v>
      </c>
      <c r="K9" s="309" t="s">
        <v>1939</v>
      </c>
      <c r="L9" s="316"/>
      <c r="M9" s="311"/>
      <c r="N9" s="311"/>
      <c r="O9" s="308"/>
      <c r="P9" s="313" t="s">
        <v>43</v>
      </c>
      <c r="Q9" s="313" t="s">
        <v>1940</v>
      </c>
      <c r="R9" s="313" t="s">
        <v>1941</v>
      </c>
      <c r="S9" s="313" t="s">
        <v>1942</v>
      </c>
      <c r="T9" s="312"/>
      <c r="U9" s="312"/>
      <c r="V9" s="317"/>
      <c r="W9" s="317"/>
      <c r="X9" s="318"/>
      <c r="Y9" s="298"/>
      <c r="Z9" s="298"/>
      <c r="AA9" s="298"/>
      <c r="AB9" s="298"/>
      <c r="AC9" s="298"/>
      <c r="AD9" s="299"/>
      <c r="AE9" s="298"/>
      <c r="AF9" s="299"/>
      <c r="AG9" s="298"/>
      <c r="AH9" s="299"/>
      <c r="AI9" s="298"/>
      <c r="AJ9" s="299"/>
      <c r="AK9" s="298"/>
      <c r="AL9" s="298"/>
      <c r="AM9" s="298"/>
      <c r="AN9" s="298"/>
      <c r="AO9" s="298"/>
    </row>
    <row r="10" spans="1:89" s="307" customFormat="1" ht="45" customHeight="1" x14ac:dyDescent="0.4"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16"/>
      <c r="M10" s="311"/>
      <c r="N10" s="311"/>
      <c r="O10" s="308"/>
      <c r="P10" s="312"/>
      <c r="Q10" s="313"/>
      <c r="R10" s="313"/>
      <c r="S10" s="313"/>
      <c r="T10" s="312"/>
      <c r="U10" s="312"/>
      <c r="V10" s="317"/>
      <c r="W10" s="317"/>
      <c r="X10" s="318"/>
      <c r="Y10" s="298"/>
      <c r="Z10" s="298"/>
      <c r="AA10" s="298"/>
      <c r="AB10" s="298"/>
      <c r="AC10" s="298"/>
      <c r="AD10" s="299"/>
      <c r="AE10" s="298"/>
      <c r="AF10" s="299"/>
      <c r="AG10" s="298"/>
      <c r="AH10" s="299"/>
      <c r="AI10" s="298"/>
      <c r="AJ10" s="299"/>
      <c r="AK10" s="298"/>
      <c r="AL10" s="298"/>
      <c r="AM10" s="298"/>
      <c r="AN10" s="298"/>
      <c r="AO10" s="298"/>
    </row>
    <row r="11" spans="1:89" s="307" customFormat="1" ht="48" customHeight="1" x14ac:dyDescent="0.4">
      <c r="B11" s="319"/>
      <c r="C11" s="319"/>
      <c r="D11" s="319"/>
      <c r="E11" s="319"/>
      <c r="F11" s="308"/>
      <c r="G11" s="319"/>
      <c r="H11" s="319"/>
      <c r="I11" s="320" t="s">
        <v>29</v>
      </c>
      <c r="J11" s="320" t="s">
        <v>29</v>
      </c>
      <c r="K11" s="320" t="s">
        <v>29</v>
      </c>
      <c r="L11" s="321" t="s">
        <v>44</v>
      </c>
      <c r="M11" s="311"/>
      <c r="N11" s="311"/>
      <c r="O11" s="308"/>
      <c r="P11" s="322" t="s">
        <v>27</v>
      </c>
      <c r="Q11" s="322" t="s">
        <v>27</v>
      </c>
      <c r="R11" s="322" t="s">
        <v>27</v>
      </c>
      <c r="S11" s="322" t="s">
        <v>27</v>
      </c>
      <c r="T11" s="322" t="s">
        <v>45</v>
      </c>
      <c r="U11" s="322" t="s">
        <v>45</v>
      </c>
      <c r="V11" s="323"/>
      <c r="W11" s="323"/>
      <c r="X11" s="324" t="s">
        <v>1943</v>
      </c>
      <c r="Y11" s="298" t="s">
        <v>1944</v>
      </c>
      <c r="Z11" s="298" t="s">
        <v>1945</v>
      </c>
      <c r="AA11" s="298" t="s">
        <v>1946</v>
      </c>
      <c r="AB11" s="298" t="s">
        <v>1947</v>
      </c>
      <c r="AC11" s="298"/>
      <c r="AD11" s="299" t="s">
        <v>1948</v>
      </c>
      <c r="AE11" s="298"/>
      <c r="AF11" s="299" t="s">
        <v>1949</v>
      </c>
      <c r="AG11" s="298"/>
      <c r="AH11" s="299" t="s">
        <v>1950</v>
      </c>
      <c r="AI11" s="298"/>
      <c r="AJ11" s="299" t="s">
        <v>1951</v>
      </c>
      <c r="AK11" s="298"/>
      <c r="AL11" s="298" t="s">
        <v>1952</v>
      </c>
      <c r="AM11" s="298" t="s">
        <v>1953</v>
      </c>
      <c r="AN11" s="298"/>
      <c r="AO11" s="298" t="s">
        <v>1954</v>
      </c>
    </row>
    <row r="12" spans="1:89" s="307" customFormat="1" ht="40.5" customHeight="1" x14ac:dyDescent="0.4">
      <c r="B12" s="320">
        <v>1</v>
      </c>
      <c r="C12" s="320">
        <v>2</v>
      </c>
      <c r="D12" s="320">
        <v>3</v>
      </c>
      <c r="E12" s="320">
        <v>4</v>
      </c>
      <c r="F12" s="320">
        <v>5</v>
      </c>
      <c r="G12" s="320">
        <v>6</v>
      </c>
      <c r="H12" s="320">
        <v>7</v>
      </c>
      <c r="I12" s="320">
        <v>8</v>
      </c>
      <c r="J12" s="320">
        <v>9</v>
      </c>
      <c r="K12" s="320">
        <v>10</v>
      </c>
      <c r="L12" s="321">
        <v>11</v>
      </c>
      <c r="M12" s="320">
        <v>12</v>
      </c>
      <c r="N12" s="320">
        <v>13</v>
      </c>
      <c r="O12" s="325">
        <v>14</v>
      </c>
      <c r="P12" s="320">
        <v>15</v>
      </c>
      <c r="Q12" s="320">
        <v>16</v>
      </c>
      <c r="R12" s="320">
        <v>17</v>
      </c>
      <c r="S12" s="320">
        <v>18</v>
      </c>
      <c r="T12" s="320">
        <v>19</v>
      </c>
      <c r="U12" s="320">
        <v>20</v>
      </c>
      <c r="V12" s="326"/>
      <c r="W12" s="326"/>
      <c r="X12" s="327"/>
      <c r="Y12" s="298"/>
      <c r="Z12" s="298"/>
      <c r="AA12" s="298"/>
      <c r="AB12" s="298"/>
      <c r="AC12" s="298"/>
      <c r="AD12" s="299"/>
      <c r="AE12" s="298"/>
      <c r="AF12" s="299"/>
      <c r="AG12" s="298"/>
      <c r="AH12" s="299"/>
      <c r="AI12" s="298"/>
      <c r="AJ12" s="299"/>
      <c r="AK12" s="298"/>
      <c r="AL12" s="298"/>
      <c r="AM12" s="298"/>
      <c r="AN12" s="298"/>
      <c r="AO12" s="298"/>
    </row>
    <row r="13" spans="1:89" s="329" customFormat="1" ht="36" customHeight="1" x14ac:dyDescent="0.25">
      <c r="A13" s="328"/>
      <c r="B13" s="33" t="s">
        <v>910</v>
      </c>
      <c r="C13" s="457"/>
      <c r="D13" s="330" t="s">
        <v>131</v>
      </c>
      <c r="E13" s="330" t="s">
        <v>131</v>
      </c>
      <c r="F13" s="330" t="s">
        <v>131</v>
      </c>
      <c r="G13" s="330" t="s">
        <v>131</v>
      </c>
      <c r="H13" s="330" t="s">
        <v>131</v>
      </c>
      <c r="I13" s="334">
        <f>I14+I550+I998</f>
        <v>2650998.37</v>
      </c>
      <c r="J13" s="334">
        <f>J14+J550+J998</f>
        <v>2205702.46</v>
      </c>
      <c r="K13" s="334">
        <f>K14+K550+K998</f>
        <v>2043450.46</v>
      </c>
      <c r="L13" s="332">
        <f>L14+L550+L998</f>
        <v>101914</v>
      </c>
      <c r="M13" s="330" t="s">
        <v>131</v>
      </c>
      <c r="N13" s="330" t="s">
        <v>131</v>
      </c>
      <c r="O13" s="333" t="s">
        <v>131</v>
      </c>
      <c r="P13" s="334">
        <f>P14+P550+P998</f>
        <v>3290609973.6500006</v>
      </c>
      <c r="Q13" s="334">
        <f>Q14+Q550+Q998</f>
        <v>0</v>
      </c>
      <c r="R13" s="334">
        <f>R14+R550+R998</f>
        <v>7775487.959999999</v>
      </c>
      <c r="S13" s="334">
        <f>S14+S550+S998</f>
        <v>3282834485.6899996</v>
      </c>
      <c r="T13" s="38">
        <f t="shared" ref="T13:T76" si="0">P13/I13</f>
        <v>1241.271971679862</v>
      </c>
      <c r="U13" s="38">
        <f>MAX(U14:U1272)</f>
        <v>24013.858784215474</v>
      </c>
      <c r="V13" s="458"/>
      <c r="W13" s="458"/>
      <c r="X13" s="458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</row>
    <row r="14" spans="1:89" s="329" customFormat="1" ht="36" customHeight="1" x14ac:dyDescent="0.25">
      <c r="B14" s="33" t="s">
        <v>911</v>
      </c>
      <c r="C14" s="457"/>
      <c r="D14" s="330" t="s">
        <v>131</v>
      </c>
      <c r="E14" s="330" t="s">
        <v>131</v>
      </c>
      <c r="F14" s="330" t="s">
        <v>131</v>
      </c>
      <c r="G14" s="330" t="s">
        <v>131</v>
      </c>
      <c r="H14" s="330" t="s">
        <v>131</v>
      </c>
      <c r="I14" s="334">
        <f>I15+I120+I151+I197+I235+I241+I268+I274+I281+I286+I288+I291+I297+I303+I305+I321+I338+I344+I347+I350+I354+I357+I359+I374+I377+I379+I381+I386+I389+I391+I396+I398+I406+I408+I412+I416+I418+I422+I429+I435+I438+I451+I453+I455+I457+I459+I461+I467+I479+I488+I490+I497+I503+I505+I508+I511+I513+I516+I522+I524+I527+I529+I539+I544+I547+I449+I492</f>
        <v>1283189.7000000002</v>
      </c>
      <c r="J14" s="334">
        <f>J15+J120+J151+J197+J235+J241+J268+J274+J281+J286+J288+J291+J297+J303+J305+J321+J338+J344+J347+J350+J354+J357+J359+J374+J377+J379+J381+J386+J389+J391+J396+J398+J406+J408+J412+J416+J418+J422+J429+J435+J438+J451+J453+J455+J457+J459+J461+J467+J479+J488+J490+J497+J503+J505+J508+J511+J513+J516+J522+J524+J527+J529+J539+J544+J547+J449+J492</f>
        <v>1075826.05</v>
      </c>
      <c r="K14" s="334">
        <f>K15+K120+K151+K197+K235+K241+K268+K274+K281+K286+K288+K291+K297+K303+K305+K321+K338+K344+K347+K350+K354+K357+K359+K374+K377+K379+K381+K386+K389+K391+K396+K398+K406+K408+K412+K416+K418+K422+K429+K435+K438+K451+K453+K455+K457+K459+K461+K467+K479+K488+K490+K497+K503+K505+K508+K511+K513+K516+K522+K524+K527+K529+K539+K544+K547+K449+K492</f>
        <v>1031357.3800000002</v>
      </c>
      <c r="L14" s="332">
        <f>L15+L120+L151+L197+L235+L241+L268+L274+L281+L286+L288+L291+L297+L303+L305+L321+L338+L344+L347+L350+L354+L357+L359+L374+L377+L379+L381+L386+L389+L391+L396+L398+L406+L408+L412+L416+L418+L422+L429+L435+L438+L451+L453+L455+L457+L459+L461+L467+L479+L488+L490+L497+L503+L505+L508+L511+L513+L516+L522+L524+L527+L529+L539+L544+L547+L449+L492</f>
        <v>49251</v>
      </c>
      <c r="M14" s="330" t="s">
        <v>131</v>
      </c>
      <c r="N14" s="330" t="s">
        <v>131</v>
      </c>
      <c r="O14" s="333" t="s">
        <v>131</v>
      </c>
      <c r="P14" s="334">
        <v>1112243634.7800002</v>
      </c>
      <c r="Q14" s="334">
        <f>Q15+Q120+Q151+Q197+Q235+Q241+Q268+Q274+Q281+Q286+Q288+Q291+Q297+Q303+Q305+Q321+Q338+Q344+Q347+Q350+Q354+Q357+Q359+Q374+Q377+Q379+Q381+Q386+Q389+Q391+Q396+Q398+Q406+Q408+Q412+Q416+Q418+Q422+Q429+Q435+Q438+Q451+Q453+Q455+Q457+Q459+Q461+Q467+Q479+Q488+Q490+Q497+Q503+Q505+Q508+Q511+Q513+Q516+Q522+Q524+Q527+Q529+Q539+Q544+Q547+Q449+Q492</f>
        <v>0</v>
      </c>
      <c r="R14" s="334">
        <f>R15+R120+R151+R197+R235+R241+R268+R274+R281+R286+R288+R291+R297+R303+R305+R321+R338+R344+R347+R350+R354+R357+R359+R374+R377+R379+R381+R386+R389+R391+R396+R398+R406+R408+R412+R416+R418+R422+R429+R435+R438+R451+R453+R455+R457+R459+R461+R467+R479+R488+R490+R497+R503+R505+R508+R511+R513+R516+R522+R524+R527+R529+R539+R544+R547+R449+R492</f>
        <v>2908349.77</v>
      </c>
      <c r="S14" s="334">
        <f>S15+S120+S151+S197+S235+S241+S268+S274+S281+S286+S288+S291+S297+S303+S305+S321+S338+S344+S347+S350+S354+S357+S359+S374+S377+S379+S381+S386+S389+S391+S396+S398+S406+S408+S412+S416+S418+S422+S429+S435+S438+S451+S453+S455+S457+S459+S461+S467+S479+S488+S490+S497+S503+S505+S508+S511+S513+S516+S522+S524+S527+S529+S539+S544+S547+S449+S492</f>
        <v>1109335285.01</v>
      </c>
      <c r="T14" s="38">
        <f t="shared" si="0"/>
        <v>866.78036363602359</v>
      </c>
      <c r="U14" s="38">
        <f>MAX(U15:U547)</f>
        <v>14055.200019244649</v>
      </c>
      <c r="V14" s="458"/>
      <c r="W14" s="458"/>
      <c r="X14" s="458"/>
      <c r="Y14" s="459"/>
      <c r="Z14" s="459"/>
      <c r="AA14" s="459"/>
      <c r="AB14" s="459"/>
      <c r="AC14" s="459"/>
      <c r="AD14" s="459"/>
      <c r="AE14" s="459"/>
      <c r="AF14" s="459"/>
      <c r="AG14" s="459"/>
      <c r="AH14" s="459"/>
      <c r="AI14" s="459"/>
      <c r="AJ14" s="459"/>
      <c r="AK14" s="459"/>
      <c r="AL14" s="459"/>
      <c r="AM14" s="459"/>
      <c r="AN14" s="459"/>
      <c r="AO14" s="459"/>
      <c r="AP14" s="460"/>
      <c r="AQ14" s="460"/>
      <c r="AR14" s="460"/>
      <c r="AS14" s="460"/>
      <c r="AT14" s="460"/>
      <c r="AU14" s="460"/>
      <c r="AV14" s="460"/>
      <c r="AW14" s="460"/>
      <c r="AX14" s="460"/>
      <c r="AY14" s="460"/>
      <c r="AZ14" s="460"/>
      <c r="BA14" s="460"/>
      <c r="BB14" s="460"/>
      <c r="BC14" s="460"/>
      <c r="BD14" s="460"/>
      <c r="BE14" s="460"/>
      <c r="BF14" s="460"/>
      <c r="BG14" s="460"/>
      <c r="BH14" s="460"/>
      <c r="BI14" s="460"/>
      <c r="BJ14" s="460"/>
      <c r="BK14" s="460"/>
      <c r="BL14" s="460"/>
      <c r="BM14" s="460"/>
      <c r="BN14" s="460"/>
      <c r="BO14" s="460"/>
      <c r="BP14" s="460"/>
      <c r="BQ14" s="460"/>
      <c r="BR14" s="460"/>
      <c r="BS14" s="460"/>
      <c r="BT14" s="460"/>
      <c r="BU14" s="460"/>
      <c r="BV14" s="460"/>
      <c r="BW14" s="460"/>
      <c r="BX14" s="460"/>
      <c r="BY14" s="460"/>
      <c r="BZ14" s="460"/>
      <c r="CA14" s="460"/>
      <c r="CB14" s="460"/>
      <c r="CC14" s="460"/>
      <c r="CD14" s="460"/>
      <c r="CE14" s="460"/>
      <c r="CF14" s="460"/>
      <c r="CG14" s="460"/>
      <c r="CH14" s="460"/>
      <c r="CI14" s="460"/>
      <c r="CJ14" s="460"/>
      <c r="CK14" s="460"/>
    </row>
    <row r="15" spans="1:89" s="329" customFormat="1" ht="36" customHeight="1" x14ac:dyDescent="0.25">
      <c r="B15" s="33" t="s">
        <v>912</v>
      </c>
      <c r="C15" s="461"/>
      <c r="D15" s="330" t="s">
        <v>131</v>
      </c>
      <c r="E15" s="330" t="s">
        <v>131</v>
      </c>
      <c r="F15" s="330" t="s">
        <v>131</v>
      </c>
      <c r="G15" s="330" t="s">
        <v>131</v>
      </c>
      <c r="H15" s="330" t="s">
        <v>131</v>
      </c>
      <c r="I15" s="334">
        <f>SUM(I16:I119)</f>
        <v>362242.11000000022</v>
      </c>
      <c r="J15" s="334">
        <f>SUM(J16:J119)</f>
        <v>302352.3</v>
      </c>
      <c r="K15" s="334">
        <f>SUM(K16:K119)</f>
        <v>281560.7</v>
      </c>
      <c r="L15" s="332">
        <f>SUM(L16:L119)</f>
        <v>13536</v>
      </c>
      <c r="M15" s="330" t="s">
        <v>131</v>
      </c>
      <c r="N15" s="330" t="s">
        <v>131</v>
      </c>
      <c r="O15" s="333" t="s">
        <v>131</v>
      </c>
      <c r="P15" s="334">
        <v>278633187.87000012</v>
      </c>
      <c r="Q15" s="334">
        <f>SUM(Q16:Q119)</f>
        <v>0</v>
      </c>
      <c r="R15" s="334">
        <f>SUM(R16:R119)</f>
        <v>0</v>
      </c>
      <c r="S15" s="334">
        <f>SUM(S16:S119)</f>
        <v>278633187.87000012</v>
      </c>
      <c r="T15" s="38">
        <f t="shared" si="0"/>
        <v>769.19049491512726</v>
      </c>
      <c r="U15" s="38">
        <f>MAX(U16:U119)</f>
        <v>9762.5037575757578</v>
      </c>
      <c r="V15" s="458"/>
      <c r="W15" s="458"/>
      <c r="X15" s="458"/>
      <c r="Y15" s="459"/>
      <c r="Z15" s="459"/>
      <c r="AA15" s="459"/>
      <c r="AB15" s="459"/>
      <c r="AC15" s="459"/>
      <c r="AD15" s="459"/>
      <c r="AE15" s="459"/>
      <c r="AF15" s="459"/>
      <c r="AG15" s="459"/>
      <c r="AH15" s="459"/>
      <c r="AI15" s="459"/>
      <c r="AJ15" s="459"/>
      <c r="AK15" s="459"/>
      <c r="AL15" s="459"/>
      <c r="AM15" s="459"/>
      <c r="AN15" s="459"/>
      <c r="AO15" s="459"/>
      <c r="AP15" s="460"/>
      <c r="AQ15" s="460"/>
      <c r="AR15" s="460"/>
      <c r="AS15" s="460"/>
      <c r="AT15" s="460"/>
      <c r="AU15" s="460"/>
      <c r="AV15" s="460"/>
      <c r="AW15" s="460"/>
      <c r="AX15" s="460"/>
      <c r="AY15" s="460"/>
      <c r="AZ15" s="460"/>
      <c r="BA15" s="460"/>
      <c r="BB15" s="460"/>
      <c r="BC15" s="460"/>
      <c r="BD15" s="460"/>
      <c r="BE15" s="460"/>
      <c r="BF15" s="460"/>
      <c r="BG15" s="460"/>
      <c r="BH15" s="460"/>
      <c r="BI15" s="460"/>
      <c r="BJ15" s="460"/>
      <c r="BK15" s="460"/>
      <c r="BL15" s="460"/>
      <c r="BM15" s="460"/>
      <c r="BN15" s="460"/>
      <c r="BO15" s="460"/>
      <c r="BP15" s="460"/>
      <c r="BQ15" s="460"/>
      <c r="BR15" s="460"/>
      <c r="BS15" s="460"/>
      <c r="BT15" s="460"/>
      <c r="BU15" s="460"/>
      <c r="BV15" s="460"/>
      <c r="BW15" s="460"/>
      <c r="BX15" s="460"/>
      <c r="BY15" s="460"/>
      <c r="BZ15" s="460"/>
      <c r="CA15" s="460"/>
      <c r="CB15" s="460"/>
      <c r="CC15" s="460"/>
      <c r="CD15" s="460"/>
      <c r="CE15" s="460"/>
      <c r="CF15" s="460"/>
      <c r="CG15" s="460"/>
      <c r="CH15" s="460"/>
      <c r="CI15" s="460"/>
      <c r="CJ15" s="460"/>
      <c r="CK15" s="460"/>
    </row>
    <row r="16" spans="1:89" s="329" customFormat="1" ht="36" customHeight="1" x14ac:dyDescent="0.25">
      <c r="A16" s="329">
        <v>1</v>
      </c>
      <c r="B16" s="39">
        <f>SUBTOTAL(103,$A16:A$16)</f>
        <v>1</v>
      </c>
      <c r="C16" s="33" t="s">
        <v>913</v>
      </c>
      <c r="D16" s="330">
        <v>1994</v>
      </c>
      <c r="E16" s="330"/>
      <c r="F16" s="331" t="s">
        <v>48</v>
      </c>
      <c r="G16" s="330">
        <v>5</v>
      </c>
      <c r="H16" s="330" t="s">
        <v>57</v>
      </c>
      <c r="I16" s="38">
        <v>1202.5999999999999</v>
      </c>
      <c r="J16" s="38">
        <v>620.9</v>
      </c>
      <c r="K16" s="38">
        <v>620.9</v>
      </c>
      <c r="L16" s="332">
        <v>52</v>
      </c>
      <c r="M16" s="330" t="s">
        <v>46</v>
      </c>
      <c r="N16" s="330" t="s">
        <v>50</v>
      </c>
      <c r="O16" s="333" t="s">
        <v>1955</v>
      </c>
      <c r="P16" s="38">
        <v>2167261.7599999998</v>
      </c>
      <c r="Q16" s="38">
        <v>0</v>
      </c>
      <c r="R16" s="38">
        <v>0</v>
      </c>
      <c r="S16" s="38">
        <f t="shared" ref="S16:S79" si="1">P16-Q16-R16</f>
        <v>2167261.7599999998</v>
      </c>
      <c r="T16" s="38">
        <f t="shared" si="0"/>
        <v>1802.1468152336604</v>
      </c>
      <c r="U16" s="38">
        <v>2256.6563835855645</v>
      </c>
      <c r="V16" s="458">
        <f>U16-T16</f>
        <v>454.50956835190414</v>
      </c>
      <c r="W16" s="458">
        <f>X16+Y16+Z16+AA16+AB16+AD16+AF16+AH16+AJ16+AL16+AN16+AO16</f>
        <v>2248.9854266589055</v>
      </c>
      <c r="X16" s="458">
        <v>0</v>
      </c>
      <c r="Y16" s="459">
        <v>0</v>
      </c>
      <c r="Z16" s="459">
        <v>0</v>
      </c>
      <c r="AA16" s="459">
        <v>0</v>
      </c>
      <c r="AB16" s="459">
        <v>0</v>
      </c>
      <c r="AC16" s="459">
        <v>0</v>
      </c>
      <c r="AD16" s="459">
        <v>0</v>
      </c>
      <c r="AE16" s="459">
        <v>433.51</v>
      </c>
      <c r="AF16" s="458">
        <f>6238.91*AE16/I16</f>
        <v>2248.9854266589055</v>
      </c>
      <c r="AG16" s="459">
        <v>0</v>
      </c>
      <c r="AH16" s="458">
        <v>0</v>
      </c>
      <c r="AI16" s="459">
        <v>0</v>
      </c>
      <c r="AJ16" s="458">
        <v>0</v>
      </c>
      <c r="AK16" s="459">
        <v>0</v>
      </c>
      <c r="AL16" s="459">
        <v>0</v>
      </c>
      <c r="AM16" s="459">
        <v>0</v>
      </c>
      <c r="AN16" s="459"/>
      <c r="AO16" s="459">
        <v>0</v>
      </c>
      <c r="AP16" s="460"/>
      <c r="AQ16" s="460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  <c r="BK16" s="460"/>
      <c r="BL16" s="460"/>
      <c r="BM16" s="460"/>
      <c r="BN16" s="460"/>
      <c r="BO16" s="460"/>
      <c r="BP16" s="460"/>
      <c r="BQ16" s="460"/>
      <c r="BR16" s="460"/>
      <c r="BS16" s="460"/>
      <c r="BT16" s="460"/>
      <c r="BU16" s="460"/>
      <c r="BV16" s="460"/>
      <c r="BW16" s="460"/>
      <c r="BX16" s="460"/>
      <c r="BY16" s="460"/>
      <c r="BZ16" s="460"/>
      <c r="CA16" s="460"/>
      <c r="CB16" s="460"/>
      <c r="CC16" s="460"/>
      <c r="CD16" s="460"/>
      <c r="CE16" s="460"/>
      <c r="CF16" s="460"/>
      <c r="CG16" s="460"/>
      <c r="CH16" s="460"/>
      <c r="CI16" s="460"/>
      <c r="CJ16" s="460"/>
      <c r="CK16" s="460"/>
    </row>
    <row r="17" spans="1:89" s="329" customFormat="1" ht="36" customHeight="1" x14ac:dyDescent="0.25">
      <c r="A17" s="329">
        <v>1</v>
      </c>
      <c r="B17" s="39">
        <f>SUBTOTAL(103,$A$16:A17)</f>
        <v>2</v>
      </c>
      <c r="C17" s="33" t="s">
        <v>916</v>
      </c>
      <c r="D17" s="330">
        <v>1959</v>
      </c>
      <c r="E17" s="330"/>
      <c r="F17" s="331" t="s">
        <v>48</v>
      </c>
      <c r="G17" s="330">
        <v>2</v>
      </c>
      <c r="H17" s="330" t="s">
        <v>56</v>
      </c>
      <c r="I17" s="38">
        <v>918.1</v>
      </c>
      <c r="J17" s="38">
        <v>907</v>
      </c>
      <c r="K17" s="38">
        <v>907</v>
      </c>
      <c r="L17" s="332">
        <v>40</v>
      </c>
      <c r="M17" s="330" t="s">
        <v>46</v>
      </c>
      <c r="N17" s="330" t="s">
        <v>50</v>
      </c>
      <c r="O17" s="333" t="s">
        <v>1956</v>
      </c>
      <c r="P17" s="38">
        <v>69778.55</v>
      </c>
      <c r="Q17" s="38">
        <v>0</v>
      </c>
      <c r="R17" s="38">
        <v>0</v>
      </c>
      <c r="S17" s="38">
        <f t="shared" si="1"/>
        <v>69778.55</v>
      </c>
      <c r="T17" s="38">
        <f t="shared" si="0"/>
        <v>76.003213157608101</v>
      </c>
      <c r="U17" s="38">
        <v>76.003213157608101</v>
      </c>
      <c r="V17" s="458">
        <f t="shared" ref="V17:V80" si="2">U17-T17</f>
        <v>0</v>
      </c>
      <c r="W17" s="458">
        <f t="shared" ref="W17:W80" si="3">X17+Y17+Z17+AA17+AB17+AD17+AF17+AH17+AJ17+AL17+AN17+AO17</f>
        <v>3397.7290055549502</v>
      </c>
      <c r="X17" s="458">
        <v>0</v>
      </c>
      <c r="Y17" s="459">
        <v>0</v>
      </c>
      <c r="Z17" s="459">
        <v>0</v>
      </c>
      <c r="AA17" s="459">
        <v>0</v>
      </c>
      <c r="AB17" s="459">
        <v>0</v>
      </c>
      <c r="AC17" s="459">
        <v>0</v>
      </c>
      <c r="AD17" s="459">
        <v>0</v>
      </c>
      <c r="AE17" s="459">
        <v>500</v>
      </c>
      <c r="AF17" s="458">
        <f>6238.91*AE17/I17</f>
        <v>3397.7290055549502</v>
      </c>
      <c r="AG17" s="459">
        <v>0</v>
      </c>
      <c r="AH17" s="458">
        <v>0</v>
      </c>
      <c r="AI17" s="459">
        <v>0</v>
      </c>
      <c r="AJ17" s="458">
        <v>0</v>
      </c>
      <c r="AK17" s="459">
        <v>0</v>
      </c>
      <c r="AL17" s="459">
        <v>0</v>
      </c>
      <c r="AM17" s="459">
        <v>0</v>
      </c>
      <c r="AN17" s="459"/>
      <c r="AO17" s="459">
        <v>0</v>
      </c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  <c r="BK17" s="460"/>
      <c r="BL17" s="460"/>
      <c r="BM17" s="460"/>
      <c r="BN17" s="460"/>
      <c r="BO17" s="460"/>
      <c r="BP17" s="460"/>
      <c r="BQ17" s="460"/>
      <c r="BR17" s="460"/>
      <c r="BS17" s="460"/>
      <c r="BT17" s="460"/>
      <c r="BU17" s="460"/>
      <c r="BV17" s="460"/>
      <c r="BW17" s="460"/>
      <c r="BX17" s="460"/>
      <c r="BY17" s="460"/>
      <c r="BZ17" s="460"/>
      <c r="CA17" s="460"/>
      <c r="CB17" s="460"/>
      <c r="CC17" s="460"/>
      <c r="CD17" s="460"/>
      <c r="CE17" s="460"/>
      <c r="CF17" s="460"/>
      <c r="CG17" s="460"/>
      <c r="CH17" s="460"/>
      <c r="CI17" s="460"/>
      <c r="CJ17" s="460"/>
      <c r="CK17" s="460"/>
    </row>
    <row r="18" spans="1:89" s="329" customFormat="1" ht="36" customHeight="1" x14ac:dyDescent="0.25">
      <c r="A18" s="329">
        <v>1</v>
      </c>
      <c r="B18" s="39">
        <f>SUBTOTAL(103,$A$16:A18)</f>
        <v>3</v>
      </c>
      <c r="C18" s="33" t="s">
        <v>919</v>
      </c>
      <c r="D18" s="330">
        <v>1992</v>
      </c>
      <c r="E18" s="330"/>
      <c r="F18" s="331" t="s">
        <v>48</v>
      </c>
      <c r="G18" s="330">
        <v>9</v>
      </c>
      <c r="H18" s="330" t="s">
        <v>57</v>
      </c>
      <c r="I18" s="38">
        <v>4744.5</v>
      </c>
      <c r="J18" s="38">
        <v>4743.3999999999996</v>
      </c>
      <c r="K18" s="38">
        <v>4654.5</v>
      </c>
      <c r="L18" s="332">
        <v>252</v>
      </c>
      <c r="M18" s="330" t="s">
        <v>46</v>
      </c>
      <c r="N18" s="330" t="s">
        <v>50</v>
      </c>
      <c r="O18" s="333" t="s">
        <v>72</v>
      </c>
      <c r="P18" s="38">
        <v>1775379.67</v>
      </c>
      <c r="Q18" s="38">
        <v>0</v>
      </c>
      <c r="R18" s="38">
        <v>0</v>
      </c>
      <c r="S18" s="38">
        <f t="shared" si="1"/>
        <v>1775379.67</v>
      </c>
      <c r="T18" s="38">
        <f t="shared" si="0"/>
        <v>374.19742227842761</v>
      </c>
      <c r="U18" s="38">
        <v>518.03140478448734</v>
      </c>
      <c r="V18" s="458">
        <f t="shared" si="2"/>
        <v>143.83398250605973</v>
      </c>
      <c r="W18" s="458">
        <f t="shared" si="3"/>
        <v>518.03140478448734</v>
      </c>
      <c r="X18" s="458">
        <v>0</v>
      </c>
      <c r="Y18" s="459">
        <v>0</v>
      </c>
      <c r="Z18" s="459">
        <v>0</v>
      </c>
      <c r="AA18" s="459">
        <v>0</v>
      </c>
      <c r="AB18" s="459">
        <v>0</v>
      </c>
      <c r="AC18" s="459">
        <v>1</v>
      </c>
      <c r="AD18" s="458">
        <f>2457800*AC18/I18</f>
        <v>518.03140478448734</v>
      </c>
      <c r="AE18" s="459">
        <v>0</v>
      </c>
      <c r="AF18" s="458">
        <v>0</v>
      </c>
      <c r="AG18" s="459">
        <v>0</v>
      </c>
      <c r="AH18" s="458">
        <v>0</v>
      </c>
      <c r="AI18" s="459">
        <v>0</v>
      </c>
      <c r="AJ18" s="458">
        <v>0</v>
      </c>
      <c r="AK18" s="459">
        <v>0</v>
      </c>
      <c r="AL18" s="459">
        <v>0</v>
      </c>
      <c r="AM18" s="459">
        <v>0</v>
      </c>
      <c r="AN18" s="459"/>
      <c r="AO18" s="459">
        <v>0</v>
      </c>
      <c r="AP18" s="460"/>
      <c r="AQ18" s="460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0"/>
      <c r="BN18" s="460"/>
      <c r="BO18" s="460"/>
      <c r="BP18" s="460"/>
      <c r="BQ18" s="460"/>
      <c r="BR18" s="460"/>
      <c r="BS18" s="460"/>
      <c r="BT18" s="460"/>
      <c r="BU18" s="460"/>
      <c r="BV18" s="460"/>
      <c r="BW18" s="460"/>
      <c r="BX18" s="460"/>
      <c r="BY18" s="460"/>
      <c r="BZ18" s="460"/>
      <c r="CA18" s="460"/>
      <c r="CB18" s="460"/>
      <c r="CC18" s="460"/>
      <c r="CD18" s="460"/>
      <c r="CE18" s="460"/>
      <c r="CF18" s="460"/>
      <c r="CG18" s="460"/>
      <c r="CH18" s="460"/>
      <c r="CI18" s="460"/>
      <c r="CJ18" s="460"/>
      <c r="CK18" s="460"/>
    </row>
    <row r="19" spans="1:89" s="329" customFormat="1" ht="36" customHeight="1" x14ac:dyDescent="0.25">
      <c r="A19" s="329">
        <v>1</v>
      </c>
      <c r="B19" s="39">
        <f>SUBTOTAL(103,$A$16:A19)</f>
        <v>4</v>
      </c>
      <c r="C19" s="33" t="s">
        <v>922</v>
      </c>
      <c r="D19" s="330">
        <v>1978</v>
      </c>
      <c r="E19" s="330"/>
      <c r="F19" s="331" t="s">
        <v>60</v>
      </c>
      <c r="G19" s="330">
        <v>9</v>
      </c>
      <c r="H19" s="330" t="s">
        <v>56</v>
      </c>
      <c r="I19" s="38">
        <v>4430.5</v>
      </c>
      <c r="J19" s="38">
        <v>3929.6</v>
      </c>
      <c r="K19" s="38">
        <v>3929.6</v>
      </c>
      <c r="L19" s="332">
        <v>188</v>
      </c>
      <c r="M19" s="330" t="s">
        <v>46</v>
      </c>
      <c r="N19" s="330" t="s">
        <v>50</v>
      </c>
      <c r="O19" s="333" t="s">
        <v>1956</v>
      </c>
      <c r="P19" s="38">
        <v>2444609.75</v>
      </c>
      <c r="Q19" s="38">
        <v>0</v>
      </c>
      <c r="R19" s="38">
        <v>0</v>
      </c>
      <c r="S19" s="38">
        <f t="shared" si="1"/>
        <v>2444609.75</v>
      </c>
      <c r="T19" s="38">
        <f t="shared" si="0"/>
        <v>551.76836700146714</v>
      </c>
      <c r="U19" s="38">
        <v>893.24101394876413</v>
      </c>
      <c r="V19" s="458">
        <f t="shared" si="2"/>
        <v>341.47264694729699</v>
      </c>
      <c r="W19" s="458">
        <f t="shared" si="3"/>
        <v>890.20465742015563</v>
      </c>
      <c r="X19" s="458">
        <v>0</v>
      </c>
      <c r="Y19" s="459">
        <v>0</v>
      </c>
      <c r="Z19" s="459">
        <v>0</v>
      </c>
      <c r="AA19" s="459">
        <v>0</v>
      </c>
      <c r="AB19" s="459">
        <v>0</v>
      </c>
      <c r="AC19" s="459">
        <v>0</v>
      </c>
      <c r="AD19" s="459">
        <v>0</v>
      </c>
      <c r="AE19" s="459">
        <v>632.16999999999996</v>
      </c>
      <c r="AF19" s="458">
        <f>6238.91*AE19/I19</f>
        <v>890.20465742015563</v>
      </c>
      <c r="AG19" s="459">
        <v>0</v>
      </c>
      <c r="AH19" s="458">
        <v>0</v>
      </c>
      <c r="AI19" s="459">
        <v>0</v>
      </c>
      <c r="AJ19" s="458">
        <v>0</v>
      </c>
      <c r="AK19" s="459">
        <v>0</v>
      </c>
      <c r="AL19" s="459">
        <v>0</v>
      </c>
      <c r="AM19" s="459">
        <v>0</v>
      </c>
      <c r="AN19" s="459"/>
      <c r="AO19" s="459">
        <v>0</v>
      </c>
      <c r="AP19" s="460"/>
      <c r="AQ19" s="460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  <c r="BK19" s="460"/>
      <c r="BL19" s="460"/>
      <c r="BM19" s="460"/>
      <c r="BN19" s="460"/>
      <c r="BO19" s="460"/>
      <c r="BP19" s="460"/>
      <c r="BQ19" s="460"/>
      <c r="BR19" s="460"/>
      <c r="BS19" s="460"/>
      <c r="BT19" s="460"/>
      <c r="BU19" s="460"/>
      <c r="BV19" s="460"/>
      <c r="BW19" s="460"/>
      <c r="BX19" s="460"/>
      <c r="BY19" s="460"/>
      <c r="BZ19" s="460"/>
      <c r="CA19" s="460"/>
      <c r="CB19" s="460"/>
      <c r="CC19" s="460"/>
      <c r="CD19" s="460"/>
      <c r="CE19" s="460"/>
      <c r="CF19" s="460"/>
      <c r="CG19" s="460"/>
      <c r="CH19" s="460"/>
      <c r="CI19" s="460"/>
      <c r="CJ19" s="460"/>
      <c r="CK19" s="460"/>
    </row>
    <row r="20" spans="1:89" s="329" customFormat="1" ht="36" customHeight="1" x14ac:dyDescent="0.25">
      <c r="A20" s="329">
        <v>1</v>
      </c>
      <c r="B20" s="39">
        <f>SUBTOTAL(103,$A$16:A20)</f>
        <v>5</v>
      </c>
      <c r="C20" s="33" t="s">
        <v>925</v>
      </c>
      <c r="D20" s="330">
        <v>1957</v>
      </c>
      <c r="E20" s="330"/>
      <c r="F20" s="331" t="s">
        <v>48</v>
      </c>
      <c r="G20" s="330">
        <v>2</v>
      </c>
      <c r="H20" s="330" t="s">
        <v>57</v>
      </c>
      <c r="I20" s="38">
        <v>731.7</v>
      </c>
      <c r="J20" s="38">
        <v>435.3</v>
      </c>
      <c r="K20" s="38">
        <v>435.3</v>
      </c>
      <c r="L20" s="332">
        <v>18</v>
      </c>
      <c r="M20" s="330" t="s">
        <v>46</v>
      </c>
      <c r="N20" s="330" t="s">
        <v>50</v>
      </c>
      <c r="O20" s="333" t="s">
        <v>1957</v>
      </c>
      <c r="P20" s="38">
        <v>1178315.53</v>
      </c>
      <c r="Q20" s="38">
        <v>0</v>
      </c>
      <c r="R20" s="38">
        <v>0</v>
      </c>
      <c r="S20" s="38">
        <f t="shared" si="1"/>
        <v>1178315.53</v>
      </c>
      <c r="T20" s="38">
        <f t="shared" si="0"/>
        <v>1610.3806614732814</v>
      </c>
      <c r="U20" s="38">
        <v>5081.4024600246003</v>
      </c>
      <c r="V20" s="458">
        <f t="shared" si="2"/>
        <v>3471.0217985513191</v>
      </c>
      <c r="W20" s="458">
        <f t="shared" si="3"/>
        <v>5081.4024600246003</v>
      </c>
      <c r="X20" s="458">
        <v>0</v>
      </c>
      <c r="Y20" s="459">
        <v>0</v>
      </c>
      <c r="Z20" s="459">
        <v>0</v>
      </c>
      <c r="AA20" s="459">
        <v>0</v>
      </c>
      <c r="AB20" s="459">
        <v>0</v>
      </c>
      <c r="AC20" s="459">
        <v>0</v>
      </c>
      <c r="AD20" s="459">
        <v>0</v>
      </c>
      <c r="AE20" s="459">
        <v>0</v>
      </c>
      <c r="AF20" s="458">
        <v>0</v>
      </c>
      <c r="AG20" s="459">
        <v>0</v>
      </c>
      <c r="AH20" s="458">
        <v>0</v>
      </c>
      <c r="AI20" s="459">
        <v>499.8</v>
      </c>
      <c r="AJ20" s="458">
        <f>7439.1*AI20/I20</f>
        <v>5081.4024600246003</v>
      </c>
      <c r="AK20" s="459">
        <v>0</v>
      </c>
      <c r="AL20" s="459">
        <v>0</v>
      </c>
      <c r="AM20" s="459">
        <v>0</v>
      </c>
      <c r="AN20" s="459"/>
      <c r="AO20" s="459">
        <v>0</v>
      </c>
      <c r="AP20" s="460"/>
      <c r="AQ20" s="460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  <c r="BK20" s="460"/>
      <c r="BL20" s="460"/>
      <c r="BM20" s="460"/>
      <c r="BN20" s="460"/>
      <c r="BO20" s="460"/>
      <c r="BP20" s="460"/>
      <c r="BQ20" s="460"/>
      <c r="BR20" s="460"/>
      <c r="BS20" s="460"/>
      <c r="BT20" s="460"/>
      <c r="BU20" s="460"/>
      <c r="BV20" s="460"/>
      <c r="BW20" s="460"/>
      <c r="BX20" s="460"/>
      <c r="BY20" s="460"/>
      <c r="BZ20" s="460"/>
      <c r="CA20" s="460"/>
      <c r="CB20" s="460"/>
      <c r="CC20" s="460"/>
      <c r="CD20" s="460"/>
      <c r="CE20" s="460"/>
      <c r="CF20" s="460"/>
      <c r="CG20" s="460"/>
      <c r="CH20" s="460"/>
      <c r="CI20" s="460"/>
      <c r="CJ20" s="460"/>
      <c r="CK20" s="460"/>
    </row>
    <row r="21" spans="1:89" s="329" customFormat="1" ht="36" customHeight="1" x14ac:dyDescent="0.25">
      <c r="A21" s="329">
        <v>1</v>
      </c>
      <c r="B21" s="39">
        <f>SUBTOTAL(103,$A$16:A21)</f>
        <v>6</v>
      </c>
      <c r="C21" s="33" t="s">
        <v>915</v>
      </c>
      <c r="D21" s="330">
        <v>1986</v>
      </c>
      <c r="E21" s="330"/>
      <c r="F21" s="331" t="s">
        <v>60</v>
      </c>
      <c r="G21" s="330">
        <v>9</v>
      </c>
      <c r="H21" s="330" t="s">
        <v>56</v>
      </c>
      <c r="I21" s="38">
        <v>4300.7</v>
      </c>
      <c r="J21" s="38">
        <v>3861.7</v>
      </c>
      <c r="K21" s="38">
        <v>3861.7</v>
      </c>
      <c r="L21" s="332">
        <v>213</v>
      </c>
      <c r="M21" s="330" t="s">
        <v>46</v>
      </c>
      <c r="N21" s="330" t="s">
        <v>50</v>
      </c>
      <c r="O21" s="333" t="s">
        <v>1958</v>
      </c>
      <c r="P21" s="38">
        <v>1996366.9600000002</v>
      </c>
      <c r="Q21" s="38">
        <v>0</v>
      </c>
      <c r="R21" s="38">
        <v>0</v>
      </c>
      <c r="S21" s="38">
        <f t="shared" si="1"/>
        <v>1996366.9600000002</v>
      </c>
      <c r="T21" s="38">
        <f t="shared" si="0"/>
        <v>464.19581928523269</v>
      </c>
      <c r="U21" s="38">
        <v>890.84016090403884</v>
      </c>
      <c r="V21" s="458">
        <f t="shared" si="2"/>
        <v>426.64434161880615</v>
      </c>
      <c r="W21" s="458">
        <f t="shared" si="3"/>
        <v>934.23350617341373</v>
      </c>
      <c r="X21" s="458">
        <v>0</v>
      </c>
      <c r="Y21" s="459">
        <v>0</v>
      </c>
      <c r="Z21" s="459">
        <v>0</v>
      </c>
      <c r="AA21" s="459">
        <v>0</v>
      </c>
      <c r="AB21" s="459">
        <v>0</v>
      </c>
      <c r="AC21" s="459">
        <v>0</v>
      </c>
      <c r="AD21" s="459">
        <v>0</v>
      </c>
      <c r="AE21" s="459">
        <v>644</v>
      </c>
      <c r="AF21" s="458">
        <f t="shared" ref="AF21:AF28" si="4">6238.91*AE21/I21</f>
        <v>934.23350617341373</v>
      </c>
      <c r="AG21" s="459">
        <v>0</v>
      </c>
      <c r="AH21" s="458">
        <v>0</v>
      </c>
      <c r="AI21" s="459">
        <v>0</v>
      </c>
      <c r="AJ21" s="458">
        <v>0</v>
      </c>
      <c r="AK21" s="459">
        <v>0</v>
      </c>
      <c r="AL21" s="459">
        <v>0</v>
      </c>
      <c r="AM21" s="459">
        <v>0</v>
      </c>
      <c r="AN21" s="459"/>
      <c r="AO21" s="459">
        <v>0</v>
      </c>
      <c r="AP21" s="460"/>
      <c r="AQ21" s="460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  <c r="BK21" s="460"/>
      <c r="BL21" s="460"/>
      <c r="BM21" s="460"/>
      <c r="BN21" s="460"/>
      <c r="BO21" s="460"/>
      <c r="BP21" s="460"/>
      <c r="BQ21" s="460"/>
      <c r="BR21" s="460"/>
      <c r="BS21" s="460"/>
      <c r="BT21" s="460"/>
      <c r="BU21" s="460"/>
      <c r="BV21" s="460"/>
      <c r="BW21" s="460"/>
      <c r="BX21" s="460"/>
      <c r="BY21" s="460"/>
      <c r="BZ21" s="460"/>
      <c r="CA21" s="460"/>
      <c r="CB21" s="460"/>
      <c r="CC21" s="460"/>
      <c r="CD21" s="460"/>
      <c r="CE21" s="460"/>
      <c r="CF21" s="460"/>
      <c r="CG21" s="460"/>
      <c r="CH21" s="460"/>
      <c r="CI21" s="460"/>
      <c r="CJ21" s="460"/>
      <c r="CK21" s="460"/>
    </row>
    <row r="22" spans="1:89" s="329" customFormat="1" ht="36" customHeight="1" x14ac:dyDescent="0.25">
      <c r="A22" s="329">
        <v>1</v>
      </c>
      <c r="B22" s="39">
        <f>SUBTOTAL(103,$A$16:A22)</f>
        <v>7</v>
      </c>
      <c r="C22" s="33" t="s">
        <v>930</v>
      </c>
      <c r="D22" s="330">
        <v>1955</v>
      </c>
      <c r="E22" s="330"/>
      <c r="F22" s="331" t="s">
        <v>48</v>
      </c>
      <c r="G22" s="330">
        <v>3</v>
      </c>
      <c r="H22" s="330" t="s">
        <v>56</v>
      </c>
      <c r="I22" s="38">
        <v>1722.8</v>
      </c>
      <c r="J22" s="38">
        <v>1242.5</v>
      </c>
      <c r="K22" s="38">
        <v>1242.5</v>
      </c>
      <c r="L22" s="332">
        <v>48</v>
      </c>
      <c r="M22" s="330" t="s">
        <v>46</v>
      </c>
      <c r="N22" s="330" t="s">
        <v>50</v>
      </c>
      <c r="O22" s="333" t="s">
        <v>1959</v>
      </c>
      <c r="P22" s="38">
        <v>3053881.53</v>
      </c>
      <c r="Q22" s="38">
        <v>0</v>
      </c>
      <c r="R22" s="38">
        <v>0</v>
      </c>
      <c r="S22" s="38">
        <f t="shared" si="1"/>
        <v>3053881.53</v>
      </c>
      <c r="T22" s="38">
        <f t="shared" si="0"/>
        <v>1772.6268458323659</v>
      </c>
      <c r="U22" s="38">
        <v>2593.2840708729973</v>
      </c>
      <c r="V22" s="458">
        <f t="shared" si="2"/>
        <v>820.65722504063137</v>
      </c>
      <c r="W22" s="458">
        <f t="shared" si="3"/>
        <v>2187.3123055491064</v>
      </c>
      <c r="X22" s="458">
        <v>0</v>
      </c>
      <c r="Y22" s="459">
        <v>0</v>
      </c>
      <c r="Z22" s="459">
        <v>0</v>
      </c>
      <c r="AA22" s="459">
        <v>0</v>
      </c>
      <c r="AB22" s="459">
        <v>0</v>
      </c>
      <c r="AC22" s="459">
        <v>0</v>
      </c>
      <c r="AD22" s="459">
        <v>0</v>
      </c>
      <c r="AE22" s="459">
        <v>604</v>
      </c>
      <c r="AF22" s="458">
        <f t="shared" si="4"/>
        <v>2187.3123055491064</v>
      </c>
      <c r="AG22" s="459">
        <v>0</v>
      </c>
      <c r="AH22" s="458">
        <v>0</v>
      </c>
      <c r="AI22" s="459">
        <v>0</v>
      </c>
      <c r="AJ22" s="458">
        <v>0</v>
      </c>
      <c r="AK22" s="459">
        <v>0</v>
      </c>
      <c r="AL22" s="459">
        <v>0</v>
      </c>
      <c r="AM22" s="459">
        <v>0</v>
      </c>
      <c r="AN22" s="459"/>
      <c r="AO22" s="459">
        <v>0</v>
      </c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  <c r="BK22" s="460"/>
      <c r="BL22" s="460"/>
      <c r="BM22" s="460"/>
      <c r="BN22" s="460"/>
      <c r="BO22" s="460"/>
      <c r="BP22" s="460"/>
      <c r="BQ22" s="460"/>
      <c r="BR22" s="460"/>
      <c r="BS22" s="460"/>
      <c r="BT22" s="460"/>
      <c r="BU22" s="460"/>
      <c r="BV22" s="460"/>
      <c r="BW22" s="460"/>
      <c r="BX22" s="460"/>
      <c r="BY22" s="460"/>
      <c r="BZ22" s="460"/>
      <c r="CA22" s="460"/>
      <c r="CB22" s="460"/>
      <c r="CC22" s="460"/>
      <c r="CD22" s="460"/>
      <c r="CE22" s="460"/>
      <c r="CF22" s="460"/>
      <c r="CG22" s="460"/>
      <c r="CH22" s="460"/>
      <c r="CI22" s="460"/>
      <c r="CJ22" s="460"/>
      <c r="CK22" s="460"/>
    </row>
    <row r="23" spans="1:89" s="329" customFormat="1" ht="36" customHeight="1" x14ac:dyDescent="0.25">
      <c r="A23" s="329">
        <v>1</v>
      </c>
      <c r="B23" s="39">
        <f>SUBTOTAL(103,$A$16:A23)</f>
        <v>8</v>
      </c>
      <c r="C23" s="33" t="s">
        <v>933</v>
      </c>
      <c r="D23" s="330">
        <v>1990</v>
      </c>
      <c r="E23" s="330"/>
      <c r="F23" s="331" t="s">
        <v>48</v>
      </c>
      <c r="G23" s="330">
        <v>3</v>
      </c>
      <c r="H23" s="330" t="s">
        <v>57</v>
      </c>
      <c r="I23" s="38">
        <v>620.29999999999995</v>
      </c>
      <c r="J23" s="38">
        <v>538.5</v>
      </c>
      <c r="K23" s="38">
        <v>538.5</v>
      </c>
      <c r="L23" s="332">
        <v>18</v>
      </c>
      <c r="M23" s="330" t="s">
        <v>46</v>
      </c>
      <c r="N23" s="330" t="s">
        <v>50</v>
      </c>
      <c r="O23" s="333" t="s">
        <v>73</v>
      </c>
      <c r="P23" s="38">
        <v>2008550.03</v>
      </c>
      <c r="Q23" s="38">
        <v>0</v>
      </c>
      <c r="R23" s="38">
        <v>0</v>
      </c>
      <c r="S23" s="38">
        <f t="shared" si="1"/>
        <v>2008550.03</v>
      </c>
      <c r="T23" s="38">
        <f t="shared" si="0"/>
        <v>3238.0300338545867</v>
      </c>
      <c r="U23" s="38">
        <v>5964.4886184104462</v>
      </c>
      <c r="V23" s="458">
        <f t="shared" si="2"/>
        <v>2726.4585845558595</v>
      </c>
      <c r="W23" s="458">
        <f t="shared" si="3"/>
        <v>5944.2137836530719</v>
      </c>
      <c r="X23" s="458">
        <v>0</v>
      </c>
      <c r="Y23" s="459">
        <v>0</v>
      </c>
      <c r="Z23" s="459">
        <v>0</v>
      </c>
      <c r="AA23" s="459">
        <v>0</v>
      </c>
      <c r="AB23" s="459">
        <v>0</v>
      </c>
      <c r="AC23" s="459">
        <v>0</v>
      </c>
      <c r="AD23" s="459">
        <v>0</v>
      </c>
      <c r="AE23" s="459">
        <v>591</v>
      </c>
      <c r="AF23" s="458">
        <f t="shared" si="4"/>
        <v>5944.2137836530719</v>
      </c>
      <c r="AG23" s="459">
        <v>0</v>
      </c>
      <c r="AH23" s="458">
        <v>0</v>
      </c>
      <c r="AI23" s="459">
        <v>0</v>
      </c>
      <c r="AJ23" s="458">
        <v>0</v>
      </c>
      <c r="AK23" s="459">
        <v>0</v>
      </c>
      <c r="AL23" s="459">
        <v>0</v>
      </c>
      <c r="AM23" s="459">
        <v>0</v>
      </c>
      <c r="AN23" s="459"/>
      <c r="AO23" s="459">
        <v>0</v>
      </c>
      <c r="AP23" s="460"/>
      <c r="AQ23" s="460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  <c r="BK23" s="460"/>
      <c r="BL23" s="460"/>
      <c r="BM23" s="460"/>
      <c r="BN23" s="460"/>
      <c r="BO23" s="460"/>
      <c r="BP23" s="460"/>
      <c r="BQ23" s="460"/>
      <c r="BR23" s="460"/>
      <c r="BS23" s="460"/>
      <c r="BT23" s="460"/>
      <c r="BU23" s="460"/>
      <c r="BV23" s="460"/>
      <c r="BW23" s="460"/>
      <c r="BX23" s="460"/>
      <c r="BY23" s="460"/>
      <c r="BZ23" s="460"/>
      <c r="CA23" s="460"/>
      <c r="CB23" s="460"/>
      <c r="CC23" s="460"/>
      <c r="CD23" s="460"/>
      <c r="CE23" s="460"/>
      <c r="CF23" s="460"/>
      <c r="CG23" s="460"/>
      <c r="CH23" s="460"/>
      <c r="CI23" s="460"/>
      <c r="CJ23" s="460"/>
      <c r="CK23" s="460"/>
    </row>
    <row r="24" spans="1:89" s="329" customFormat="1" ht="36" customHeight="1" x14ac:dyDescent="0.25">
      <c r="A24" s="329">
        <v>1</v>
      </c>
      <c r="B24" s="39">
        <f>SUBTOTAL(103,$A$16:A24)</f>
        <v>9</v>
      </c>
      <c r="C24" s="33" t="s">
        <v>936</v>
      </c>
      <c r="D24" s="330">
        <v>1989</v>
      </c>
      <c r="E24" s="330"/>
      <c r="F24" s="331" t="s">
        <v>48</v>
      </c>
      <c r="G24" s="330">
        <v>5</v>
      </c>
      <c r="H24" s="330" t="s">
        <v>61</v>
      </c>
      <c r="I24" s="38">
        <v>2454.8000000000002</v>
      </c>
      <c r="J24" s="38">
        <v>1816.2</v>
      </c>
      <c r="K24" s="38">
        <v>1749.1</v>
      </c>
      <c r="L24" s="332">
        <v>71</v>
      </c>
      <c r="M24" s="330" t="s">
        <v>46</v>
      </c>
      <c r="N24" s="330" t="s">
        <v>50</v>
      </c>
      <c r="O24" s="333" t="s">
        <v>251</v>
      </c>
      <c r="P24" s="38">
        <v>98784.97</v>
      </c>
      <c r="Q24" s="38">
        <v>0</v>
      </c>
      <c r="R24" s="38">
        <v>0</v>
      </c>
      <c r="S24" s="38">
        <f t="shared" si="1"/>
        <v>98784.97</v>
      </c>
      <c r="T24" s="38">
        <f t="shared" si="0"/>
        <v>40.241555320189015</v>
      </c>
      <c r="U24" s="38">
        <v>40.241555320189015</v>
      </c>
      <c r="V24" s="458">
        <f t="shared" si="2"/>
        <v>0</v>
      </c>
      <c r="W24" s="458">
        <f t="shared" si="3"/>
        <v>1761.2696064852532</v>
      </c>
      <c r="X24" s="458">
        <v>0</v>
      </c>
      <c r="Y24" s="459">
        <v>0</v>
      </c>
      <c r="Z24" s="459">
        <v>0</v>
      </c>
      <c r="AA24" s="459">
        <v>0</v>
      </c>
      <c r="AB24" s="459">
        <v>0</v>
      </c>
      <c r="AC24" s="459">
        <v>0</v>
      </c>
      <c r="AD24" s="459">
        <v>0</v>
      </c>
      <c r="AE24" s="459">
        <v>693</v>
      </c>
      <c r="AF24" s="458">
        <f t="shared" si="4"/>
        <v>1761.2696064852532</v>
      </c>
      <c r="AG24" s="459">
        <v>0</v>
      </c>
      <c r="AH24" s="458">
        <v>0</v>
      </c>
      <c r="AI24" s="459">
        <v>0</v>
      </c>
      <c r="AJ24" s="458">
        <v>0</v>
      </c>
      <c r="AK24" s="459">
        <v>0</v>
      </c>
      <c r="AL24" s="459">
        <v>0</v>
      </c>
      <c r="AM24" s="459">
        <v>0</v>
      </c>
      <c r="AN24" s="459"/>
      <c r="AO24" s="459">
        <v>0</v>
      </c>
      <c r="AP24" s="460"/>
      <c r="AQ24" s="460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  <c r="BK24" s="460"/>
      <c r="BL24" s="460"/>
      <c r="BM24" s="460"/>
      <c r="BN24" s="460"/>
      <c r="BO24" s="460"/>
      <c r="BP24" s="460"/>
      <c r="BQ24" s="460"/>
      <c r="BR24" s="460"/>
      <c r="BS24" s="460"/>
      <c r="BT24" s="460"/>
      <c r="BU24" s="460"/>
      <c r="BV24" s="460"/>
      <c r="BW24" s="460"/>
      <c r="BX24" s="460"/>
      <c r="BY24" s="460"/>
      <c r="BZ24" s="460"/>
      <c r="CA24" s="460"/>
      <c r="CB24" s="460"/>
      <c r="CC24" s="460"/>
      <c r="CD24" s="460"/>
      <c r="CE24" s="460"/>
      <c r="CF24" s="460"/>
      <c r="CG24" s="460"/>
      <c r="CH24" s="460"/>
      <c r="CI24" s="460"/>
      <c r="CJ24" s="460"/>
      <c r="CK24" s="460"/>
    </row>
    <row r="25" spans="1:89" s="329" customFormat="1" ht="36" customHeight="1" x14ac:dyDescent="0.25">
      <c r="A25" s="329">
        <v>1</v>
      </c>
      <c r="B25" s="39">
        <f>SUBTOTAL(103,$A$16:A25)</f>
        <v>10</v>
      </c>
      <c r="C25" s="33" t="s">
        <v>939</v>
      </c>
      <c r="D25" s="330">
        <v>1995</v>
      </c>
      <c r="E25" s="330"/>
      <c r="F25" s="331" t="s">
        <v>48</v>
      </c>
      <c r="G25" s="330">
        <v>9</v>
      </c>
      <c r="H25" s="330" t="s">
        <v>57</v>
      </c>
      <c r="I25" s="38">
        <v>5292.9</v>
      </c>
      <c r="J25" s="38">
        <v>2692.2</v>
      </c>
      <c r="K25" s="38">
        <v>2257.3000000000002</v>
      </c>
      <c r="L25" s="332">
        <v>203</v>
      </c>
      <c r="M25" s="330" t="s">
        <v>46</v>
      </c>
      <c r="N25" s="330" t="s">
        <v>50</v>
      </c>
      <c r="O25" s="333" t="s">
        <v>1960</v>
      </c>
      <c r="P25" s="38">
        <v>3124667</v>
      </c>
      <c r="Q25" s="38">
        <v>0</v>
      </c>
      <c r="R25" s="38">
        <v>0</v>
      </c>
      <c r="S25" s="38">
        <f t="shared" si="1"/>
        <v>3124667</v>
      </c>
      <c r="T25" s="38">
        <f t="shared" si="0"/>
        <v>590.35065842921654</v>
      </c>
      <c r="U25" s="38">
        <v>1288.9635288783086</v>
      </c>
      <c r="V25" s="458">
        <f t="shared" si="2"/>
        <v>698.61287044909204</v>
      </c>
      <c r="W25" s="458">
        <f t="shared" si="3"/>
        <v>1284.5820094844037</v>
      </c>
      <c r="X25" s="458">
        <v>0</v>
      </c>
      <c r="Y25" s="459">
        <v>0</v>
      </c>
      <c r="Z25" s="459">
        <v>0</v>
      </c>
      <c r="AA25" s="459">
        <v>0</v>
      </c>
      <c r="AB25" s="459">
        <v>0</v>
      </c>
      <c r="AC25" s="459">
        <v>0</v>
      </c>
      <c r="AD25" s="459">
        <v>0</v>
      </c>
      <c r="AE25" s="459">
        <v>1089.8</v>
      </c>
      <c r="AF25" s="458">
        <f t="shared" si="4"/>
        <v>1284.5820094844037</v>
      </c>
      <c r="AG25" s="459">
        <v>0</v>
      </c>
      <c r="AH25" s="458">
        <v>0</v>
      </c>
      <c r="AI25" s="459">
        <v>0</v>
      </c>
      <c r="AJ25" s="458">
        <v>0</v>
      </c>
      <c r="AK25" s="459">
        <v>0</v>
      </c>
      <c r="AL25" s="459">
        <v>0</v>
      </c>
      <c r="AM25" s="459">
        <v>0</v>
      </c>
      <c r="AN25" s="459"/>
      <c r="AO25" s="459">
        <v>0</v>
      </c>
      <c r="AP25" s="460"/>
      <c r="AQ25" s="460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  <c r="BK25" s="460"/>
      <c r="BL25" s="460"/>
      <c r="BM25" s="460"/>
      <c r="BN25" s="460"/>
      <c r="BO25" s="460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</row>
    <row r="26" spans="1:89" s="329" customFormat="1" ht="36" customHeight="1" x14ac:dyDescent="0.25">
      <c r="A26" s="329">
        <v>1</v>
      </c>
      <c r="B26" s="39">
        <f>SUBTOTAL(103,$A$16:A26)</f>
        <v>11</v>
      </c>
      <c r="C26" s="33" t="s">
        <v>942</v>
      </c>
      <c r="D26" s="330">
        <v>1962</v>
      </c>
      <c r="E26" s="330"/>
      <c r="F26" s="331" t="s">
        <v>48</v>
      </c>
      <c r="G26" s="330">
        <v>3</v>
      </c>
      <c r="H26" s="330" t="s">
        <v>61</v>
      </c>
      <c r="I26" s="38">
        <v>2721.6</v>
      </c>
      <c r="J26" s="38">
        <v>1752.6</v>
      </c>
      <c r="K26" s="38">
        <v>1752.6</v>
      </c>
      <c r="L26" s="332">
        <v>82</v>
      </c>
      <c r="M26" s="330" t="s">
        <v>46</v>
      </c>
      <c r="N26" s="330" t="s">
        <v>50</v>
      </c>
      <c r="O26" s="333" t="s">
        <v>1957</v>
      </c>
      <c r="P26" s="38">
        <v>89397.8</v>
      </c>
      <c r="Q26" s="38">
        <v>0</v>
      </c>
      <c r="R26" s="38">
        <v>0</v>
      </c>
      <c r="S26" s="38">
        <f t="shared" si="1"/>
        <v>89397.8</v>
      </c>
      <c r="T26" s="38">
        <f t="shared" si="0"/>
        <v>32.847516166960617</v>
      </c>
      <c r="U26" s="38">
        <v>32.847516166960617</v>
      </c>
      <c r="V26" s="458">
        <f t="shared" si="2"/>
        <v>0</v>
      </c>
      <c r="W26" s="458">
        <f t="shared" si="3"/>
        <v>2171.7898787477952</v>
      </c>
      <c r="X26" s="458">
        <v>0</v>
      </c>
      <c r="Y26" s="459">
        <v>0</v>
      </c>
      <c r="Z26" s="459">
        <v>0</v>
      </c>
      <c r="AA26" s="459">
        <v>0</v>
      </c>
      <c r="AB26" s="459">
        <v>0</v>
      </c>
      <c r="AC26" s="459">
        <v>0</v>
      </c>
      <c r="AD26" s="459">
        <v>0</v>
      </c>
      <c r="AE26" s="459">
        <v>947.4</v>
      </c>
      <c r="AF26" s="458">
        <f t="shared" si="4"/>
        <v>2171.7898787477952</v>
      </c>
      <c r="AG26" s="459">
        <v>0</v>
      </c>
      <c r="AH26" s="458">
        <v>0</v>
      </c>
      <c r="AI26" s="459">
        <v>0</v>
      </c>
      <c r="AJ26" s="458">
        <v>0</v>
      </c>
      <c r="AK26" s="459">
        <v>0</v>
      </c>
      <c r="AL26" s="459">
        <v>0</v>
      </c>
      <c r="AM26" s="459">
        <v>0</v>
      </c>
      <c r="AN26" s="459"/>
      <c r="AO26" s="459">
        <v>0</v>
      </c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  <c r="BK26" s="460"/>
      <c r="BL26" s="460"/>
      <c r="BM26" s="460"/>
      <c r="BN26" s="460"/>
      <c r="BO26" s="460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</row>
    <row r="27" spans="1:89" s="329" customFormat="1" ht="36" customHeight="1" x14ac:dyDescent="0.25">
      <c r="A27" s="329">
        <v>1</v>
      </c>
      <c r="B27" s="39">
        <f>SUBTOTAL(103,$A$16:A27)</f>
        <v>12</v>
      </c>
      <c r="C27" s="33" t="s">
        <v>918</v>
      </c>
      <c r="D27" s="330">
        <v>1994</v>
      </c>
      <c r="E27" s="330"/>
      <c r="F27" s="331" t="s">
        <v>48</v>
      </c>
      <c r="G27" s="330">
        <v>6</v>
      </c>
      <c r="H27" s="330" t="s">
        <v>59</v>
      </c>
      <c r="I27" s="38">
        <v>3988.5</v>
      </c>
      <c r="J27" s="38">
        <v>2905.1</v>
      </c>
      <c r="K27" s="38">
        <v>2905.1</v>
      </c>
      <c r="L27" s="332">
        <v>142</v>
      </c>
      <c r="M27" s="330" t="s">
        <v>46</v>
      </c>
      <c r="N27" s="330" t="s">
        <v>50</v>
      </c>
      <c r="O27" s="333" t="s">
        <v>1958</v>
      </c>
      <c r="P27" s="38">
        <v>2353912.86</v>
      </c>
      <c r="Q27" s="38">
        <v>0</v>
      </c>
      <c r="R27" s="38">
        <v>0</v>
      </c>
      <c r="S27" s="38">
        <f t="shared" si="1"/>
        <v>2353912.86</v>
      </c>
      <c r="T27" s="38">
        <f t="shared" si="0"/>
        <v>590.17496803309507</v>
      </c>
      <c r="U27" s="38">
        <v>1162.2120820609252</v>
      </c>
      <c r="V27" s="458">
        <f t="shared" si="2"/>
        <v>572.03711402783017</v>
      </c>
      <c r="W27" s="458">
        <f t="shared" si="3"/>
        <v>1191.1570678199823</v>
      </c>
      <c r="X27" s="458">
        <v>0</v>
      </c>
      <c r="Y27" s="459">
        <v>0</v>
      </c>
      <c r="Z27" s="459">
        <v>0</v>
      </c>
      <c r="AA27" s="459">
        <v>0</v>
      </c>
      <c r="AB27" s="459">
        <v>0</v>
      </c>
      <c r="AC27" s="459">
        <v>0</v>
      </c>
      <c r="AD27" s="459">
        <v>0</v>
      </c>
      <c r="AE27" s="459">
        <v>761.5</v>
      </c>
      <c r="AF27" s="458">
        <f t="shared" si="4"/>
        <v>1191.1570678199823</v>
      </c>
      <c r="AG27" s="459">
        <v>0</v>
      </c>
      <c r="AH27" s="458">
        <v>0</v>
      </c>
      <c r="AI27" s="459">
        <v>0</v>
      </c>
      <c r="AJ27" s="458">
        <v>0</v>
      </c>
      <c r="AK27" s="459">
        <v>0</v>
      </c>
      <c r="AL27" s="459">
        <v>0</v>
      </c>
      <c r="AM27" s="459">
        <v>0</v>
      </c>
      <c r="AN27" s="459"/>
      <c r="AO27" s="459">
        <v>0</v>
      </c>
      <c r="AP27" s="460"/>
      <c r="AQ27" s="460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  <c r="BK27" s="460"/>
      <c r="BL27" s="460"/>
      <c r="BM27" s="460"/>
      <c r="BN27" s="460"/>
      <c r="BO27" s="460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</row>
    <row r="28" spans="1:89" s="329" customFormat="1" ht="36" customHeight="1" x14ac:dyDescent="0.25">
      <c r="A28" s="329">
        <v>1</v>
      </c>
      <c r="B28" s="39">
        <f>SUBTOTAL(103,$A$16:A28)</f>
        <v>13</v>
      </c>
      <c r="C28" s="33" t="s">
        <v>947</v>
      </c>
      <c r="D28" s="330">
        <v>1993</v>
      </c>
      <c r="E28" s="330"/>
      <c r="F28" s="331" t="s">
        <v>48</v>
      </c>
      <c r="G28" s="330">
        <v>9</v>
      </c>
      <c r="H28" s="330" t="s">
        <v>61</v>
      </c>
      <c r="I28" s="38">
        <v>6478</v>
      </c>
      <c r="J28" s="38">
        <v>6478</v>
      </c>
      <c r="K28" s="38">
        <v>6359.4</v>
      </c>
      <c r="L28" s="332">
        <v>358</v>
      </c>
      <c r="M28" s="330" t="s">
        <v>46</v>
      </c>
      <c r="N28" s="330" t="s">
        <v>50</v>
      </c>
      <c r="O28" s="333" t="s">
        <v>72</v>
      </c>
      <c r="P28" s="38">
        <v>2593330.65</v>
      </c>
      <c r="Q28" s="38">
        <v>0</v>
      </c>
      <c r="R28" s="38">
        <v>0</v>
      </c>
      <c r="S28" s="38">
        <f t="shared" si="1"/>
        <v>2593330.65</v>
      </c>
      <c r="T28" s="38">
        <f t="shared" si="0"/>
        <v>400.32890552639702</v>
      </c>
      <c r="U28" s="38">
        <v>908.39435010805801</v>
      </c>
      <c r="V28" s="458">
        <f t="shared" si="2"/>
        <v>508.06544458166098</v>
      </c>
      <c r="W28" s="458">
        <f t="shared" si="3"/>
        <v>905.30648348255625</v>
      </c>
      <c r="X28" s="458">
        <v>0</v>
      </c>
      <c r="Y28" s="459">
        <v>0</v>
      </c>
      <c r="Z28" s="459">
        <v>0</v>
      </c>
      <c r="AA28" s="459">
        <v>0</v>
      </c>
      <c r="AB28" s="459">
        <v>0</v>
      </c>
      <c r="AC28" s="459">
        <v>0</v>
      </c>
      <c r="AD28" s="459">
        <v>0</v>
      </c>
      <c r="AE28" s="459">
        <v>940</v>
      </c>
      <c r="AF28" s="458">
        <f t="shared" si="4"/>
        <v>905.30648348255625</v>
      </c>
      <c r="AG28" s="459">
        <v>0</v>
      </c>
      <c r="AH28" s="458">
        <v>0</v>
      </c>
      <c r="AI28" s="459">
        <v>0</v>
      </c>
      <c r="AJ28" s="458">
        <v>0</v>
      </c>
      <c r="AK28" s="459">
        <v>0</v>
      </c>
      <c r="AL28" s="459">
        <v>0</v>
      </c>
      <c r="AM28" s="459">
        <v>0</v>
      </c>
      <c r="AN28" s="459"/>
      <c r="AO28" s="459">
        <v>0</v>
      </c>
      <c r="AP28" s="460"/>
      <c r="AQ28" s="460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  <c r="BK28" s="460"/>
      <c r="BL28" s="460"/>
      <c r="BM28" s="460"/>
      <c r="BN28" s="460"/>
      <c r="BO28" s="460"/>
      <c r="BP28" s="460"/>
      <c r="BQ28" s="460"/>
      <c r="BR28" s="460"/>
      <c r="BS28" s="460"/>
      <c r="BT28" s="460"/>
      <c r="BU28" s="460"/>
      <c r="BV28" s="460"/>
      <c r="BW28" s="460"/>
      <c r="BX28" s="460"/>
      <c r="BY28" s="460"/>
      <c r="BZ28" s="460"/>
      <c r="CA28" s="460"/>
      <c r="CB28" s="460"/>
      <c r="CC28" s="460"/>
      <c r="CD28" s="460"/>
      <c r="CE28" s="460"/>
      <c r="CF28" s="460"/>
      <c r="CG28" s="460"/>
      <c r="CH28" s="460"/>
      <c r="CI28" s="460"/>
      <c r="CJ28" s="460"/>
      <c r="CK28" s="460"/>
    </row>
    <row r="29" spans="1:89" s="329" customFormat="1" ht="36" customHeight="1" x14ac:dyDescent="0.25">
      <c r="A29" s="329">
        <v>1</v>
      </c>
      <c r="B29" s="39">
        <f>SUBTOTAL(103,$A$16:A29)</f>
        <v>14</v>
      </c>
      <c r="C29" s="33" t="s">
        <v>914</v>
      </c>
      <c r="D29" s="330">
        <v>1992</v>
      </c>
      <c r="E29" s="330"/>
      <c r="F29" s="331" t="s">
        <v>60</v>
      </c>
      <c r="G29" s="330">
        <v>9</v>
      </c>
      <c r="H29" s="330" t="s">
        <v>1961</v>
      </c>
      <c r="I29" s="38">
        <v>14455.8</v>
      </c>
      <c r="J29" s="38">
        <v>14455.7</v>
      </c>
      <c r="K29" s="38">
        <v>14455.7</v>
      </c>
      <c r="L29" s="332">
        <v>689</v>
      </c>
      <c r="M29" s="330" t="s">
        <v>46</v>
      </c>
      <c r="N29" s="330" t="s">
        <v>50</v>
      </c>
      <c r="O29" s="333" t="s">
        <v>72</v>
      </c>
      <c r="P29" s="38">
        <v>14343008.560000001</v>
      </c>
      <c r="Q29" s="38">
        <v>0</v>
      </c>
      <c r="R29" s="38">
        <v>0</v>
      </c>
      <c r="S29" s="38">
        <f t="shared" si="1"/>
        <v>14343008.560000001</v>
      </c>
      <c r="T29" s="38">
        <f t="shared" si="0"/>
        <v>992.1974958148287</v>
      </c>
      <c r="U29" s="38">
        <v>1360.1737710815037</v>
      </c>
      <c r="V29" s="458">
        <f t="shared" si="2"/>
        <v>367.97627526667497</v>
      </c>
      <c r="W29" s="458">
        <f t="shared" si="3"/>
        <v>1360.1737710815037</v>
      </c>
      <c r="X29" s="458">
        <v>0</v>
      </c>
      <c r="Y29" s="459">
        <v>0</v>
      </c>
      <c r="Z29" s="459">
        <v>0</v>
      </c>
      <c r="AA29" s="459">
        <v>0</v>
      </c>
      <c r="AB29" s="459">
        <v>0</v>
      </c>
      <c r="AC29" s="459">
        <v>8</v>
      </c>
      <c r="AD29" s="458">
        <f>2457800*AC29/I29</f>
        <v>1360.1737710815037</v>
      </c>
      <c r="AE29" s="459">
        <v>0</v>
      </c>
      <c r="AF29" s="458">
        <v>0</v>
      </c>
      <c r="AG29" s="459">
        <v>0</v>
      </c>
      <c r="AH29" s="458">
        <v>0</v>
      </c>
      <c r="AI29" s="459">
        <v>0</v>
      </c>
      <c r="AJ29" s="458">
        <v>0</v>
      </c>
      <c r="AK29" s="459">
        <v>0</v>
      </c>
      <c r="AL29" s="459">
        <v>0</v>
      </c>
      <c r="AM29" s="459">
        <v>0</v>
      </c>
      <c r="AN29" s="459"/>
      <c r="AO29" s="459">
        <v>0</v>
      </c>
      <c r="AP29" s="460"/>
      <c r="AQ29" s="460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  <c r="BK29" s="460"/>
      <c r="BL29" s="460"/>
      <c r="BM29" s="460"/>
      <c r="BN29" s="460"/>
      <c r="BO29" s="460"/>
      <c r="BP29" s="460"/>
      <c r="BQ29" s="460"/>
      <c r="BR29" s="460"/>
      <c r="BS29" s="460"/>
      <c r="BT29" s="460"/>
      <c r="BU29" s="460"/>
      <c r="BV29" s="460"/>
      <c r="BW29" s="460"/>
      <c r="BX29" s="460"/>
      <c r="BY29" s="460"/>
      <c r="BZ29" s="460"/>
      <c r="CA29" s="460"/>
      <c r="CB29" s="460"/>
      <c r="CC29" s="460"/>
      <c r="CD29" s="460"/>
      <c r="CE29" s="460"/>
      <c r="CF29" s="460"/>
      <c r="CG29" s="460"/>
      <c r="CH29" s="460"/>
      <c r="CI29" s="460"/>
      <c r="CJ29" s="460"/>
      <c r="CK29" s="460"/>
    </row>
    <row r="30" spans="1:89" s="329" customFormat="1" ht="36" customHeight="1" x14ac:dyDescent="0.25">
      <c r="A30" s="329">
        <v>1</v>
      </c>
      <c r="B30" s="39">
        <f>SUBTOTAL(103,$A$16:A30)</f>
        <v>15</v>
      </c>
      <c r="C30" s="33" t="s">
        <v>951</v>
      </c>
      <c r="D30" s="330">
        <v>1978</v>
      </c>
      <c r="E30" s="330"/>
      <c r="F30" s="331" t="s">
        <v>48</v>
      </c>
      <c r="G30" s="330">
        <v>5</v>
      </c>
      <c r="H30" s="330" t="s">
        <v>57</v>
      </c>
      <c r="I30" s="38">
        <v>1058.5</v>
      </c>
      <c r="J30" s="38">
        <v>777.2</v>
      </c>
      <c r="K30" s="38">
        <v>583.20000000000005</v>
      </c>
      <c r="L30" s="332">
        <v>37</v>
      </c>
      <c r="M30" s="330" t="s">
        <v>46</v>
      </c>
      <c r="N30" s="330" t="s">
        <v>50</v>
      </c>
      <c r="O30" s="333" t="s">
        <v>72</v>
      </c>
      <c r="P30" s="38">
        <v>721831.31</v>
      </c>
      <c r="Q30" s="38">
        <v>0</v>
      </c>
      <c r="R30" s="38">
        <v>0</v>
      </c>
      <c r="S30" s="38">
        <f t="shared" si="1"/>
        <v>721831.31</v>
      </c>
      <c r="T30" s="38">
        <f t="shared" si="0"/>
        <v>681.93794048181394</v>
      </c>
      <c r="U30" s="38">
        <v>1478.5521965044875</v>
      </c>
      <c r="V30" s="458">
        <f t="shared" si="2"/>
        <v>796.61425602267354</v>
      </c>
      <c r="W30" s="458">
        <f t="shared" si="3"/>
        <v>1856.996678885215</v>
      </c>
      <c r="X30" s="458">
        <v>0</v>
      </c>
      <c r="Y30" s="459">
        <v>0</v>
      </c>
      <c r="Z30" s="459">
        <v>0</v>
      </c>
      <c r="AA30" s="459">
        <v>0</v>
      </c>
      <c r="AB30" s="459">
        <v>0</v>
      </c>
      <c r="AC30" s="459">
        <v>0</v>
      </c>
      <c r="AD30" s="459">
        <v>0</v>
      </c>
      <c r="AE30" s="459">
        <v>315.06</v>
      </c>
      <c r="AF30" s="458">
        <f>6238.91*AE30/I30</f>
        <v>1856.996678885215</v>
      </c>
      <c r="AG30" s="459">
        <v>0</v>
      </c>
      <c r="AH30" s="458">
        <v>0</v>
      </c>
      <c r="AI30" s="459">
        <v>0</v>
      </c>
      <c r="AJ30" s="458">
        <v>0</v>
      </c>
      <c r="AK30" s="459">
        <v>0</v>
      </c>
      <c r="AL30" s="459">
        <v>0</v>
      </c>
      <c r="AM30" s="459">
        <v>0</v>
      </c>
      <c r="AN30" s="459"/>
      <c r="AO30" s="459">
        <v>0</v>
      </c>
      <c r="AP30" s="460"/>
      <c r="AQ30" s="460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  <c r="BK30" s="460"/>
      <c r="BL30" s="460"/>
      <c r="BM30" s="460"/>
      <c r="BN30" s="460"/>
      <c r="BO30" s="460"/>
      <c r="BP30" s="460"/>
      <c r="BQ30" s="460"/>
      <c r="BR30" s="460"/>
      <c r="BS30" s="460"/>
      <c r="BT30" s="460"/>
      <c r="BU30" s="460"/>
      <c r="BV30" s="460"/>
      <c r="BW30" s="460"/>
      <c r="BX30" s="460"/>
      <c r="BY30" s="460"/>
      <c r="BZ30" s="460"/>
      <c r="CA30" s="460"/>
      <c r="CB30" s="460"/>
      <c r="CC30" s="460"/>
      <c r="CD30" s="460"/>
      <c r="CE30" s="460"/>
      <c r="CF30" s="460"/>
      <c r="CG30" s="460"/>
      <c r="CH30" s="460"/>
      <c r="CI30" s="460"/>
      <c r="CJ30" s="460"/>
      <c r="CK30" s="460"/>
    </row>
    <row r="31" spans="1:89" s="329" customFormat="1" ht="36" customHeight="1" x14ac:dyDescent="0.25">
      <c r="A31" s="329">
        <v>1</v>
      </c>
      <c r="B31" s="39">
        <f>SUBTOTAL(103,$A$16:A31)</f>
        <v>16</v>
      </c>
      <c r="C31" s="33" t="s">
        <v>953</v>
      </c>
      <c r="D31" s="330">
        <v>1968</v>
      </c>
      <c r="E31" s="330"/>
      <c r="F31" s="331" t="s">
        <v>48</v>
      </c>
      <c r="G31" s="330">
        <v>5</v>
      </c>
      <c r="H31" s="330" t="s">
        <v>75</v>
      </c>
      <c r="I31" s="38">
        <v>6224.9</v>
      </c>
      <c r="J31" s="38">
        <v>4706.8</v>
      </c>
      <c r="K31" s="38">
        <v>3495.5</v>
      </c>
      <c r="L31" s="332">
        <v>225</v>
      </c>
      <c r="M31" s="330" t="s">
        <v>46</v>
      </c>
      <c r="N31" s="330" t="s">
        <v>50</v>
      </c>
      <c r="O31" s="333" t="s">
        <v>1962</v>
      </c>
      <c r="P31" s="38">
        <v>4205685.74</v>
      </c>
      <c r="Q31" s="38">
        <v>0</v>
      </c>
      <c r="R31" s="38">
        <v>0</v>
      </c>
      <c r="S31" s="38">
        <f t="shared" si="1"/>
        <v>4205685.74</v>
      </c>
      <c r="T31" s="38">
        <f t="shared" si="0"/>
        <v>675.6230204501278</v>
      </c>
      <c r="U31" s="38">
        <v>1106.2360841138011</v>
      </c>
      <c r="V31" s="458">
        <f t="shared" si="2"/>
        <v>430.6130636636733</v>
      </c>
      <c r="W31" s="458">
        <f t="shared" si="3"/>
        <v>801.80051085158004</v>
      </c>
      <c r="X31" s="458">
        <v>0</v>
      </c>
      <c r="Y31" s="459">
        <v>0</v>
      </c>
      <c r="Z31" s="459">
        <v>0</v>
      </c>
      <c r="AA31" s="459">
        <v>0</v>
      </c>
      <c r="AB31" s="459">
        <v>0</v>
      </c>
      <c r="AC31" s="459">
        <v>0</v>
      </c>
      <c r="AD31" s="459">
        <v>0</v>
      </c>
      <c r="AE31" s="459">
        <v>800</v>
      </c>
      <c r="AF31" s="458">
        <f>6238.91*AE31/I31</f>
        <v>801.80051085158004</v>
      </c>
      <c r="AG31" s="459">
        <v>0</v>
      </c>
      <c r="AH31" s="458">
        <v>0</v>
      </c>
      <c r="AI31" s="459">
        <v>0</v>
      </c>
      <c r="AJ31" s="458">
        <v>0</v>
      </c>
      <c r="AK31" s="459">
        <v>0</v>
      </c>
      <c r="AL31" s="459">
        <v>0</v>
      </c>
      <c r="AM31" s="459">
        <v>0</v>
      </c>
      <c r="AN31" s="459"/>
      <c r="AO31" s="459">
        <v>0</v>
      </c>
      <c r="AP31" s="460"/>
      <c r="AQ31" s="460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0"/>
      <c r="BN31" s="460"/>
      <c r="BO31" s="460"/>
      <c r="BP31" s="460"/>
      <c r="BQ31" s="460"/>
      <c r="BR31" s="460"/>
      <c r="BS31" s="460"/>
      <c r="BT31" s="460"/>
      <c r="BU31" s="460"/>
      <c r="BV31" s="460"/>
      <c r="BW31" s="460"/>
      <c r="BX31" s="460"/>
      <c r="BY31" s="460"/>
      <c r="BZ31" s="460"/>
      <c r="CA31" s="460"/>
      <c r="CB31" s="460"/>
      <c r="CC31" s="460"/>
      <c r="CD31" s="460"/>
      <c r="CE31" s="460"/>
      <c r="CF31" s="460"/>
      <c r="CG31" s="460"/>
      <c r="CH31" s="460"/>
      <c r="CI31" s="460"/>
      <c r="CJ31" s="460"/>
      <c r="CK31" s="460"/>
    </row>
    <row r="32" spans="1:89" s="329" customFormat="1" ht="36" customHeight="1" x14ac:dyDescent="0.25">
      <c r="A32" s="329">
        <v>1</v>
      </c>
      <c r="B32" s="39">
        <f>SUBTOTAL(103,$A$16:A32)</f>
        <v>17</v>
      </c>
      <c r="C32" s="33" t="s">
        <v>955</v>
      </c>
      <c r="D32" s="330">
        <v>1988</v>
      </c>
      <c r="E32" s="330"/>
      <c r="F32" s="331" t="s">
        <v>60</v>
      </c>
      <c r="G32" s="330">
        <v>5</v>
      </c>
      <c r="H32" s="330" t="s">
        <v>61</v>
      </c>
      <c r="I32" s="38">
        <v>2989.1</v>
      </c>
      <c r="J32" s="38">
        <v>2076.5</v>
      </c>
      <c r="K32" s="38">
        <v>2076.5</v>
      </c>
      <c r="L32" s="332">
        <v>97</v>
      </c>
      <c r="M32" s="330" t="s">
        <v>46</v>
      </c>
      <c r="N32" s="330" t="s">
        <v>50</v>
      </c>
      <c r="O32" s="333" t="s">
        <v>1962</v>
      </c>
      <c r="P32" s="38">
        <v>2349201.9300000002</v>
      </c>
      <c r="Q32" s="38">
        <v>0</v>
      </c>
      <c r="R32" s="38">
        <v>0</v>
      </c>
      <c r="S32" s="38">
        <f t="shared" si="1"/>
        <v>2349201.9300000002</v>
      </c>
      <c r="T32" s="38">
        <f t="shared" si="0"/>
        <v>785.9228296142652</v>
      </c>
      <c r="U32" s="38">
        <v>1312.3968624669633</v>
      </c>
      <c r="V32" s="458">
        <f t="shared" si="2"/>
        <v>526.47403285269809</v>
      </c>
      <c r="W32" s="458">
        <f t="shared" si="3"/>
        <v>2295.9422568666155</v>
      </c>
      <c r="X32" s="458">
        <v>0</v>
      </c>
      <c r="Y32" s="459">
        <v>0</v>
      </c>
      <c r="Z32" s="459">
        <v>0</v>
      </c>
      <c r="AA32" s="459">
        <v>0</v>
      </c>
      <c r="AB32" s="459">
        <v>0</v>
      </c>
      <c r="AC32" s="459">
        <v>0</v>
      </c>
      <c r="AD32" s="459">
        <v>0</v>
      </c>
      <c r="AE32" s="459">
        <v>1100</v>
      </c>
      <c r="AF32" s="458">
        <f>6238.91*AE32/I32</f>
        <v>2295.9422568666155</v>
      </c>
      <c r="AG32" s="459">
        <v>0</v>
      </c>
      <c r="AH32" s="458">
        <v>0</v>
      </c>
      <c r="AI32" s="459">
        <v>0</v>
      </c>
      <c r="AJ32" s="458">
        <v>0</v>
      </c>
      <c r="AK32" s="459">
        <v>0</v>
      </c>
      <c r="AL32" s="459">
        <v>0</v>
      </c>
      <c r="AM32" s="459">
        <v>0</v>
      </c>
      <c r="AN32" s="459"/>
      <c r="AO32" s="459">
        <v>0</v>
      </c>
      <c r="AP32" s="460"/>
      <c r="AQ32" s="460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  <c r="BK32" s="460"/>
      <c r="BL32" s="460"/>
      <c r="BM32" s="460"/>
      <c r="BN32" s="460"/>
      <c r="BO32" s="460"/>
      <c r="BP32" s="460"/>
      <c r="BQ32" s="460"/>
      <c r="BR32" s="460"/>
      <c r="BS32" s="460"/>
      <c r="BT32" s="460"/>
      <c r="BU32" s="460"/>
      <c r="BV32" s="460"/>
      <c r="BW32" s="460"/>
      <c r="BX32" s="460"/>
      <c r="BY32" s="460"/>
      <c r="BZ32" s="460"/>
      <c r="CA32" s="460"/>
      <c r="CB32" s="460"/>
      <c r="CC32" s="460"/>
      <c r="CD32" s="460"/>
      <c r="CE32" s="460"/>
      <c r="CF32" s="460"/>
      <c r="CG32" s="460"/>
      <c r="CH32" s="460"/>
      <c r="CI32" s="460"/>
      <c r="CJ32" s="460"/>
      <c r="CK32" s="460"/>
    </row>
    <row r="33" spans="1:89" s="329" customFormat="1" ht="36" customHeight="1" x14ac:dyDescent="0.25">
      <c r="A33" s="329">
        <v>1</v>
      </c>
      <c r="B33" s="39">
        <f>SUBTOTAL(103,$A$16:A33)</f>
        <v>18</v>
      </c>
      <c r="C33" s="33" t="s">
        <v>956</v>
      </c>
      <c r="D33" s="330">
        <v>1988</v>
      </c>
      <c r="E33" s="330"/>
      <c r="F33" s="331" t="s">
        <v>48</v>
      </c>
      <c r="G33" s="330">
        <v>5</v>
      </c>
      <c r="H33" s="330" t="s">
        <v>61</v>
      </c>
      <c r="I33" s="38">
        <v>4166.5</v>
      </c>
      <c r="J33" s="38">
        <v>3487.5</v>
      </c>
      <c r="K33" s="38">
        <v>3487.5</v>
      </c>
      <c r="L33" s="332">
        <v>156</v>
      </c>
      <c r="M33" s="330" t="s">
        <v>46</v>
      </c>
      <c r="N33" s="330" t="s">
        <v>50</v>
      </c>
      <c r="O33" s="333" t="s">
        <v>1963</v>
      </c>
      <c r="P33" s="38">
        <v>2988276</v>
      </c>
      <c r="Q33" s="38">
        <v>0</v>
      </c>
      <c r="R33" s="38">
        <v>0</v>
      </c>
      <c r="S33" s="38">
        <f t="shared" si="1"/>
        <v>2988276</v>
      </c>
      <c r="T33" s="38">
        <f t="shared" si="0"/>
        <v>717.21492859714385</v>
      </c>
      <c r="U33" s="38">
        <v>1472.4555862234488</v>
      </c>
      <c r="V33" s="458">
        <f t="shared" si="2"/>
        <v>755.24065762630494</v>
      </c>
      <c r="W33" s="458">
        <f t="shared" si="3"/>
        <v>938.32966816272642</v>
      </c>
      <c r="X33" s="458">
        <v>0</v>
      </c>
      <c r="Y33" s="459">
        <v>0</v>
      </c>
      <c r="Z33" s="459">
        <v>0</v>
      </c>
      <c r="AA33" s="459">
        <v>0</v>
      </c>
      <c r="AB33" s="459">
        <v>0</v>
      </c>
      <c r="AC33" s="459">
        <v>0</v>
      </c>
      <c r="AD33" s="459">
        <v>0</v>
      </c>
      <c r="AE33" s="459">
        <v>626.64</v>
      </c>
      <c r="AF33" s="458">
        <f>6238.91*AE33/I33</f>
        <v>938.32966816272642</v>
      </c>
      <c r="AG33" s="459">
        <v>0</v>
      </c>
      <c r="AH33" s="458">
        <v>0</v>
      </c>
      <c r="AI33" s="459">
        <v>0</v>
      </c>
      <c r="AJ33" s="458">
        <v>0</v>
      </c>
      <c r="AK33" s="459">
        <v>0</v>
      </c>
      <c r="AL33" s="459">
        <v>0</v>
      </c>
      <c r="AM33" s="459">
        <v>0</v>
      </c>
      <c r="AN33" s="459"/>
      <c r="AO33" s="459">
        <v>0</v>
      </c>
      <c r="AP33" s="460"/>
      <c r="AQ33" s="460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  <c r="BK33" s="460"/>
      <c r="BL33" s="460"/>
      <c r="BM33" s="460"/>
      <c r="BN33" s="460"/>
      <c r="BO33" s="460"/>
      <c r="BP33" s="460"/>
      <c r="BQ33" s="460"/>
      <c r="BR33" s="460"/>
      <c r="BS33" s="460"/>
      <c r="BT33" s="460"/>
      <c r="BU33" s="460"/>
      <c r="BV33" s="460"/>
      <c r="BW33" s="460"/>
      <c r="BX33" s="460"/>
      <c r="BY33" s="460"/>
      <c r="BZ33" s="460"/>
      <c r="CA33" s="460"/>
      <c r="CB33" s="460"/>
      <c r="CC33" s="460"/>
      <c r="CD33" s="460"/>
      <c r="CE33" s="460"/>
      <c r="CF33" s="460"/>
      <c r="CG33" s="460"/>
      <c r="CH33" s="460"/>
      <c r="CI33" s="460"/>
      <c r="CJ33" s="460"/>
      <c r="CK33" s="460"/>
    </row>
    <row r="34" spans="1:89" s="329" customFormat="1" ht="36" customHeight="1" x14ac:dyDescent="0.25">
      <c r="A34" s="329">
        <v>1</v>
      </c>
      <c r="B34" s="39">
        <f>SUBTOTAL(103,$A$16:A34)</f>
        <v>19</v>
      </c>
      <c r="C34" s="33" t="s">
        <v>957</v>
      </c>
      <c r="D34" s="330">
        <v>1985</v>
      </c>
      <c r="E34" s="330"/>
      <c r="F34" s="331" t="s">
        <v>60</v>
      </c>
      <c r="G34" s="330">
        <v>2</v>
      </c>
      <c r="H34" s="330" t="s">
        <v>56</v>
      </c>
      <c r="I34" s="38">
        <v>617.79999999999995</v>
      </c>
      <c r="J34" s="38">
        <v>560.5</v>
      </c>
      <c r="K34" s="38">
        <v>560.5</v>
      </c>
      <c r="L34" s="332">
        <v>38</v>
      </c>
      <c r="M34" s="330" t="s">
        <v>46</v>
      </c>
      <c r="N34" s="330" t="s">
        <v>50</v>
      </c>
      <c r="O34" s="333" t="s">
        <v>251</v>
      </c>
      <c r="P34" s="38">
        <v>56688.3</v>
      </c>
      <c r="Q34" s="38">
        <v>0</v>
      </c>
      <c r="R34" s="38">
        <v>0</v>
      </c>
      <c r="S34" s="38">
        <f t="shared" si="1"/>
        <v>56688.3</v>
      </c>
      <c r="T34" s="38">
        <f t="shared" si="0"/>
        <v>91.758336031078031</v>
      </c>
      <c r="U34" s="38">
        <v>91.758336031078031</v>
      </c>
      <c r="V34" s="458">
        <f t="shared" si="2"/>
        <v>0</v>
      </c>
      <c r="W34" s="458">
        <f t="shared" si="3"/>
        <v>9219.0044334736158</v>
      </c>
      <c r="X34" s="458">
        <v>0</v>
      </c>
      <c r="Y34" s="459">
        <v>0</v>
      </c>
      <c r="Z34" s="459">
        <v>0</v>
      </c>
      <c r="AA34" s="459">
        <v>0</v>
      </c>
      <c r="AB34" s="459">
        <v>0</v>
      </c>
      <c r="AC34" s="459">
        <v>0</v>
      </c>
      <c r="AD34" s="459">
        <v>0</v>
      </c>
      <c r="AE34" s="459">
        <v>912.9</v>
      </c>
      <c r="AF34" s="458">
        <f>6238.91*AE34/I34</f>
        <v>9219.0044334736158</v>
      </c>
      <c r="AG34" s="459">
        <v>0</v>
      </c>
      <c r="AH34" s="458">
        <v>0</v>
      </c>
      <c r="AI34" s="459">
        <v>0</v>
      </c>
      <c r="AJ34" s="458">
        <v>0</v>
      </c>
      <c r="AK34" s="459">
        <v>0</v>
      </c>
      <c r="AL34" s="459">
        <v>0</v>
      </c>
      <c r="AM34" s="459">
        <v>0</v>
      </c>
      <c r="AN34" s="459"/>
      <c r="AO34" s="459">
        <v>0</v>
      </c>
      <c r="AP34" s="460"/>
      <c r="AQ34" s="460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  <c r="BK34" s="460"/>
      <c r="BL34" s="460"/>
      <c r="BM34" s="460"/>
      <c r="BN34" s="460"/>
      <c r="BO34" s="460"/>
      <c r="BP34" s="460"/>
      <c r="BQ34" s="460"/>
      <c r="BR34" s="460"/>
      <c r="BS34" s="460"/>
      <c r="BT34" s="460"/>
      <c r="BU34" s="460"/>
      <c r="BV34" s="460"/>
      <c r="BW34" s="460"/>
      <c r="BX34" s="460"/>
      <c r="BY34" s="460"/>
      <c r="BZ34" s="460"/>
      <c r="CA34" s="460"/>
      <c r="CB34" s="460"/>
      <c r="CC34" s="460"/>
      <c r="CD34" s="460"/>
      <c r="CE34" s="460"/>
      <c r="CF34" s="460"/>
      <c r="CG34" s="460"/>
      <c r="CH34" s="460"/>
      <c r="CI34" s="460"/>
      <c r="CJ34" s="460"/>
      <c r="CK34" s="460"/>
    </row>
    <row r="35" spans="1:89" s="329" customFormat="1" ht="36" customHeight="1" x14ac:dyDescent="0.25">
      <c r="A35" s="329">
        <v>1</v>
      </c>
      <c r="B35" s="39">
        <f>SUBTOTAL(103,$A$16:A35)</f>
        <v>20</v>
      </c>
      <c r="C35" s="33" t="s">
        <v>959</v>
      </c>
      <c r="D35" s="330">
        <v>1967</v>
      </c>
      <c r="E35" s="330"/>
      <c r="F35" s="331" t="s">
        <v>48</v>
      </c>
      <c r="G35" s="330">
        <v>2</v>
      </c>
      <c r="H35" s="330" t="s">
        <v>56</v>
      </c>
      <c r="I35" s="38">
        <v>709.3</v>
      </c>
      <c r="J35" s="38">
        <v>653.29999999999995</v>
      </c>
      <c r="K35" s="38">
        <v>653.29999999999995</v>
      </c>
      <c r="L35" s="332">
        <v>36</v>
      </c>
      <c r="M35" s="330" t="s">
        <v>46</v>
      </c>
      <c r="N35" s="330" t="s">
        <v>50</v>
      </c>
      <c r="O35" s="333" t="s">
        <v>251</v>
      </c>
      <c r="P35" s="38">
        <v>89064.28</v>
      </c>
      <c r="Q35" s="38">
        <v>0</v>
      </c>
      <c r="R35" s="38">
        <v>0</v>
      </c>
      <c r="S35" s="38">
        <f t="shared" si="1"/>
        <v>89064.28</v>
      </c>
      <c r="T35" s="38">
        <f t="shared" si="0"/>
        <v>125.56644579162555</v>
      </c>
      <c r="U35" s="38">
        <v>125.56644579162555</v>
      </c>
      <c r="V35" s="458">
        <f t="shared" si="2"/>
        <v>0</v>
      </c>
      <c r="W35" s="458">
        <f t="shared" si="3"/>
        <v>3259.66</v>
      </c>
      <c r="X35" s="458">
        <v>0</v>
      </c>
      <c r="Y35" s="459">
        <v>0</v>
      </c>
      <c r="Z35" s="459">
        <v>3259.66</v>
      </c>
      <c r="AA35" s="459">
        <v>0</v>
      </c>
      <c r="AB35" s="459">
        <v>0</v>
      </c>
      <c r="AC35" s="459">
        <v>0</v>
      </c>
      <c r="AD35" s="459">
        <v>0</v>
      </c>
      <c r="AE35" s="459">
        <v>0</v>
      </c>
      <c r="AF35" s="458">
        <v>0</v>
      </c>
      <c r="AG35" s="459">
        <v>0</v>
      </c>
      <c r="AH35" s="458">
        <v>0</v>
      </c>
      <c r="AI35" s="459">
        <v>0</v>
      </c>
      <c r="AJ35" s="458">
        <v>0</v>
      </c>
      <c r="AK35" s="459">
        <v>0</v>
      </c>
      <c r="AL35" s="459">
        <v>0</v>
      </c>
      <c r="AM35" s="459">
        <v>0</v>
      </c>
      <c r="AN35" s="459"/>
      <c r="AO35" s="459">
        <v>0</v>
      </c>
      <c r="AP35" s="460"/>
      <c r="AQ35" s="460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  <c r="BK35" s="460"/>
      <c r="BL35" s="460"/>
      <c r="BM35" s="460"/>
      <c r="BN35" s="460"/>
      <c r="BO35" s="460"/>
      <c r="BP35" s="460"/>
      <c r="BQ35" s="460"/>
      <c r="BR35" s="460"/>
      <c r="BS35" s="460"/>
      <c r="BT35" s="460"/>
      <c r="BU35" s="460"/>
      <c r="BV35" s="460"/>
      <c r="BW35" s="460"/>
      <c r="BX35" s="460"/>
      <c r="BY35" s="460"/>
      <c r="BZ35" s="460"/>
      <c r="CA35" s="460"/>
      <c r="CB35" s="460"/>
      <c r="CC35" s="460"/>
      <c r="CD35" s="460"/>
      <c r="CE35" s="460"/>
      <c r="CF35" s="460"/>
      <c r="CG35" s="460"/>
      <c r="CH35" s="460"/>
      <c r="CI35" s="460"/>
      <c r="CJ35" s="460"/>
      <c r="CK35" s="460"/>
    </row>
    <row r="36" spans="1:89" s="329" customFormat="1" ht="36" customHeight="1" x14ac:dyDescent="0.25">
      <c r="A36" s="329">
        <v>1</v>
      </c>
      <c r="B36" s="39">
        <f>SUBTOTAL(103,$A$16:A36)</f>
        <v>21</v>
      </c>
      <c r="C36" s="33" t="s">
        <v>961</v>
      </c>
      <c r="D36" s="330">
        <v>1972</v>
      </c>
      <c r="E36" s="330"/>
      <c r="F36" s="331" t="s">
        <v>48</v>
      </c>
      <c r="G36" s="330">
        <v>2</v>
      </c>
      <c r="H36" s="330" t="s">
        <v>56</v>
      </c>
      <c r="I36" s="38">
        <v>790.6</v>
      </c>
      <c r="J36" s="38">
        <v>790.6</v>
      </c>
      <c r="K36" s="38">
        <v>790.6</v>
      </c>
      <c r="L36" s="332">
        <v>48</v>
      </c>
      <c r="M36" s="330" t="s">
        <v>46</v>
      </c>
      <c r="N36" s="330" t="s">
        <v>50</v>
      </c>
      <c r="O36" s="333" t="s">
        <v>1964</v>
      </c>
      <c r="P36" s="38">
        <v>2641217.09</v>
      </c>
      <c r="Q36" s="38">
        <v>0</v>
      </c>
      <c r="R36" s="38">
        <v>0</v>
      </c>
      <c r="S36" s="38">
        <f t="shared" si="1"/>
        <v>2641217.09</v>
      </c>
      <c r="T36" s="38">
        <f t="shared" si="0"/>
        <v>3340.7754743232986</v>
      </c>
      <c r="U36" s="38">
        <v>6176.2562610675423</v>
      </c>
      <c r="V36" s="458">
        <f t="shared" si="2"/>
        <v>2835.4807867442437</v>
      </c>
      <c r="W36" s="458">
        <f>T36</f>
        <v>3340.7754743232986</v>
      </c>
      <c r="X36" s="458">
        <v>0</v>
      </c>
      <c r="Y36" s="459">
        <v>0</v>
      </c>
      <c r="Z36" s="459">
        <v>0</v>
      </c>
      <c r="AA36" s="459">
        <v>0</v>
      </c>
      <c r="AB36" s="459">
        <v>0</v>
      </c>
      <c r="AC36" s="459">
        <v>0</v>
      </c>
      <c r="AD36" s="459">
        <v>0</v>
      </c>
      <c r="AE36" s="459">
        <v>0</v>
      </c>
      <c r="AF36" s="458">
        <v>0</v>
      </c>
      <c r="AG36" s="459">
        <v>0</v>
      </c>
      <c r="AH36" s="458">
        <v>0</v>
      </c>
      <c r="AI36" s="459">
        <v>0</v>
      </c>
      <c r="AJ36" s="458">
        <v>0</v>
      </c>
      <c r="AK36" s="459">
        <v>0</v>
      </c>
      <c r="AL36" s="459">
        <v>0</v>
      </c>
      <c r="AM36" s="459">
        <v>0</v>
      </c>
      <c r="AN36" s="459"/>
      <c r="AO36" s="459">
        <v>0</v>
      </c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  <c r="BK36" s="460"/>
      <c r="BL36" s="460"/>
      <c r="BM36" s="460"/>
      <c r="BN36" s="460"/>
      <c r="BO36" s="460"/>
      <c r="BP36" s="460"/>
      <c r="BQ36" s="460"/>
      <c r="BR36" s="460"/>
      <c r="BS36" s="460"/>
      <c r="BT36" s="460"/>
      <c r="BU36" s="460"/>
      <c r="BV36" s="460"/>
      <c r="BW36" s="460"/>
      <c r="BX36" s="460"/>
      <c r="BY36" s="460"/>
      <c r="BZ36" s="460"/>
      <c r="CA36" s="460"/>
      <c r="CB36" s="460"/>
      <c r="CC36" s="460"/>
      <c r="CD36" s="460"/>
      <c r="CE36" s="460"/>
      <c r="CF36" s="460"/>
      <c r="CG36" s="460"/>
      <c r="CH36" s="460"/>
      <c r="CI36" s="460"/>
      <c r="CJ36" s="460"/>
      <c r="CK36" s="460"/>
    </row>
    <row r="37" spans="1:89" s="329" customFormat="1" ht="36" customHeight="1" x14ac:dyDescent="0.25">
      <c r="A37" s="329">
        <v>1</v>
      </c>
      <c r="B37" s="39">
        <f>SUBTOTAL(103,$A$16:A37)</f>
        <v>22</v>
      </c>
      <c r="C37" s="33" t="s">
        <v>963</v>
      </c>
      <c r="D37" s="330">
        <v>1994</v>
      </c>
      <c r="E37" s="330"/>
      <c r="F37" s="331" t="s">
        <v>60</v>
      </c>
      <c r="G37" s="330">
        <v>9</v>
      </c>
      <c r="H37" s="330" t="s">
        <v>1965</v>
      </c>
      <c r="I37" s="38">
        <v>14325</v>
      </c>
      <c r="J37" s="38">
        <v>14325</v>
      </c>
      <c r="K37" s="38">
        <v>14166</v>
      </c>
      <c r="L37" s="332">
        <v>585</v>
      </c>
      <c r="M37" s="330" t="s">
        <v>46</v>
      </c>
      <c r="N37" s="330" t="s">
        <v>50</v>
      </c>
      <c r="O37" s="333" t="s">
        <v>72</v>
      </c>
      <c r="P37" s="38">
        <v>12240735.73</v>
      </c>
      <c r="Q37" s="38">
        <v>0</v>
      </c>
      <c r="R37" s="38">
        <v>0</v>
      </c>
      <c r="S37" s="38">
        <f t="shared" si="1"/>
        <v>12240735.73</v>
      </c>
      <c r="T37" s="38">
        <f t="shared" si="0"/>
        <v>854.50162164048868</v>
      </c>
      <c r="U37" s="38">
        <v>1201.0191972076789</v>
      </c>
      <c r="V37" s="458">
        <f t="shared" si="2"/>
        <v>346.51757556719019</v>
      </c>
      <c r="W37" s="458">
        <f t="shared" si="3"/>
        <v>263.49323211169281</v>
      </c>
      <c r="X37" s="458">
        <v>0</v>
      </c>
      <c r="Y37" s="459">
        <v>0</v>
      </c>
      <c r="Z37" s="459">
        <v>0</v>
      </c>
      <c r="AA37" s="459">
        <v>0</v>
      </c>
      <c r="AB37" s="459">
        <v>0</v>
      </c>
      <c r="AC37" s="459">
        <v>0</v>
      </c>
      <c r="AD37" s="459">
        <v>0</v>
      </c>
      <c r="AE37" s="459">
        <v>605</v>
      </c>
      <c r="AF37" s="458">
        <f>6238.91*AE37/I37</f>
        <v>263.49323211169281</v>
      </c>
      <c r="AG37" s="459">
        <v>0</v>
      </c>
      <c r="AH37" s="458">
        <v>0</v>
      </c>
      <c r="AI37" s="459">
        <v>0</v>
      </c>
      <c r="AJ37" s="458">
        <v>0</v>
      </c>
      <c r="AK37" s="459">
        <v>0</v>
      </c>
      <c r="AL37" s="459">
        <v>0</v>
      </c>
      <c r="AM37" s="459">
        <v>0</v>
      </c>
      <c r="AN37" s="459"/>
      <c r="AO37" s="459">
        <v>0</v>
      </c>
      <c r="AP37" s="460"/>
      <c r="AQ37" s="460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  <c r="BK37" s="460"/>
      <c r="BL37" s="460"/>
      <c r="BM37" s="460"/>
      <c r="BN37" s="460"/>
      <c r="BO37" s="460"/>
      <c r="BP37" s="460"/>
      <c r="BQ37" s="460"/>
      <c r="BR37" s="460"/>
      <c r="BS37" s="460"/>
      <c r="BT37" s="460"/>
      <c r="BU37" s="460"/>
      <c r="BV37" s="460"/>
      <c r="BW37" s="460"/>
      <c r="BX37" s="460"/>
      <c r="BY37" s="460"/>
      <c r="BZ37" s="460"/>
      <c r="CA37" s="460"/>
      <c r="CB37" s="460"/>
      <c r="CC37" s="460"/>
      <c r="CD37" s="460"/>
      <c r="CE37" s="460"/>
      <c r="CF37" s="460"/>
      <c r="CG37" s="460"/>
      <c r="CH37" s="460"/>
      <c r="CI37" s="460"/>
      <c r="CJ37" s="460"/>
      <c r="CK37" s="460"/>
    </row>
    <row r="38" spans="1:89" s="329" customFormat="1" ht="36" customHeight="1" x14ac:dyDescent="0.25">
      <c r="A38" s="329">
        <v>1</v>
      </c>
      <c r="B38" s="39">
        <f>SUBTOTAL(103,$A$16:A38)</f>
        <v>23</v>
      </c>
      <c r="C38" s="33" t="s">
        <v>965</v>
      </c>
      <c r="D38" s="330">
        <v>1994</v>
      </c>
      <c r="E38" s="330"/>
      <c r="F38" s="331" t="s">
        <v>60</v>
      </c>
      <c r="G38" s="330">
        <v>9</v>
      </c>
      <c r="H38" s="330" t="s">
        <v>61</v>
      </c>
      <c r="I38" s="38">
        <v>5491.1</v>
      </c>
      <c r="J38" s="38">
        <v>5491.1</v>
      </c>
      <c r="K38" s="38">
        <v>5444.9</v>
      </c>
      <c r="L38" s="332">
        <v>236</v>
      </c>
      <c r="M38" s="330" t="s">
        <v>46</v>
      </c>
      <c r="N38" s="330" t="s">
        <v>50</v>
      </c>
      <c r="O38" s="333" t="s">
        <v>72</v>
      </c>
      <c r="P38" s="38">
        <v>3433160.05</v>
      </c>
      <c r="Q38" s="38">
        <v>0</v>
      </c>
      <c r="R38" s="38">
        <v>0</v>
      </c>
      <c r="S38" s="38">
        <f t="shared" si="1"/>
        <v>3433160.05</v>
      </c>
      <c r="T38" s="38">
        <f t="shared" si="0"/>
        <v>625.22264209356956</v>
      </c>
      <c r="U38" s="38">
        <v>895.19404126677705</v>
      </c>
      <c r="V38" s="458">
        <f t="shared" si="2"/>
        <v>269.97139917320749</v>
      </c>
      <c r="W38" s="458">
        <f t="shared" si="3"/>
        <v>886.22494582142008</v>
      </c>
      <c r="X38" s="458">
        <v>0</v>
      </c>
      <c r="Y38" s="459">
        <v>0</v>
      </c>
      <c r="Z38" s="459">
        <v>0</v>
      </c>
      <c r="AA38" s="459">
        <v>0</v>
      </c>
      <c r="AB38" s="459">
        <v>0</v>
      </c>
      <c r="AC38" s="459">
        <v>0</v>
      </c>
      <c r="AD38" s="459">
        <v>0</v>
      </c>
      <c r="AE38" s="459">
        <v>780</v>
      </c>
      <c r="AF38" s="458">
        <f>6238.91*AE38/I38</f>
        <v>886.22494582142008</v>
      </c>
      <c r="AG38" s="459">
        <v>0</v>
      </c>
      <c r="AH38" s="458">
        <v>0</v>
      </c>
      <c r="AI38" s="459">
        <v>0</v>
      </c>
      <c r="AJ38" s="458">
        <v>0</v>
      </c>
      <c r="AK38" s="459">
        <v>0</v>
      </c>
      <c r="AL38" s="459">
        <v>0</v>
      </c>
      <c r="AM38" s="459">
        <v>0</v>
      </c>
      <c r="AN38" s="459"/>
      <c r="AO38" s="459">
        <v>0</v>
      </c>
      <c r="AP38" s="460"/>
      <c r="AQ38" s="460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  <c r="BK38" s="460"/>
      <c r="BL38" s="460"/>
      <c r="BM38" s="460"/>
      <c r="BN38" s="460"/>
      <c r="BO38" s="460"/>
      <c r="BP38" s="460"/>
      <c r="BQ38" s="460"/>
      <c r="BR38" s="460"/>
      <c r="BS38" s="460"/>
      <c r="BT38" s="460"/>
      <c r="BU38" s="460"/>
      <c r="BV38" s="460"/>
      <c r="BW38" s="460"/>
      <c r="BX38" s="460"/>
      <c r="BY38" s="460"/>
      <c r="BZ38" s="460"/>
      <c r="CA38" s="460"/>
      <c r="CB38" s="460"/>
      <c r="CC38" s="460"/>
      <c r="CD38" s="460"/>
      <c r="CE38" s="460"/>
      <c r="CF38" s="460"/>
      <c r="CG38" s="460"/>
      <c r="CH38" s="460"/>
      <c r="CI38" s="460"/>
      <c r="CJ38" s="460"/>
      <c r="CK38" s="460"/>
    </row>
    <row r="39" spans="1:89" s="329" customFormat="1" ht="36" customHeight="1" x14ac:dyDescent="0.25">
      <c r="A39" s="329">
        <v>1</v>
      </c>
      <c r="B39" s="39">
        <f>SUBTOTAL(103,$A$16:A39)</f>
        <v>24</v>
      </c>
      <c r="C39" s="33" t="s">
        <v>967</v>
      </c>
      <c r="D39" s="330">
        <v>1993</v>
      </c>
      <c r="E39" s="330"/>
      <c r="F39" s="331" t="s">
        <v>60</v>
      </c>
      <c r="G39" s="330">
        <v>9</v>
      </c>
      <c r="H39" s="330" t="s">
        <v>57</v>
      </c>
      <c r="I39" s="38">
        <v>1614.7</v>
      </c>
      <c r="J39" s="38">
        <v>1614.7</v>
      </c>
      <c r="K39" s="38">
        <v>1585.9</v>
      </c>
      <c r="L39" s="332">
        <v>64</v>
      </c>
      <c r="M39" s="330" t="s">
        <v>46</v>
      </c>
      <c r="N39" s="330" t="s">
        <v>50</v>
      </c>
      <c r="O39" s="333" t="s">
        <v>72</v>
      </c>
      <c r="P39" s="38">
        <v>1772747.75</v>
      </c>
      <c r="Q39" s="38">
        <v>0</v>
      </c>
      <c r="R39" s="38">
        <v>0</v>
      </c>
      <c r="S39" s="38">
        <f t="shared" si="1"/>
        <v>1772747.75</v>
      </c>
      <c r="T39" s="38">
        <f t="shared" si="0"/>
        <v>1097.8805660494208</v>
      </c>
      <c r="U39" s="38">
        <v>1522.140335666068</v>
      </c>
      <c r="V39" s="458">
        <f t="shared" si="2"/>
        <v>424.25976961664719</v>
      </c>
      <c r="W39" s="458">
        <f t="shared" si="3"/>
        <v>10654.982349662476</v>
      </c>
      <c r="X39" s="458">
        <v>0</v>
      </c>
      <c r="Y39" s="459">
        <v>0</v>
      </c>
      <c r="Z39" s="459">
        <v>0</v>
      </c>
      <c r="AA39" s="459">
        <v>0</v>
      </c>
      <c r="AB39" s="459">
        <v>0</v>
      </c>
      <c r="AC39" s="459">
        <v>7</v>
      </c>
      <c r="AD39" s="458">
        <f>2457800*AC39/I39</f>
        <v>10654.982349662476</v>
      </c>
      <c r="AE39" s="459">
        <v>0</v>
      </c>
      <c r="AF39" s="458">
        <v>0</v>
      </c>
      <c r="AG39" s="459">
        <v>0</v>
      </c>
      <c r="AH39" s="458">
        <v>0</v>
      </c>
      <c r="AI39" s="459">
        <v>0</v>
      </c>
      <c r="AJ39" s="458">
        <v>0</v>
      </c>
      <c r="AK39" s="459">
        <v>0</v>
      </c>
      <c r="AL39" s="459">
        <v>0</v>
      </c>
      <c r="AM39" s="459">
        <v>0</v>
      </c>
      <c r="AN39" s="459"/>
      <c r="AO39" s="459">
        <v>0</v>
      </c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  <c r="BR39" s="460"/>
      <c r="BS39" s="460"/>
      <c r="BT39" s="460"/>
      <c r="BU39" s="460"/>
      <c r="BV39" s="460"/>
      <c r="BW39" s="460"/>
      <c r="BX39" s="460"/>
      <c r="BY39" s="460"/>
      <c r="BZ39" s="460"/>
      <c r="CA39" s="460"/>
      <c r="CB39" s="460"/>
      <c r="CC39" s="460"/>
      <c r="CD39" s="460"/>
      <c r="CE39" s="460"/>
      <c r="CF39" s="460"/>
      <c r="CG39" s="460"/>
      <c r="CH39" s="460"/>
      <c r="CI39" s="460"/>
      <c r="CJ39" s="460"/>
      <c r="CK39" s="460"/>
    </row>
    <row r="40" spans="1:89" s="329" customFormat="1" ht="36" customHeight="1" x14ac:dyDescent="0.25">
      <c r="A40" s="329">
        <v>1</v>
      </c>
      <c r="B40" s="39">
        <f>SUBTOTAL(103,$A$16:A40)</f>
        <v>25</v>
      </c>
      <c r="C40" s="33" t="s">
        <v>969</v>
      </c>
      <c r="D40" s="330">
        <v>1993</v>
      </c>
      <c r="E40" s="330"/>
      <c r="F40" s="331" t="s">
        <v>60</v>
      </c>
      <c r="G40" s="330">
        <v>9</v>
      </c>
      <c r="H40" s="330" t="s">
        <v>56</v>
      </c>
      <c r="I40" s="38">
        <v>4490.3</v>
      </c>
      <c r="J40" s="38">
        <v>4490.3</v>
      </c>
      <c r="K40" s="38">
        <v>4474.6000000000004</v>
      </c>
      <c r="L40" s="332">
        <v>167</v>
      </c>
      <c r="M40" s="330" t="s">
        <v>46</v>
      </c>
      <c r="N40" s="330" t="s">
        <v>50</v>
      </c>
      <c r="O40" s="333" t="s">
        <v>72</v>
      </c>
      <c r="P40" s="38">
        <v>3542647.46</v>
      </c>
      <c r="Q40" s="38">
        <v>0</v>
      </c>
      <c r="R40" s="38">
        <v>0</v>
      </c>
      <c r="S40" s="38">
        <f t="shared" si="1"/>
        <v>3542647.46</v>
      </c>
      <c r="T40" s="38">
        <f t="shared" si="0"/>
        <v>788.95562879985744</v>
      </c>
      <c r="U40" s="38">
        <v>1094.7152751486537</v>
      </c>
      <c r="V40" s="458">
        <f t="shared" si="2"/>
        <v>305.75964634879631</v>
      </c>
      <c r="W40" s="458">
        <f t="shared" si="3"/>
        <v>1094.7152751486537</v>
      </c>
      <c r="X40" s="458">
        <v>0</v>
      </c>
      <c r="Y40" s="459">
        <v>0</v>
      </c>
      <c r="Z40" s="459">
        <v>0</v>
      </c>
      <c r="AA40" s="459">
        <v>0</v>
      </c>
      <c r="AB40" s="459">
        <v>0</v>
      </c>
      <c r="AC40" s="459">
        <v>2</v>
      </c>
      <c r="AD40" s="458">
        <f>2457800*AC40/I40</f>
        <v>1094.7152751486537</v>
      </c>
      <c r="AE40" s="459">
        <v>0</v>
      </c>
      <c r="AF40" s="458">
        <v>0</v>
      </c>
      <c r="AG40" s="459">
        <v>0</v>
      </c>
      <c r="AH40" s="458">
        <v>0</v>
      </c>
      <c r="AI40" s="459">
        <v>0</v>
      </c>
      <c r="AJ40" s="458">
        <v>0</v>
      </c>
      <c r="AK40" s="459">
        <v>0</v>
      </c>
      <c r="AL40" s="459">
        <v>0</v>
      </c>
      <c r="AM40" s="459">
        <v>0</v>
      </c>
      <c r="AN40" s="459"/>
      <c r="AO40" s="459">
        <v>0</v>
      </c>
      <c r="AP40" s="460"/>
      <c r="AQ40" s="460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  <c r="BK40" s="460"/>
      <c r="BL40" s="460"/>
      <c r="BM40" s="460"/>
      <c r="BN40" s="460"/>
      <c r="BO40" s="460"/>
      <c r="BP40" s="460"/>
      <c r="BQ40" s="460"/>
      <c r="BR40" s="460"/>
      <c r="BS40" s="460"/>
      <c r="BT40" s="460"/>
      <c r="BU40" s="460"/>
      <c r="BV40" s="460"/>
      <c r="BW40" s="460"/>
      <c r="BX40" s="460"/>
      <c r="BY40" s="460"/>
      <c r="BZ40" s="460"/>
      <c r="CA40" s="460"/>
      <c r="CB40" s="460"/>
      <c r="CC40" s="460"/>
      <c r="CD40" s="460"/>
      <c r="CE40" s="460"/>
      <c r="CF40" s="460"/>
      <c r="CG40" s="460"/>
      <c r="CH40" s="460"/>
      <c r="CI40" s="460"/>
      <c r="CJ40" s="460"/>
      <c r="CK40" s="460"/>
    </row>
    <row r="41" spans="1:89" s="329" customFormat="1" ht="36" customHeight="1" x14ac:dyDescent="0.25">
      <c r="A41" s="329">
        <v>1</v>
      </c>
      <c r="B41" s="39">
        <f>SUBTOTAL(103,$A$16:A41)</f>
        <v>26</v>
      </c>
      <c r="C41" s="33" t="s">
        <v>921</v>
      </c>
      <c r="D41" s="330">
        <v>1987</v>
      </c>
      <c r="E41" s="330"/>
      <c r="F41" s="331" t="s">
        <v>48</v>
      </c>
      <c r="G41" s="330">
        <v>5</v>
      </c>
      <c r="H41" s="330" t="s">
        <v>56</v>
      </c>
      <c r="I41" s="38">
        <v>1670.9</v>
      </c>
      <c r="J41" s="38">
        <v>1146.4000000000001</v>
      </c>
      <c r="K41" s="38">
        <v>1146.4000000000001</v>
      </c>
      <c r="L41" s="332">
        <v>65</v>
      </c>
      <c r="M41" s="330" t="s">
        <v>46</v>
      </c>
      <c r="N41" s="330" t="s">
        <v>50</v>
      </c>
      <c r="O41" s="333" t="s">
        <v>1958</v>
      </c>
      <c r="P41" s="38">
        <v>1142069.99</v>
      </c>
      <c r="Q41" s="38">
        <v>0</v>
      </c>
      <c r="R41" s="38">
        <v>0</v>
      </c>
      <c r="S41" s="38">
        <f t="shared" si="1"/>
        <v>1142069.99</v>
      </c>
      <c r="T41" s="38">
        <f t="shared" si="0"/>
        <v>683.50588904183371</v>
      </c>
      <c r="U41" s="38">
        <v>1145.4098311089831</v>
      </c>
      <c r="V41" s="458">
        <f t="shared" si="2"/>
        <v>461.90394206714939</v>
      </c>
      <c r="W41" s="458">
        <f t="shared" si="3"/>
        <v>1470.9438027410376</v>
      </c>
      <c r="X41" s="458">
        <v>0</v>
      </c>
      <c r="Y41" s="459">
        <v>0</v>
      </c>
      <c r="Z41" s="459">
        <v>0</v>
      </c>
      <c r="AA41" s="459">
        <v>0</v>
      </c>
      <c r="AB41" s="459">
        <v>0</v>
      </c>
      <c r="AC41" s="459">
        <v>1</v>
      </c>
      <c r="AD41" s="458">
        <f>2457800*AC41/I41</f>
        <v>1470.9438027410376</v>
      </c>
      <c r="AE41" s="459">
        <v>0</v>
      </c>
      <c r="AF41" s="458">
        <v>0</v>
      </c>
      <c r="AG41" s="459">
        <v>0</v>
      </c>
      <c r="AH41" s="458">
        <v>0</v>
      </c>
      <c r="AI41" s="459">
        <v>0</v>
      </c>
      <c r="AJ41" s="458">
        <v>0</v>
      </c>
      <c r="AK41" s="459">
        <v>0</v>
      </c>
      <c r="AL41" s="459">
        <v>0</v>
      </c>
      <c r="AM41" s="459">
        <v>0</v>
      </c>
      <c r="AN41" s="459"/>
      <c r="AO41" s="459">
        <v>0</v>
      </c>
      <c r="AP41" s="460"/>
      <c r="AQ41" s="460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  <c r="BK41" s="460"/>
      <c r="BL41" s="460"/>
      <c r="BM41" s="460"/>
      <c r="BN41" s="460"/>
      <c r="BO41" s="460"/>
      <c r="BP41" s="460"/>
      <c r="BQ41" s="460"/>
      <c r="BR41" s="460"/>
      <c r="BS41" s="460"/>
      <c r="BT41" s="460"/>
      <c r="BU41" s="460"/>
      <c r="BV41" s="460"/>
      <c r="BW41" s="460"/>
      <c r="BX41" s="460"/>
      <c r="BY41" s="460"/>
      <c r="BZ41" s="460"/>
      <c r="CA41" s="460"/>
      <c r="CB41" s="460"/>
      <c r="CC41" s="460"/>
      <c r="CD41" s="460"/>
      <c r="CE41" s="460"/>
      <c r="CF41" s="460"/>
      <c r="CG41" s="460"/>
      <c r="CH41" s="460"/>
      <c r="CI41" s="460"/>
      <c r="CJ41" s="460"/>
      <c r="CK41" s="460"/>
    </row>
    <row r="42" spans="1:89" s="329" customFormat="1" ht="36" customHeight="1" x14ac:dyDescent="0.25">
      <c r="A42" s="329">
        <v>1</v>
      </c>
      <c r="B42" s="39">
        <f>SUBTOTAL(103,$A$16:A42)</f>
        <v>27</v>
      </c>
      <c r="C42" s="33" t="s">
        <v>972</v>
      </c>
      <c r="D42" s="330">
        <v>1983</v>
      </c>
      <c r="E42" s="330"/>
      <c r="F42" s="331" t="s">
        <v>48</v>
      </c>
      <c r="G42" s="330">
        <v>5</v>
      </c>
      <c r="H42" s="330" t="s">
        <v>57</v>
      </c>
      <c r="I42" s="38">
        <v>628.5</v>
      </c>
      <c r="J42" s="38">
        <v>568.5</v>
      </c>
      <c r="K42" s="38">
        <v>568.5</v>
      </c>
      <c r="L42" s="332">
        <v>31</v>
      </c>
      <c r="M42" s="330" t="s">
        <v>46</v>
      </c>
      <c r="N42" s="330" t="s">
        <v>50</v>
      </c>
      <c r="O42" s="333" t="s">
        <v>1956</v>
      </c>
      <c r="P42" s="38">
        <v>947034.45</v>
      </c>
      <c r="Q42" s="38">
        <v>0</v>
      </c>
      <c r="R42" s="38">
        <v>0</v>
      </c>
      <c r="S42" s="38">
        <f t="shared" si="1"/>
        <v>947034.45</v>
      </c>
      <c r="T42" s="38">
        <f t="shared" si="0"/>
        <v>1506.8169451073984</v>
      </c>
      <c r="U42" s="38">
        <v>2061.828687350835</v>
      </c>
      <c r="V42" s="458">
        <f t="shared" si="2"/>
        <v>555.01174224343663</v>
      </c>
      <c r="W42" s="458">
        <f t="shared" si="3"/>
        <v>7821.161495624503</v>
      </c>
      <c r="X42" s="458">
        <v>0</v>
      </c>
      <c r="Y42" s="459">
        <v>0</v>
      </c>
      <c r="Z42" s="459">
        <v>0</v>
      </c>
      <c r="AA42" s="459">
        <v>0</v>
      </c>
      <c r="AB42" s="459">
        <v>0</v>
      </c>
      <c r="AC42" s="459">
        <v>2</v>
      </c>
      <c r="AD42" s="458">
        <f>2457800*AC42/I42</f>
        <v>7821.161495624503</v>
      </c>
      <c r="AE42" s="459">
        <v>0</v>
      </c>
      <c r="AF42" s="458">
        <v>0</v>
      </c>
      <c r="AG42" s="459">
        <v>0</v>
      </c>
      <c r="AH42" s="458">
        <v>0</v>
      </c>
      <c r="AI42" s="459">
        <v>0</v>
      </c>
      <c r="AJ42" s="458">
        <v>0</v>
      </c>
      <c r="AK42" s="459">
        <v>0</v>
      </c>
      <c r="AL42" s="459">
        <v>0</v>
      </c>
      <c r="AM42" s="459">
        <v>0</v>
      </c>
      <c r="AN42" s="459"/>
      <c r="AO42" s="459">
        <v>0</v>
      </c>
      <c r="AP42" s="460"/>
      <c r="AQ42" s="460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0"/>
      <c r="BN42" s="460"/>
      <c r="BO42" s="460"/>
      <c r="BP42" s="460"/>
      <c r="BQ42" s="460"/>
      <c r="BR42" s="460"/>
      <c r="BS42" s="460"/>
      <c r="BT42" s="460"/>
      <c r="BU42" s="460"/>
      <c r="BV42" s="460"/>
      <c r="BW42" s="460"/>
      <c r="BX42" s="460"/>
      <c r="BY42" s="460"/>
      <c r="BZ42" s="460"/>
      <c r="CA42" s="460"/>
      <c r="CB42" s="460"/>
      <c r="CC42" s="460"/>
      <c r="CD42" s="460"/>
      <c r="CE42" s="460"/>
      <c r="CF42" s="460"/>
      <c r="CG42" s="460"/>
      <c r="CH42" s="460"/>
      <c r="CI42" s="460"/>
      <c r="CJ42" s="460"/>
      <c r="CK42" s="460"/>
    </row>
    <row r="43" spans="1:89" s="329" customFormat="1" ht="36" customHeight="1" x14ac:dyDescent="0.25">
      <c r="A43" s="329">
        <v>1</v>
      </c>
      <c r="B43" s="39">
        <f>SUBTOTAL(103,$A$16:A43)</f>
        <v>28</v>
      </c>
      <c r="C43" s="33" t="s">
        <v>974</v>
      </c>
      <c r="D43" s="330">
        <v>1959</v>
      </c>
      <c r="E43" s="330"/>
      <c r="F43" s="331" t="s">
        <v>48</v>
      </c>
      <c r="G43" s="330">
        <v>2</v>
      </c>
      <c r="H43" s="330" t="s">
        <v>57</v>
      </c>
      <c r="I43" s="38">
        <v>313.3</v>
      </c>
      <c r="J43" s="38">
        <v>288.7</v>
      </c>
      <c r="K43" s="38">
        <v>288.7</v>
      </c>
      <c r="L43" s="332">
        <v>24</v>
      </c>
      <c r="M43" s="330" t="s">
        <v>46</v>
      </c>
      <c r="N43" s="330" t="s">
        <v>50</v>
      </c>
      <c r="O43" s="333" t="s">
        <v>1956</v>
      </c>
      <c r="P43" s="38">
        <v>1279163.03</v>
      </c>
      <c r="Q43" s="38">
        <v>0</v>
      </c>
      <c r="R43" s="38">
        <v>0</v>
      </c>
      <c r="S43" s="38">
        <f t="shared" si="1"/>
        <v>1279163.03</v>
      </c>
      <c r="T43" s="38">
        <f t="shared" si="0"/>
        <v>4082.8695499521227</v>
      </c>
      <c r="U43" s="38">
        <v>9307.7791254388776</v>
      </c>
      <c r="V43" s="458">
        <f t="shared" si="2"/>
        <v>5224.9095754867549</v>
      </c>
      <c r="W43" s="458">
        <f t="shared" si="3"/>
        <v>6087.9654171720395</v>
      </c>
      <c r="X43" s="458">
        <v>0</v>
      </c>
      <c r="Y43" s="459">
        <v>0</v>
      </c>
      <c r="Z43" s="459">
        <v>0</v>
      </c>
      <c r="AA43" s="459">
        <v>0</v>
      </c>
      <c r="AB43" s="459">
        <v>0</v>
      </c>
      <c r="AC43" s="459">
        <v>0</v>
      </c>
      <c r="AD43" s="459">
        <v>0</v>
      </c>
      <c r="AE43" s="459">
        <v>305.72000000000003</v>
      </c>
      <c r="AF43" s="458">
        <f>6238.91*AE43/I43</f>
        <v>6087.9654171720395</v>
      </c>
      <c r="AG43" s="459">
        <v>0</v>
      </c>
      <c r="AH43" s="458">
        <v>0</v>
      </c>
      <c r="AI43" s="459">
        <v>0</v>
      </c>
      <c r="AJ43" s="458">
        <v>0</v>
      </c>
      <c r="AK43" s="459">
        <v>0</v>
      </c>
      <c r="AL43" s="459">
        <v>0</v>
      </c>
      <c r="AM43" s="459">
        <v>0</v>
      </c>
      <c r="AN43" s="459"/>
      <c r="AO43" s="459">
        <v>0</v>
      </c>
      <c r="AP43" s="460"/>
      <c r="AQ43" s="460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  <c r="BK43" s="460"/>
      <c r="BL43" s="460"/>
      <c r="BM43" s="460"/>
      <c r="BN43" s="460"/>
      <c r="BO43" s="460"/>
      <c r="BP43" s="460"/>
      <c r="BQ43" s="460"/>
      <c r="BR43" s="460"/>
      <c r="BS43" s="460"/>
      <c r="BT43" s="460"/>
      <c r="BU43" s="460"/>
      <c r="BV43" s="460"/>
      <c r="BW43" s="460"/>
      <c r="BX43" s="460"/>
      <c r="BY43" s="460"/>
      <c r="BZ43" s="460"/>
      <c r="CA43" s="460"/>
      <c r="CB43" s="460"/>
      <c r="CC43" s="460"/>
      <c r="CD43" s="460"/>
      <c r="CE43" s="460"/>
      <c r="CF43" s="460"/>
      <c r="CG43" s="460"/>
      <c r="CH43" s="460"/>
      <c r="CI43" s="460"/>
      <c r="CJ43" s="460"/>
      <c r="CK43" s="460"/>
    </row>
    <row r="44" spans="1:89" s="329" customFormat="1" ht="36" customHeight="1" x14ac:dyDescent="0.25">
      <c r="A44" s="329">
        <v>1</v>
      </c>
      <c r="B44" s="39">
        <f>SUBTOTAL(103,$A$16:A44)</f>
        <v>29</v>
      </c>
      <c r="C44" s="33" t="s">
        <v>976</v>
      </c>
      <c r="D44" s="330">
        <v>1969</v>
      </c>
      <c r="E44" s="330"/>
      <c r="F44" s="331" t="s">
        <v>48</v>
      </c>
      <c r="G44" s="330">
        <v>9</v>
      </c>
      <c r="H44" s="330" t="s">
        <v>57</v>
      </c>
      <c r="I44" s="38">
        <v>2575.6999999999998</v>
      </c>
      <c r="J44" s="38">
        <v>2278.3000000000002</v>
      </c>
      <c r="K44" s="38">
        <v>2278.3000000000002</v>
      </c>
      <c r="L44" s="332">
        <v>84</v>
      </c>
      <c r="M44" s="330" t="s">
        <v>46</v>
      </c>
      <c r="N44" s="330" t="s">
        <v>50</v>
      </c>
      <c r="O44" s="333" t="s">
        <v>1956</v>
      </c>
      <c r="P44" s="38">
        <v>1762086.42</v>
      </c>
      <c r="Q44" s="38">
        <v>0</v>
      </c>
      <c r="R44" s="38">
        <v>0</v>
      </c>
      <c r="S44" s="38">
        <f t="shared" si="1"/>
        <v>1762086.42</v>
      </c>
      <c r="T44" s="38">
        <f t="shared" si="0"/>
        <v>684.11943161082422</v>
      </c>
      <c r="U44" s="38">
        <v>954.22603564079679</v>
      </c>
      <c r="V44" s="458">
        <f t="shared" si="2"/>
        <v>270.10660402997257</v>
      </c>
      <c r="W44" s="458">
        <f t="shared" si="3"/>
        <v>501.39937492720424</v>
      </c>
      <c r="X44" s="458">
        <v>0</v>
      </c>
      <c r="Y44" s="459">
        <v>0</v>
      </c>
      <c r="Z44" s="459">
        <v>0</v>
      </c>
      <c r="AA44" s="459">
        <v>0</v>
      </c>
      <c r="AB44" s="459">
        <v>0</v>
      </c>
      <c r="AC44" s="459">
        <v>0</v>
      </c>
      <c r="AD44" s="459">
        <v>0</v>
      </c>
      <c r="AE44" s="459">
        <v>207</v>
      </c>
      <c r="AF44" s="458">
        <f>6238.91*AE44/I44</f>
        <v>501.39937492720424</v>
      </c>
      <c r="AG44" s="459">
        <v>0</v>
      </c>
      <c r="AH44" s="458">
        <v>0</v>
      </c>
      <c r="AI44" s="459">
        <v>0</v>
      </c>
      <c r="AJ44" s="458">
        <v>0</v>
      </c>
      <c r="AK44" s="459">
        <v>0</v>
      </c>
      <c r="AL44" s="459">
        <v>0</v>
      </c>
      <c r="AM44" s="459">
        <v>0</v>
      </c>
      <c r="AN44" s="459"/>
      <c r="AO44" s="459">
        <v>0</v>
      </c>
      <c r="AP44" s="460"/>
      <c r="AQ44" s="460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  <c r="BK44" s="460"/>
      <c r="BL44" s="460"/>
      <c r="BM44" s="460"/>
      <c r="BN44" s="460"/>
      <c r="BO44" s="460"/>
      <c r="BP44" s="460"/>
      <c r="BQ44" s="460"/>
      <c r="BR44" s="460"/>
      <c r="BS44" s="460"/>
      <c r="BT44" s="460"/>
      <c r="BU44" s="460"/>
      <c r="BV44" s="460"/>
      <c r="BW44" s="460"/>
      <c r="BX44" s="460"/>
      <c r="BY44" s="460"/>
      <c r="BZ44" s="460"/>
      <c r="CA44" s="460"/>
      <c r="CB44" s="460"/>
      <c r="CC44" s="460"/>
      <c r="CD44" s="460"/>
      <c r="CE44" s="460"/>
      <c r="CF44" s="460"/>
      <c r="CG44" s="460"/>
      <c r="CH44" s="460"/>
      <c r="CI44" s="460"/>
      <c r="CJ44" s="460"/>
      <c r="CK44" s="460"/>
    </row>
    <row r="45" spans="1:89" s="329" customFormat="1" ht="36" customHeight="1" x14ac:dyDescent="0.25">
      <c r="A45" s="329">
        <v>1</v>
      </c>
      <c r="B45" s="39">
        <f>SUBTOTAL(103,$A$16:A45)</f>
        <v>30</v>
      </c>
      <c r="C45" s="33" t="s">
        <v>978</v>
      </c>
      <c r="D45" s="330">
        <v>1983</v>
      </c>
      <c r="E45" s="330"/>
      <c r="F45" s="331" t="s">
        <v>48</v>
      </c>
      <c r="G45" s="330">
        <v>5</v>
      </c>
      <c r="H45" s="330" t="s">
        <v>61</v>
      </c>
      <c r="I45" s="38">
        <v>2943.9</v>
      </c>
      <c r="J45" s="38">
        <v>2711.7</v>
      </c>
      <c r="K45" s="38">
        <v>2711.7</v>
      </c>
      <c r="L45" s="332">
        <v>99</v>
      </c>
      <c r="M45" s="330" t="s">
        <v>46</v>
      </c>
      <c r="N45" s="330" t="s">
        <v>50</v>
      </c>
      <c r="O45" s="333" t="s">
        <v>1956</v>
      </c>
      <c r="P45" s="38">
        <v>2417044.5900000003</v>
      </c>
      <c r="Q45" s="38">
        <v>0</v>
      </c>
      <c r="R45" s="38">
        <v>0</v>
      </c>
      <c r="S45" s="38">
        <f t="shared" si="1"/>
        <v>2417044.5900000003</v>
      </c>
      <c r="T45" s="38">
        <f t="shared" si="0"/>
        <v>821.03488229899119</v>
      </c>
      <c r="U45" s="38">
        <v>2024.4236828696626</v>
      </c>
      <c r="V45" s="458">
        <f t="shared" si="2"/>
        <v>1203.3888005706713</v>
      </c>
      <c r="W45" s="458">
        <f t="shared" si="3"/>
        <v>1072.4392948130032</v>
      </c>
      <c r="X45" s="458">
        <v>0</v>
      </c>
      <c r="Y45" s="459">
        <v>0</v>
      </c>
      <c r="Z45" s="459">
        <v>0</v>
      </c>
      <c r="AA45" s="459">
        <v>0</v>
      </c>
      <c r="AB45" s="459">
        <v>0</v>
      </c>
      <c r="AC45" s="459">
        <v>0</v>
      </c>
      <c r="AD45" s="459">
        <v>0</v>
      </c>
      <c r="AE45" s="459">
        <v>0</v>
      </c>
      <c r="AF45" s="458">
        <v>0</v>
      </c>
      <c r="AG45" s="459">
        <v>0</v>
      </c>
      <c r="AH45" s="458">
        <v>0</v>
      </c>
      <c r="AI45" s="459">
        <v>424.4</v>
      </c>
      <c r="AJ45" s="458">
        <f>7439.1*AI45/I45</f>
        <v>1072.4392948130032</v>
      </c>
      <c r="AK45" s="459">
        <v>0</v>
      </c>
      <c r="AL45" s="459">
        <v>0</v>
      </c>
      <c r="AM45" s="459">
        <v>0</v>
      </c>
      <c r="AN45" s="459"/>
      <c r="AO45" s="459">
        <v>0</v>
      </c>
      <c r="AP45" s="460"/>
      <c r="AQ45" s="460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  <c r="BK45" s="460"/>
      <c r="BL45" s="460"/>
      <c r="BM45" s="460"/>
      <c r="BN45" s="460"/>
      <c r="BO45" s="460"/>
      <c r="BP45" s="460"/>
      <c r="BQ45" s="460"/>
      <c r="BR45" s="460"/>
      <c r="BS45" s="460"/>
      <c r="BT45" s="460"/>
      <c r="BU45" s="460"/>
      <c r="BV45" s="460"/>
      <c r="BW45" s="460"/>
      <c r="BX45" s="460"/>
      <c r="BY45" s="460"/>
      <c r="BZ45" s="460"/>
      <c r="CA45" s="460"/>
      <c r="CB45" s="460"/>
      <c r="CC45" s="460"/>
      <c r="CD45" s="460"/>
      <c r="CE45" s="460"/>
      <c r="CF45" s="460"/>
      <c r="CG45" s="460"/>
      <c r="CH45" s="460"/>
      <c r="CI45" s="460"/>
      <c r="CJ45" s="460"/>
      <c r="CK45" s="460"/>
    </row>
    <row r="46" spans="1:89" s="329" customFormat="1" ht="36" customHeight="1" x14ac:dyDescent="0.25">
      <c r="A46" s="329">
        <v>1</v>
      </c>
      <c r="B46" s="39">
        <f>SUBTOTAL(103,$A$16:A46)</f>
        <v>31</v>
      </c>
      <c r="C46" s="33" t="s">
        <v>980</v>
      </c>
      <c r="D46" s="330">
        <v>1989</v>
      </c>
      <c r="E46" s="330"/>
      <c r="F46" s="331" t="s">
        <v>48</v>
      </c>
      <c r="G46" s="330">
        <v>5</v>
      </c>
      <c r="H46" s="330" t="s">
        <v>59</v>
      </c>
      <c r="I46" s="38">
        <v>2894.3</v>
      </c>
      <c r="J46" s="38">
        <v>2645.3</v>
      </c>
      <c r="K46" s="38">
        <v>2645.3</v>
      </c>
      <c r="L46" s="332">
        <v>152</v>
      </c>
      <c r="M46" s="330" t="s">
        <v>46</v>
      </c>
      <c r="N46" s="330" t="s">
        <v>50</v>
      </c>
      <c r="O46" s="333" t="s">
        <v>1963</v>
      </c>
      <c r="P46" s="38">
        <v>2398202</v>
      </c>
      <c r="Q46" s="38">
        <v>0</v>
      </c>
      <c r="R46" s="38">
        <v>0</v>
      </c>
      <c r="S46" s="38">
        <f t="shared" si="1"/>
        <v>2398202</v>
      </c>
      <c r="T46" s="38">
        <f t="shared" si="0"/>
        <v>828.59482430985031</v>
      </c>
      <c r="U46" s="38">
        <v>1465.8227422865632</v>
      </c>
      <c r="V46" s="458">
        <f t="shared" si="2"/>
        <v>637.22791797671289</v>
      </c>
      <c r="W46" s="458">
        <f t="shared" si="3"/>
        <v>849.1863317555194</v>
      </c>
      <c r="X46" s="458">
        <v>0</v>
      </c>
      <c r="Y46" s="459">
        <v>0</v>
      </c>
      <c r="Z46" s="459">
        <v>0</v>
      </c>
      <c r="AA46" s="459">
        <v>0</v>
      </c>
      <c r="AB46" s="459">
        <v>0</v>
      </c>
      <c r="AC46" s="459">
        <v>1</v>
      </c>
      <c r="AD46" s="458">
        <f>2457800*AC46/I46</f>
        <v>849.1863317555194</v>
      </c>
      <c r="AE46" s="459">
        <v>0</v>
      </c>
      <c r="AF46" s="458">
        <v>0</v>
      </c>
      <c r="AG46" s="459">
        <v>0</v>
      </c>
      <c r="AH46" s="458">
        <v>0</v>
      </c>
      <c r="AI46" s="459">
        <v>0</v>
      </c>
      <c r="AJ46" s="458">
        <v>0</v>
      </c>
      <c r="AK46" s="459">
        <v>0</v>
      </c>
      <c r="AL46" s="459">
        <v>0</v>
      </c>
      <c r="AM46" s="459">
        <v>0</v>
      </c>
      <c r="AN46" s="459"/>
      <c r="AO46" s="459">
        <v>0</v>
      </c>
      <c r="AP46" s="460"/>
      <c r="AQ46" s="460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  <c r="BK46" s="460"/>
      <c r="BL46" s="460"/>
      <c r="BM46" s="460"/>
      <c r="BN46" s="460"/>
      <c r="BO46" s="460"/>
      <c r="BP46" s="460"/>
      <c r="BQ46" s="460"/>
      <c r="BR46" s="460"/>
      <c r="BS46" s="460"/>
      <c r="BT46" s="460"/>
      <c r="BU46" s="460"/>
      <c r="BV46" s="460"/>
      <c r="BW46" s="460"/>
      <c r="BX46" s="460"/>
      <c r="BY46" s="460"/>
      <c r="BZ46" s="460"/>
      <c r="CA46" s="460"/>
      <c r="CB46" s="460"/>
      <c r="CC46" s="460"/>
      <c r="CD46" s="460"/>
      <c r="CE46" s="460"/>
      <c r="CF46" s="460"/>
      <c r="CG46" s="460"/>
      <c r="CH46" s="460"/>
      <c r="CI46" s="460"/>
      <c r="CJ46" s="460"/>
      <c r="CK46" s="460"/>
    </row>
    <row r="47" spans="1:89" s="329" customFormat="1" ht="36" customHeight="1" x14ac:dyDescent="0.25">
      <c r="A47" s="329">
        <v>1</v>
      </c>
      <c r="B47" s="39">
        <f>SUBTOTAL(103,$A$16:A47)</f>
        <v>32</v>
      </c>
      <c r="C47" s="33" t="s">
        <v>982</v>
      </c>
      <c r="D47" s="330">
        <v>1980</v>
      </c>
      <c r="E47" s="330"/>
      <c r="F47" s="331" t="s">
        <v>48</v>
      </c>
      <c r="G47" s="330">
        <v>5</v>
      </c>
      <c r="H47" s="330" t="s">
        <v>57</v>
      </c>
      <c r="I47" s="38">
        <v>1054.5999999999999</v>
      </c>
      <c r="J47" s="38">
        <v>994.1</v>
      </c>
      <c r="K47" s="38">
        <v>994.1</v>
      </c>
      <c r="L47" s="332">
        <v>39</v>
      </c>
      <c r="M47" s="330" t="s">
        <v>46</v>
      </c>
      <c r="N47" s="330" t="s">
        <v>50</v>
      </c>
      <c r="O47" s="333" t="s">
        <v>1963</v>
      </c>
      <c r="P47" s="38">
        <v>1104719.2799999998</v>
      </c>
      <c r="Q47" s="38">
        <v>0</v>
      </c>
      <c r="R47" s="38">
        <v>0</v>
      </c>
      <c r="S47" s="38">
        <f t="shared" si="1"/>
        <v>1104719.2799999998</v>
      </c>
      <c r="T47" s="38">
        <f t="shared" si="0"/>
        <v>1047.5244452873126</v>
      </c>
      <c r="U47" s="38">
        <v>1486.3944395979518</v>
      </c>
      <c r="V47" s="458">
        <f t="shared" si="2"/>
        <v>438.86999431063919</v>
      </c>
      <c r="W47" s="458">
        <f t="shared" si="3"/>
        <v>5631.9384790441882</v>
      </c>
      <c r="X47" s="458">
        <v>0</v>
      </c>
      <c r="Y47" s="459">
        <v>0</v>
      </c>
      <c r="Z47" s="459">
        <v>0</v>
      </c>
      <c r="AA47" s="459">
        <v>0</v>
      </c>
      <c r="AB47" s="459">
        <v>0</v>
      </c>
      <c r="AC47" s="459">
        <v>0</v>
      </c>
      <c r="AD47" s="459">
        <v>0</v>
      </c>
      <c r="AE47" s="459">
        <v>952</v>
      </c>
      <c r="AF47" s="458">
        <f t="shared" ref="AF47:AF62" si="5">6238.91*AE47/I47</f>
        <v>5631.9384790441882</v>
      </c>
      <c r="AG47" s="459">
        <v>0</v>
      </c>
      <c r="AH47" s="458">
        <v>0</v>
      </c>
      <c r="AI47" s="459">
        <v>0</v>
      </c>
      <c r="AJ47" s="458">
        <v>0</v>
      </c>
      <c r="AK47" s="459">
        <v>0</v>
      </c>
      <c r="AL47" s="459">
        <v>0</v>
      </c>
      <c r="AM47" s="459">
        <v>0</v>
      </c>
      <c r="AN47" s="459"/>
      <c r="AO47" s="459">
        <v>0</v>
      </c>
      <c r="AP47" s="460"/>
      <c r="AQ47" s="460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60"/>
      <c r="BV47" s="460"/>
      <c r="BW47" s="460"/>
      <c r="BX47" s="460"/>
      <c r="BY47" s="460"/>
      <c r="BZ47" s="460"/>
      <c r="CA47" s="460"/>
      <c r="CB47" s="460"/>
      <c r="CC47" s="460"/>
      <c r="CD47" s="460"/>
      <c r="CE47" s="460"/>
      <c r="CF47" s="460"/>
      <c r="CG47" s="460"/>
      <c r="CH47" s="460"/>
      <c r="CI47" s="460"/>
      <c r="CJ47" s="460"/>
      <c r="CK47" s="460"/>
    </row>
    <row r="48" spans="1:89" s="329" customFormat="1" ht="36" customHeight="1" x14ac:dyDescent="0.25">
      <c r="A48" s="329">
        <v>1</v>
      </c>
      <c r="B48" s="39">
        <f>SUBTOTAL(103,$A$16:A48)</f>
        <v>33</v>
      </c>
      <c r="C48" s="33" t="s">
        <v>984</v>
      </c>
      <c r="D48" s="330">
        <v>1981</v>
      </c>
      <c r="E48" s="330"/>
      <c r="F48" s="331" t="s">
        <v>60</v>
      </c>
      <c r="G48" s="330">
        <v>5</v>
      </c>
      <c r="H48" s="330" t="s">
        <v>1961</v>
      </c>
      <c r="I48" s="38">
        <v>7968.9</v>
      </c>
      <c r="J48" s="38">
        <v>6668.9</v>
      </c>
      <c r="K48" s="38">
        <v>6103.4</v>
      </c>
      <c r="L48" s="332">
        <v>317</v>
      </c>
      <c r="M48" s="330" t="s">
        <v>46</v>
      </c>
      <c r="N48" s="330" t="s">
        <v>50</v>
      </c>
      <c r="O48" s="333" t="s">
        <v>1963</v>
      </c>
      <c r="P48" s="38">
        <v>2602788.06</v>
      </c>
      <c r="Q48" s="38">
        <v>0</v>
      </c>
      <c r="R48" s="38">
        <v>0</v>
      </c>
      <c r="S48" s="38">
        <f t="shared" si="1"/>
        <v>2602788.06</v>
      </c>
      <c r="T48" s="38">
        <f t="shared" si="0"/>
        <v>326.61823589203027</v>
      </c>
      <c r="U48" s="38">
        <v>1188.1155439144677</v>
      </c>
      <c r="V48" s="458">
        <f t="shared" si="2"/>
        <v>861.49730802243744</v>
      </c>
      <c r="W48" s="458">
        <f t="shared" si="3"/>
        <v>530.57627865828408</v>
      </c>
      <c r="X48" s="458">
        <v>0</v>
      </c>
      <c r="Y48" s="459">
        <v>0</v>
      </c>
      <c r="Z48" s="459">
        <v>0</v>
      </c>
      <c r="AA48" s="459">
        <v>0</v>
      </c>
      <c r="AB48" s="459">
        <v>0</v>
      </c>
      <c r="AC48" s="459">
        <v>0</v>
      </c>
      <c r="AD48" s="459">
        <v>0</v>
      </c>
      <c r="AE48" s="459">
        <v>677.7</v>
      </c>
      <c r="AF48" s="458">
        <f t="shared" si="5"/>
        <v>530.57627865828408</v>
      </c>
      <c r="AG48" s="459">
        <v>0</v>
      </c>
      <c r="AH48" s="458">
        <v>0</v>
      </c>
      <c r="AI48" s="459">
        <v>0</v>
      </c>
      <c r="AJ48" s="458">
        <v>0</v>
      </c>
      <c r="AK48" s="459">
        <v>0</v>
      </c>
      <c r="AL48" s="459">
        <v>0</v>
      </c>
      <c r="AM48" s="459">
        <v>0</v>
      </c>
      <c r="AN48" s="459"/>
      <c r="AO48" s="459">
        <v>0</v>
      </c>
      <c r="AP48" s="460"/>
      <c r="AQ48" s="460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  <c r="BK48" s="460"/>
      <c r="BL48" s="460"/>
      <c r="BM48" s="460"/>
      <c r="BN48" s="460"/>
      <c r="BO48" s="460"/>
      <c r="BP48" s="460"/>
      <c r="BQ48" s="460"/>
      <c r="BR48" s="460"/>
      <c r="BS48" s="460"/>
      <c r="BT48" s="460"/>
      <c r="BU48" s="460"/>
      <c r="BV48" s="460"/>
      <c r="BW48" s="460"/>
      <c r="BX48" s="460"/>
      <c r="BY48" s="460"/>
      <c r="BZ48" s="460"/>
      <c r="CA48" s="460"/>
      <c r="CB48" s="460"/>
      <c r="CC48" s="460"/>
      <c r="CD48" s="460"/>
      <c r="CE48" s="460"/>
      <c r="CF48" s="460"/>
      <c r="CG48" s="460"/>
      <c r="CH48" s="460"/>
      <c r="CI48" s="460"/>
      <c r="CJ48" s="460"/>
      <c r="CK48" s="460"/>
    </row>
    <row r="49" spans="1:89" s="329" customFormat="1" ht="36" customHeight="1" x14ac:dyDescent="0.25">
      <c r="A49" s="329">
        <v>1</v>
      </c>
      <c r="B49" s="39">
        <f>SUBTOTAL(103,$A$16:A49)</f>
        <v>34</v>
      </c>
      <c r="C49" s="33" t="s">
        <v>924</v>
      </c>
      <c r="D49" s="330">
        <v>1993</v>
      </c>
      <c r="E49" s="330"/>
      <c r="F49" s="331" t="s">
        <v>60</v>
      </c>
      <c r="G49" s="330">
        <v>5</v>
      </c>
      <c r="H49" s="330" t="s">
        <v>75</v>
      </c>
      <c r="I49" s="38">
        <v>7577.6</v>
      </c>
      <c r="J49" s="38">
        <v>5713.2</v>
      </c>
      <c r="K49" s="38">
        <v>5713.2</v>
      </c>
      <c r="L49" s="332">
        <v>299</v>
      </c>
      <c r="M49" s="330" t="s">
        <v>46</v>
      </c>
      <c r="N49" s="330" t="s">
        <v>50</v>
      </c>
      <c r="O49" s="333" t="s">
        <v>1963</v>
      </c>
      <c r="P49" s="38">
        <v>4237431.09</v>
      </c>
      <c r="Q49" s="38">
        <v>0</v>
      </c>
      <c r="R49" s="38">
        <v>0</v>
      </c>
      <c r="S49" s="38">
        <f t="shared" si="1"/>
        <v>4237431.09</v>
      </c>
      <c r="T49" s="38">
        <f t="shared" si="0"/>
        <v>559.20490524704383</v>
      </c>
      <c r="U49" s="38">
        <v>1496.9732210726349</v>
      </c>
      <c r="V49" s="458">
        <f t="shared" si="2"/>
        <v>937.76831582559112</v>
      </c>
      <c r="W49" s="458">
        <f t="shared" si="3"/>
        <v>206.1633055320946</v>
      </c>
      <c r="X49" s="458">
        <v>0</v>
      </c>
      <c r="Y49" s="459">
        <v>0</v>
      </c>
      <c r="Z49" s="459">
        <v>0</v>
      </c>
      <c r="AA49" s="459">
        <v>0</v>
      </c>
      <c r="AB49" s="459">
        <v>0</v>
      </c>
      <c r="AC49" s="459">
        <v>0</v>
      </c>
      <c r="AD49" s="459">
        <v>0</v>
      </c>
      <c r="AE49" s="459">
        <v>250.4</v>
      </c>
      <c r="AF49" s="458">
        <f t="shared" si="5"/>
        <v>206.1633055320946</v>
      </c>
      <c r="AG49" s="459">
        <v>0</v>
      </c>
      <c r="AH49" s="458">
        <v>0</v>
      </c>
      <c r="AI49" s="459">
        <v>0</v>
      </c>
      <c r="AJ49" s="458">
        <v>0</v>
      </c>
      <c r="AK49" s="459">
        <v>0</v>
      </c>
      <c r="AL49" s="459">
        <v>0</v>
      </c>
      <c r="AM49" s="459">
        <v>0</v>
      </c>
      <c r="AN49" s="459"/>
      <c r="AO49" s="459">
        <v>0</v>
      </c>
      <c r="AP49" s="460"/>
      <c r="AQ49" s="460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  <c r="BK49" s="460"/>
      <c r="BL49" s="460"/>
      <c r="BM49" s="460"/>
      <c r="BN49" s="460"/>
      <c r="BO49" s="460"/>
      <c r="BP49" s="460"/>
      <c r="BQ49" s="460"/>
      <c r="BR49" s="460"/>
      <c r="BS49" s="460"/>
      <c r="BT49" s="460"/>
      <c r="BU49" s="460"/>
      <c r="BV49" s="460"/>
      <c r="BW49" s="460"/>
      <c r="BX49" s="460"/>
      <c r="BY49" s="460"/>
      <c r="BZ49" s="460"/>
      <c r="CA49" s="460"/>
      <c r="CB49" s="460"/>
      <c r="CC49" s="460"/>
      <c r="CD49" s="460"/>
      <c r="CE49" s="460"/>
      <c r="CF49" s="460"/>
      <c r="CG49" s="460"/>
      <c r="CH49" s="460"/>
      <c r="CI49" s="460"/>
      <c r="CJ49" s="460"/>
      <c r="CK49" s="460"/>
    </row>
    <row r="50" spans="1:89" s="329" customFormat="1" ht="36" customHeight="1" x14ac:dyDescent="0.25">
      <c r="A50" s="329">
        <v>1</v>
      </c>
      <c r="B50" s="39">
        <f>SUBTOTAL(103,$A$16:A50)</f>
        <v>35</v>
      </c>
      <c r="C50" s="33" t="s">
        <v>958</v>
      </c>
      <c r="D50" s="330">
        <v>1986</v>
      </c>
      <c r="E50" s="330"/>
      <c r="F50" s="331" t="s">
        <v>48</v>
      </c>
      <c r="G50" s="330">
        <v>5</v>
      </c>
      <c r="H50" s="330" t="s">
        <v>59</v>
      </c>
      <c r="I50" s="38">
        <v>3600.3</v>
      </c>
      <c r="J50" s="38">
        <v>2713.5</v>
      </c>
      <c r="K50" s="38">
        <v>2713.5</v>
      </c>
      <c r="L50" s="332">
        <v>177</v>
      </c>
      <c r="M50" s="330" t="s">
        <v>46</v>
      </c>
      <c r="N50" s="330" t="s">
        <v>50</v>
      </c>
      <c r="O50" s="333" t="s">
        <v>1963</v>
      </c>
      <c r="P50" s="38">
        <v>2474623</v>
      </c>
      <c r="Q50" s="38">
        <v>0</v>
      </c>
      <c r="R50" s="38">
        <v>0</v>
      </c>
      <c r="S50" s="38">
        <f t="shared" si="1"/>
        <v>2474623</v>
      </c>
      <c r="T50" s="38">
        <f t="shared" si="0"/>
        <v>687.33799961114346</v>
      </c>
      <c r="U50" s="38">
        <v>1323.2243396383633</v>
      </c>
      <c r="V50" s="458">
        <f t="shared" si="2"/>
        <v>635.88634002721983</v>
      </c>
      <c r="W50" s="458">
        <f t="shared" si="3"/>
        <v>2620.8343396661385</v>
      </c>
      <c r="X50" s="458">
        <v>0</v>
      </c>
      <c r="Y50" s="459">
        <v>0</v>
      </c>
      <c r="Z50" s="459">
        <v>0</v>
      </c>
      <c r="AA50" s="459">
        <v>0</v>
      </c>
      <c r="AB50" s="459">
        <v>0</v>
      </c>
      <c r="AC50" s="459">
        <v>0</v>
      </c>
      <c r="AD50" s="459">
        <v>0</v>
      </c>
      <c r="AE50" s="459">
        <v>1512.41</v>
      </c>
      <c r="AF50" s="458">
        <f t="shared" si="5"/>
        <v>2620.8343396661385</v>
      </c>
      <c r="AG50" s="459">
        <v>0</v>
      </c>
      <c r="AH50" s="458">
        <v>0</v>
      </c>
      <c r="AI50" s="459">
        <v>0</v>
      </c>
      <c r="AJ50" s="458">
        <v>0</v>
      </c>
      <c r="AK50" s="459">
        <v>0</v>
      </c>
      <c r="AL50" s="459">
        <v>0</v>
      </c>
      <c r="AM50" s="459">
        <v>0</v>
      </c>
      <c r="AN50" s="459"/>
      <c r="AO50" s="459">
        <v>0</v>
      </c>
      <c r="AP50" s="460"/>
      <c r="AQ50" s="460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  <c r="BK50" s="460"/>
      <c r="BL50" s="460"/>
      <c r="BM50" s="460"/>
      <c r="BN50" s="460"/>
      <c r="BO50" s="460"/>
      <c r="BP50" s="460"/>
      <c r="BQ50" s="460"/>
      <c r="BR50" s="460"/>
      <c r="BS50" s="460"/>
      <c r="BT50" s="460"/>
      <c r="BU50" s="460"/>
      <c r="BV50" s="460"/>
      <c r="BW50" s="460"/>
      <c r="BX50" s="460"/>
      <c r="BY50" s="460"/>
      <c r="BZ50" s="460"/>
      <c r="CA50" s="460"/>
      <c r="CB50" s="460"/>
      <c r="CC50" s="460"/>
      <c r="CD50" s="460"/>
      <c r="CE50" s="460"/>
      <c r="CF50" s="460"/>
      <c r="CG50" s="460"/>
      <c r="CH50" s="460"/>
      <c r="CI50" s="460"/>
      <c r="CJ50" s="460"/>
      <c r="CK50" s="460"/>
    </row>
    <row r="51" spans="1:89" s="329" customFormat="1" ht="36" customHeight="1" x14ac:dyDescent="0.25">
      <c r="A51" s="329">
        <v>1</v>
      </c>
      <c r="B51" s="39">
        <f>SUBTOTAL(103,$A$16:A51)</f>
        <v>36</v>
      </c>
      <c r="C51" s="33" t="s">
        <v>960</v>
      </c>
      <c r="D51" s="330">
        <v>1988</v>
      </c>
      <c r="E51" s="330"/>
      <c r="F51" s="331" t="s">
        <v>60</v>
      </c>
      <c r="G51" s="330">
        <v>5</v>
      </c>
      <c r="H51" s="330" t="s">
        <v>75</v>
      </c>
      <c r="I51" s="38">
        <v>5399</v>
      </c>
      <c r="J51" s="38">
        <v>3872.5</v>
      </c>
      <c r="K51" s="38">
        <v>3872.5</v>
      </c>
      <c r="L51" s="332">
        <v>192</v>
      </c>
      <c r="M51" s="330" t="s">
        <v>46</v>
      </c>
      <c r="N51" s="330" t="s">
        <v>50</v>
      </c>
      <c r="O51" s="333" t="s">
        <v>1958</v>
      </c>
      <c r="P51" s="38">
        <v>4187098.32</v>
      </c>
      <c r="Q51" s="38">
        <v>0</v>
      </c>
      <c r="R51" s="38">
        <v>0</v>
      </c>
      <c r="S51" s="38">
        <f t="shared" si="1"/>
        <v>4187098.32</v>
      </c>
      <c r="T51" s="38">
        <f t="shared" si="0"/>
        <v>775.53219485089824</v>
      </c>
      <c r="U51" s="38">
        <v>1159.5091683645119</v>
      </c>
      <c r="V51" s="458">
        <f t="shared" si="2"/>
        <v>383.97697351361364</v>
      </c>
      <c r="W51" s="458">
        <f t="shared" si="3"/>
        <v>2392.7531419336915</v>
      </c>
      <c r="X51" s="458">
        <v>0</v>
      </c>
      <c r="Y51" s="459">
        <v>0</v>
      </c>
      <c r="Z51" s="459">
        <v>0</v>
      </c>
      <c r="AA51" s="459">
        <v>0</v>
      </c>
      <c r="AB51" s="459">
        <v>0</v>
      </c>
      <c r="AC51" s="459">
        <v>0</v>
      </c>
      <c r="AD51" s="459">
        <v>0</v>
      </c>
      <c r="AE51" s="459">
        <v>2070.63</v>
      </c>
      <c r="AF51" s="458">
        <f t="shared" si="5"/>
        <v>2392.7531419336915</v>
      </c>
      <c r="AG51" s="459">
        <v>0</v>
      </c>
      <c r="AH51" s="458">
        <v>0</v>
      </c>
      <c r="AI51" s="459">
        <v>0</v>
      </c>
      <c r="AJ51" s="458">
        <v>0</v>
      </c>
      <c r="AK51" s="459">
        <v>0</v>
      </c>
      <c r="AL51" s="459">
        <v>0</v>
      </c>
      <c r="AM51" s="459">
        <v>0</v>
      </c>
      <c r="AN51" s="459"/>
      <c r="AO51" s="459">
        <v>0</v>
      </c>
      <c r="AP51" s="460"/>
      <c r="AQ51" s="460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  <c r="BK51" s="460"/>
      <c r="BL51" s="460"/>
      <c r="BM51" s="460"/>
      <c r="BN51" s="460"/>
      <c r="BO51" s="460"/>
      <c r="BP51" s="460"/>
      <c r="BQ51" s="460"/>
      <c r="BR51" s="460"/>
      <c r="BS51" s="460"/>
      <c r="BT51" s="460"/>
      <c r="BU51" s="460"/>
      <c r="BV51" s="460"/>
      <c r="BW51" s="460"/>
      <c r="BX51" s="460"/>
      <c r="BY51" s="460"/>
      <c r="BZ51" s="460"/>
      <c r="CA51" s="460"/>
      <c r="CB51" s="460"/>
      <c r="CC51" s="460"/>
      <c r="CD51" s="460"/>
      <c r="CE51" s="460"/>
      <c r="CF51" s="460"/>
      <c r="CG51" s="460"/>
      <c r="CH51" s="460"/>
      <c r="CI51" s="460"/>
      <c r="CJ51" s="460"/>
      <c r="CK51" s="460"/>
    </row>
    <row r="52" spans="1:89" s="329" customFormat="1" ht="36" customHeight="1" x14ac:dyDescent="0.25">
      <c r="A52" s="329">
        <v>1</v>
      </c>
      <c r="B52" s="39">
        <f>SUBTOTAL(103,$A$16:A52)</f>
        <v>37</v>
      </c>
      <c r="C52" s="33" t="s">
        <v>927</v>
      </c>
      <c r="D52" s="330">
        <v>1987</v>
      </c>
      <c r="E52" s="330"/>
      <c r="F52" s="331" t="s">
        <v>60</v>
      </c>
      <c r="G52" s="330">
        <v>5</v>
      </c>
      <c r="H52" s="330" t="s">
        <v>61</v>
      </c>
      <c r="I52" s="38">
        <v>3281.4</v>
      </c>
      <c r="J52" s="38">
        <v>2306.6999999999998</v>
      </c>
      <c r="K52" s="38">
        <v>2306.6999999999998</v>
      </c>
      <c r="L52" s="332">
        <v>94</v>
      </c>
      <c r="M52" s="330" t="s">
        <v>46</v>
      </c>
      <c r="N52" s="330" t="s">
        <v>50</v>
      </c>
      <c r="O52" s="333" t="s">
        <v>1958</v>
      </c>
      <c r="P52" s="38">
        <v>2336593.75</v>
      </c>
      <c r="Q52" s="38">
        <v>0</v>
      </c>
      <c r="R52" s="38">
        <v>0</v>
      </c>
      <c r="S52" s="38">
        <f t="shared" si="1"/>
        <v>2336593.75</v>
      </c>
      <c r="T52" s="38">
        <f t="shared" si="0"/>
        <v>712.07221003230325</v>
      </c>
      <c r="U52" s="38">
        <v>1104.6047449259461</v>
      </c>
      <c r="V52" s="458">
        <f t="shared" si="2"/>
        <v>392.53253489364283</v>
      </c>
      <c r="W52" s="458">
        <f t="shared" si="3"/>
        <v>1446.8856311330528</v>
      </c>
      <c r="X52" s="458">
        <v>0</v>
      </c>
      <c r="Y52" s="459">
        <v>0</v>
      </c>
      <c r="Z52" s="459">
        <v>0</v>
      </c>
      <c r="AA52" s="459">
        <v>0</v>
      </c>
      <c r="AB52" s="459">
        <v>0</v>
      </c>
      <c r="AC52" s="459">
        <v>0</v>
      </c>
      <c r="AD52" s="459">
        <v>0</v>
      </c>
      <c r="AE52" s="459">
        <v>761</v>
      </c>
      <c r="AF52" s="458">
        <f t="shared" si="5"/>
        <v>1446.8856311330528</v>
      </c>
      <c r="AG52" s="459">
        <v>0</v>
      </c>
      <c r="AH52" s="458">
        <v>0</v>
      </c>
      <c r="AI52" s="459">
        <v>0</v>
      </c>
      <c r="AJ52" s="458">
        <v>0</v>
      </c>
      <c r="AK52" s="459">
        <v>0</v>
      </c>
      <c r="AL52" s="459">
        <v>0</v>
      </c>
      <c r="AM52" s="459">
        <v>0</v>
      </c>
      <c r="AN52" s="459"/>
      <c r="AO52" s="459">
        <v>0</v>
      </c>
      <c r="AP52" s="460"/>
      <c r="AQ52" s="460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  <c r="BK52" s="460"/>
      <c r="BL52" s="460"/>
      <c r="BM52" s="460"/>
      <c r="BN52" s="460"/>
      <c r="BO52" s="460"/>
      <c r="BP52" s="460"/>
      <c r="BQ52" s="460"/>
      <c r="BR52" s="460"/>
      <c r="BS52" s="460"/>
      <c r="BT52" s="460"/>
      <c r="BU52" s="460"/>
      <c r="BV52" s="460"/>
      <c r="BW52" s="460"/>
      <c r="BX52" s="460"/>
      <c r="BY52" s="460"/>
      <c r="BZ52" s="460"/>
      <c r="CA52" s="460"/>
      <c r="CB52" s="460"/>
      <c r="CC52" s="460"/>
      <c r="CD52" s="460"/>
      <c r="CE52" s="460"/>
      <c r="CF52" s="460"/>
      <c r="CG52" s="460"/>
      <c r="CH52" s="460"/>
      <c r="CI52" s="460"/>
      <c r="CJ52" s="460"/>
      <c r="CK52" s="460"/>
    </row>
    <row r="53" spans="1:89" s="329" customFormat="1" ht="36" customHeight="1" x14ac:dyDescent="0.25">
      <c r="A53" s="329">
        <v>1</v>
      </c>
      <c r="B53" s="39">
        <f>SUBTOTAL(103,$A$16:A53)</f>
        <v>38</v>
      </c>
      <c r="C53" s="33" t="s">
        <v>990</v>
      </c>
      <c r="D53" s="330">
        <v>1952</v>
      </c>
      <c r="E53" s="330"/>
      <c r="F53" s="331" t="s">
        <v>48</v>
      </c>
      <c r="G53" s="330">
        <v>2</v>
      </c>
      <c r="H53" s="330" t="s">
        <v>56</v>
      </c>
      <c r="I53" s="38">
        <v>796</v>
      </c>
      <c r="J53" s="38">
        <v>722.8</v>
      </c>
      <c r="K53" s="38">
        <v>722.8</v>
      </c>
      <c r="L53" s="332">
        <v>49</v>
      </c>
      <c r="M53" s="330" t="s">
        <v>46</v>
      </c>
      <c r="N53" s="330" t="s">
        <v>50</v>
      </c>
      <c r="O53" s="333" t="s">
        <v>251</v>
      </c>
      <c r="P53" s="38">
        <v>2470286.52</v>
      </c>
      <c r="Q53" s="38">
        <v>0</v>
      </c>
      <c r="R53" s="38">
        <v>0</v>
      </c>
      <c r="S53" s="38">
        <f t="shared" si="1"/>
        <v>2470286.52</v>
      </c>
      <c r="T53" s="38">
        <f t="shared" si="0"/>
        <v>3103.3750251256283</v>
      </c>
      <c r="U53" s="38">
        <v>6032.1177512562808</v>
      </c>
      <c r="V53" s="458">
        <f t="shared" si="2"/>
        <v>2928.7427261306525</v>
      </c>
      <c r="W53" s="458">
        <f t="shared" si="3"/>
        <v>7837.8266331658288</v>
      </c>
      <c r="X53" s="458">
        <v>0</v>
      </c>
      <c r="Y53" s="459">
        <v>0</v>
      </c>
      <c r="Z53" s="459">
        <v>0</v>
      </c>
      <c r="AA53" s="459">
        <v>0</v>
      </c>
      <c r="AB53" s="459">
        <v>0</v>
      </c>
      <c r="AC53" s="459">
        <v>0</v>
      </c>
      <c r="AD53" s="459">
        <v>0</v>
      </c>
      <c r="AE53" s="459">
        <v>1000</v>
      </c>
      <c r="AF53" s="458">
        <f t="shared" si="5"/>
        <v>7837.8266331658288</v>
      </c>
      <c r="AG53" s="459">
        <v>0</v>
      </c>
      <c r="AH53" s="458">
        <v>0</v>
      </c>
      <c r="AI53" s="459">
        <v>0</v>
      </c>
      <c r="AJ53" s="458">
        <v>0</v>
      </c>
      <c r="AK53" s="459">
        <v>0</v>
      </c>
      <c r="AL53" s="459">
        <v>0</v>
      </c>
      <c r="AM53" s="459">
        <v>0</v>
      </c>
      <c r="AN53" s="459"/>
      <c r="AO53" s="459">
        <v>0</v>
      </c>
      <c r="AP53" s="460"/>
      <c r="AQ53" s="460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0"/>
      <c r="BU53" s="460"/>
      <c r="BV53" s="460"/>
      <c r="BW53" s="460"/>
      <c r="BX53" s="460"/>
      <c r="BY53" s="460"/>
      <c r="BZ53" s="460"/>
      <c r="CA53" s="460"/>
      <c r="CB53" s="460"/>
      <c r="CC53" s="460"/>
      <c r="CD53" s="460"/>
      <c r="CE53" s="460"/>
      <c r="CF53" s="460"/>
      <c r="CG53" s="460"/>
      <c r="CH53" s="460"/>
      <c r="CI53" s="460"/>
      <c r="CJ53" s="460"/>
      <c r="CK53" s="460"/>
    </row>
    <row r="54" spans="1:89" s="329" customFormat="1" ht="36" customHeight="1" x14ac:dyDescent="0.25">
      <c r="A54" s="329">
        <v>1</v>
      </c>
      <c r="B54" s="39">
        <f>SUBTOTAL(103,$A$16:A54)</f>
        <v>39</v>
      </c>
      <c r="C54" s="33" t="s">
        <v>962</v>
      </c>
      <c r="D54" s="330">
        <v>1989</v>
      </c>
      <c r="E54" s="330"/>
      <c r="F54" s="331" t="s">
        <v>60</v>
      </c>
      <c r="G54" s="330">
        <v>5</v>
      </c>
      <c r="H54" s="330" t="s">
        <v>59</v>
      </c>
      <c r="I54" s="38">
        <v>4350.1000000000004</v>
      </c>
      <c r="J54" s="38">
        <v>3109.8</v>
      </c>
      <c r="K54" s="38">
        <v>3109.8</v>
      </c>
      <c r="L54" s="332">
        <v>137</v>
      </c>
      <c r="M54" s="330" t="s">
        <v>46</v>
      </c>
      <c r="N54" s="330" t="s">
        <v>50</v>
      </c>
      <c r="O54" s="333" t="s">
        <v>1958</v>
      </c>
      <c r="P54" s="38">
        <v>3382151.3</v>
      </c>
      <c r="Q54" s="38">
        <v>0</v>
      </c>
      <c r="R54" s="38">
        <v>0</v>
      </c>
      <c r="S54" s="38">
        <f t="shared" si="1"/>
        <v>3382151.3</v>
      </c>
      <c r="T54" s="38">
        <f t="shared" si="0"/>
        <v>777.4881726856853</v>
      </c>
      <c r="U54" s="38">
        <v>1151.2728443024298</v>
      </c>
      <c r="V54" s="458">
        <f t="shared" si="2"/>
        <v>373.7846716167445</v>
      </c>
      <c r="W54" s="458">
        <f t="shared" si="3"/>
        <v>860.51952828670596</v>
      </c>
      <c r="X54" s="458">
        <v>0</v>
      </c>
      <c r="Y54" s="459">
        <v>0</v>
      </c>
      <c r="Z54" s="459">
        <v>0</v>
      </c>
      <c r="AA54" s="459">
        <v>0</v>
      </c>
      <c r="AB54" s="459">
        <v>0</v>
      </c>
      <c r="AC54" s="459">
        <v>0</v>
      </c>
      <c r="AD54" s="459">
        <v>0</v>
      </c>
      <c r="AE54" s="459">
        <v>600</v>
      </c>
      <c r="AF54" s="458">
        <f t="shared" si="5"/>
        <v>860.51952828670596</v>
      </c>
      <c r="AG54" s="459">
        <v>0</v>
      </c>
      <c r="AH54" s="458">
        <v>0</v>
      </c>
      <c r="AI54" s="459">
        <v>0</v>
      </c>
      <c r="AJ54" s="458">
        <v>0</v>
      </c>
      <c r="AK54" s="459">
        <v>0</v>
      </c>
      <c r="AL54" s="459">
        <v>0</v>
      </c>
      <c r="AM54" s="459">
        <v>0</v>
      </c>
      <c r="AN54" s="459"/>
      <c r="AO54" s="459">
        <v>0</v>
      </c>
      <c r="AP54" s="460"/>
      <c r="AQ54" s="460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  <c r="BK54" s="460"/>
      <c r="BL54" s="460"/>
      <c r="BM54" s="460"/>
      <c r="BN54" s="460"/>
      <c r="BO54" s="460"/>
      <c r="BP54" s="460"/>
      <c r="BQ54" s="460"/>
      <c r="BR54" s="460"/>
      <c r="BS54" s="460"/>
      <c r="BT54" s="460"/>
      <c r="BU54" s="460"/>
      <c r="BV54" s="460"/>
      <c r="BW54" s="460"/>
      <c r="BX54" s="460"/>
      <c r="BY54" s="460"/>
      <c r="BZ54" s="460"/>
      <c r="CA54" s="460"/>
      <c r="CB54" s="460"/>
      <c r="CC54" s="460"/>
      <c r="CD54" s="460"/>
      <c r="CE54" s="460"/>
      <c r="CF54" s="460"/>
      <c r="CG54" s="460"/>
      <c r="CH54" s="460"/>
      <c r="CI54" s="460"/>
      <c r="CJ54" s="460"/>
      <c r="CK54" s="460"/>
    </row>
    <row r="55" spans="1:89" s="329" customFormat="1" ht="36" customHeight="1" x14ac:dyDescent="0.25">
      <c r="A55" s="329">
        <v>1</v>
      </c>
      <c r="B55" s="39">
        <f>SUBTOTAL(103,$A$16:A55)</f>
        <v>40</v>
      </c>
      <c r="C55" s="33" t="s">
        <v>993</v>
      </c>
      <c r="D55" s="330">
        <v>1958</v>
      </c>
      <c r="E55" s="330"/>
      <c r="F55" s="331" t="s">
        <v>48</v>
      </c>
      <c r="G55" s="330">
        <v>3</v>
      </c>
      <c r="H55" s="330" t="s">
        <v>61</v>
      </c>
      <c r="I55" s="38">
        <v>3520.2</v>
      </c>
      <c r="J55" s="38">
        <v>1801.8</v>
      </c>
      <c r="K55" s="38">
        <v>1401.4</v>
      </c>
      <c r="L55" s="332">
        <v>68</v>
      </c>
      <c r="M55" s="330" t="s">
        <v>46</v>
      </c>
      <c r="N55" s="330" t="s">
        <v>50</v>
      </c>
      <c r="O55" s="333" t="s">
        <v>1959</v>
      </c>
      <c r="P55" s="38">
        <v>4414109.6800000006</v>
      </c>
      <c r="Q55" s="38">
        <v>0</v>
      </c>
      <c r="R55" s="38">
        <v>0</v>
      </c>
      <c r="S55" s="38">
        <f t="shared" si="1"/>
        <v>4414109.6800000006</v>
      </c>
      <c r="T55" s="38">
        <f t="shared" si="0"/>
        <v>1253.9371853871942</v>
      </c>
      <c r="U55" s="38">
        <v>1893.9555565024714</v>
      </c>
      <c r="V55" s="458">
        <f t="shared" si="2"/>
        <v>640.0183711152772</v>
      </c>
      <c r="W55" s="458">
        <f t="shared" si="3"/>
        <v>1020.7482033407194</v>
      </c>
      <c r="X55" s="458">
        <v>0</v>
      </c>
      <c r="Y55" s="459">
        <v>0</v>
      </c>
      <c r="Z55" s="459">
        <v>0</v>
      </c>
      <c r="AA55" s="459">
        <v>0</v>
      </c>
      <c r="AB55" s="459">
        <v>0</v>
      </c>
      <c r="AC55" s="459">
        <v>0</v>
      </c>
      <c r="AD55" s="459">
        <v>0</v>
      </c>
      <c r="AE55" s="459">
        <v>575.94000000000005</v>
      </c>
      <c r="AF55" s="458">
        <f t="shared" si="5"/>
        <v>1020.7482033407194</v>
      </c>
      <c r="AG55" s="459">
        <v>0</v>
      </c>
      <c r="AH55" s="458">
        <v>0</v>
      </c>
      <c r="AI55" s="459">
        <v>0</v>
      </c>
      <c r="AJ55" s="458">
        <v>0</v>
      </c>
      <c r="AK55" s="459">
        <v>0</v>
      </c>
      <c r="AL55" s="459">
        <v>0</v>
      </c>
      <c r="AM55" s="459">
        <v>0</v>
      </c>
      <c r="AN55" s="459"/>
      <c r="AO55" s="459">
        <v>0</v>
      </c>
      <c r="AP55" s="460"/>
      <c r="AQ55" s="460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  <c r="BK55" s="460"/>
      <c r="BL55" s="460"/>
      <c r="BM55" s="460"/>
      <c r="BN55" s="460"/>
      <c r="BO55" s="460"/>
      <c r="BP55" s="460"/>
      <c r="BQ55" s="460"/>
      <c r="BR55" s="460"/>
      <c r="BS55" s="460"/>
      <c r="BT55" s="460"/>
      <c r="BU55" s="460"/>
      <c r="BV55" s="460"/>
      <c r="BW55" s="460"/>
      <c r="BX55" s="460"/>
      <c r="BY55" s="460"/>
      <c r="BZ55" s="460"/>
      <c r="CA55" s="460"/>
      <c r="CB55" s="460"/>
      <c r="CC55" s="460"/>
      <c r="CD55" s="460"/>
      <c r="CE55" s="460"/>
      <c r="CF55" s="460"/>
      <c r="CG55" s="460"/>
      <c r="CH55" s="460"/>
      <c r="CI55" s="460"/>
      <c r="CJ55" s="460"/>
      <c r="CK55" s="460"/>
    </row>
    <row r="56" spans="1:89" s="329" customFormat="1" ht="36" customHeight="1" x14ac:dyDescent="0.25">
      <c r="A56" s="329">
        <v>1</v>
      </c>
      <c r="B56" s="39">
        <f>SUBTOTAL(103,$A$16:A56)</f>
        <v>41</v>
      </c>
      <c r="C56" s="33" t="s">
        <v>995</v>
      </c>
      <c r="D56" s="330">
        <v>1997</v>
      </c>
      <c r="E56" s="330"/>
      <c r="F56" s="331" t="s">
        <v>48</v>
      </c>
      <c r="G56" s="330">
        <v>4</v>
      </c>
      <c r="H56" s="330" t="s">
        <v>61</v>
      </c>
      <c r="I56" s="38">
        <v>2862.3</v>
      </c>
      <c r="J56" s="38">
        <v>2046.7</v>
      </c>
      <c r="K56" s="38">
        <v>2046.7</v>
      </c>
      <c r="L56" s="332">
        <v>95</v>
      </c>
      <c r="M56" s="330" t="s">
        <v>46</v>
      </c>
      <c r="N56" s="330" t="s">
        <v>50</v>
      </c>
      <c r="O56" s="333" t="s">
        <v>1963</v>
      </c>
      <c r="P56" s="38">
        <v>82721.55</v>
      </c>
      <c r="Q56" s="38">
        <v>0</v>
      </c>
      <c r="R56" s="38">
        <v>0</v>
      </c>
      <c r="S56" s="38">
        <f t="shared" si="1"/>
        <v>82721.55</v>
      </c>
      <c r="T56" s="38">
        <f t="shared" si="0"/>
        <v>28.900377318939313</v>
      </c>
      <c r="U56" s="38">
        <v>28.900377318939313</v>
      </c>
      <c r="V56" s="458">
        <f t="shared" si="2"/>
        <v>0</v>
      </c>
      <c r="W56" s="458">
        <f t="shared" si="3"/>
        <v>1743.7473360584145</v>
      </c>
      <c r="X56" s="458">
        <v>0</v>
      </c>
      <c r="Y56" s="459">
        <v>0</v>
      </c>
      <c r="Z56" s="459">
        <v>0</v>
      </c>
      <c r="AA56" s="459">
        <v>0</v>
      </c>
      <c r="AB56" s="459">
        <v>0</v>
      </c>
      <c r="AC56" s="459">
        <v>0</v>
      </c>
      <c r="AD56" s="459">
        <v>0</v>
      </c>
      <c r="AE56" s="459">
        <v>800</v>
      </c>
      <c r="AF56" s="458">
        <f t="shared" si="5"/>
        <v>1743.7473360584145</v>
      </c>
      <c r="AG56" s="459">
        <v>0</v>
      </c>
      <c r="AH56" s="458">
        <v>0</v>
      </c>
      <c r="AI56" s="459">
        <v>0</v>
      </c>
      <c r="AJ56" s="458">
        <v>0</v>
      </c>
      <c r="AK56" s="459">
        <v>0</v>
      </c>
      <c r="AL56" s="459">
        <v>0</v>
      </c>
      <c r="AM56" s="459">
        <v>0</v>
      </c>
      <c r="AN56" s="459"/>
      <c r="AO56" s="459">
        <v>0</v>
      </c>
      <c r="AP56" s="460"/>
      <c r="AQ56" s="460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  <c r="BK56" s="460"/>
      <c r="BL56" s="460"/>
      <c r="BM56" s="460"/>
      <c r="BN56" s="460"/>
      <c r="BO56" s="460"/>
      <c r="BP56" s="460"/>
      <c r="BQ56" s="460"/>
      <c r="BR56" s="460"/>
      <c r="BS56" s="460"/>
      <c r="BT56" s="460"/>
      <c r="BU56" s="460"/>
      <c r="BV56" s="460"/>
      <c r="BW56" s="460"/>
      <c r="BX56" s="460"/>
      <c r="BY56" s="460"/>
      <c r="BZ56" s="460"/>
      <c r="CA56" s="460"/>
      <c r="CB56" s="460"/>
      <c r="CC56" s="460"/>
      <c r="CD56" s="460"/>
      <c r="CE56" s="460"/>
      <c r="CF56" s="460"/>
      <c r="CG56" s="460"/>
      <c r="CH56" s="460"/>
      <c r="CI56" s="460"/>
      <c r="CJ56" s="460"/>
      <c r="CK56" s="460"/>
    </row>
    <row r="57" spans="1:89" s="329" customFormat="1" ht="36" customHeight="1" x14ac:dyDescent="0.25">
      <c r="A57" s="329">
        <v>1</v>
      </c>
      <c r="B57" s="39">
        <f>SUBTOTAL(103,$A$16:A57)</f>
        <v>42</v>
      </c>
      <c r="C57" s="33" t="s">
        <v>964</v>
      </c>
      <c r="D57" s="330">
        <v>1995</v>
      </c>
      <c r="E57" s="330"/>
      <c r="F57" s="331" t="s">
        <v>60</v>
      </c>
      <c r="G57" s="330">
        <v>9</v>
      </c>
      <c r="H57" s="330" t="s">
        <v>59</v>
      </c>
      <c r="I57" s="38">
        <v>8787.9</v>
      </c>
      <c r="J57" s="38">
        <v>6287.1</v>
      </c>
      <c r="K57" s="38">
        <v>5664.6</v>
      </c>
      <c r="L57" s="332">
        <v>197</v>
      </c>
      <c r="M57" s="330" t="s">
        <v>46</v>
      </c>
      <c r="N57" s="330" t="s">
        <v>50</v>
      </c>
      <c r="O57" s="333" t="s">
        <v>1958</v>
      </c>
      <c r="P57" s="38">
        <v>3491771.3</v>
      </c>
      <c r="Q57" s="38">
        <v>0</v>
      </c>
      <c r="R57" s="38">
        <v>0</v>
      </c>
      <c r="S57" s="38">
        <f t="shared" si="1"/>
        <v>3491771.3</v>
      </c>
      <c r="T57" s="38">
        <f t="shared" si="0"/>
        <v>397.3385336656084</v>
      </c>
      <c r="U57" s="38">
        <v>840.66161642713269</v>
      </c>
      <c r="V57" s="458">
        <f t="shared" si="2"/>
        <v>443.32308276152429</v>
      </c>
      <c r="W57" s="458">
        <f t="shared" si="3"/>
        <v>756.0895265080394</v>
      </c>
      <c r="X57" s="458">
        <v>0</v>
      </c>
      <c r="Y57" s="459">
        <v>0</v>
      </c>
      <c r="Z57" s="459">
        <v>0</v>
      </c>
      <c r="AA57" s="459">
        <v>0</v>
      </c>
      <c r="AB57" s="459">
        <v>0</v>
      </c>
      <c r="AC57" s="459">
        <v>0</v>
      </c>
      <c r="AD57" s="459">
        <v>0</v>
      </c>
      <c r="AE57" s="459">
        <v>1065</v>
      </c>
      <c r="AF57" s="458">
        <f t="shared" si="5"/>
        <v>756.0895265080394</v>
      </c>
      <c r="AG57" s="459">
        <v>0</v>
      </c>
      <c r="AH57" s="458">
        <v>0</v>
      </c>
      <c r="AI57" s="459">
        <v>0</v>
      </c>
      <c r="AJ57" s="458">
        <v>0</v>
      </c>
      <c r="AK57" s="459">
        <v>0</v>
      </c>
      <c r="AL57" s="459">
        <v>0</v>
      </c>
      <c r="AM57" s="459">
        <v>0</v>
      </c>
      <c r="AN57" s="459"/>
      <c r="AO57" s="459">
        <v>0</v>
      </c>
      <c r="AP57" s="460"/>
      <c r="AQ57" s="460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  <c r="BK57" s="460"/>
      <c r="BL57" s="460"/>
      <c r="BM57" s="460"/>
      <c r="BN57" s="460"/>
      <c r="BO57" s="460"/>
      <c r="BP57" s="460"/>
      <c r="BQ57" s="460"/>
      <c r="BR57" s="460"/>
      <c r="BS57" s="460"/>
      <c r="BT57" s="460"/>
      <c r="BU57" s="460"/>
      <c r="BV57" s="460"/>
      <c r="BW57" s="460"/>
      <c r="BX57" s="460"/>
      <c r="BY57" s="460"/>
      <c r="BZ57" s="460"/>
      <c r="CA57" s="460"/>
      <c r="CB57" s="460"/>
      <c r="CC57" s="460"/>
      <c r="CD57" s="460"/>
      <c r="CE57" s="460"/>
      <c r="CF57" s="460"/>
      <c r="CG57" s="460"/>
      <c r="CH57" s="460"/>
      <c r="CI57" s="460"/>
      <c r="CJ57" s="460"/>
      <c r="CK57" s="460"/>
    </row>
    <row r="58" spans="1:89" s="329" customFormat="1" ht="36" customHeight="1" x14ac:dyDescent="0.25">
      <c r="A58" s="329">
        <v>1</v>
      </c>
      <c r="B58" s="39">
        <f>SUBTOTAL(103,$A$16:A58)</f>
        <v>43</v>
      </c>
      <c r="C58" s="33" t="s">
        <v>998</v>
      </c>
      <c r="D58" s="330">
        <v>1988</v>
      </c>
      <c r="E58" s="330"/>
      <c r="F58" s="331" t="s">
        <v>48</v>
      </c>
      <c r="G58" s="330">
        <v>2</v>
      </c>
      <c r="H58" s="330" t="s">
        <v>56</v>
      </c>
      <c r="I58" s="38">
        <v>1063.8</v>
      </c>
      <c r="J58" s="38">
        <v>565.6</v>
      </c>
      <c r="K58" s="38">
        <v>565.6</v>
      </c>
      <c r="L58" s="332">
        <v>36</v>
      </c>
      <c r="M58" s="330" t="s">
        <v>46</v>
      </c>
      <c r="N58" s="330" t="s">
        <v>50</v>
      </c>
      <c r="O58" s="333" t="s">
        <v>1963</v>
      </c>
      <c r="P58" s="38">
        <v>62259.5</v>
      </c>
      <c r="Q58" s="38">
        <v>0</v>
      </c>
      <c r="R58" s="38">
        <v>0</v>
      </c>
      <c r="S58" s="38">
        <f t="shared" si="1"/>
        <v>62259.5</v>
      </c>
      <c r="T58" s="38">
        <f t="shared" si="0"/>
        <v>58.525568715924045</v>
      </c>
      <c r="U58" s="38">
        <v>58.525568715924045</v>
      </c>
      <c r="V58" s="458">
        <f t="shared" si="2"/>
        <v>0</v>
      </c>
      <c r="W58" s="458">
        <f t="shared" si="3"/>
        <v>5301.7246098890764</v>
      </c>
      <c r="X58" s="458">
        <v>0</v>
      </c>
      <c r="Y58" s="459">
        <v>0</v>
      </c>
      <c r="Z58" s="459">
        <v>0</v>
      </c>
      <c r="AA58" s="459">
        <v>0</v>
      </c>
      <c r="AB58" s="459">
        <v>0</v>
      </c>
      <c r="AC58" s="459">
        <v>0</v>
      </c>
      <c r="AD58" s="459">
        <v>0</v>
      </c>
      <c r="AE58" s="459">
        <v>904</v>
      </c>
      <c r="AF58" s="458">
        <f t="shared" si="5"/>
        <v>5301.7246098890764</v>
      </c>
      <c r="AG58" s="459">
        <v>0</v>
      </c>
      <c r="AH58" s="458">
        <v>0</v>
      </c>
      <c r="AI58" s="459">
        <v>0</v>
      </c>
      <c r="AJ58" s="458">
        <v>0</v>
      </c>
      <c r="AK58" s="459">
        <v>0</v>
      </c>
      <c r="AL58" s="459">
        <v>0</v>
      </c>
      <c r="AM58" s="459">
        <v>0</v>
      </c>
      <c r="AN58" s="459"/>
      <c r="AO58" s="459">
        <v>0</v>
      </c>
      <c r="AP58" s="460"/>
      <c r="AQ58" s="460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  <c r="BK58" s="460"/>
      <c r="BL58" s="460"/>
      <c r="BM58" s="460"/>
      <c r="BN58" s="460"/>
      <c r="BO58" s="460"/>
      <c r="BP58" s="460"/>
      <c r="BQ58" s="460"/>
      <c r="BR58" s="460"/>
      <c r="BS58" s="460"/>
      <c r="BT58" s="460"/>
      <c r="BU58" s="460"/>
      <c r="BV58" s="460"/>
      <c r="BW58" s="460"/>
      <c r="BX58" s="460"/>
      <c r="BY58" s="460"/>
      <c r="BZ58" s="460"/>
      <c r="CA58" s="460"/>
      <c r="CB58" s="460"/>
      <c r="CC58" s="460"/>
      <c r="CD58" s="460"/>
      <c r="CE58" s="460"/>
      <c r="CF58" s="460"/>
      <c r="CG58" s="460"/>
      <c r="CH58" s="460"/>
      <c r="CI58" s="460"/>
      <c r="CJ58" s="460"/>
      <c r="CK58" s="460"/>
    </row>
    <row r="59" spans="1:89" s="329" customFormat="1" ht="36" customHeight="1" x14ac:dyDescent="0.25">
      <c r="A59" s="329">
        <v>1</v>
      </c>
      <c r="B59" s="39">
        <f>SUBTOTAL(103,$A$16:A59)</f>
        <v>44</v>
      </c>
      <c r="C59" s="33" t="s">
        <v>929</v>
      </c>
      <c r="D59" s="330">
        <v>1971</v>
      </c>
      <c r="E59" s="330"/>
      <c r="F59" s="331" t="s">
        <v>48</v>
      </c>
      <c r="G59" s="330">
        <v>9</v>
      </c>
      <c r="H59" s="330" t="s">
        <v>57</v>
      </c>
      <c r="I59" s="38">
        <v>2016.9</v>
      </c>
      <c r="J59" s="38">
        <v>1902</v>
      </c>
      <c r="K59" s="38">
        <v>1902</v>
      </c>
      <c r="L59" s="332">
        <v>140</v>
      </c>
      <c r="M59" s="330" t="s">
        <v>46</v>
      </c>
      <c r="N59" s="330" t="s">
        <v>50</v>
      </c>
      <c r="O59" s="333" t="s">
        <v>1966</v>
      </c>
      <c r="P59" s="38">
        <v>605681</v>
      </c>
      <c r="Q59" s="38">
        <v>0</v>
      </c>
      <c r="R59" s="38">
        <v>0</v>
      </c>
      <c r="S59" s="38">
        <f t="shared" si="1"/>
        <v>605681</v>
      </c>
      <c r="T59" s="38">
        <f t="shared" si="0"/>
        <v>300.30294015568444</v>
      </c>
      <c r="U59" s="38">
        <v>949.03847211066477</v>
      </c>
      <c r="V59" s="458">
        <f t="shared" si="2"/>
        <v>648.73553195498039</v>
      </c>
      <c r="W59" s="458">
        <f t="shared" si="3"/>
        <v>3650.4227730675784</v>
      </c>
      <c r="X59" s="458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1180.0999999999999</v>
      </c>
      <c r="AF59" s="458">
        <f t="shared" si="5"/>
        <v>3650.4227730675784</v>
      </c>
      <c r="AG59" s="459">
        <v>0</v>
      </c>
      <c r="AH59" s="458">
        <v>0</v>
      </c>
      <c r="AI59" s="459">
        <v>0</v>
      </c>
      <c r="AJ59" s="458">
        <v>0</v>
      </c>
      <c r="AK59" s="459">
        <v>0</v>
      </c>
      <c r="AL59" s="459">
        <v>0</v>
      </c>
      <c r="AM59" s="459">
        <v>0</v>
      </c>
      <c r="AN59" s="459"/>
      <c r="AO59" s="459">
        <v>0</v>
      </c>
      <c r="AP59" s="460"/>
      <c r="AQ59" s="460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  <c r="BK59" s="460"/>
      <c r="BL59" s="460"/>
      <c r="BM59" s="460"/>
      <c r="BN59" s="460"/>
      <c r="BO59" s="460"/>
      <c r="BP59" s="460"/>
      <c r="BQ59" s="460"/>
      <c r="BR59" s="460"/>
      <c r="BS59" s="460"/>
      <c r="BT59" s="460"/>
      <c r="BU59" s="460"/>
      <c r="BV59" s="460"/>
      <c r="BW59" s="460"/>
      <c r="BX59" s="460"/>
      <c r="BY59" s="460"/>
      <c r="BZ59" s="460"/>
      <c r="CA59" s="460"/>
      <c r="CB59" s="460"/>
      <c r="CC59" s="460"/>
      <c r="CD59" s="460"/>
      <c r="CE59" s="460"/>
      <c r="CF59" s="460"/>
      <c r="CG59" s="460"/>
      <c r="CH59" s="460"/>
      <c r="CI59" s="460"/>
      <c r="CJ59" s="460"/>
      <c r="CK59" s="460"/>
    </row>
    <row r="60" spans="1:89" s="329" customFormat="1" ht="36" customHeight="1" x14ac:dyDescent="0.25">
      <c r="A60" s="329">
        <v>1</v>
      </c>
      <c r="B60" s="39">
        <f>SUBTOTAL(103,$A$16:A60)</f>
        <v>45</v>
      </c>
      <c r="C60" s="33" t="s">
        <v>966</v>
      </c>
      <c r="D60" s="330">
        <v>1963</v>
      </c>
      <c r="E60" s="330"/>
      <c r="F60" s="331" t="s">
        <v>48</v>
      </c>
      <c r="G60" s="330">
        <v>5</v>
      </c>
      <c r="H60" s="330" t="s">
        <v>61</v>
      </c>
      <c r="I60" s="38">
        <v>2525.6</v>
      </c>
      <c r="J60" s="38">
        <v>1705.3</v>
      </c>
      <c r="K60" s="38">
        <v>1560.2</v>
      </c>
      <c r="L60" s="332">
        <v>98</v>
      </c>
      <c r="M60" s="330" t="s">
        <v>46</v>
      </c>
      <c r="N60" s="330" t="s">
        <v>50</v>
      </c>
      <c r="O60" s="333" t="s">
        <v>1967</v>
      </c>
      <c r="P60" s="38">
        <v>3492157.84</v>
      </c>
      <c r="Q60" s="38">
        <v>0</v>
      </c>
      <c r="R60" s="38">
        <v>0</v>
      </c>
      <c r="S60" s="38">
        <f t="shared" si="1"/>
        <v>3492157.84</v>
      </c>
      <c r="T60" s="38">
        <f t="shared" si="0"/>
        <v>1382.7042445359518</v>
      </c>
      <c r="U60" s="38">
        <v>1992.8701140323092</v>
      </c>
      <c r="V60" s="458">
        <f t="shared" si="2"/>
        <v>610.16586949635735</v>
      </c>
      <c r="W60" s="458">
        <f t="shared" si="3"/>
        <v>1395.7016748495407</v>
      </c>
      <c r="X60" s="458">
        <v>0</v>
      </c>
      <c r="Y60" s="459">
        <v>0</v>
      </c>
      <c r="Z60" s="459">
        <v>0</v>
      </c>
      <c r="AA60" s="459">
        <v>0</v>
      </c>
      <c r="AB60" s="459">
        <v>0</v>
      </c>
      <c r="AC60" s="459">
        <v>0</v>
      </c>
      <c r="AD60" s="459">
        <v>0</v>
      </c>
      <c r="AE60" s="459">
        <v>565</v>
      </c>
      <c r="AF60" s="458">
        <f t="shared" si="5"/>
        <v>1395.7016748495407</v>
      </c>
      <c r="AG60" s="459">
        <v>0</v>
      </c>
      <c r="AH60" s="458">
        <v>0</v>
      </c>
      <c r="AI60" s="459">
        <v>0</v>
      </c>
      <c r="AJ60" s="458">
        <v>0</v>
      </c>
      <c r="AK60" s="459">
        <v>0</v>
      </c>
      <c r="AL60" s="459">
        <v>0</v>
      </c>
      <c r="AM60" s="459">
        <v>0</v>
      </c>
      <c r="AN60" s="459"/>
      <c r="AO60" s="459">
        <v>0</v>
      </c>
      <c r="AP60" s="460"/>
      <c r="AQ60" s="460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  <c r="BK60" s="460"/>
      <c r="BL60" s="460"/>
      <c r="BM60" s="460"/>
      <c r="BN60" s="460"/>
      <c r="BO60" s="460"/>
      <c r="BP60" s="460"/>
      <c r="BQ60" s="460"/>
      <c r="BR60" s="460"/>
      <c r="BS60" s="460"/>
      <c r="BT60" s="460"/>
      <c r="BU60" s="460"/>
      <c r="BV60" s="460"/>
      <c r="BW60" s="460"/>
      <c r="BX60" s="460"/>
      <c r="BY60" s="460"/>
      <c r="BZ60" s="460"/>
      <c r="CA60" s="460"/>
      <c r="CB60" s="460"/>
      <c r="CC60" s="460"/>
      <c r="CD60" s="460"/>
      <c r="CE60" s="460"/>
      <c r="CF60" s="460"/>
      <c r="CG60" s="460"/>
      <c r="CH60" s="460"/>
      <c r="CI60" s="460"/>
      <c r="CJ60" s="460"/>
      <c r="CK60" s="460"/>
    </row>
    <row r="61" spans="1:89" s="329" customFormat="1" ht="36" customHeight="1" x14ac:dyDescent="0.25">
      <c r="A61" s="329">
        <v>1</v>
      </c>
      <c r="B61" s="39">
        <f>SUBTOTAL(103,$A$16:A61)</f>
        <v>46</v>
      </c>
      <c r="C61" s="33" t="s">
        <v>1002</v>
      </c>
      <c r="D61" s="330">
        <v>1991</v>
      </c>
      <c r="E61" s="330"/>
      <c r="F61" s="331" t="s">
        <v>60</v>
      </c>
      <c r="G61" s="330">
        <v>9</v>
      </c>
      <c r="H61" s="330" t="s">
        <v>61</v>
      </c>
      <c r="I61" s="38">
        <v>6295.6</v>
      </c>
      <c r="J61" s="38">
        <v>6295.6</v>
      </c>
      <c r="K61" s="38">
        <v>6088.2</v>
      </c>
      <c r="L61" s="332">
        <v>252</v>
      </c>
      <c r="M61" s="330" t="s">
        <v>46</v>
      </c>
      <c r="N61" s="330" t="s">
        <v>50</v>
      </c>
      <c r="O61" s="333" t="s">
        <v>1968</v>
      </c>
      <c r="P61" s="38">
        <v>4195168.8</v>
      </c>
      <c r="Q61" s="38">
        <v>0</v>
      </c>
      <c r="R61" s="38">
        <v>0</v>
      </c>
      <c r="S61" s="38">
        <f t="shared" si="1"/>
        <v>4195168.8</v>
      </c>
      <c r="T61" s="38">
        <f t="shared" si="0"/>
        <v>666.36520744647044</v>
      </c>
      <c r="U61" s="38">
        <v>1171.198932587839</v>
      </c>
      <c r="V61" s="458">
        <f t="shared" si="2"/>
        <v>504.83372514136852</v>
      </c>
      <c r="W61" s="458">
        <f t="shared" si="3"/>
        <v>303.00672240930169</v>
      </c>
      <c r="X61" s="458">
        <v>0</v>
      </c>
      <c r="Y61" s="459">
        <v>0</v>
      </c>
      <c r="Z61" s="459">
        <v>0</v>
      </c>
      <c r="AA61" s="459">
        <v>0</v>
      </c>
      <c r="AB61" s="459">
        <v>0</v>
      </c>
      <c r="AC61" s="459">
        <v>0</v>
      </c>
      <c r="AD61" s="459">
        <v>0</v>
      </c>
      <c r="AE61" s="459">
        <v>305.76</v>
      </c>
      <c r="AF61" s="458">
        <f t="shared" si="5"/>
        <v>303.00672240930169</v>
      </c>
      <c r="AG61" s="459">
        <v>0</v>
      </c>
      <c r="AH61" s="458">
        <v>0</v>
      </c>
      <c r="AI61" s="459">
        <v>0</v>
      </c>
      <c r="AJ61" s="458">
        <v>0</v>
      </c>
      <c r="AK61" s="459">
        <v>0</v>
      </c>
      <c r="AL61" s="459">
        <v>0</v>
      </c>
      <c r="AM61" s="459">
        <v>0</v>
      </c>
      <c r="AN61" s="459"/>
      <c r="AO61" s="459">
        <v>0</v>
      </c>
      <c r="AP61" s="460"/>
      <c r="AQ61" s="460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  <c r="BK61" s="460"/>
      <c r="BL61" s="460"/>
      <c r="BM61" s="460"/>
      <c r="BN61" s="460"/>
      <c r="BO61" s="460"/>
      <c r="BP61" s="460"/>
      <c r="BQ61" s="460"/>
      <c r="BR61" s="460"/>
      <c r="BS61" s="460"/>
      <c r="BT61" s="460"/>
      <c r="BU61" s="460"/>
      <c r="BV61" s="460"/>
      <c r="BW61" s="460"/>
      <c r="BX61" s="460"/>
      <c r="BY61" s="460"/>
      <c r="BZ61" s="460"/>
      <c r="CA61" s="460"/>
      <c r="CB61" s="460"/>
      <c r="CC61" s="460"/>
      <c r="CD61" s="460"/>
      <c r="CE61" s="460"/>
      <c r="CF61" s="460"/>
      <c r="CG61" s="460"/>
      <c r="CH61" s="460"/>
      <c r="CI61" s="460"/>
      <c r="CJ61" s="460"/>
      <c r="CK61" s="460"/>
    </row>
    <row r="62" spans="1:89" s="329" customFormat="1" ht="36" customHeight="1" x14ac:dyDescent="0.25">
      <c r="A62" s="329">
        <v>1</v>
      </c>
      <c r="B62" s="39">
        <f>SUBTOTAL(103,$A$16:A62)</f>
        <v>47</v>
      </c>
      <c r="C62" s="33" t="s">
        <v>1004</v>
      </c>
      <c r="D62" s="330">
        <v>1956</v>
      </c>
      <c r="E62" s="330"/>
      <c r="F62" s="331" t="s">
        <v>48</v>
      </c>
      <c r="G62" s="330">
        <v>5</v>
      </c>
      <c r="H62" s="330" t="s">
        <v>1969</v>
      </c>
      <c r="I62" s="38">
        <v>6143.7</v>
      </c>
      <c r="J62" s="38">
        <v>6143.7</v>
      </c>
      <c r="K62" s="38">
        <v>5025</v>
      </c>
      <c r="L62" s="332">
        <v>163</v>
      </c>
      <c r="M62" s="330" t="s">
        <v>46</v>
      </c>
      <c r="N62" s="330" t="s">
        <v>71</v>
      </c>
      <c r="O62" s="333" t="s">
        <v>1970</v>
      </c>
      <c r="P62" s="38">
        <v>11667617.030000001</v>
      </c>
      <c r="Q62" s="38">
        <v>0</v>
      </c>
      <c r="R62" s="38">
        <v>0</v>
      </c>
      <c r="S62" s="38">
        <f t="shared" si="1"/>
        <v>11667617.030000001</v>
      </c>
      <c r="T62" s="38">
        <f t="shared" si="0"/>
        <v>1899.1189397268749</v>
      </c>
      <c r="U62" s="38">
        <v>7870.5259045851853</v>
      </c>
      <c r="V62" s="458">
        <f t="shared" si="2"/>
        <v>5971.4069648583099</v>
      </c>
      <c r="W62" s="458">
        <f t="shared" si="3"/>
        <v>801.22727183944539</v>
      </c>
      <c r="X62" s="458">
        <v>0</v>
      </c>
      <c r="Y62" s="459">
        <v>0</v>
      </c>
      <c r="Z62" s="459">
        <v>0</v>
      </c>
      <c r="AA62" s="459">
        <v>0</v>
      </c>
      <c r="AB62" s="459">
        <v>0</v>
      </c>
      <c r="AC62" s="459">
        <v>0</v>
      </c>
      <c r="AD62" s="459">
        <v>0</v>
      </c>
      <c r="AE62" s="459">
        <v>789</v>
      </c>
      <c r="AF62" s="458">
        <f t="shared" si="5"/>
        <v>801.22727183944539</v>
      </c>
      <c r="AG62" s="459">
        <v>0</v>
      </c>
      <c r="AH62" s="458">
        <v>0</v>
      </c>
      <c r="AI62" s="459">
        <v>0</v>
      </c>
      <c r="AJ62" s="458">
        <v>0</v>
      </c>
      <c r="AK62" s="459">
        <v>0</v>
      </c>
      <c r="AL62" s="459">
        <v>0</v>
      </c>
      <c r="AM62" s="459">
        <v>0</v>
      </c>
      <c r="AN62" s="459"/>
      <c r="AO62" s="459">
        <v>0</v>
      </c>
      <c r="AP62" s="460"/>
      <c r="AQ62" s="460"/>
      <c r="AR62" s="460"/>
      <c r="AS62" s="460"/>
      <c r="AT62" s="460"/>
      <c r="AU62" s="460"/>
      <c r="AV62" s="460"/>
      <c r="AW62" s="460"/>
      <c r="AX62" s="460"/>
      <c r="AY62" s="460"/>
      <c r="AZ62" s="460"/>
      <c r="BA62" s="460"/>
      <c r="BB62" s="460"/>
      <c r="BC62" s="460"/>
      <c r="BD62" s="460"/>
      <c r="BE62" s="460"/>
      <c r="BF62" s="460"/>
      <c r="BG62" s="460"/>
      <c r="BH62" s="460"/>
      <c r="BI62" s="460"/>
      <c r="BJ62" s="460"/>
      <c r="BK62" s="460"/>
      <c r="BL62" s="460"/>
      <c r="BM62" s="460"/>
      <c r="BN62" s="460"/>
      <c r="BO62" s="460"/>
      <c r="BP62" s="460"/>
      <c r="BQ62" s="460"/>
      <c r="BR62" s="460"/>
      <c r="BS62" s="460"/>
      <c r="BT62" s="460"/>
      <c r="BU62" s="460"/>
      <c r="BV62" s="460"/>
      <c r="BW62" s="460"/>
      <c r="BX62" s="460"/>
      <c r="BY62" s="460"/>
      <c r="BZ62" s="460"/>
      <c r="CA62" s="460"/>
      <c r="CB62" s="460"/>
      <c r="CC62" s="460"/>
      <c r="CD62" s="460"/>
      <c r="CE62" s="460"/>
      <c r="CF62" s="460"/>
      <c r="CG62" s="460"/>
      <c r="CH62" s="460"/>
      <c r="CI62" s="460"/>
      <c r="CJ62" s="460"/>
      <c r="CK62" s="460"/>
    </row>
    <row r="63" spans="1:89" s="329" customFormat="1" ht="36" customHeight="1" x14ac:dyDescent="0.25">
      <c r="A63" s="329">
        <v>1</v>
      </c>
      <c r="B63" s="39">
        <f>SUBTOTAL(103,$A$16:A63)</f>
        <v>48</v>
      </c>
      <c r="C63" s="33" t="s">
        <v>1006</v>
      </c>
      <c r="D63" s="330">
        <v>1959</v>
      </c>
      <c r="E63" s="330"/>
      <c r="F63" s="331" t="s">
        <v>48</v>
      </c>
      <c r="G63" s="330">
        <v>5</v>
      </c>
      <c r="H63" s="330" t="s">
        <v>59</v>
      </c>
      <c r="I63" s="38">
        <v>6884.6</v>
      </c>
      <c r="J63" s="38">
        <v>5562.9</v>
      </c>
      <c r="K63" s="38">
        <v>4628.7</v>
      </c>
      <c r="L63" s="332">
        <v>154</v>
      </c>
      <c r="M63" s="330" t="s">
        <v>46</v>
      </c>
      <c r="N63" s="330" t="s">
        <v>50</v>
      </c>
      <c r="O63" s="333" t="s">
        <v>251</v>
      </c>
      <c r="P63" s="38">
        <v>7710494.8799999999</v>
      </c>
      <c r="Q63" s="38">
        <v>0</v>
      </c>
      <c r="R63" s="38">
        <v>0</v>
      </c>
      <c r="S63" s="38">
        <f t="shared" si="1"/>
        <v>7710494.8799999999</v>
      </c>
      <c r="T63" s="38">
        <f t="shared" si="0"/>
        <v>1119.9626528774365</v>
      </c>
      <c r="U63" s="38">
        <v>4162.4209766725735</v>
      </c>
      <c r="V63" s="458">
        <f t="shared" si="2"/>
        <v>3042.4583237951369</v>
      </c>
      <c r="W63" s="458">
        <f t="shared" si="3"/>
        <v>795.27897045579994</v>
      </c>
      <c r="X63" s="458">
        <v>0</v>
      </c>
      <c r="Y63" s="459">
        <v>0</v>
      </c>
      <c r="Z63" s="459">
        <v>0</v>
      </c>
      <c r="AA63" s="459">
        <v>0</v>
      </c>
      <c r="AB63" s="459">
        <v>0</v>
      </c>
      <c r="AC63" s="459">
        <v>0</v>
      </c>
      <c r="AD63" s="459">
        <v>0</v>
      </c>
      <c r="AE63" s="459">
        <v>0</v>
      </c>
      <c r="AF63" s="458">
        <v>0</v>
      </c>
      <c r="AG63" s="459">
        <v>0</v>
      </c>
      <c r="AH63" s="458">
        <v>0</v>
      </c>
      <c r="AI63" s="459">
        <v>736</v>
      </c>
      <c r="AJ63" s="458">
        <f>7439.1*AI63/I63</f>
        <v>795.27897045579994</v>
      </c>
      <c r="AK63" s="459">
        <v>0</v>
      </c>
      <c r="AL63" s="459">
        <v>0</v>
      </c>
      <c r="AM63" s="459">
        <v>0</v>
      </c>
      <c r="AN63" s="459"/>
      <c r="AO63" s="459">
        <v>0</v>
      </c>
      <c r="AP63" s="460"/>
      <c r="AQ63" s="460"/>
      <c r="AR63" s="460"/>
      <c r="AS63" s="460"/>
      <c r="AT63" s="460"/>
      <c r="AU63" s="460"/>
      <c r="AV63" s="460"/>
      <c r="AW63" s="460"/>
      <c r="AX63" s="460"/>
      <c r="AY63" s="460"/>
      <c r="AZ63" s="460"/>
      <c r="BA63" s="460"/>
      <c r="BB63" s="460"/>
      <c r="BC63" s="460"/>
      <c r="BD63" s="460"/>
      <c r="BE63" s="460"/>
      <c r="BF63" s="460"/>
      <c r="BG63" s="460"/>
      <c r="BH63" s="460"/>
      <c r="BI63" s="460"/>
      <c r="BJ63" s="460"/>
      <c r="BK63" s="460"/>
      <c r="BL63" s="460"/>
      <c r="BM63" s="460"/>
      <c r="BN63" s="460"/>
      <c r="BO63" s="460"/>
      <c r="BP63" s="460"/>
      <c r="BQ63" s="460"/>
      <c r="BR63" s="460"/>
      <c r="BS63" s="460"/>
      <c r="BT63" s="460"/>
      <c r="BU63" s="460"/>
      <c r="BV63" s="460"/>
      <c r="BW63" s="460"/>
      <c r="BX63" s="460"/>
      <c r="BY63" s="460"/>
      <c r="BZ63" s="460"/>
      <c r="CA63" s="460"/>
      <c r="CB63" s="460"/>
      <c r="CC63" s="460"/>
      <c r="CD63" s="460"/>
      <c r="CE63" s="460"/>
      <c r="CF63" s="460"/>
      <c r="CG63" s="460"/>
      <c r="CH63" s="460"/>
      <c r="CI63" s="460"/>
      <c r="CJ63" s="460"/>
      <c r="CK63" s="460"/>
    </row>
    <row r="64" spans="1:89" s="329" customFormat="1" ht="36" customHeight="1" x14ac:dyDescent="0.25">
      <c r="A64" s="329">
        <v>1</v>
      </c>
      <c r="B64" s="39">
        <f>SUBTOTAL(103,$A$16:A64)</f>
        <v>49</v>
      </c>
      <c r="C64" s="33" t="s">
        <v>970</v>
      </c>
      <c r="D64" s="330">
        <v>1972</v>
      </c>
      <c r="E64" s="330"/>
      <c r="F64" s="331" t="s">
        <v>48</v>
      </c>
      <c r="G64" s="330">
        <v>4</v>
      </c>
      <c r="H64" s="330" t="s">
        <v>57</v>
      </c>
      <c r="I64" s="38">
        <v>2171.9</v>
      </c>
      <c r="J64" s="38">
        <v>2022.4</v>
      </c>
      <c r="K64" s="38">
        <v>225.6</v>
      </c>
      <c r="L64" s="332">
        <v>26</v>
      </c>
      <c r="M64" s="330" t="s">
        <v>46</v>
      </c>
      <c r="N64" s="330" t="s">
        <v>50</v>
      </c>
      <c r="O64" s="333" t="s">
        <v>1967</v>
      </c>
      <c r="P64" s="38">
        <v>952425.83000000007</v>
      </c>
      <c r="Q64" s="38">
        <v>0</v>
      </c>
      <c r="R64" s="38">
        <v>0</v>
      </c>
      <c r="S64" s="38">
        <f t="shared" si="1"/>
        <v>952425.83000000007</v>
      </c>
      <c r="T64" s="38">
        <f t="shared" si="0"/>
        <v>438.52195312859709</v>
      </c>
      <c r="U64" s="38">
        <v>630.65959390395506</v>
      </c>
      <c r="V64" s="458">
        <f t="shared" si="2"/>
        <v>192.13764077535797</v>
      </c>
      <c r="W64" s="458">
        <f t="shared" si="3"/>
        <v>3394.9076845158615</v>
      </c>
      <c r="X64" s="458">
        <v>0</v>
      </c>
      <c r="Y64" s="459">
        <v>0</v>
      </c>
      <c r="Z64" s="459">
        <v>0</v>
      </c>
      <c r="AA64" s="459">
        <v>0</v>
      </c>
      <c r="AB64" s="459">
        <v>0</v>
      </c>
      <c r="AC64" s="459">
        <v>3</v>
      </c>
      <c r="AD64" s="458">
        <f>2457800*AC64/I64</f>
        <v>3394.9076845158615</v>
      </c>
      <c r="AE64" s="459">
        <v>0</v>
      </c>
      <c r="AF64" s="458">
        <v>0</v>
      </c>
      <c r="AG64" s="459">
        <v>0</v>
      </c>
      <c r="AH64" s="458">
        <v>0</v>
      </c>
      <c r="AI64" s="459">
        <v>0</v>
      </c>
      <c r="AJ64" s="458">
        <v>0</v>
      </c>
      <c r="AK64" s="459">
        <v>0</v>
      </c>
      <c r="AL64" s="459">
        <v>0</v>
      </c>
      <c r="AM64" s="459">
        <v>0</v>
      </c>
      <c r="AN64" s="459"/>
      <c r="AO64" s="459">
        <v>0</v>
      </c>
      <c r="AP64" s="460"/>
      <c r="AQ64" s="460"/>
      <c r="AR64" s="460"/>
      <c r="AS64" s="460"/>
      <c r="AT64" s="460"/>
      <c r="AU64" s="460"/>
      <c r="AV64" s="460"/>
      <c r="AW64" s="460"/>
      <c r="AX64" s="460"/>
      <c r="AY64" s="460"/>
      <c r="AZ64" s="460"/>
      <c r="BA64" s="460"/>
      <c r="BB64" s="460"/>
      <c r="BC64" s="460"/>
      <c r="BD64" s="460"/>
      <c r="BE64" s="460"/>
      <c r="BF64" s="460"/>
      <c r="BG64" s="460"/>
      <c r="BH64" s="460"/>
      <c r="BI64" s="460"/>
      <c r="BJ64" s="460"/>
      <c r="BK64" s="460"/>
      <c r="BL64" s="460"/>
      <c r="BM64" s="460"/>
      <c r="BN64" s="460"/>
      <c r="BO64" s="460"/>
      <c r="BP64" s="460"/>
      <c r="BQ64" s="460"/>
      <c r="BR64" s="460"/>
      <c r="BS64" s="460"/>
      <c r="BT64" s="460"/>
      <c r="BU64" s="460"/>
      <c r="BV64" s="460"/>
      <c r="BW64" s="460"/>
      <c r="BX64" s="460"/>
      <c r="BY64" s="460"/>
      <c r="BZ64" s="460"/>
      <c r="CA64" s="460"/>
      <c r="CB64" s="460"/>
      <c r="CC64" s="460"/>
      <c r="CD64" s="460"/>
      <c r="CE64" s="460"/>
      <c r="CF64" s="460"/>
      <c r="CG64" s="460"/>
      <c r="CH64" s="460"/>
      <c r="CI64" s="460"/>
      <c r="CJ64" s="460"/>
      <c r="CK64" s="460"/>
    </row>
    <row r="65" spans="1:89" s="329" customFormat="1" ht="36" customHeight="1" x14ac:dyDescent="0.25">
      <c r="A65" s="329">
        <v>1</v>
      </c>
      <c r="B65" s="39">
        <f>SUBTOTAL(103,$A$16:A65)</f>
        <v>50</v>
      </c>
      <c r="C65" s="33" t="s">
        <v>971</v>
      </c>
      <c r="D65" s="330">
        <v>1975</v>
      </c>
      <c r="E65" s="330"/>
      <c r="F65" s="331" t="s">
        <v>48</v>
      </c>
      <c r="G65" s="330">
        <v>5</v>
      </c>
      <c r="H65" s="330" t="s">
        <v>61</v>
      </c>
      <c r="I65" s="38">
        <v>2962.8</v>
      </c>
      <c r="J65" s="38">
        <v>2688.5</v>
      </c>
      <c r="K65" s="38">
        <v>2688.5</v>
      </c>
      <c r="L65" s="332">
        <v>117</v>
      </c>
      <c r="M65" s="330" t="s">
        <v>46</v>
      </c>
      <c r="N65" s="330" t="s">
        <v>50</v>
      </c>
      <c r="O65" s="333" t="s">
        <v>1971</v>
      </c>
      <c r="P65" s="38">
        <v>3306287.7600000002</v>
      </c>
      <c r="Q65" s="38">
        <v>0</v>
      </c>
      <c r="R65" s="38">
        <v>0</v>
      </c>
      <c r="S65" s="38">
        <f t="shared" si="1"/>
        <v>3306287.7600000002</v>
      </c>
      <c r="T65" s="38">
        <f t="shared" si="0"/>
        <v>1115.9334953422438</v>
      </c>
      <c r="U65" s="38">
        <v>1927.5629577764275</v>
      </c>
      <c r="V65" s="458">
        <f t="shared" si="2"/>
        <v>811.62946243418378</v>
      </c>
      <c r="W65" s="458">
        <f t="shared" si="3"/>
        <v>14533.788852774403</v>
      </c>
      <c r="X65" s="458">
        <v>0</v>
      </c>
      <c r="Y65" s="459">
        <v>0</v>
      </c>
      <c r="Z65" s="459">
        <v>0</v>
      </c>
      <c r="AA65" s="459">
        <v>0</v>
      </c>
      <c r="AB65" s="459">
        <v>0</v>
      </c>
      <c r="AC65" s="459">
        <v>0</v>
      </c>
      <c r="AD65" s="459">
        <v>0</v>
      </c>
      <c r="AE65" s="459">
        <v>0</v>
      </c>
      <c r="AF65" s="458">
        <v>0</v>
      </c>
      <c r="AG65" s="459">
        <v>0</v>
      </c>
      <c r="AH65" s="458">
        <v>0</v>
      </c>
      <c r="AI65" s="459">
        <v>5788.43</v>
      </c>
      <c r="AJ65" s="458">
        <f>7439.1*AI65/I65</f>
        <v>14533.788852774403</v>
      </c>
      <c r="AK65" s="459">
        <v>0</v>
      </c>
      <c r="AL65" s="459">
        <v>0</v>
      </c>
      <c r="AM65" s="459">
        <v>0</v>
      </c>
      <c r="AN65" s="459"/>
      <c r="AO65" s="459">
        <v>0</v>
      </c>
      <c r="AP65" s="460"/>
      <c r="AQ65" s="460"/>
      <c r="AR65" s="460"/>
      <c r="AS65" s="460"/>
      <c r="AT65" s="460"/>
      <c r="AU65" s="460"/>
      <c r="AV65" s="460"/>
      <c r="AW65" s="460"/>
      <c r="AX65" s="460"/>
      <c r="AY65" s="460"/>
      <c r="AZ65" s="460"/>
      <c r="BA65" s="460"/>
      <c r="BB65" s="460"/>
      <c r="BC65" s="460"/>
      <c r="BD65" s="460"/>
      <c r="BE65" s="460"/>
      <c r="BF65" s="460"/>
      <c r="BG65" s="460"/>
      <c r="BH65" s="460"/>
      <c r="BI65" s="460"/>
      <c r="BJ65" s="460"/>
      <c r="BK65" s="460"/>
      <c r="BL65" s="460"/>
      <c r="BM65" s="460"/>
      <c r="BN65" s="460"/>
      <c r="BO65" s="460"/>
      <c r="BP65" s="460"/>
      <c r="BQ65" s="460"/>
      <c r="BR65" s="460"/>
      <c r="BS65" s="460"/>
      <c r="BT65" s="460"/>
      <c r="BU65" s="460"/>
      <c r="BV65" s="460"/>
      <c r="BW65" s="460"/>
      <c r="BX65" s="460"/>
      <c r="BY65" s="460"/>
      <c r="BZ65" s="460"/>
      <c r="CA65" s="460"/>
      <c r="CB65" s="460"/>
      <c r="CC65" s="460"/>
      <c r="CD65" s="460"/>
      <c r="CE65" s="460"/>
      <c r="CF65" s="460"/>
      <c r="CG65" s="460"/>
      <c r="CH65" s="460"/>
      <c r="CI65" s="460"/>
      <c r="CJ65" s="460"/>
      <c r="CK65" s="460"/>
    </row>
    <row r="66" spans="1:89" s="329" customFormat="1" ht="36" customHeight="1" x14ac:dyDescent="0.25">
      <c r="A66" s="329">
        <v>1</v>
      </c>
      <c r="B66" s="39">
        <f>SUBTOTAL(103,$A$16:A66)</f>
        <v>51</v>
      </c>
      <c r="C66" s="33" t="s">
        <v>1010</v>
      </c>
      <c r="D66" s="330">
        <v>1971</v>
      </c>
      <c r="E66" s="330"/>
      <c r="F66" s="331" t="s">
        <v>48</v>
      </c>
      <c r="G66" s="330">
        <v>5</v>
      </c>
      <c r="H66" s="330" t="s">
        <v>59</v>
      </c>
      <c r="I66" s="38">
        <v>4188.1000000000004</v>
      </c>
      <c r="J66" s="38">
        <v>3145.1</v>
      </c>
      <c r="K66" s="38">
        <v>3145.1</v>
      </c>
      <c r="L66" s="332">
        <v>146</v>
      </c>
      <c r="M66" s="330" t="s">
        <v>46</v>
      </c>
      <c r="N66" s="330" t="s">
        <v>50</v>
      </c>
      <c r="O66" s="333" t="s">
        <v>1972</v>
      </c>
      <c r="P66" s="38">
        <v>4193947.02</v>
      </c>
      <c r="Q66" s="38">
        <v>0</v>
      </c>
      <c r="R66" s="38">
        <v>0</v>
      </c>
      <c r="S66" s="38">
        <f t="shared" si="1"/>
        <v>4193947.02</v>
      </c>
      <c r="T66" s="38">
        <f t="shared" si="0"/>
        <v>1001.3961032449081</v>
      </c>
      <c r="U66" s="38">
        <v>1617.6749361285547</v>
      </c>
      <c r="V66" s="458">
        <f t="shared" si="2"/>
        <v>616.2788328836466</v>
      </c>
      <c r="W66" s="458">
        <f t="shared" si="3"/>
        <v>6842.3875876889279</v>
      </c>
      <c r="X66" s="458">
        <v>0</v>
      </c>
      <c r="Y66" s="459">
        <v>0</v>
      </c>
      <c r="Z66" s="459">
        <v>0</v>
      </c>
      <c r="AA66" s="459">
        <v>0</v>
      </c>
      <c r="AB66" s="459">
        <v>0</v>
      </c>
      <c r="AC66" s="459">
        <v>0</v>
      </c>
      <c r="AD66" s="459">
        <v>0</v>
      </c>
      <c r="AE66" s="459">
        <v>0</v>
      </c>
      <c r="AF66" s="458">
        <v>0</v>
      </c>
      <c r="AG66" s="459">
        <v>0</v>
      </c>
      <c r="AH66" s="458">
        <v>0</v>
      </c>
      <c r="AI66" s="459">
        <v>3852.16</v>
      </c>
      <c r="AJ66" s="458">
        <f>7439.1*AI66/I66</f>
        <v>6842.3875876889279</v>
      </c>
      <c r="AK66" s="459">
        <v>0</v>
      </c>
      <c r="AL66" s="459">
        <v>0</v>
      </c>
      <c r="AM66" s="459">
        <v>0</v>
      </c>
      <c r="AN66" s="459"/>
      <c r="AO66" s="459">
        <v>0</v>
      </c>
      <c r="AP66" s="460"/>
      <c r="AQ66" s="460"/>
      <c r="AR66" s="460"/>
      <c r="AS66" s="460"/>
      <c r="AT66" s="460"/>
      <c r="AU66" s="460"/>
      <c r="AV66" s="460"/>
      <c r="AW66" s="460"/>
      <c r="AX66" s="460"/>
      <c r="AY66" s="460"/>
      <c r="AZ66" s="460"/>
      <c r="BA66" s="460"/>
      <c r="BB66" s="460"/>
      <c r="BC66" s="460"/>
      <c r="BD66" s="460"/>
      <c r="BE66" s="460"/>
      <c r="BF66" s="460"/>
      <c r="BG66" s="460"/>
      <c r="BH66" s="460"/>
      <c r="BI66" s="460"/>
      <c r="BJ66" s="460"/>
      <c r="BK66" s="460"/>
      <c r="BL66" s="460"/>
      <c r="BM66" s="460"/>
      <c r="BN66" s="460"/>
      <c r="BO66" s="460"/>
      <c r="BP66" s="460"/>
      <c r="BQ66" s="460"/>
      <c r="BR66" s="460"/>
      <c r="BS66" s="460"/>
      <c r="BT66" s="460"/>
      <c r="BU66" s="460"/>
      <c r="BV66" s="460"/>
      <c r="BW66" s="460"/>
      <c r="BX66" s="460"/>
      <c r="BY66" s="460"/>
      <c r="BZ66" s="460"/>
      <c r="CA66" s="460"/>
      <c r="CB66" s="460"/>
      <c r="CC66" s="460"/>
      <c r="CD66" s="460"/>
      <c r="CE66" s="460"/>
      <c r="CF66" s="460"/>
      <c r="CG66" s="460"/>
      <c r="CH66" s="460"/>
      <c r="CI66" s="460"/>
      <c r="CJ66" s="460"/>
      <c r="CK66" s="460"/>
    </row>
    <row r="67" spans="1:89" s="329" customFormat="1" ht="36" customHeight="1" x14ac:dyDescent="0.25">
      <c r="A67" s="329">
        <v>1</v>
      </c>
      <c r="B67" s="39">
        <f>SUBTOTAL(103,$A$16:A67)</f>
        <v>52</v>
      </c>
      <c r="C67" s="33" t="s">
        <v>1012</v>
      </c>
      <c r="D67" s="330">
        <v>1969</v>
      </c>
      <c r="E67" s="330"/>
      <c r="F67" s="331" t="s">
        <v>48</v>
      </c>
      <c r="G67" s="330">
        <v>5</v>
      </c>
      <c r="H67" s="330" t="s">
        <v>59</v>
      </c>
      <c r="I67" s="38">
        <v>4279.8</v>
      </c>
      <c r="J67" s="38">
        <v>4279.8</v>
      </c>
      <c r="K67" s="38">
        <v>3174.6</v>
      </c>
      <c r="L67" s="332">
        <v>136</v>
      </c>
      <c r="M67" s="330" t="s">
        <v>46</v>
      </c>
      <c r="N67" s="330" t="s">
        <v>50</v>
      </c>
      <c r="O67" s="333" t="s">
        <v>1973</v>
      </c>
      <c r="P67" s="38">
        <v>3323174.92</v>
      </c>
      <c r="Q67" s="38">
        <v>0</v>
      </c>
      <c r="R67" s="38">
        <v>0</v>
      </c>
      <c r="S67" s="38">
        <f t="shared" si="1"/>
        <v>3323174.92</v>
      </c>
      <c r="T67" s="38">
        <f t="shared" si="0"/>
        <v>776.47902238422353</v>
      </c>
      <c r="U67" s="38">
        <v>1382.425713584747</v>
      </c>
      <c r="V67" s="458">
        <f t="shared" si="2"/>
        <v>605.94669120052345</v>
      </c>
      <c r="W67" s="458">
        <f t="shared" si="3"/>
        <v>1784.2950231319219</v>
      </c>
      <c r="X67" s="458">
        <v>0</v>
      </c>
      <c r="Y67" s="459">
        <v>0</v>
      </c>
      <c r="Z67" s="459">
        <v>0</v>
      </c>
      <c r="AA67" s="459">
        <v>0</v>
      </c>
      <c r="AB67" s="459">
        <v>0</v>
      </c>
      <c r="AC67" s="459">
        <v>0</v>
      </c>
      <c r="AD67" s="459">
        <v>0</v>
      </c>
      <c r="AE67" s="459">
        <v>1224</v>
      </c>
      <c r="AF67" s="458">
        <f>6238.91*AE67/I67</f>
        <v>1784.2950231319219</v>
      </c>
      <c r="AG67" s="459">
        <v>0</v>
      </c>
      <c r="AH67" s="458">
        <v>0</v>
      </c>
      <c r="AI67" s="459"/>
      <c r="AJ67" s="458">
        <v>0</v>
      </c>
      <c r="AK67" s="459">
        <v>0</v>
      </c>
      <c r="AL67" s="459">
        <v>0</v>
      </c>
      <c r="AM67" s="459">
        <v>0</v>
      </c>
      <c r="AN67" s="459"/>
      <c r="AO67" s="459">
        <v>0</v>
      </c>
      <c r="AP67" s="460"/>
      <c r="AQ67" s="460"/>
      <c r="AR67" s="460"/>
      <c r="AS67" s="460"/>
      <c r="AT67" s="460"/>
      <c r="AU67" s="460"/>
      <c r="AV67" s="460"/>
      <c r="AW67" s="460"/>
      <c r="AX67" s="460"/>
      <c r="AY67" s="460"/>
      <c r="AZ67" s="460"/>
      <c r="BA67" s="460"/>
      <c r="BB67" s="460"/>
      <c r="BC67" s="460"/>
      <c r="BD67" s="460"/>
      <c r="BE67" s="460"/>
      <c r="BF67" s="460"/>
      <c r="BG67" s="460"/>
      <c r="BH67" s="460"/>
      <c r="BI67" s="460"/>
      <c r="BJ67" s="460"/>
      <c r="BK67" s="460"/>
      <c r="BL67" s="460"/>
      <c r="BM67" s="460"/>
      <c r="BN67" s="460"/>
      <c r="BO67" s="460"/>
      <c r="BP67" s="460"/>
      <c r="BQ67" s="460"/>
      <c r="BR67" s="460"/>
      <c r="BS67" s="460"/>
      <c r="BT67" s="460"/>
      <c r="BU67" s="460"/>
      <c r="BV67" s="460"/>
      <c r="BW67" s="460"/>
      <c r="BX67" s="460"/>
      <c r="BY67" s="460"/>
      <c r="BZ67" s="460"/>
      <c r="CA67" s="460"/>
      <c r="CB67" s="460"/>
      <c r="CC67" s="460"/>
      <c r="CD67" s="460"/>
      <c r="CE67" s="460"/>
      <c r="CF67" s="460"/>
      <c r="CG67" s="460"/>
      <c r="CH67" s="460"/>
      <c r="CI67" s="460"/>
      <c r="CJ67" s="460"/>
      <c r="CK67" s="460"/>
    </row>
    <row r="68" spans="1:89" s="329" customFormat="1" ht="36" customHeight="1" x14ac:dyDescent="0.25">
      <c r="A68" s="329">
        <v>1</v>
      </c>
      <c r="B68" s="39">
        <f>SUBTOTAL(103,$A$16:A68)</f>
        <v>53</v>
      </c>
      <c r="C68" s="33" t="s">
        <v>973</v>
      </c>
      <c r="D68" s="330">
        <v>1968</v>
      </c>
      <c r="E68" s="330"/>
      <c r="F68" s="331" t="s">
        <v>60</v>
      </c>
      <c r="G68" s="330">
        <v>5</v>
      </c>
      <c r="H68" s="330" t="s">
        <v>59</v>
      </c>
      <c r="I68" s="38">
        <v>3877.8</v>
      </c>
      <c r="J68" s="38">
        <v>3554.6</v>
      </c>
      <c r="K68" s="38">
        <v>3554.6</v>
      </c>
      <c r="L68" s="332">
        <v>167</v>
      </c>
      <c r="M68" s="330" t="s">
        <v>46</v>
      </c>
      <c r="N68" s="330" t="s">
        <v>50</v>
      </c>
      <c r="O68" s="333" t="s">
        <v>1956</v>
      </c>
      <c r="P68" s="38">
        <v>4024360.63</v>
      </c>
      <c r="Q68" s="38">
        <v>0</v>
      </c>
      <c r="R68" s="38">
        <v>0</v>
      </c>
      <c r="S68" s="38">
        <f t="shared" si="1"/>
        <v>4024360.63</v>
      </c>
      <c r="T68" s="38">
        <f t="shared" si="0"/>
        <v>1037.7947882820156</v>
      </c>
      <c r="U68" s="38">
        <v>1561.8026235494353</v>
      </c>
      <c r="V68" s="458">
        <f t="shared" si="2"/>
        <v>524.00783526741975</v>
      </c>
      <c r="W68" s="458">
        <f t="shared" si="3"/>
        <v>352.02266955490228</v>
      </c>
      <c r="X68" s="458">
        <v>0</v>
      </c>
      <c r="Y68" s="459">
        <v>0</v>
      </c>
      <c r="Z68" s="459">
        <v>0</v>
      </c>
      <c r="AA68" s="459">
        <v>0</v>
      </c>
      <c r="AB68" s="459">
        <v>0</v>
      </c>
      <c r="AC68" s="459">
        <v>0</v>
      </c>
      <c r="AD68" s="459">
        <v>0</v>
      </c>
      <c r="AE68" s="459">
        <v>218.8</v>
      </c>
      <c r="AF68" s="458">
        <f>6238.91*AE68/I68</f>
        <v>352.02266955490228</v>
      </c>
      <c r="AG68" s="459">
        <v>0</v>
      </c>
      <c r="AH68" s="458">
        <v>0</v>
      </c>
      <c r="AI68" s="459">
        <v>0</v>
      </c>
      <c r="AJ68" s="458">
        <v>0</v>
      </c>
      <c r="AK68" s="459">
        <v>0</v>
      </c>
      <c r="AL68" s="459">
        <v>0</v>
      </c>
      <c r="AM68" s="459">
        <v>0</v>
      </c>
      <c r="AN68" s="459"/>
      <c r="AO68" s="459">
        <v>0</v>
      </c>
      <c r="AP68" s="460"/>
      <c r="AQ68" s="460"/>
      <c r="AR68" s="460"/>
      <c r="AS68" s="460"/>
      <c r="AT68" s="460"/>
      <c r="AU68" s="460"/>
      <c r="AV68" s="460"/>
      <c r="AW68" s="460"/>
      <c r="AX68" s="460"/>
      <c r="AY68" s="460"/>
      <c r="AZ68" s="460"/>
      <c r="BA68" s="460"/>
      <c r="BB68" s="460"/>
      <c r="BC68" s="460"/>
      <c r="BD68" s="460"/>
      <c r="BE68" s="460"/>
      <c r="BF68" s="460"/>
      <c r="BG68" s="460"/>
      <c r="BH68" s="460"/>
      <c r="BI68" s="460"/>
      <c r="BJ68" s="460"/>
      <c r="BK68" s="460"/>
      <c r="BL68" s="460"/>
      <c r="BM68" s="460"/>
      <c r="BN68" s="460"/>
      <c r="BO68" s="460"/>
      <c r="BP68" s="460"/>
      <c r="BQ68" s="460"/>
      <c r="BR68" s="460"/>
      <c r="BS68" s="460"/>
      <c r="BT68" s="460"/>
      <c r="BU68" s="460"/>
      <c r="BV68" s="460"/>
      <c r="BW68" s="460"/>
      <c r="BX68" s="460"/>
      <c r="BY68" s="460"/>
      <c r="BZ68" s="460"/>
      <c r="CA68" s="460"/>
      <c r="CB68" s="460"/>
      <c r="CC68" s="460"/>
      <c r="CD68" s="460"/>
      <c r="CE68" s="460"/>
      <c r="CF68" s="460"/>
      <c r="CG68" s="460"/>
      <c r="CH68" s="460"/>
      <c r="CI68" s="460"/>
      <c r="CJ68" s="460"/>
      <c r="CK68" s="460"/>
    </row>
    <row r="69" spans="1:89" s="329" customFormat="1" ht="36" customHeight="1" x14ac:dyDescent="0.25">
      <c r="A69" s="329">
        <v>1</v>
      </c>
      <c r="B69" s="39">
        <f>SUBTOTAL(103,$A$16:A69)</f>
        <v>54</v>
      </c>
      <c r="C69" s="33" t="s">
        <v>975</v>
      </c>
      <c r="D69" s="330">
        <v>1968</v>
      </c>
      <c r="E69" s="330"/>
      <c r="F69" s="331" t="s">
        <v>60</v>
      </c>
      <c r="G69" s="330">
        <v>5</v>
      </c>
      <c r="H69" s="330" t="s">
        <v>61</v>
      </c>
      <c r="I69" s="38">
        <v>2807.9</v>
      </c>
      <c r="J69" s="38">
        <v>2603.9</v>
      </c>
      <c r="K69" s="38">
        <v>2603.9</v>
      </c>
      <c r="L69" s="332">
        <v>114</v>
      </c>
      <c r="M69" s="330" t="s">
        <v>46</v>
      </c>
      <c r="N69" s="330" t="s">
        <v>50</v>
      </c>
      <c r="O69" s="333" t="s">
        <v>1956</v>
      </c>
      <c r="P69" s="38">
        <v>2994194.1500000004</v>
      </c>
      <c r="Q69" s="38">
        <v>0</v>
      </c>
      <c r="R69" s="38">
        <v>0</v>
      </c>
      <c r="S69" s="38">
        <f t="shared" si="1"/>
        <v>2994194.1500000004</v>
      </c>
      <c r="T69" s="38">
        <f t="shared" si="0"/>
        <v>1066.3464332775384</v>
      </c>
      <c r="U69" s="38">
        <v>1598.5456141600482</v>
      </c>
      <c r="V69" s="458">
        <f t="shared" si="2"/>
        <v>532.19918088250984</v>
      </c>
      <c r="W69" s="458">
        <f t="shared" si="3"/>
        <v>2026.9847308308699</v>
      </c>
      <c r="X69" s="458">
        <v>0</v>
      </c>
      <c r="Y69" s="459">
        <v>0</v>
      </c>
      <c r="Z69" s="459">
        <v>0</v>
      </c>
      <c r="AA69" s="459">
        <v>0</v>
      </c>
      <c r="AB69" s="459">
        <v>0</v>
      </c>
      <c r="AC69" s="459">
        <v>0</v>
      </c>
      <c r="AD69" s="459">
        <v>0</v>
      </c>
      <c r="AE69" s="459">
        <v>912.27</v>
      </c>
      <c r="AF69" s="458">
        <f>6238.91*AE69/I69</f>
        <v>2026.9847308308699</v>
      </c>
      <c r="AG69" s="459">
        <v>0</v>
      </c>
      <c r="AH69" s="458">
        <v>0</v>
      </c>
      <c r="AI69" s="459">
        <v>0</v>
      </c>
      <c r="AJ69" s="458">
        <v>0</v>
      </c>
      <c r="AK69" s="459">
        <v>0</v>
      </c>
      <c r="AL69" s="459">
        <v>0</v>
      </c>
      <c r="AM69" s="459">
        <v>0</v>
      </c>
      <c r="AN69" s="459"/>
      <c r="AO69" s="459">
        <v>0</v>
      </c>
      <c r="AP69" s="460"/>
      <c r="AQ69" s="460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  <c r="BK69" s="460"/>
      <c r="BL69" s="460"/>
      <c r="BM69" s="460"/>
      <c r="BN69" s="460"/>
      <c r="BO69" s="460"/>
      <c r="BP69" s="460"/>
      <c r="BQ69" s="460"/>
      <c r="BR69" s="460"/>
      <c r="BS69" s="460"/>
      <c r="BT69" s="460"/>
      <c r="BU69" s="460"/>
      <c r="BV69" s="460"/>
      <c r="BW69" s="460"/>
      <c r="BX69" s="460"/>
      <c r="BY69" s="460"/>
      <c r="BZ69" s="460"/>
      <c r="CA69" s="460"/>
      <c r="CB69" s="460"/>
      <c r="CC69" s="460"/>
      <c r="CD69" s="460"/>
      <c r="CE69" s="460"/>
      <c r="CF69" s="460"/>
      <c r="CG69" s="460"/>
      <c r="CH69" s="460"/>
      <c r="CI69" s="460"/>
      <c r="CJ69" s="460"/>
      <c r="CK69" s="460"/>
    </row>
    <row r="70" spans="1:89" s="329" customFormat="1" ht="36" customHeight="1" x14ac:dyDescent="0.25">
      <c r="A70" s="329">
        <v>1</v>
      </c>
      <c r="B70" s="39">
        <f>SUBTOTAL(103,$A$16:A70)</f>
        <v>55</v>
      </c>
      <c r="C70" s="33" t="s">
        <v>1016</v>
      </c>
      <c r="D70" s="330">
        <v>1959</v>
      </c>
      <c r="E70" s="330"/>
      <c r="F70" s="331" t="s">
        <v>48</v>
      </c>
      <c r="G70" s="330">
        <v>3</v>
      </c>
      <c r="H70" s="330" t="s">
        <v>61</v>
      </c>
      <c r="I70" s="38">
        <v>1338.5</v>
      </c>
      <c r="J70" s="38">
        <v>1165.2</v>
      </c>
      <c r="K70" s="38">
        <v>1165.2</v>
      </c>
      <c r="L70" s="332">
        <v>45</v>
      </c>
      <c r="M70" s="330" t="s">
        <v>46</v>
      </c>
      <c r="N70" s="330" t="s">
        <v>50</v>
      </c>
      <c r="O70" s="333" t="s">
        <v>1971</v>
      </c>
      <c r="P70" s="38">
        <v>4839579.08</v>
      </c>
      <c r="Q70" s="38">
        <v>0</v>
      </c>
      <c r="R70" s="38">
        <v>0</v>
      </c>
      <c r="S70" s="38">
        <f t="shared" si="1"/>
        <v>4839579.08</v>
      </c>
      <c r="T70" s="38">
        <f t="shared" si="0"/>
        <v>3615.6735748972733</v>
      </c>
      <c r="U70" s="38">
        <v>6030.2005976839746</v>
      </c>
      <c r="V70" s="458">
        <f t="shared" si="2"/>
        <v>2414.5270227867013</v>
      </c>
      <c r="W70" s="458">
        <f t="shared" si="3"/>
        <v>6288.0819872992161</v>
      </c>
      <c r="X70" s="458">
        <v>0</v>
      </c>
      <c r="Y70" s="459">
        <v>0</v>
      </c>
      <c r="Z70" s="459">
        <v>0</v>
      </c>
      <c r="AA70" s="459">
        <v>0</v>
      </c>
      <c r="AB70" s="459">
        <v>0</v>
      </c>
      <c r="AC70" s="459">
        <v>0</v>
      </c>
      <c r="AD70" s="459">
        <v>0</v>
      </c>
      <c r="AE70" s="459">
        <v>0</v>
      </c>
      <c r="AF70" s="458">
        <v>0</v>
      </c>
      <c r="AG70" s="459">
        <v>0</v>
      </c>
      <c r="AH70" s="458">
        <v>0</v>
      </c>
      <c r="AI70" s="459">
        <v>1131.4000000000001</v>
      </c>
      <c r="AJ70" s="458">
        <f>7439.1*AI70/I70</f>
        <v>6288.0819872992161</v>
      </c>
      <c r="AK70" s="459">
        <v>0</v>
      </c>
      <c r="AL70" s="459">
        <v>0</v>
      </c>
      <c r="AM70" s="459">
        <v>0</v>
      </c>
      <c r="AN70" s="459"/>
      <c r="AO70" s="459">
        <v>0</v>
      </c>
      <c r="AP70" s="460"/>
      <c r="AQ70" s="460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  <c r="BK70" s="460"/>
      <c r="BL70" s="460"/>
      <c r="BM70" s="460"/>
      <c r="BN70" s="460"/>
      <c r="BO70" s="460"/>
      <c r="BP70" s="460"/>
      <c r="BQ70" s="460"/>
      <c r="BR70" s="460"/>
      <c r="BS70" s="460"/>
      <c r="BT70" s="460"/>
      <c r="BU70" s="460"/>
      <c r="BV70" s="460"/>
      <c r="BW70" s="460"/>
      <c r="BX70" s="460"/>
      <c r="BY70" s="460"/>
      <c r="BZ70" s="460"/>
      <c r="CA70" s="460"/>
      <c r="CB70" s="460"/>
      <c r="CC70" s="460"/>
      <c r="CD70" s="460"/>
      <c r="CE70" s="460"/>
      <c r="CF70" s="460"/>
      <c r="CG70" s="460"/>
      <c r="CH70" s="460"/>
      <c r="CI70" s="460"/>
      <c r="CJ70" s="460"/>
      <c r="CK70" s="460"/>
    </row>
    <row r="71" spans="1:89" s="329" customFormat="1" ht="36" customHeight="1" x14ac:dyDescent="0.25">
      <c r="A71" s="329">
        <v>1</v>
      </c>
      <c r="B71" s="39">
        <f>SUBTOTAL(103,$A$16:A71)</f>
        <v>56</v>
      </c>
      <c r="C71" s="33" t="s">
        <v>977</v>
      </c>
      <c r="D71" s="330">
        <v>1974</v>
      </c>
      <c r="E71" s="330"/>
      <c r="F71" s="331" t="s">
        <v>60</v>
      </c>
      <c r="G71" s="330">
        <v>5</v>
      </c>
      <c r="H71" s="330" t="s">
        <v>75</v>
      </c>
      <c r="I71" s="38">
        <v>3933</v>
      </c>
      <c r="J71" s="38">
        <v>3385.49</v>
      </c>
      <c r="K71" s="38">
        <v>3385.49</v>
      </c>
      <c r="L71" s="332">
        <v>147</v>
      </c>
      <c r="M71" s="330" t="s">
        <v>46</v>
      </c>
      <c r="N71" s="330" t="s">
        <v>50</v>
      </c>
      <c r="O71" s="333" t="s">
        <v>1974</v>
      </c>
      <c r="P71" s="38">
        <v>1872015.22</v>
      </c>
      <c r="Q71" s="38">
        <v>0</v>
      </c>
      <c r="R71" s="38">
        <v>0</v>
      </c>
      <c r="S71" s="38">
        <f t="shared" si="1"/>
        <v>1872015.22</v>
      </c>
      <c r="T71" s="38">
        <f t="shared" si="0"/>
        <v>475.97640986524283</v>
      </c>
      <c r="U71" s="38">
        <v>1313.1596109839818</v>
      </c>
      <c r="V71" s="458">
        <f t="shared" si="2"/>
        <v>837.18320111873891</v>
      </c>
      <c r="W71" s="458">
        <f t="shared" si="3"/>
        <v>1722.5996440376305</v>
      </c>
      <c r="X71" s="458">
        <v>0</v>
      </c>
      <c r="Y71" s="459">
        <v>0</v>
      </c>
      <c r="Z71" s="459">
        <v>0</v>
      </c>
      <c r="AA71" s="459">
        <v>0</v>
      </c>
      <c r="AB71" s="459">
        <v>0</v>
      </c>
      <c r="AC71" s="459">
        <v>0</v>
      </c>
      <c r="AD71" s="459">
        <v>0</v>
      </c>
      <c r="AE71" s="459">
        <v>0</v>
      </c>
      <c r="AF71" s="458">
        <v>0</v>
      </c>
      <c r="AG71" s="459">
        <v>0</v>
      </c>
      <c r="AH71" s="458">
        <v>0</v>
      </c>
      <c r="AI71" s="459">
        <v>0</v>
      </c>
      <c r="AJ71" s="458">
        <v>0</v>
      </c>
      <c r="AK71" s="459">
        <v>0</v>
      </c>
      <c r="AL71" s="459">
        <v>0</v>
      </c>
      <c r="AM71" s="459">
        <v>970</v>
      </c>
      <c r="AN71" s="459">
        <f>6984.52*AM71/I71</f>
        <v>1722.5996440376305</v>
      </c>
      <c r="AO71" s="459">
        <v>0</v>
      </c>
      <c r="AP71" s="460"/>
      <c r="AQ71" s="460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  <c r="BK71" s="460"/>
      <c r="BL71" s="460"/>
      <c r="BM71" s="460"/>
      <c r="BN71" s="460"/>
      <c r="BO71" s="460"/>
      <c r="BP71" s="460"/>
      <c r="BQ71" s="460"/>
      <c r="BR71" s="460"/>
      <c r="BS71" s="460"/>
      <c r="BT71" s="460"/>
      <c r="BU71" s="460"/>
      <c r="BV71" s="460"/>
      <c r="BW71" s="460"/>
      <c r="BX71" s="460"/>
      <c r="BY71" s="460"/>
      <c r="BZ71" s="460"/>
      <c r="CA71" s="460"/>
      <c r="CB71" s="460"/>
      <c r="CC71" s="460"/>
      <c r="CD71" s="460"/>
      <c r="CE71" s="460"/>
      <c r="CF71" s="460"/>
      <c r="CG71" s="460"/>
      <c r="CH71" s="460"/>
      <c r="CI71" s="460"/>
      <c r="CJ71" s="460"/>
      <c r="CK71" s="460"/>
    </row>
    <row r="72" spans="1:89" s="329" customFormat="1" ht="36" customHeight="1" x14ac:dyDescent="0.25">
      <c r="A72" s="329">
        <v>1</v>
      </c>
      <c r="B72" s="39">
        <f>SUBTOTAL(103,$A$16:A72)</f>
        <v>57</v>
      </c>
      <c r="C72" s="33" t="s">
        <v>1019</v>
      </c>
      <c r="D72" s="330">
        <v>1959</v>
      </c>
      <c r="E72" s="330"/>
      <c r="F72" s="331" t="s">
        <v>48</v>
      </c>
      <c r="G72" s="330">
        <v>2</v>
      </c>
      <c r="H72" s="330" t="s">
        <v>57</v>
      </c>
      <c r="I72" s="38">
        <v>445.1</v>
      </c>
      <c r="J72" s="38">
        <v>400.5</v>
      </c>
      <c r="K72" s="38">
        <v>400.5</v>
      </c>
      <c r="L72" s="332">
        <v>25</v>
      </c>
      <c r="M72" s="330" t="s">
        <v>46</v>
      </c>
      <c r="N72" s="330" t="s">
        <v>50</v>
      </c>
      <c r="O72" s="333" t="s">
        <v>1971</v>
      </c>
      <c r="P72" s="38">
        <v>2373016.2799999998</v>
      </c>
      <c r="Q72" s="38">
        <v>0</v>
      </c>
      <c r="R72" s="38">
        <v>0</v>
      </c>
      <c r="S72" s="38">
        <f t="shared" si="1"/>
        <v>2373016.2799999998</v>
      </c>
      <c r="T72" s="38">
        <f t="shared" si="0"/>
        <v>5331.4227813974385</v>
      </c>
      <c r="U72" s="38">
        <v>9333.5551449112572</v>
      </c>
      <c r="V72" s="458">
        <f t="shared" si="2"/>
        <v>4002.1323635138187</v>
      </c>
      <c r="W72" s="458">
        <f t="shared" si="3"/>
        <v>13247.346306447989</v>
      </c>
      <c r="X72" s="458">
        <v>0</v>
      </c>
      <c r="Y72" s="459">
        <v>0</v>
      </c>
      <c r="Z72" s="459">
        <v>0</v>
      </c>
      <c r="AA72" s="459">
        <v>0</v>
      </c>
      <c r="AB72" s="459">
        <v>0</v>
      </c>
      <c r="AC72" s="459">
        <v>0</v>
      </c>
      <c r="AD72" s="459">
        <v>0</v>
      </c>
      <c r="AE72" s="459">
        <v>945.1</v>
      </c>
      <c r="AF72" s="458">
        <f>6238.91*AE72/I72</f>
        <v>13247.346306447989</v>
      </c>
      <c r="AG72" s="459">
        <v>0</v>
      </c>
      <c r="AH72" s="458">
        <v>0</v>
      </c>
      <c r="AI72" s="459">
        <v>0</v>
      </c>
      <c r="AJ72" s="458">
        <v>0</v>
      </c>
      <c r="AK72" s="459">
        <v>0</v>
      </c>
      <c r="AL72" s="459">
        <v>0</v>
      </c>
      <c r="AM72" s="459">
        <v>0</v>
      </c>
      <c r="AN72" s="459"/>
      <c r="AO72" s="459">
        <v>0</v>
      </c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</row>
    <row r="73" spans="1:89" s="329" customFormat="1" ht="36" customHeight="1" x14ac:dyDescent="0.25">
      <c r="A73" s="329">
        <v>1</v>
      </c>
      <c r="B73" s="39">
        <f>SUBTOTAL(103,$A$16:A73)</f>
        <v>58</v>
      </c>
      <c r="C73" s="33" t="s">
        <v>979</v>
      </c>
      <c r="D73" s="330">
        <v>1972</v>
      </c>
      <c r="E73" s="330"/>
      <c r="F73" s="331" t="s">
        <v>48</v>
      </c>
      <c r="G73" s="330">
        <v>5</v>
      </c>
      <c r="H73" s="330" t="s">
        <v>59</v>
      </c>
      <c r="I73" s="38">
        <v>4186.3</v>
      </c>
      <c r="J73" s="38">
        <v>4186.3</v>
      </c>
      <c r="K73" s="38">
        <v>2706.5</v>
      </c>
      <c r="L73" s="332">
        <v>111</v>
      </c>
      <c r="M73" s="330" t="s">
        <v>46</v>
      </c>
      <c r="N73" s="330" t="s">
        <v>50</v>
      </c>
      <c r="O73" s="333" t="s">
        <v>1956</v>
      </c>
      <c r="P73" s="38">
        <v>3249268.89</v>
      </c>
      <c r="Q73" s="38">
        <v>0</v>
      </c>
      <c r="R73" s="38">
        <v>0</v>
      </c>
      <c r="S73" s="38">
        <f t="shared" si="1"/>
        <v>3249268.89</v>
      </c>
      <c r="T73" s="38">
        <f t="shared" si="0"/>
        <v>776.16723359529897</v>
      </c>
      <c r="U73" s="38">
        <v>1750.5143955282704</v>
      </c>
      <c r="V73" s="458">
        <f t="shared" si="2"/>
        <v>974.3471619329714</v>
      </c>
      <c r="W73" s="458">
        <f t="shared" si="3"/>
        <v>1441.7913408976901</v>
      </c>
      <c r="X73" s="458">
        <v>0</v>
      </c>
      <c r="Y73" s="459">
        <v>0</v>
      </c>
      <c r="Z73" s="459">
        <v>0</v>
      </c>
      <c r="AA73" s="459">
        <v>0</v>
      </c>
      <c r="AB73" s="459">
        <v>0</v>
      </c>
      <c r="AC73" s="459">
        <v>0</v>
      </c>
      <c r="AD73" s="459">
        <v>0</v>
      </c>
      <c r="AE73" s="459">
        <v>967.44</v>
      </c>
      <c r="AF73" s="458">
        <f>6238.91*AE73/I73</f>
        <v>1441.7913408976901</v>
      </c>
      <c r="AG73" s="459">
        <v>0</v>
      </c>
      <c r="AH73" s="458">
        <v>0</v>
      </c>
      <c r="AI73" s="459">
        <v>0</v>
      </c>
      <c r="AJ73" s="458">
        <v>0</v>
      </c>
      <c r="AK73" s="459">
        <v>0</v>
      </c>
      <c r="AL73" s="459">
        <v>0</v>
      </c>
      <c r="AM73" s="459">
        <v>0</v>
      </c>
      <c r="AN73" s="459"/>
      <c r="AO73" s="459">
        <v>0</v>
      </c>
      <c r="AP73" s="460"/>
      <c r="AQ73" s="460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  <c r="BK73" s="460"/>
      <c r="BL73" s="460"/>
      <c r="BM73" s="460"/>
      <c r="BN73" s="460"/>
      <c r="BO73" s="460"/>
      <c r="BP73" s="460"/>
      <c r="BQ73" s="460"/>
      <c r="BR73" s="460"/>
      <c r="BS73" s="460"/>
      <c r="BT73" s="460"/>
      <c r="BU73" s="460"/>
      <c r="BV73" s="460"/>
      <c r="BW73" s="460"/>
      <c r="BX73" s="460"/>
      <c r="BY73" s="460"/>
      <c r="BZ73" s="460"/>
      <c r="CA73" s="460"/>
      <c r="CB73" s="460"/>
      <c r="CC73" s="460"/>
      <c r="CD73" s="460"/>
      <c r="CE73" s="460"/>
      <c r="CF73" s="460"/>
      <c r="CG73" s="460"/>
      <c r="CH73" s="460"/>
      <c r="CI73" s="460"/>
      <c r="CJ73" s="460"/>
      <c r="CK73" s="460"/>
    </row>
    <row r="74" spans="1:89" s="329" customFormat="1" ht="36" customHeight="1" x14ac:dyDescent="0.25">
      <c r="A74" s="329">
        <v>1</v>
      </c>
      <c r="B74" s="39">
        <f>SUBTOTAL(103,$A$16:A74)</f>
        <v>59</v>
      </c>
      <c r="C74" s="33" t="s">
        <v>1022</v>
      </c>
      <c r="D74" s="330">
        <v>1969</v>
      </c>
      <c r="E74" s="330"/>
      <c r="F74" s="331" t="s">
        <v>48</v>
      </c>
      <c r="G74" s="330">
        <v>9</v>
      </c>
      <c r="H74" s="330" t="s">
        <v>57</v>
      </c>
      <c r="I74" s="38">
        <v>3727.1</v>
      </c>
      <c r="J74" s="38">
        <v>3470.9</v>
      </c>
      <c r="K74" s="38">
        <v>2066.9</v>
      </c>
      <c r="L74" s="332">
        <v>77</v>
      </c>
      <c r="M74" s="330" t="s">
        <v>46</v>
      </c>
      <c r="N74" s="330" t="s">
        <v>50</v>
      </c>
      <c r="O74" s="333" t="s">
        <v>1956</v>
      </c>
      <c r="P74" s="38">
        <v>2561819.3000000003</v>
      </c>
      <c r="Q74" s="38">
        <v>0</v>
      </c>
      <c r="R74" s="38">
        <v>0</v>
      </c>
      <c r="S74" s="38">
        <f t="shared" si="1"/>
        <v>2561819.3000000003</v>
      </c>
      <c r="T74" s="38">
        <f t="shared" si="0"/>
        <v>687.34922593973874</v>
      </c>
      <c r="U74" s="38">
        <v>1560.3864962034825</v>
      </c>
      <c r="V74" s="458">
        <f t="shared" si="2"/>
        <v>873.03727026374372</v>
      </c>
      <c r="W74" s="458">
        <f t="shared" si="3"/>
        <v>1200.2088674841029</v>
      </c>
      <c r="X74" s="458">
        <v>0</v>
      </c>
      <c r="Y74" s="459">
        <v>0</v>
      </c>
      <c r="Z74" s="459">
        <v>0</v>
      </c>
      <c r="AA74" s="459">
        <v>0</v>
      </c>
      <c r="AB74" s="459">
        <v>0</v>
      </c>
      <c r="AC74" s="459">
        <v>0</v>
      </c>
      <c r="AD74" s="459">
        <v>0</v>
      </c>
      <c r="AE74" s="459">
        <v>717</v>
      </c>
      <c r="AF74" s="458">
        <f>6238.91*AE74/I74</f>
        <v>1200.2088674841029</v>
      </c>
      <c r="AG74" s="459">
        <v>0</v>
      </c>
      <c r="AH74" s="458">
        <v>0</v>
      </c>
      <c r="AI74" s="459">
        <v>0</v>
      </c>
      <c r="AJ74" s="458">
        <v>0</v>
      </c>
      <c r="AK74" s="459">
        <v>0</v>
      </c>
      <c r="AL74" s="459">
        <v>0</v>
      </c>
      <c r="AM74" s="459">
        <v>0</v>
      </c>
      <c r="AN74" s="459"/>
      <c r="AO74" s="459">
        <v>0</v>
      </c>
      <c r="AP74" s="460"/>
      <c r="AQ74" s="460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  <c r="BK74" s="460"/>
      <c r="BL74" s="460"/>
      <c r="BM74" s="460"/>
      <c r="BN74" s="460"/>
      <c r="BO74" s="460"/>
      <c r="BP74" s="460"/>
      <c r="BQ74" s="460"/>
      <c r="BR74" s="460"/>
      <c r="BS74" s="460"/>
      <c r="BT74" s="460"/>
      <c r="BU74" s="460"/>
      <c r="BV74" s="460"/>
      <c r="BW74" s="460"/>
      <c r="BX74" s="460"/>
      <c r="BY74" s="460"/>
      <c r="BZ74" s="460"/>
      <c r="CA74" s="460"/>
      <c r="CB74" s="460"/>
      <c r="CC74" s="460"/>
      <c r="CD74" s="460"/>
      <c r="CE74" s="460"/>
      <c r="CF74" s="460"/>
      <c r="CG74" s="460"/>
      <c r="CH74" s="460"/>
      <c r="CI74" s="460"/>
      <c r="CJ74" s="460"/>
      <c r="CK74" s="460"/>
    </row>
    <row r="75" spans="1:89" s="329" customFormat="1" ht="36" customHeight="1" x14ac:dyDescent="0.25">
      <c r="A75" s="329">
        <v>1</v>
      </c>
      <c r="B75" s="39">
        <f>SUBTOTAL(103,$A$16:A75)</f>
        <v>60</v>
      </c>
      <c r="C75" s="33" t="s">
        <v>1024</v>
      </c>
      <c r="D75" s="330">
        <v>1968</v>
      </c>
      <c r="E75" s="330"/>
      <c r="F75" s="331" t="s">
        <v>48</v>
      </c>
      <c r="G75" s="330">
        <v>9</v>
      </c>
      <c r="H75" s="330" t="s">
        <v>57</v>
      </c>
      <c r="I75" s="38">
        <v>3105.6</v>
      </c>
      <c r="J75" s="38">
        <v>2845.2</v>
      </c>
      <c r="K75" s="38">
        <v>2051.8000000000002</v>
      </c>
      <c r="L75" s="332">
        <v>100</v>
      </c>
      <c r="M75" s="330" t="s">
        <v>46</v>
      </c>
      <c r="N75" s="330" t="s">
        <v>50</v>
      </c>
      <c r="O75" s="333" t="s">
        <v>1956</v>
      </c>
      <c r="P75" s="38">
        <v>967510.08</v>
      </c>
      <c r="Q75" s="38">
        <v>0</v>
      </c>
      <c r="R75" s="38">
        <v>0</v>
      </c>
      <c r="S75" s="38">
        <f t="shared" si="1"/>
        <v>967510.08</v>
      </c>
      <c r="T75" s="38">
        <f t="shared" si="0"/>
        <v>311.53724884080373</v>
      </c>
      <c r="U75" s="38">
        <v>735.75777627511582</v>
      </c>
      <c r="V75" s="458">
        <f t="shared" si="2"/>
        <v>424.22052743431209</v>
      </c>
      <c r="W75" s="458">
        <f t="shared" si="3"/>
        <v>2598.9900502318392</v>
      </c>
      <c r="X75" s="458">
        <v>0</v>
      </c>
      <c r="Y75" s="459">
        <v>0</v>
      </c>
      <c r="Z75" s="459">
        <v>0</v>
      </c>
      <c r="AA75" s="459">
        <v>0</v>
      </c>
      <c r="AB75" s="459">
        <v>0</v>
      </c>
      <c r="AC75" s="459">
        <v>0</v>
      </c>
      <c r="AD75" s="459">
        <v>0</v>
      </c>
      <c r="AE75" s="459">
        <v>0</v>
      </c>
      <c r="AF75" s="458">
        <v>0</v>
      </c>
      <c r="AG75" s="459">
        <v>0</v>
      </c>
      <c r="AH75" s="458">
        <v>0</v>
      </c>
      <c r="AI75" s="459">
        <v>1085</v>
      </c>
      <c r="AJ75" s="458">
        <f>7439.1*AI75/I75</f>
        <v>2598.9900502318392</v>
      </c>
      <c r="AK75" s="459">
        <v>0</v>
      </c>
      <c r="AL75" s="459">
        <v>0</v>
      </c>
      <c r="AM75" s="459">
        <v>0</v>
      </c>
      <c r="AN75" s="459"/>
      <c r="AO75" s="459">
        <v>0</v>
      </c>
      <c r="AP75" s="460"/>
      <c r="AQ75" s="460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  <c r="BK75" s="460"/>
      <c r="BL75" s="460"/>
      <c r="BM75" s="460"/>
      <c r="BN75" s="460"/>
      <c r="BO75" s="460"/>
      <c r="BP75" s="460"/>
      <c r="BQ75" s="460"/>
      <c r="BR75" s="460"/>
      <c r="BS75" s="460"/>
      <c r="BT75" s="460"/>
      <c r="BU75" s="460"/>
      <c r="BV75" s="460"/>
      <c r="BW75" s="460"/>
      <c r="BX75" s="460"/>
      <c r="BY75" s="460"/>
      <c r="BZ75" s="460"/>
      <c r="CA75" s="460"/>
      <c r="CB75" s="460"/>
      <c r="CC75" s="460"/>
      <c r="CD75" s="460"/>
      <c r="CE75" s="460"/>
      <c r="CF75" s="460"/>
      <c r="CG75" s="460"/>
      <c r="CH75" s="460"/>
      <c r="CI75" s="460"/>
      <c r="CJ75" s="460"/>
      <c r="CK75" s="460"/>
    </row>
    <row r="76" spans="1:89" s="329" customFormat="1" ht="36" customHeight="1" x14ac:dyDescent="0.25">
      <c r="A76" s="329">
        <v>1</v>
      </c>
      <c r="B76" s="39">
        <f>SUBTOTAL(103,$A$16:A76)</f>
        <v>61</v>
      </c>
      <c r="C76" s="33" t="s">
        <v>1026</v>
      </c>
      <c r="D76" s="330">
        <v>1968</v>
      </c>
      <c r="E76" s="330"/>
      <c r="F76" s="331" t="s">
        <v>48</v>
      </c>
      <c r="G76" s="330">
        <v>9</v>
      </c>
      <c r="H76" s="330" t="s">
        <v>57</v>
      </c>
      <c r="I76" s="38">
        <v>3131.6</v>
      </c>
      <c r="J76" s="38">
        <v>3111.4</v>
      </c>
      <c r="K76" s="38">
        <v>2076</v>
      </c>
      <c r="L76" s="332">
        <v>82</v>
      </c>
      <c r="M76" s="330" t="s">
        <v>46</v>
      </c>
      <c r="N76" s="330" t="s">
        <v>50</v>
      </c>
      <c r="O76" s="333" t="s">
        <v>1956</v>
      </c>
      <c r="P76" s="38">
        <v>966024.86</v>
      </c>
      <c r="Q76" s="38">
        <v>0</v>
      </c>
      <c r="R76" s="38">
        <v>0</v>
      </c>
      <c r="S76" s="38">
        <f t="shared" si="1"/>
        <v>966024.86</v>
      </c>
      <c r="T76" s="38">
        <f t="shared" si="0"/>
        <v>308.47645293140886</v>
      </c>
      <c r="U76" s="38">
        <v>715.65590113679912</v>
      </c>
      <c r="V76" s="458">
        <f t="shared" si="2"/>
        <v>407.17944820539026</v>
      </c>
      <c r="W76" s="458">
        <f t="shared" si="3"/>
        <v>1741.5794941244092</v>
      </c>
      <c r="X76" s="458">
        <v>0</v>
      </c>
      <c r="Y76" s="459">
        <v>0</v>
      </c>
      <c r="Z76" s="459">
        <v>0</v>
      </c>
      <c r="AA76" s="459">
        <v>0</v>
      </c>
      <c r="AB76" s="459">
        <v>0</v>
      </c>
      <c r="AC76" s="459">
        <v>0</v>
      </c>
      <c r="AD76" s="459">
        <v>0</v>
      </c>
      <c r="AE76" s="459">
        <v>874.18</v>
      </c>
      <c r="AF76" s="458">
        <f>6238.91*AE76/I76</f>
        <v>1741.5794941244092</v>
      </c>
      <c r="AG76" s="459">
        <v>0</v>
      </c>
      <c r="AH76" s="458">
        <v>0</v>
      </c>
      <c r="AI76" s="459">
        <v>0</v>
      </c>
      <c r="AJ76" s="458">
        <v>0</v>
      </c>
      <c r="AK76" s="459">
        <v>0</v>
      </c>
      <c r="AL76" s="459">
        <v>0</v>
      </c>
      <c r="AM76" s="459">
        <v>0</v>
      </c>
      <c r="AN76" s="459"/>
      <c r="AO76" s="459">
        <v>0</v>
      </c>
      <c r="AP76" s="460"/>
      <c r="AQ76" s="460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  <c r="BK76" s="460"/>
      <c r="BL76" s="460"/>
      <c r="BM76" s="460"/>
      <c r="BN76" s="460"/>
      <c r="BO76" s="460"/>
      <c r="BP76" s="460"/>
      <c r="BQ76" s="460"/>
      <c r="BR76" s="460"/>
      <c r="BS76" s="460"/>
      <c r="BT76" s="460"/>
      <c r="BU76" s="460"/>
      <c r="BV76" s="460"/>
      <c r="BW76" s="460"/>
      <c r="BX76" s="460"/>
      <c r="BY76" s="460"/>
      <c r="BZ76" s="460"/>
      <c r="CA76" s="460"/>
      <c r="CB76" s="460"/>
      <c r="CC76" s="460"/>
      <c r="CD76" s="460"/>
      <c r="CE76" s="460"/>
      <c r="CF76" s="460"/>
      <c r="CG76" s="460"/>
      <c r="CH76" s="460"/>
      <c r="CI76" s="460"/>
      <c r="CJ76" s="460"/>
      <c r="CK76" s="460"/>
    </row>
    <row r="77" spans="1:89" s="329" customFormat="1" ht="36" customHeight="1" x14ac:dyDescent="0.25">
      <c r="A77" s="329">
        <v>1</v>
      </c>
      <c r="B77" s="39">
        <f>SUBTOTAL(103,$A$16:A77)</f>
        <v>62</v>
      </c>
      <c r="C77" s="33" t="s">
        <v>1028</v>
      </c>
      <c r="D77" s="330">
        <v>1991</v>
      </c>
      <c r="E77" s="330"/>
      <c r="F77" s="331" t="s">
        <v>48</v>
      </c>
      <c r="G77" s="330">
        <v>10</v>
      </c>
      <c r="H77" s="330" t="s">
        <v>56</v>
      </c>
      <c r="I77" s="38">
        <v>5027.3999999999996</v>
      </c>
      <c r="J77" s="38">
        <v>5027.3999999999996</v>
      </c>
      <c r="K77" s="38">
        <v>4982.1000000000004</v>
      </c>
      <c r="L77" s="332">
        <v>264</v>
      </c>
      <c r="M77" s="330" t="s">
        <v>46</v>
      </c>
      <c r="N77" s="330" t="s">
        <v>50</v>
      </c>
      <c r="O77" s="333" t="s">
        <v>1968</v>
      </c>
      <c r="P77" s="38">
        <v>2880785.14</v>
      </c>
      <c r="Q77" s="38">
        <v>0</v>
      </c>
      <c r="R77" s="38">
        <v>0</v>
      </c>
      <c r="S77" s="38">
        <f t="shared" si="1"/>
        <v>2880785.14</v>
      </c>
      <c r="T77" s="38">
        <f t="shared" ref="T77:T140" si="6">P77/I77</f>
        <v>573.01689541313613</v>
      </c>
      <c r="U77" s="38">
        <v>1058.940605481959</v>
      </c>
      <c r="V77" s="458">
        <f t="shared" si="2"/>
        <v>485.92371006882286</v>
      </c>
      <c r="W77" s="458">
        <f t="shared" si="3"/>
        <v>826.34470998925906</v>
      </c>
      <c r="X77" s="458">
        <v>0</v>
      </c>
      <c r="Y77" s="459">
        <v>0</v>
      </c>
      <c r="Z77" s="459">
        <v>0</v>
      </c>
      <c r="AA77" s="459">
        <v>0</v>
      </c>
      <c r="AB77" s="459">
        <v>0</v>
      </c>
      <c r="AC77" s="459">
        <v>0</v>
      </c>
      <c r="AD77" s="459">
        <v>0</v>
      </c>
      <c r="AE77" s="459">
        <v>0</v>
      </c>
      <c r="AF77" s="458">
        <v>0</v>
      </c>
      <c r="AG77" s="459">
        <v>0</v>
      </c>
      <c r="AH77" s="458">
        <v>0</v>
      </c>
      <c r="AI77" s="459">
        <v>558.45000000000005</v>
      </c>
      <c r="AJ77" s="458">
        <f>7439.1*AI77/I77</f>
        <v>826.34470998925906</v>
      </c>
      <c r="AK77" s="459">
        <v>0</v>
      </c>
      <c r="AL77" s="459">
        <v>0</v>
      </c>
      <c r="AM77" s="459">
        <v>0</v>
      </c>
      <c r="AN77" s="459"/>
      <c r="AO77" s="459">
        <v>0</v>
      </c>
      <c r="AP77" s="460"/>
      <c r="AQ77" s="460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  <c r="BK77" s="460"/>
      <c r="BL77" s="460"/>
      <c r="BM77" s="460"/>
      <c r="BN77" s="460"/>
      <c r="BO77" s="460"/>
      <c r="BP77" s="460"/>
      <c r="BQ77" s="460"/>
      <c r="BR77" s="460"/>
      <c r="BS77" s="460"/>
      <c r="BT77" s="460"/>
      <c r="BU77" s="460"/>
      <c r="BV77" s="460"/>
      <c r="BW77" s="460"/>
      <c r="BX77" s="460"/>
      <c r="BY77" s="460"/>
      <c r="BZ77" s="460"/>
      <c r="CA77" s="460"/>
      <c r="CB77" s="460"/>
      <c r="CC77" s="460"/>
      <c r="CD77" s="460"/>
      <c r="CE77" s="460"/>
      <c r="CF77" s="460"/>
      <c r="CG77" s="460"/>
      <c r="CH77" s="460"/>
      <c r="CI77" s="460"/>
      <c r="CJ77" s="460"/>
      <c r="CK77" s="460"/>
    </row>
    <row r="78" spans="1:89" s="329" customFormat="1" ht="36" customHeight="1" x14ac:dyDescent="0.25">
      <c r="A78" s="329">
        <v>1</v>
      </c>
      <c r="B78" s="39">
        <f>SUBTOTAL(103,$A$16:A78)</f>
        <v>63</v>
      </c>
      <c r="C78" s="33" t="s">
        <v>1030</v>
      </c>
      <c r="D78" s="330">
        <v>1984</v>
      </c>
      <c r="E78" s="330"/>
      <c r="F78" s="331" t="s">
        <v>60</v>
      </c>
      <c r="G78" s="330">
        <v>16</v>
      </c>
      <c r="H78" s="330" t="s">
        <v>57</v>
      </c>
      <c r="I78" s="38">
        <v>4635.7</v>
      </c>
      <c r="J78" s="38">
        <v>4635.7</v>
      </c>
      <c r="K78" s="38">
        <v>4568</v>
      </c>
      <c r="L78" s="332">
        <v>218</v>
      </c>
      <c r="M78" s="330" t="s">
        <v>46</v>
      </c>
      <c r="N78" s="330" t="s">
        <v>50</v>
      </c>
      <c r="O78" s="333" t="s">
        <v>1968</v>
      </c>
      <c r="P78" s="38">
        <v>3859190.52</v>
      </c>
      <c r="Q78" s="38">
        <v>0</v>
      </c>
      <c r="R78" s="38">
        <v>0</v>
      </c>
      <c r="S78" s="38">
        <f t="shared" si="1"/>
        <v>3859190.52</v>
      </c>
      <c r="T78" s="38">
        <f t="shared" si="6"/>
        <v>832.4935867290809</v>
      </c>
      <c r="U78" s="38">
        <v>1396.6848588131243</v>
      </c>
      <c r="V78" s="458">
        <f t="shared" si="2"/>
        <v>564.19127208404336</v>
      </c>
      <c r="W78" s="458">
        <f t="shared" si="3"/>
        <v>1575.440180770973</v>
      </c>
      <c r="X78" s="458">
        <v>0</v>
      </c>
      <c r="Y78" s="459">
        <v>0</v>
      </c>
      <c r="Z78" s="459">
        <v>0</v>
      </c>
      <c r="AA78" s="459">
        <v>0</v>
      </c>
      <c r="AB78" s="459">
        <v>0</v>
      </c>
      <c r="AC78" s="459">
        <v>0</v>
      </c>
      <c r="AD78" s="459">
        <v>0</v>
      </c>
      <c r="AE78" s="459">
        <v>1170.5999999999999</v>
      </c>
      <c r="AF78" s="458">
        <f>6238.91*AE78/I78</f>
        <v>1575.440180770973</v>
      </c>
      <c r="AG78" s="459">
        <v>0</v>
      </c>
      <c r="AH78" s="458">
        <v>0</v>
      </c>
      <c r="AI78" s="459">
        <v>0</v>
      </c>
      <c r="AJ78" s="458">
        <v>0</v>
      </c>
      <c r="AK78" s="459">
        <v>0</v>
      </c>
      <c r="AL78" s="459">
        <v>0</v>
      </c>
      <c r="AM78" s="459">
        <v>0</v>
      </c>
      <c r="AN78" s="459"/>
      <c r="AO78" s="459">
        <v>0</v>
      </c>
      <c r="AP78" s="460"/>
      <c r="AQ78" s="460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  <c r="BK78" s="460"/>
      <c r="BL78" s="460"/>
      <c r="BM78" s="460"/>
      <c r="BN78" s="460"/>
      <c r="BO78" s="460"/>
      <c r="BP78" s="460"/>
      <c r="BQ78" s="460"/>
      <c r="BR78" s="460"/>
      <c r="BS78" s="460"/>
      <c r="BT78" s="460"/>
      <c r="BU78" s="460"/>
      <c r="BV78" s="460"/>
      <c r="BW78" s="460"/>
      <c r="BX78" s="460"/>
      <c r="BY78" s="460"/>
      <c r="BZ78" s="460"/>
      <c r="CA78" s="460"/>
      <c r="CB78" s="460"/>
      <c r="CC78" s="460"/>
      <c r="CD78" s="460"/>
      <c r="CE78" s="460"/>
      <c r="CF78" s="460"/>
      <c r="CG78" s="460"/>
      <c r="CH78" s="460"/>
      <c r="CI78" s="460"/>
      <c r="CJ78" s="460"/>
      <c r="CK78" s="460"/>
    </row>
    <row r="79" spans="1:89" s="329" customFormat="1" ht="36" customHeight="1" x14ac:dyDescent="0.25">
      <c r="A79" s="329">
        <v>1</v>
      </c>
      <c r="B79" s="39">
        <f>SUBTOTAL(103,$A$16:A79)</f>
        <v>64</v>
      </c>
      <c r="C79" s="33" t="s">
        <v>1032</v>
      </c>
      <c r="D79" s="330">
        <v>1932</v>
      </c>
      <c r="E79" s="330"/>
      <c r="F79" s="331" t="s">
        <v>48</v>
      </c>
      <c r="G79" s="330">
        <v>4</v>
      </c>
      <c r="H79" s="330" t="s">
        <v>61</v>
      </c>
      <c r="I79" s="38">
        <v>2130.17</v>
      </c>
      <c r="J79" s="38">
        <v>1904.67</v>
      </c>
      <c r="K79" s="38">
        <v>1323.47</v>
      </c>
      <c r="L79" s="332">
        <v>68</v>
      </c>
      <c r="M79" s="330" t="s">
        <v>46</v>
      </c>
      <c r="N79" s="330" t="s">
        <v>50</v>
      </c>
      <c r="O79" s="333" t="s">
        <v>1971</v>
      </c>
      <c r="P79" s="38">
        <v>216770.67</v>
      </c>
      <c r="Q79" s="38">
        <v>0</v>
      </c>
      <c r="R79" s="38">
        <v>0</v>
      </c>
      <c r="S79" s="38">
        <f t="shared" si="1"/>
        <v>216770.67</v>
      </c>
      <c r="T79" s="38">
        <f t="shared" si="6"/>
        <v>101.76214574423638</v>
      </c>
      <c r="U79" s="38">
        <v>199.26</v>
      </c>
      <c r="V79" s="458">
        <f t="shared" si="2"/>
        <v>97.497854255763613</v>
      </c>
      <c r="W79" s="458">
        <f t="shared" si="3"/>
        <v>2770.6750447147406</v>
      </c>
      <c r="X79" s="458">
        <v>0</v>
      </c>
      <c r="Y79" s="459">
        <v>0</v>
      </c>
      <c r="Z79" s="459">
        <v>0</v>
      </c>
      <c r="AA79" s="459">
        <v>0</v>
      </c>
      <c r="AB79" s="459">
        <v>0</v>
      </c>
      <c r="AC79" s="459">
        <v>0</v>
      </c>
      <c r="AD79" s="459">
        <v>0</v>
      </c>
      <c r="AE79" s="459">
        <v>946</v>
      </c>
      <c r="AF79" s="458">
        <f>6238.91*AE79/I79</f>
        <v>2770.6750447147406</v>
      </c>
      <c r="AG79" s="459">
        <v>0</v>
      </c>
      <c r="AH79" s="458">
        <v>0</v>
      </c>
      <c r="AI79" s="459">
        <v>0</v>
      </c>
      <c r="AJ79" s="458">
        <v>0</v>
      </c>
      <c r="AK79" s="459">
        <v>0</v>
      </c>
      <c r="AL79" s="459">
        <v>0</v>
      </c>
      <c r="AM79" s="459">
        <v>0</v>
      </c>
      <c r="AN79" s="459"/>
      <c r="AO79" s="459">
        <v>0</v>
      </c>
      <c r="AP79" s="460"/>
      <c r="AQ79" s="460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  <c r="BK79" s="460"/>
      <c r="BL79" s="460"/>
      <c r="BM79" s="460"/>
      <c r="BN79" s="460"/>
      <c r="BO79" s="460"/>
      <c r="BP79" s="460"/>
      <c r="BQ79" s="460"/>
      <c r="BR79" s="460"/>
      <c r="BS79" s="460"/>
      <c r="BT79" s="460"/>
      <c r="BU79" s="460"/>
      <c r="BV79" s="460"/>
      <c r="BW79" s="460"/>
      <c r="BX79" s="460"/>
      <c r="BY79" s="460"/>
      <c r="BZ79" s="460"/>
      <c r="CA79" s="460"/>
      <c r="CB79" s="460"/>
      <c r="CC79" s="460"/>
      <c r="CD79" s="460"/>
      <c r="CE79" s="460"/>
      <c r="CF79" s="460"/>
      <c r="CG79" s="460"/>
      <c r="CH79" s="460"/>
      <c r="CI79" s="460"/>
      <c r="CJ79" s="460"/>
      <c r="CK79" s="460"/>
    </row>
    <row r="80" spans="1:89" s="329" customFormat="1" ht="36" customHeight="1" x14ac:dyDescent="0.25">
      <c r="A80" s="329">
        <v>1</v>
      </c>
      <c r="B80" s="39">
        <f>SUBTOTAL(103,$A$16:A80)</f>
        <v>65</v>
      </c>
      <c r="C80" s="33" t="s">
        <v>932</v>
      </c>
      <c r="D80" s="330">
        <v>1946</v>
      </c>
      <c r="E80" s="330"/>
      <c r="F80" s="331" t="s">
        <v>48</v>
      </c>
      <c r="G80" s="330">
        <v>3</v>
      </c>
      <c r="H80" s="330" t="s">
        <v>61</v>
      </c>
      <c r="I80" s="38">
        <v>2194.1999999999998</v>
      </c>
      <c r="J80" s="38">
        <v>1984.5</v>
      </c>
      <c r="K80" s="38">
        <v>1584.8</v>
      </c>
      <c r="L80" s="332">
        <v>44</v>
      </c>
      <c r="M80" s="330" t="s">
        <v>46</v>
      </c>
      <c r="N80" s="330" t="s">
        <v>50</v>
      </c>
      <c r="O80" s="333" t="s">
        <v>1975</v>
      </c>
      <c r="P80" s="38">
        <v>3764827.42</v>
      </c>
      <c r="Q80" s="38">
        <v>0</v>
      </c>
      <c r="R80" s="38">
        <v>0</v>
      </c>
      <c r="S80" s="38">
        <f t="shared" ref="S80:S119" si="7">P80-Q80-R80</f>
        <v>3764827.42</v>
      </c>
      <c r="T80" s="38">
        <f t="shared" si="6"/>
        <v>1715.8086865372347</v>
      </c>
      <c r="U80" s="38">
        <v>3349.4955154498225</v>
      </c>
      <c r="V80" s="458">
        <f t="shared" si="2"/>
        <v>1633.6868289125878</v>
      </c>
      <c r="W80" s="458">
        <f t="shared" si="3"/>
        <v>1039.249660468508</v>
      </c>
      <c r="X80" s="458">
        <v>0</v>
      </c>
      <c r="Y80" s="459">
        <v>0</v>
      </c>
      <c r="Z80" s="459">
        <v>0</v>
      </c>
      <c r="AA80" s="459">
        <v>0</v>
      </c>
      <c r="AB80" s="459">
        <v>0</v>
      </c>
      <c r="AC80" s="459">
        <v>0</v>
      </c>
      <c r="AD80" s="459">
        <v>0</v>
      </c>
      <c r="AE80" s="459">
        <v>365.5</v>
      </c>
      <c r="AF80" s="458">
        <f>6238.91*AE80/I80</f>
        <v>1039.249660468508</v>
      </c>
      <c r="AG80" s="459">
        <v>0</v>
      </c>
      <c r="AH80" s="458">
        <v>0</v>
      </c>
      <c r="AI80" s="459">
        <v>0</v>
      </c>
      <c r="AJ80" s="458">
        <v>0</v>
      </c>
      <c r="AK80" s="459">
        <v>0</v>
      </c>
      <c r="AL80" s="459">
        <v>0</v>
      </c>
      <c r="AM80" s="459">
        <v>0</v>
      </c>
      <c r="AN80" s="459"/>
      <c r="AO80" s="459">
        <v>0</v>
      </c>
      <c r="AP80" s="460"/>
      <c r="AQ80" s="460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  <c r="BK80" s="460"/>
      <c r="BL80" s="460"/>
      <c r="BM80" s="460"/>
      <c r="BN80" s="460"/>
      <c r="BO80" s="460"/>
      <c r="BP80" s="460"/>
      <c r="BQ80" s="460"/>
      <c r="BR80" s="460"/>
      <c r="BS80" s="460"/>
      <c r="BT80" s="460"/>
      <c r="BU80" s="460"/>
      <c r="BV80" s="460"/>
      <c r="BW80" s="460"/>
      <c r="BX80" s="460"/>
      <c r="BY80" s="460"/>
      <c r="BZ80" s="460"/>
      <c r="CA80" s="460"/>
      <c r="CB80" s="460"/>
      <c r="CC80" s="460"/>
      <c r="CD80" s="460"/>
      <c r="CE80" s="460"/>
      <c r="CF80" s="460"/>
      <c r="CG80" s="460"/>
      <c r="CH80" s="460"/>
      <c r="CI80" s="460"/>
      <c r="CJ80" s="460"/>
      <c r="CK80" s="460"/>
    </row>
    <row r="81" spans="1:89" s="329" customFormat="1" ht="36" customHeight="1" x14ac:dyDescent="0.25">
      <c r="A81" s="329">
        <v>1</v>
      </c>
      <c r="B81" s="39">
        <f>SUBTOTAL(103,$A$16:A81)</f>
        <v>66</v>
      </c>
      <c r="C81" s="33" t="s">
        <v>1035</v>
      </c>
      <c r="D81" s="330">
        <v>1949</v>
      </c>
      <c r="E81" s="330"/>
      <c r="F81" s="331" t="s">
        <v>48</v>
      </c>
      <c r="G81" s="330" t="s">
        <v>56</v>
      </c>
      <c r="H81" s="330" t="s">
        <v>56</v>
      </c>
      <c r="I81" s="38">
        <v>939.7</v>
      </c>
      <c r="J81" s="38">
        <v>558</v>
      </c>
      <c r="K81" s="38">
        <v>558</v>
      </c>
      <c r="L81" s="332">
        <v>16</v>
      </c>
      <c r="M81" s="330" t="s">
        <v>46</v>
      </c>
      <c r="N81" s="330" t="s">
        <v>50</v>
      </c>
      <c r="O81" s="333" t="s">
        <v>1962</v>
      </c>
      <c r="P81" s="38">
        <v>3712372.02</v>
      </c>
      <c r="Q81" s="38">
        <v>0</v>
      </c>
      <c r="R81" s="38">
        <v>0</v>
      </c>
      <c r="S81" s="38">
        <f t="shared" si="7"/>
        <v>3712372.02</v>
      </c>
      <c r="T81" s="38">
        <f t="shared" si="6"/>
        <v>3950.5927636479728</v>
      </c>
      <c r="U81" s="38">
        <v>6491.499414706821</v>
      </c>
      <c r="V81" s="458">
        <f t="shared" ref="V81:V144" si="8">U81-T81</f>
        <v>2540.9066510588482</v>
      </c>
      <c r="W81" s="458">
        <f t="shared" ref="W81:W119" si="9">X81+Y81+Z81+AA81+AB81+AD81+AF81+AH81+AJ81+AL81+AN81+AO81</f>
        <v>2376.8540810897093</v>
      </c>
      <c r="X81" s="458">
        <v>0</v>
      </c>
      <c r="Y81" s="459">
        <v>0</v>
      </c>
      <c r="Z81" s="459">
        <v>0</v>
      </c>
      <c r="AA81" s="459">
        <v>0</v>
      </c>
      <c r="AB81" s="459">
        <v>0</v>
      </c>
      <c r="AC81" s="459">
        <v>0</v>
      </c>
      <c r="AD81" s="459">
        <v>0</v>
      </c>
      <c r="AE81" s="459">
        <v>358</v>
      </c>
      <c r="AF81" s="458">
        <f>6238.91*AE81/I81</f>
        <v>2376.8540810897093</v>
      </c>
      <c r="AG81" s="459">
        <v>0</v>
      </c>
      <c r="AH81" s="458">
        <v>0</v>
      </c>
      <c r="AI81" s="459">
        <v>0</v>
      </c>
      <c r="AJ81" s="458">
        <v>0</v>
      </c>
      <c r="AK81" s="459">
        <v>0</v>
      </c>
      <c r="AL81" s="459">
        <v>0</v>
      </c>
      <c r="AM81" s="459">
        <v>0</v>
      </c>
      <c r="AN81" s="459"/>
      <c r="AO81" s="459">
        <v>0</v>
      </c>
      <c r="AP81" s="460"/>
      <c r="AQ81" s="460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  <c r="BK81" s="460"/>
      <c r="BL81" s="460"/>
      <c r="BM81" s="460"/>
      <c r="BN81" s="460"/>
      <c r="BO81" s="460"/>
      <c r="BP81" s="460"/>
      <c r="BQ81" s="460"/>
      <c r="BR81" s="460"/>
      <c r="BS81" s="460"/>
      <c r="BT81" s="460"/>
      <c r="BU81" s="460"/>
      <c r="BV81" s="460"/>
      <c r="BW81" s="460"/>
      <c r="BX81" s="460"/>
      <c r="BY81" s="460"/>
      <c r="BZ81" s="460"/>
      <c r="CA81" s="460"/>
      <c r="CB81" s="460"/>
      <c r="CC81" s="460"/>
      <c r="CD81" s="460"/>
      <c r="CE81" s="460"/>
      <c r="CF81" s="460"/>
      <c r="CG81" s="460"/>
      <c r="CH81" s="460"/>
      <c r="CI81" s="460"/>
      <c r="CJ81" s="460"/>
      <c r="CK81" s="460"/>
    </row>
    <row r="82" spans="1:89" s="329" customFormat="1" ht="36" customHeight="1" x14ac:dyDescent="0.25">
      <c r="A82" s="329">
        <v>1</v>
      </c>
      <c r="B82" s="39">
        <f>SUBTOTAL(103,$A$16:A82)</f>
        <v>67</v>
      </c>
      <c r="C82" s="33" t="s">
        <v>1037</v>
      </c>
      <c r="D82" s="330">
        <v>1958</v>
      </c>
      <c r="E82" s="330"/>
      <c r="F82" s="331" t="s">
        <v>48</v>
      </c>
      <c r="G82" s="330">
        <v>2</v>
      </c>
      <c r="H82" s="330" t="s">
        <v>57</v>
      </c>
      <c r="I82" s="38">
        <v>429.9</v>
      </c>
      <c r="J82" s="38">
        <v>389.3</v>
      </c>
      <c r="K82" s="38">
        <v>389.3</v>
      </c>
      <c r="L82" s="332">
        <v>24</v>
      </c>
      <c r="M82" s="330" t="s">
        <v>46</v>
      </c>
      <c r="N82" s="330" t="s">
        <v>50</v>
      </c>
      <c r="O82" s="333" t="s">
        <v>1971</v>
      </c>
      <c r="P82" s="38">
        <v>1900391.55</v>
      </c>
      <c r="Q82" s="38">
        <v>0</v>
      </c>
      <c r="R82" s="38">
        <v>0</v>
      </c>
      <c r="S82" s="38">
        <f t="shared" si="7"/>
        <v>1900391.55</v>
      </c>
      <c r="T82" s="38">
        <f t="shared" si="6"/>
        <v>4420.5432658757854</v>
      </c>
      <c r="U82" s="38">
        <v>8928.9965108164688</v>
      </c>
      <c r="V82" s="458">
        <f t="shared" si="8"/>
        <v>4508.4532449406834</v>
      </c>
      <c r="W82" s="458">
        <f t="shared" si="9"/>
        <v>12383.61944638288</v>
      </c>
      <c r="X82" s="458">
        <v>0</v>
      </c>
      <c r="Y82" s="459">
        <v>0</v>
      </c>
      <c r="Z82" s="459">
        <v>0</v>
      </c>
      <c r="AA82" s="459">
        <v>0</v>
      </c>
      <c r="AB82" s="459">
        <v>0</v>
      </c>
      <c r="AC82" s="459">
        <v>2</v>
      </c>
      <c r="AD82" s="458">
        <f>2661859*AC82/I82</f>
        <v>12383.61944638288</v>
      </c>
      <c r="AE82" s="459">
        <v>0</v>
      </c>
      <c r="AF82" s="458">
        <v>0</v>
      </c>
      <c r="AG82" s="459">
        <v>0</v>
      </c>
      <c r="AH82" s="458">
        <v>0</v>
      </c>
      <c r="AI82" s="459">
        <v>0</v>
      </c>
      <c r="AJ82" s="458">
        <v>0</v>
      </c>
      <c r="AK82" s="459">
        <v>0</v>
      </c>
      <c r="AL82" s="459">
        <v>0</v>
      </c>
      <c r="AM82" s="459">
        <v>0</v>
      </c>
      <c r="AN82" s="459"/>
      <c r="AO82" s="459">
        <v>0</v>
      </c>
      <c r="AP82" s="460"/>
      <c r="AQ82" s="460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  <c r="BK82" s="460"/>
      <c r="BL82" s="460"/>
      <c r="BM82" s="460"/>
      <c r="BN82" s="460"/>
      <c r="BO82" s="460"/>
      <c r="BP82" s="460"/>
      <c r="BQ82" s="460"/>
      <c r="BR82" s="460"/>
      <c r="BS82" s="460"/>
      <c r="BT82" s="460"/>
      <c r="BU82" s="460"/>
      <c r="BV82" s="460"/>
      <c r="BW82" s="460"/>
      <c r="BX82" s="460"/>
      <c r="BY82" s="460"/>
      <c r="BZ82" s="460"/>
      <c r="CA82" s="460"/>
      <c r="CB82" s="460"/>
      <c r="CC82" s="460"/>
      <c r="CD82" s="460"/>
      <c r="CE82" s="460"/>
      <c r="CF82" s="460"/>
      <c r="CG82" s="460"/>
      <c r="CH82" s="460"/>
      <c r="CI82" s="460"/>
      <c r="CJ82" s="460"/>
      <c r="CK82" s="460"/>
    </row>
    <row r="83" spans="1:89" s="329" customFormat="1" ht="36" customHeight="1" x14ac:dyDescent="0.25">
      <c r="A83" s="329">
        <v>1</v>
      </c>
      <c r="B83" s="39">
        <f>SUBTOTAL(103,$A$16:A83)</f>
        <v>68</v>
      </c>
      <c r="C83" s="33" t="s">
        <v>1039</v>
      </c>
      <c r="D83" s="330">
        <v>1958</v>
      </c>
      <c r="E83" s="330"/>
      <c r="F83" s="331" t="s">
        <v>48</v>
      </c>
      <c r="G83" s="330">
        <v>2</v>
      </c>
      <c r="H83" s="330" t="s">
        <v>57</v>
      </c>
      <c r="I83" s="38">
        <v>447.3</v>
      </c>
      <c r="J83" s="38">
        <v>384.9</v>
      </c>
      <c r="K83" s="38">
        <v>384.9</v>
      </c>
      <c r="L83" s="332">
        <v>21</v>
      </c>
      <c r="M83" s="330" t="s">
        <v>46</v>
      </c>
      <c r="N83" s="330" t="s">
        <v>50</v>
      </c>
      <c r="O83" s="333" t="s">
        <v>1971</v>
      </c>
      <c r="P83" s="38">
        <v>2106147.9500000002</v>
      </c>
      <c r="Q83" s="38">
        <v>0</v>
      </c>
      <c r="R83" s="38">
        <v>0</v>
      </c>
      <c r="S83" s="38">
        <f t="shared" si="7"/>
        <v>2106147.9500000002</v>
      </c>
      <c r="T83" s="38">
        <f t="shared" si="6"/>
        <v>4708.5802593337803</v>
      </c>
      <c r="U83" s="38">
        <v>9296.7961099932945</v>
      </c>
      <c r="V83" s="458">
        <f t="shared" si="8"/>
        <v>4588.2158506595142</v>
      </c>
      <c r="W83" s="458">
        <f t="shared" si="9"/>
        <v>14474.875922199866</v>
      </c>
      <c r="X83" s="458">
        <v>0</v>
      </c>
      <c r="Y83" s="459">
        <v>0</v>
      </c>
      <c r="Z83" s="459">
        <v>0</v>
      </c>
      <c r="AA83" s="459">
        <v>0</v>
      </c>
      <c r="AB83" s="459">
        <v>0</v>
      </c>
      <c r="AC83" s="459">
        <v>2</v>
      </c>
      <c r="AD83" s="458">
        <f>3237306*AC83/I83</f>
        <v>14474.875922199866</v>
      </c>
      <c r="AE83" s="459">
        <v>0</v>
      </c>
      <c r="AF83" s="458">
        <v>0</v>
      </c>
      <c r="AG83" s="459">
        <v>0</v>
      </c>
      <c r="AH83" s="458">
        <v>0</v>
      </c>
      <c r="AI83" s="459">
        <v>0</v>
      </c>
      <c r="AJ83" s="458">
        <v>0</v>
      </c>
      <c r="AK83" s="459">
        <v>0</v>
      </c>
      <c r="AL83" s="459">
        <v>0</v>
      </c>
      <c r="AM83" s="459">
        <v>0</v>
      </c>
      <c r="AN83" s="459"/>
      <c r="AO83" s="459">
        <v>0</v>
      </c>
      <c r="AP83" s="460"/>
      <c r="AQ83" s="460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60"/>
      <c r="BV83" s="460"/>
      <c r="BW83" s="460"/>
      <c r="BX83" s="460"/>
      <c r="BY83" s="460"/>
      <c r="BZ83" s="460"/>
      <c r="CA83" s="460"/>
      <c r="CB83" s="460"/>
      <c r="CC83" s="460"/>
      <c r="CD83" s="460"/>
      <c r="CE83" s="460"/>
      <c r="CF83" s="460"/>
      <c r="CG83" s="460"/>
      <c r="CH83" s="460"/>
      <c r="CI83" s="460"/>
      <c r="CJ83" s="460"/>
      <c r="CK83" s="460"/>
    </row>
    <row r="84" spans="1:89" s="329" customFormat="1" ht="36" customHeight="1" x14ac:dyDescent="0.25">
      <c r="A84" s="329">
        <v>1</v>
      </c>
      <c r="B84" s="39">
        <f>SUBTOTAL(103,$A$16:A84)</f>
        <v>69</v>
      </c>
      <c r="C84" s="33" t="s">
        <v>1041</v>
      </c>
      <c r="D84" s="330">
        <v>1963</v>
      </c>
      <c r="E84" s="330"/>
      <c r="F84" s="331" t="s">
        <v>48</v>
      </c>
      <c r="G84" s="330">
        <v>5</v>
      </c>
      <c r="H84" s="330" t="s">
        <v>56</v>
      </c>
      <c r="I84" s="38">
        <v>1750.2</v>
      </c>
      <c r="J84" s="38">
        <v>1623.4</v>
      </c>
      <c r="K84" s="38">
        <v>1623.4</v>
      </c>
      <c r="L84" s="332">
        <v>89</v>
      </c>
      <c r="M84" s="330" t="s">
        <v>46</v>
      </c>
      <c r="N84" s="330" t="s">
        <v>50</v>
      </c>
      <c r="O84" s="333" t="s">
        <v>1976</v>
      </c>
      <c r="P84" s="38">
        <v>2813385.7399999998</v>
      </c>
      <c r="Q84" s="38">
        <v>0</v>
      </c>
      <c r="R84" s="38">
        <v>0</v>
      </c>
      <c r="S84" s="38">
        <f t="shared" si="7"/>
        <v>2813385.7399999998</v>
      </c>
      <c r="T84" s="38">
        <f t="shared" si="6"/>
        <v>1607.4652839675464</v>
      </c>
      <c r="U84" s="38">
        <v>6472.552553993829</v>
      </c>
      <c r="V84" s="458">
        <f t="shared" si="8"/>
        <v>4865.0872700262826</v>
      </c>
      <c r="W84" s="458">
        <f t="shared" si="9"/>
        <v>286.52999999999997</v>
      </c>
      <c r="X84" s="458">
        <v>101.55</v>
      </c>
      <c r="Y84" s="459">
        <v>0</v>
      </c>
      <c r="Z84" s="459">
        <v>0</v>
      </c>
      <c r="AA84" s="459">
        <v>184.98</v>
      </c>
      <c r="AB84" s="459">
        <v>0</v>
      </c>
      <c r="AC84" s="459">
        <v>0</v>
      </c>
      <c r="AD84" s="459">
        <v>0</v>
      </c>
      <c r="AE84" s="459">
        <v>0</v>
      </c>
      <c r="AF84" s="458">
        <v>0</v>
      </c>
      <c r="AG84" s="459">
        <v>0</v>
      </c>
      <c r="AH84" s="458">
        <v>0</v>
      </c>
      <c r="AI84" s="459">
        <v>0</v>
      </c>
      <c r="AJ84" s="458">
        <v>0</v>
      </c>
      <c r="AK84" s="459">
        <v>0</v>
      </c>
      <c r="AL84" s="459">
        <v>0</v>
      </c>
      <c r="AM84" s="459">
        <v>0</v>
      </c>
      <c r="AN84" s="459"/>
      <c r="AO84" s="459">
        <v>0</v>
      </c>
      <c r="AP84" s="460"/>
      <c r="AQ84" s="460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  <c r="BK84" s="460"/>
      <c r="BL84" s="460"/>
      <c r="BM84" s="460"/>
      <c r="BN84" s="460"/>
      <c r="BO84" s="460"/>
      <c r="BP84" s="460"/>
      <c r="BQ84" s="460"/>
      <c r="BR84" s="460"/>
      <c r="BS84" s="460"/>
      <c r="BT84" s="460"/>
      <c r="BU84" s="460"/>
      <c r="BV84" s="460"/>
      <c r="BW84" s="460"/>
      <c r="BX84" s="460"/>
      <c r="BY84" s="460"/>
      <c r="BZ84" s="460"/>
      <c r="CA84" s="460"/>
      <c r="CB84" s="460"/>
      <c r="CC84" s="460"/>
      <c r="CD84" s="460"/>
      <c r="CE84" s="460"/>
      <c r="CF84" s="460"/>
      <c r="CG84" s="460"/>
      <c r="CH84" s="460"/>
      <c r="CI84" s="460"/>
      <c r="CJ84" s="460"/>
      <c r="CK84" s="460"/>
    </row>
    <row r="85" spans="1:89" s="329" customFormat="1" ht="36" customHeight="1" x14ac:dyDescent="0.25">
      <c r="A85" s="329">
        <v>1</v>
      </c>
      <c r="B85" s="39">
        <f>SUBTOTAL(103,$A$16:A85)</f>
        <v>70</v>
      </c>
      <c r="C85" s="33" t="s">
        <v>1043</v>
      </c>
      <c r="D85" s="330">
        <v>1958</v>
      </c>
      <c r="E85" s="330"/>
      <c r="F85" s="331" t="s">
        <v>48</v>
      </c>
      <c r="G85" s="330">
        <v>3</v>
      </c>
      <c r="H85" s="330" t="s">
        <v>56</v>
      </c>
      <c r="I85" s="38">
        <v>1081</v>
      </c>
      <c r="J85" s="38">
        <v>633.6</v>
      </c>
      <c r="K85" s="38">
        <v>633.6</v>
      </c>
      <c r="L85" s="332">
        <v>48</v>
      </c>
      <c r="M85" s="330" t="s">
        <v>46</v>
      </c>
      <c r="N85" s="330" t="s">
        <v>50</v>
      </c>
      <c r="O85" s="333" t="s">
        <v>1962</v>
      </c>
      <c r="P85" s="38">
        <v>2278510.5799999996</v>
      </c>
      <c r="Q85" s="38">
        <v>0</v>
      </c>
      <c r="R85" s="38">
        <v>0</v>
      </c>
      <c r="S85" s="38">
        <f t="shared" si="7"/>
        <v>2278510.5799999996</v>
      </c>
      <c r="T85" s="38">
        <f t="shared" si="6"/>
        <v>2107.7803700277518</v>
      </c>
      <c r="U85" s="38">
        <v>3223.3318723404254</v>
      </c>
      <c r="V85" s="458">
        <f t="shared" si="8"/>
        <v>1115.5515023126736</v>
      </c>
      <c r="W85" s="458">
        <f t="shared" si="9"/>
        <v>6491.4098265494913</v>
      </c>
      <c r="X85" s="458">
        <v>0</v>
      </c>
      <c r="Y85" s="459">
        <v>0</v>
      </c>
      <c r="Z85" s="459">
        <v>0</v>
      </c>
      <c r="AA85" s="459">
        <v>0</v>
      </c>
      <c r="AB85" s="459">
        <v>0</v>
      </c>
      <c r="AC85" s="459">
        <v>0</v>
      </c>
      <c r="AD85" s="459">
        <v>0</v>
      </c>
      <c r="AE85" s="459">
        <v>1124.75</v>
      </c>
      <c r="AF85" s="458">
        <f>6238.91*AE85/I85</f>
        <v>6491.4098265494913</v>
      </c>
      <c r="AG85" s="459">
        <v>0</v>
      </c>
      <c r="AH85" s="458">
        <v>0</v>
      </c>
      <c r="AI85" s="459">
        <v>0</v>
      </c>
      <c r="AJ85" s="458">
        <v>0</v>
      </c>
      <c r="AK85" s="459">
        <v>0</v>
      </c>
      <c r="AL85" s="459">
        <v>0</v>
      </c>
      <c r="AM85" s="459">
        <v>0</v>
      </c>
      <c r="AN85" s="459"/>
      <c r="AO85" s="459">
        <v>0</v>
      </c>
      <c r="AP85" s="460"/>
      <c r="AQ85" s="460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  <c r="BK85" s="460"/>
      <c r="BL85" s="460"/>
      <c r="BM85" s="460"/>
      <c r="BN85" s="460"/>
      <c r="BO85" s="460"/>
      <c r="BP85" s="460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460"/>
      <c r="CG85" s="460"/>
      <c r="CH85" s="460"/>
      <c r="CI85" s="460"/>
      <c r="CJ85" s="460"/>
      <c r="CK85" s="460"/>
    </row>
    <row r="86" spans="1:89" s="329" customFormat="1" ht="36" customHeight="1" x14ac:dyDescent="0.25">
      <c r="A86" s="329">
        <v>1</v>
      </c>
      <c r="B86" s="39">
        <f>SUBTOTAL(103,$A$16:A86)</f>
        <v>71</v>
      </c>
      <c r="C86" s="33" t="s">
        <v>1045</v>
      </c>
      <c r="D86" s="330">
        <v>1959</v>
      </c>
      <c r="E86" s="330"/>
      <c r="F86" s="331" t="s">
        <v>48</v>
      </c>
      <c r="G86" s="330">
        <v>2</v>
      </c>
      <c r="H86" s="330" t="s">
        <v>57</v>
      </c>
      <c r="I86" s="38">
        <v>495</v>
      </c>
      <c r="J86" s="38">
        <v>308.10000000000002</v>
      </c>
      <c r="K86" s="38">
        <v>308.10000000000002</v>
      </c>
      <c r="L86" s="332">
        <v>20</v>
      </c>
      <c r="M86" s="330" t="s">
        <v>46</v>
      </c>
      <c r="N86" s="330" t="s">
        <v>50</v>
      </c>
      <c r="O86" s="333" t="s">
        <v>1964</v>
      </c>
      <c r="P86" s="38">
        <v>2391493.25</v>
      </c>
      <c r="Q86" s="38">
        <v>0</v>
      </c>
      <c r="R86" s="38">
        <v>0</v>
      </c>
      <c r="S86" s="38">
        <f t="shared" si="7"/>
        <v>2391493.25</v>
      </c>
      <c r="T86" s="38">
        <f t="shared" si="6"/>
        <v>4831.2994949494951</v>
      </c>
      <c r="U86" s="38">
        <v>9762.5037575757578</v>
      </c>
      <c r="V86" s="458">
        <f t="shared" si="8"/>
        <v>4931.2042626262628</v>
      </c>
      <c r="W86" s="458">
        <f t="shared" si="9"/>
        <v>12323.357575757576</v>
      </c>
      <c r="X86" s="458">
        <v>0</v>
      </c>
      <c r="Y86" s="459">
        <v>0</v>
      </c>
      <c r="Z86" s="459">
        <v>0</v>
      </c>
      <c r="AA86" s="459">
        <v>0</v>
      </c>
      <c r="AB86" s="459">
        <v>0</v>
      </c>
      <c r="AC86" s="459">
        <v>0</v>
      </c>
      <c r="AD86" s="459">
        <v>0</v>
      </c>
      <c r="AE86" s="459">
        <v>0</v>
      </c>
      <c r="AF86" s="458">
        <v>0</v>
      </c>
      <c r="AG86" s="459">
        <v>0</v>
      </c>
      <c r="AH86" s="458">
        <v>0</v>
      </c>
      <c r="AI86" s="459">
        <v>820</v>
      </c>
      <c r="AJ86" s="458">
        <f>7439.1*AI86/I86</f>
        <v>12323.357575757576</v>
      </c>
      <c r="AK86" s="459">
        <v>0</v>
      </c>
      <c r="AL86" s="459">
        <v>0</v>
      </c>
      <c r="AM86" s="459">
        <v>0</v>
      </c>
      <c r="AN86" s="459"/>
      <c r="AO86" s="459">
        <v>0</v>
      </c>
      <c r="AP86" s="460"/>
      <c r="AQ86" s="460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</row>
    <row r="87" spans="1:89" s="329" customFormat="1" ht="36" customHeight="1" x14ac:dyDescent="0.25">
      <c r="A87" s="329">
        <v>1</v>
      </c>
      <c r="B87" s="39">
        <f>SUBTOTAL(103,$A$16:A87)</f>
        <v>72</v>
      </c>
      <c r="C87" s="33" t="s">
        <v>1047</v>
      </c>
      <c r="D87" s="330">
        <v>1974</v>
      </c>
      <c r="E87" s="330"/>
      <c r="F87" s="331" t="s">
        <v>60</v>
      </c>
      <c r="G87" s="330">
        <v>5</v>
      </c>
      <c r="H87" s="330" t="s">
        <v>1969</v>
      </c>
      <c r="I87" s="38">
        <v>5153.3999999999996</v>
      </c>
      <c r="J87" s="38">
        <v>4574.1000000000004</v>
      </c>
      <c r="K87" s="38">
        <v>4574.1000000000004</v>
      </c>
      <c r="L87" s="332">
        <v>190</v>
      </c>
      <c r="M87" s="330" t="s">
        <v>46</v>
      </c>
      <c r="N87" s="330" t="s">
        <v>50</v>
      </c>
      <c r="O87" s="333" t="s">
        <v>1957</v>
      </c>
      <c r="P87" s="38">
        <v>5161607.8099999996</v>
      </c>
      <c r="Q87" s="38">
        <v>0</v>
      </c>
      <c r="R87" s="38">
        <v>0</v>
      </c>
      <c r="S87" s="38">
        <f t="shared" si="7"/>
        <v>5161607.8099999996</v>
      </c>
      <c r="T87" s="38">
        <f t="shared" si="6"/>
        <v>1001.5926980246051</v>
      </c>
      <c r="U87" s="38">
        <v>1457.7226685295145</v>
      </c>
      <c r="V87" s="458">
        <f t="shared" si="8"/>
        <v>456.12997050490947</v>
      </c>
      <c r="W87" s="458">
        <f t="shared" si="9"/>
        <v>744.86273140062883</v>
      </c>
      <c r="X87" s="458">
        <v>0</v>
      </c>
      <c r="Y87" s="459">
        <v>0</v>
      </c>
      <c r="Z87" s="459">
        <v>0</v>
      </c>
      <c r="AA87" s="459">
        <v>0</v>
      </c>
      <c r="AB87" s="459">
        <v>0</v>
      </c>
      <c r="AC87" s="459">
        <v>0</v>
      </c>
      <c r="AD87" s="459">
        <v>0</v>
      </c>
      <c r="AE87" s="459">
        <v>0</v>
      </c>
      <c r="AF87" s="458">
        <v>0</v>
      </c>
      <c r="AG87" s="459">
        <v>0</v>
      </c>
      <c r="AH87" s="458">
        <v>0</v>
      </c>
      <c r="AI87" s="459">
        <v>516</v>
      </c>
      <c r="AJ87" s="458">
        <f>7439.1*AI87/I87</f>
        <v>744.86273140062883</v>
      </c>
      <c r="AK87" s="459">
        <v>0</v>
      </c>
      <c r="AL87" s="459">
        <v>0</v>
      </c>
      <c r="AM87" s="459">
        <v>0</v>
      </c>
      <c r="AN87" s="459"/>
      <c r="AO87" s="459">
        <v>0</v>
      </c>
      <c r="AP87" s="460"/>
      <c r="AQ87" s="460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</row>
    <row r="88" spans="1:89" s="329" customFormat="1" ht="36" customHeight="1" x14ac:dyDescent="0.25">
      <c r="A88" s="329">
        <v>1</v>
      </c>
      <c r="B88" s="39">
        <f>SUBTOTAL(103,$A$16:A88)</f>
        <v>73</v>
      </c>
      <c r="C88" s="33" t="s">
        <v>1049</v>
      </c>
      <c r="D88" s="330">
        <v>1959</v>
      </c>
      <c r="E88" s="330"/>
      <c r="F88" s="331" t="s">
        <v>48</v>
      </c>
      <c r="G88" s="330">
        <v>2</v>
      </c>
      <c r="H88" s="330" t="s">
        <v>56</v>
      </c>
      <c r="I88" s="38">
        <v>572.79999999999995</v>
      </c>
      <c r="J88" s="38">
        <v>339.4</v>
      </c>
      <c r="K88" s="38">
        <v>339.4</v>
      </c>
      <c r="L88" s="332">
        <v>21</v>
      </c>
      <c r="M88" s="330" t="s">
        <v>46</v>
      </c>
      <c r="N88" s="330" t="s">
        <v>50</v>
      </c>
      <c r="O88" s="333" t="s">
        <v>1971</v>
      </c>
      <c r="P88" s="38">
        <v>1938049.3</v>
      </c>
      <c r="Q88" s="38">
        <v>0</v>
      </c>
      <c r="R88" s="38">
        <v>0</v>
      </c>
      <c r="S88" s="38">
        <f t="shared" si="7"/>
        <v>1938049.3</v>
      </c>
      <c r="T88" s="38">
        <f t="shared" si="6"/>
        <v>3383.4659567039112</v>
      </c>
      <c r="U88" s="38">
        <v>8831.4636714385488</v>
      </c>
      <c r="V88" s="458">
        <f t="shared" si="8"/>
        <v>5447.9977147346381</v>
      </c>
      <c r="W88" s="458">
        <f t="shared" si="9"/>
        <v>7259.8758729050296</v>
      </c>
      <c r="X88" s="458">
        <v>0</v>
      </c>
      <c r="Y88" s="459">
        <v>0</v>
      </c>
      <c r="Z88" s="459">
        <v>0</v>
      </c>
      <c r="AA88" s="459">
        <v>0</v>
      </c>
      <c r="AB88" s="459">
        <v>0</v>
      </c>
      <c r="AC88" s="459">
        <v>0</v>
      </c>
      <c r="AD88" s="459">
        <v>0</v>
      </c>
      <c r="AE88" s="459">
        <v>0</v>
      </c>
      <c r="AF88" s="458">
        <v>0</v>
      </c>
      <c r="AG88" s="459">
        <v>0</v>
      </c>
      <c r="AH88" s="458">
        <v>0</v>
      </c>
      <c r="AI88" s="459">
        <v>559</v>
      </c>
      <c r="AJ88" s="458">
        <f>7439.1*AI88/I88</f>
        <v>7259.8758729050296</v>
      </c>
      <c r="AK88" s="459">
        <v>0</v>
      </c>
      <c r="AL88" s="459">
        <v>0</v>
      </c>
      <c r="AM88" s="459">
        <v>0</v>
      </c>
      <c r="AN88" s="459"/>
      <c r="AO88" s="459">
        <v>0</v>
      </c>
      <c r="AP88" s="460"/>
      <c r="AQ88" s="460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</row>
    <row r="89" spans="1:89" s="329" customFormat="1" ht="36" customHeight="1" x14ac:dyDescent="0.25">
      <c r="A89" s="329">
        <v>1</v>
      </c>
      <c r="B89" s="39">
        <f>SUBTOTAL(103,$A$16:A89)</f>
        <v>74</v>
      </c>
      <c r="C89" s="33" t="s">
        <v>1051</v>
      </c>
      <c r="D89" s="330">
        <v>1955</v>
      </c>
      <c r="E89" s="330"/>
      <c r="F89" s="331" t="s">
        <v>48</v>
      </c>
      <c r="G89" s="330">
        <v>2</v>
      </c>
      <c r="H89" s="330" t="s">
        <v>57</v>
      </c>
      <c r="I89" s="38">
        <v>727.66</v>
      </c>
      <c r="J89" s="38">
        <v>427.66</v>
      </c>
      <c r="K89" s="38">
        <v>427.66</v>
      </c>
      <c r="L89" s="332">
        <v>168</v>
      </c>
      <c r="M89" s="330" t="s">
        <v>46</v>
      </c>
      <c r="N89" s="330" t="s">
        <v>50</v>
      </c>
      <c r="O89" s="333" t="s">
        <v>1957</v>
      </c>
      <c r="P89" s="38">
        <v>1663097.88</v>
      </c>
      <c r="Q89" s="38">
        <v>0</v>
      </c>
      <c r="R89" s="38">
        <v>0</v>
      </c>
      <c r="S89" s="38">
        <f t="shared" si="7"/>
        <v>1663097.88</v>
      </c>
      <c r="T89" s="38">
        <f t="shared" si="6"/>
        <v>2285.5425336008575</v>
      </c>
      <c r="U89" s="38">
        <v>4231.1248618860463</v>
      </c>
      <c r="V89" s="458">
        <f t="shared" si="8"/>
        <v>1945.5823282851889</v>
      </c>
      <c r="W89" s="458">
        <f t="shared" si="9"/>
        <v>15568.069537971032</v>
      </c>
      <c r="X89" s="458">
        <v>0</v>
      </c>
      <c r="Y89" s="459">
        <v>0</v>
      </c>
      <c r="Z89" s="459">
        <v>0</v>
      </c>
      <c r="AA89" s="459">
        <v>0</v>
      </c>
      <c r="AB89" s="459">
        <v>0</v>
      </c>
      <c r="AC89" s="459">
        <v>0</v>
      </c>
      <c r="AD89" s="459">
        <v>0</v>
      </c>
      <c r="AE89" s="459">
        <v>0</v>
      </c>
      <c r="AF89" s="458">
        <v>0</v>
      </c>
      <c r="AG89" s="459">
        <v>0</v>
      </c>
      <c r="AH89" s="458">
        <v>0</v>
      </c>
      <c r="AI89" s="459">
        <v>1522.8</v>
      </c>
      <c r="AJ89" s="458">
        <f>7439.1*AI89/I89</f>
        <v>15568.069537971032</v>
      </c>
      <c r="AK89" s="459">
        <v>0</v>
      </c>
      <c r="AL89" s="459">
        <v>0</v>
      </c>
      <c r="AM89" s="459">
        <v>0</v>
      </c>
      <c r="AN89" s="459"/>
      <c r="AO89" s="459">
        <v>0</v>
      </c>
      <c r="AP89" s="460"/>
      <c r="AQ89" s="460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  <c r="BK89" s="460"/>
      <c r="BL89" s="460"/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60"/>
      <c r="CG89" s="460"/>
      <c r="CH89" s="460"/>
      <c r="CI89" s="460"/>
      <c r="CJ89" s="460"/>
      <c r="CK89" s="460"/>
    </row>
    <row r="90" spans="1:89" s="329" customFormat="1" ht="36" customHeight="1" x14ac:dyDescent="0.25">
      <c r="A90" s="329">
        <v>1</v>
      </c>
      <c r="B90" s="39">
        <f>SUBTOTAL(103,$A$16:A90)</f>
        <v>75</v>
      </c>
      <c r="C90" s="33" t="s">
        <v>1053</v>
      </c>
      <c r="D90" s="330">
        <v>1949</v>
      </c>
      <c r="E90" s="330"/>
      <c r="F90" s="331" t="s">
        <v>48</v>
      </c>
      <c r="G90" s="330">
        <v>2</v>
      </c>
      <c r="H90" s="330" t="s">
        <v>57</v>
      </c>
      <c r="I90" s="38">
        <v>564.9</v>
      </c>
      <c r="J90" s="38">
        <v>519.9</v>
      </c>
      <c r="K90" s="38">
        <v>519.9</v>
      </c>
      <c r="L90" s="332">
        <v>22</v>
      </c>
      <c r="M90" s="330" t="s">
        <v>46</v>
      </c>
      <c r="N90" s="330" t="s">
        <v>50</v>
      </c>
      <c r="O90" s="333" t="s">
        <v>251</v>
      </c>
      <c r="P90" s="38">
        <v>1677475.96</v>
      </c>
      <c r="Q90" s="38">
        <v>0</v>
      </c>
      <c r="R90" s="38">
        <v>0</v>
      </c>
      <c r="S90" s="38">
        <f t="shared" si="7"/>
        <v>1677475.96</v>
      </c>
      <c r="T90" s="38">
        <f t="shared" si="6"/>
        <v>2969.5095769162685</v>
      </c>
      <c r="U90" s="38">
        <v>5165.5156006372808</v>
      </c>
      <c r="V90" s="458">
        <f t="shared" si="8"/>
        <v>2196.0060237210123</v>
      </c>
      <c r="W90" s="458">
        <f t="shared" si="9"/>
        <v>6147.2425314214906</v>
      </c>
      <c r="X90" s="458">
        <v>0</v>
      </c>
      <c r="Y90" s="459">
        <v>0</v>
      </c>
      <c r="Z90" s="459">
        <v>0</v>
      </c>
      <c r="AA90" s="459">
        <v>0</v>
      </c>
      <c r="AB90" s="459">
        <v>0</v>
      </c>
      <c r="AC90" s="459">
        <v>0</v>
      </c>
      <c r="AD90" s="459">
        <v>0</v>
      </c>
      <c r="AE90" s="459">
        <v>556.6</v>
      </c>
      <c r="AF90" s="458">
        <f>6238.91*AE90/I90</f>
        <v>6147.2425314214906</v>
      </c>
      <c r="AG90" s="459">
        <v>0</v>
      </c>
      <c r="AH90" s="458">
        <v>0</v>
      </c>
      <c r="AI90" s="459">
        <v>0</v>
      </c>
      <c r="AJ90" s="458">
        <v>0</v>
      </c>
      <c r="AK90" s="459">
        <v>0</v>
      </c>
      <c r="AL90" s="459">
        <v>0</v>
      </c>
      <c r="AM90" s="459">
        <v>0</v>
      </c>
      <c r="AN90" s="459"/>
      <c r="AO90" s="459">
        <v>0</v>
      </c>
      <c r="AP90" s="460"/>
      <c r="AQ90" s="460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  <c r="BK90" s="460"/>
      <c r="BL90" s="460"/>
      <c r="BM90" s="460"/>
      <c r="BN90" s="460"/>
      <c r="BO90" s="460"/>
      <c r="BP90" s="460"/>
      <c r="BQ90" s="460"/>
      <c r="BR90" s="460"/>
      <c r="BS90" s="460"/>
      <c r="BT90" s="460"/>
      <c r="BU90" s="460"/>
      <c r="BV90" s="460"/>
      <c r="BW90" s="460"/>
      <c r="BX90" s="460"/>
      <c r="BY90" s="460"/>
      <c r="BZ90" s="460"/>
      <c r="CA90" s="460"/>
      <c r="CB90" s="460"/>
      <c r="CC90" s="460"/>
      <c r="CD90" s="460"/>
      <c r="CE90" s="460"/>
      <c r="CF90" s="460"/>
      <c r="CG90" s="460"/>
      <c r="CH90" s="460"/>
      <c r="CI90" s="460"/>
      <c r="CJ90" s="460"/>
      <c r="CK90" s="460"/>
    </row>
    <row r="91" spans="1:89" s="329" customFormat="1" ht="36" customHeight="1" x14ac:dyDescent="0.25">
      <c r="A91" s="329">
        <v>1</v>
      </c>
      <c r="B91" s="39">
        <f>SUBTOTAL(103,$A$16:A91)</f>
        <v>76</v>
      </c>
      <c r="C91" s="33" t="s">
        <v>1055</v>
      </c>
      <c r="D91" s="330">
        <v>1969</v>
      </c>
      <c r="E91" s="330"/>
      <c r="F91" s="331" t="s">
        <v>48</v>
      </c>
      <c r="G91" s="330">
        <v>5</v>
      </c>
      <c r="H91" s="330" t="s">
        <v>61</v>
      </c>
      <c r="I91" s="38">
        <v>2989.1</v>
      </c>
      <c r="J91" s="38">
        <v>2769.1</v>
      </c>
      <c r="K91" s="38">
        <v>2016</v>
      </c>
      <c r="L91" s="332">
        <v>72</v>
      </c>
      <c r="M91" s="330" t="s">
        <v>46</v>
      </c>
      <c r="N91" s="330" t="s">
        <v>50</v>
      </c>
      <c r="O91" s="333" t="s">
        <v>1975</v>
      </c>
      <c r="P91" s="38">
        <v>3647517.81</v>
      </c>
      <c r="Q91" s="38">
        <v>0</v>
      </c>
      <c r="R91" s="38">
        <v>0</v>
      </c>
      <c r="S91" s="38">
        <f t="shared" si="7"/>
        <v>3647517.81</v>
      </c>
      <c r="T91" s="38">
        <f t="shared" si="6"/>
        <v>1220.2729283061792</v>
      </c>
      <c r="U91" s="38">
        <v>1799.0375731825634</v>
      </c>
      <c r="V91" s="458">
        <f t="shared" si="8"/>
        <v>578.76464487638418</v>
      </c>
      <c r="W91" s="458">
        <f t="shared" si="9"/>
        <v>1616.6870830684823</v>
      </c>
      <c r="X91" s="458">
        <v>0</v>
      </c>
      <c r="Y91" s="459">
        <v>0</v>
      </c>
      <c r="Z91" s="459">
        <v>0</v>
      </c>
      <c r="AA91" s="459">
        <v>0</v>
      </c>
      <c r="AB91" s="459">
        <v>0</v>
      </c>
      <c r="AC91" s="459">
        <v>0</v>
      </c>
      <c r="AD91" s="459">
        <v>0</v>
      </c>
      <c r="AE91" s="459">
        <v>0</v>
      </c>
      <c r="AF91" s="458">
        <v>0</v>
      </c>
      <c r="AG91" s="459">
        <v>0</v>
      </c>
      <c r="AH91" s="458">
        <v>0</v>
      </c>
      <c r="AI91" s="459">
        <v>649.6</v>
      </c>
      <c r="AJ91" s="458">
        <f>7439.1*AI91/I91</f>
        <v>1616.6870830684823</v>
      </c>
      <c r="AK91" s="459">
        <v>0</v>
      </c>
      <c r="AL91" s="459">
        <v>0</v>
      </c>
      <c r="AM91" s="459">
        <v>0</v>
      </c>
      <c r="AN91" s="459"/>
      <c r="AO91" s="459">
        <v>0</v>
      </c>
      <c r="AP91" s="460"/>
      <c r="AQ91" s="460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  <c r="CA91" s="460"/>
      <c r="CB91" s="460"/>
      <c r="CC91" s="460"/>
      <c r="CD91" s="460"/>
      <c r="CE91" s="460"/>
      <c r="CF91" s="460"/>
      <c r="CG91" s="460"/>
      <c r="CH91" s="460"/>
      <c r="CI91" s="460"/>
      <c r="CJ91" s="460"/>
      <c r="CK91" s="460"/>
    </row>
    <row r="92" spans="1:89" s="329" customFormat="1" ht="36" customHeight="1" x14ac:dyDescent="0.25">
      <c r="A92" s="329">
        <v>1</v>
      </c>
      <c r="B92" s="39">
        <f>SUBTOTAL(103,$A$16:A92)</f>
        <v>77</v>
      </c>
      <c r="C92" s="33" t="s">
        <v>985</v>
      </c>
      <c r="D92" s="330">
        <v>1938</v>
      </c>
      <c r="E92" s="330"/>
      <c r="F92" s="331" t="s">
        <v>48</v>
      </c>
      <c r="G92" s="330">
        <v>5</v>
      </c>
      <c r="H92" s="330" t="s">
        <v>59</v>
      </c>
      <c r="I92" s="38">
        <v>2927.1</v>
      </c>
      <c r="J92" s="38">
        <v>1576</v>
      </c>
      <c r="K92" s="38">
        <v>1576</v>
      </c>
      <c r="L92" s="332">
        <v>88</v>
      </c>
      <c r="M92" s="330" t="s">
        <v>46</v>
      </c>
      <c r="N92" s="330" t="s">
        <v>50</v>
      </c>
      <c r="O92" s="333" t="s">
        <v>1967</v>
      </c>
      <c r="P92" s="38">
        <v>5096776.0799999991</v>
      </c>
      <c r="Q92" s="38">
        <v>0</v>
      </c>
      <c r="R92" s="38">
        <v>0</v>
      </c>
      <c r="S92" s="38">
        <f t="shared" si="7"/>
        <v>5096776.0799999991</v>
      </c>
      <c r="T92" s="38">
        <f t="shared" si="6"/>
        <v>1741.2374295377674</v>
      </c>
      <c r="U92" s="38">
        <v>2147.8968320180379</v>
      </c>
      <c r="V92" s="458">
        <f t="shared" si="8"/>
        <v>406.6594024802705</v>
      </c>
      <c r="W92" s="458">
        <f t="shared" si="9"/>
        <v>2363.7322947627349</v>
      </c>
      <c r="X92" s="458">
        <v>0</v>
      </c>
      <c r="Y92" s="459">
        <v>0</v>
      </c>
      <c r="Z92" s="459">
        <v>0</v>
      </c>
      <c r="AA92" s="459">
        <v>0</v>
      </c>
      <c r="AB92" s="459">
        <v>0</v>
      </c>
      <c r="AC92" s="459">
        <v>0</v>
      </c>
      <c r="AD92" s="459">
        <v>0</v>
      </c>
      <c r="AE92" s="459">
        <v>0</v>
      </c>
      <c r="AF92" s="458">
        <v>0</v>
      </c>
      <c r="AG92" s="459">
        <v>780</v>
      </c>
      <c r="AH92" s="458">
        <f>8870.36*AG92/I92</f>
        <v>2363.7322947627349</v>
      </c>
      <c r="AI92" s="459">
        <v>0</v>
      </c>
      <c r="AJ92" s="458">
        <v>0</v>
      </c>
      <c r="AK92" s="459">
        <v>0</v>
      </c>
      <c r="AL92" s="459">
        <v>0</v>
      </c>
      <c r="AM92" s="459">
        <v>0</v>
      </c>
      <c r="AN92" s="459"/>
      <c r="AO92" s="459">
        <v>0</v>
      </c>
      <c r="AP92" s="460"/>
      <c r="AQ92" s="460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60"/>
      <c r="CG92" s="460"/>
      <c r="CH92" s="460"/>
      <c r="CI92" s="460"/>
      <c r="CJ92" s="460"/>
      <c r="CK92" s="460"/>
    </row>
    <row r="93" spans="1:89" s="329" customFormat="1" ht="36" customHeight="1" x14ac:dyDescent="0.25">
      <c r="A93" s="329">
        <v>1</v>
      </c>
      <c r="B93" s="39">
        <f>SUBTOTAL(103,$A$16:A93)</f>
        <v>78</v>
      </c>
      <c r="C93" s="33" t="s">
        <v>1058</v>
      </c>
      <c r="D93" s="330">
        <v>1962</v>
      </c>
      <c r="E93" s="330"/>
      <c r="F93" s="331" t="s">
        <v>48</v>
      </c>
      <c r="G93" s="330">
        <v>5</v>
      </c>
      <c r="H93" s="330" t="s">
        <v>59</v>
      </c>
      <c r="I93" s="38">
        <v>3481.5</v>
      </c>
      <c r="J93" s="38">
        <v>3181.1</v>
      </c>
      <c r="K93" s="38">
        <v>3181.1</v>
      </c>
      <c r="L93" s="332">
        <v>160</v>
      </c>
      <c r="M93" s="330" t="s">
        <v>46</v>
      </c>
      <c r="N93" s="330" t="s">
        <v>50</v>
      </c>
      <c r="O93" s="333" t="s">
        <v>1975</v>
      </c>
      <c r="P93" s="38">
        <v>3789473.9</v>
      </c>
      <c r="Q93" s="38">
        <v>0</v>
      </c>
      <c r="R93" s="38">
        <v>0</v>
      </c>
      <c r="S93" s="38">
        <f t="shared" si="7"/>
        <v>3789473.9</v>
      </c>
      <c r="T93" s="38">
        <f t="shared" si="6"/>
        <v>1088.460117765331</v>
      </c>
      <c r="U93" s="38">
        <v>1849.3768246445497</v>
      </c>
      <c r="V93" s="458">
        <f t="shared" si="8"/>
        <v>760.91670687921874</v>
      </c>
      <c r="W93" s="458">
        <f t="shared" si="9"/>
        <v>2150.4213700990954</v>
      </c>
      <c r="X93" s="458">
        <v>0</v>
      </c>
      <c r="Y93" s="459">
        <v>0</v>
      </c>
      <c r="Z93" s="459">
        <v>0</v>
      </c>
      <c r="AA93" s="459">
        <v>0</v>
      </c>
      <c r="AB93" s="459">
        <v>0</v>
      </c>
      <c r="AC93" s="459">
        <v>0</v>
      </c>
      <c r="AD93" s="459">
        <v>0</v>
      </c>
      <c r="AE93" s="459">
        <v>1200</v>
      </c>
      <c r="AF93" s="458">
        <f>6238.91*AE93/I93</f>
        <v>2150.4213700990954</v>
      </c>
      <c r="AG93" s="459">
        <v>0</v>
      </c>
      <c r="AH93" s="458">
        <v>0</v>
      </c>
      <c r="AI93" s="459">
        <v>0</v>
      </c>
      <c r="AJ93" s="458">
        <v>0</v>
      </c>
      <c r="AK93" s="459">
        <v>0</v>
      </c>
      <c r="AL93" s="459">
        <v>0</v>
      </c>
      <c r="AM93" s="459">
        <v>0</v>
      </c>
      <c r="AN93" s="459"/>
      <c r="AO93" s="459">
        <v>0</v>
      </c>
      <c r="AP93" s="460"/>
      <c r="AQ93" s="460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60"/>
      <c r="CG93" s="460"/>
      <c r="CH93" s="460"/>
      <c r="CI93" s="460"/>
      <c r="CJ93" s="460"/>
      <c r="CK93" s="460"/>
    </row>
    <row r="94" spans="1:89" s="329" customFormat="1" ht="36" customHeight="1" x14ac:dyDescent="0.25">
      <c r="A94" s="329">
        <v>1</v>
      </c>
      <c r="B94" s="39">
        <f>SUBTOTAL(103,$A$16:A94)</f>
        <v>79</v>
      </c>
      <c r="C94" s="33" t="s">
        <v>986</v>
      </c>
      <c r="D94" s="330">
        <v>1970</v>
      </c>
      <c r="E94" s="330"/>
      <c r="F94" s="331" t="s">
        <v>48</v>
      </c>
      <c r="G94" s="330">
        <v>9</v>
      </c>
      <c r="H94" s="330" t="s">
        <v>57</v>
      </c>
      <c r="I94" s="38">
        <v>1920.2</v>
      </c>
      <c r="J94" s="38">
        <v>1163.2</v>
      </c>
      <c r="K94" s="38">
        <v>1163.2</v>
      </c>
      <c r="L94" s="332">
        <v>94</v>
      </c>
      <c r="M94" s="330" t="s">
        <v>46</v>
      </c>
      <c r="N94" s="330" t="s">
        <v>50</v>
      </c>
      <c r="O94" s="333" t="s">
        <v>1967</v>
      </c>
      <c r="P94" s="38">
        <v>597387.81000000006</v>
      </c>
      <c r="Q94" s="38">
        <v>0</v>
      </c>
      <c r="R94" s="38">
        <v>0</v>
      </c>
      <c r="S94" s="38">
        <f t="shared" si="7"/>
        <v>597387.81000000006</v>
      </c>
      <c r="T94" s="38">
        <f t="shared" si="6"/>
        <v>311.10707738777211</v>
      </c>
      <c r="U94" s="38">
        <v>1091.5069326111864</v>
      </c>
      <c r="V94" s="458">
        <f t="shared" si="8"/>
        <v>780.39985522341431</v>
      </c>
      <c r="W94" s="458">
        <f t="shared" si="9"/>
        <v>2634.4455738985521</v>
      </c>
      <c r="X94" s="458">
        <v>0</v>
      </c>
      <c r="Y94" s="459">
        <v>0</v>
      </c>
      <c r="Z94" s="459">
        <v>0</v>
      </c>
      <c r="AA94" s="459">
        <v>0</v>
      </c>
      <c r="AB94" s="459">
        <v>0</v>
      </c>
      <c r="AC94" s="459">
        <v>0</v>
      </c>
      <c r="AD94" s="459">
        <v>0</v>
      </c>
      <c r="AE94" s="459">
        <v>0</v>
      </c>
      <c r="AF94" s="458">
        <v>0</v>
      </c>
      <c r="AG94" s="459">
        <v>0</v>
      </c>
      <c r="AH94" s="458">
        <v>0</v>
      </c>
      <c r="AI94" s="459">
        <v>680.01</v>
      </c>
      <c r="AJ94" s="458">
        <f>7439.1*AI94/I94</f>
        <v>2634.4455738985521</v>
      </c>
      <c r="AK94" s="459">
        <v>0</v>
      </c>
      <c r="AL94" s="459">
        <v>0</v>
      </c>
      <c r="AM94" s="459">
        <v>0</v>
      </c>
      <c r="AN94" s="459"/>
      <c r="AO94" s="459">
        <v>0</v>
      </c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  <c r="BK94" s="460"/>
      <c r="BL94" s="460"/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60"/>
      <c r="CG94" s="460"/>
      <c r="CH94" s="460"/>
      <c r="CI94" s="460"/>
      <c r="CJ94" s="460"/>
      <c r="CK94" s="460"/>
    </row>
    <row r="95" spans="1:89" s="329" customFormat="1" ht="36" customHeight="1" x14ac:dyDescent="0.25">
      <c r="A95" s="329">
        <v>1</v>
      </c>
      <c r="B95" s="39">
        <f>SUBTOTAL(103,$A$16:A95)</f>
        <v>80</v>
      </c>
      <c r="C95" s="33" t="s">
        <v>987</v>
      </c>
      <c r="D95" s="330">
        <v>1976</v>
      </c>
      <c r="E95" s="330"/>
      <c r="F95" s="331" t="s">
        <v>48</v>
      </c>
      <c r="G95" s="330">
        <v>5</v>
      </c>
      <c r="H95" s="330" t="s">
        <v>1977</v>
      </c>
      <c r="I95" s="38">
        <v>6239.3</v>
      </c>
      <c r="J95" s="38">
        <v>5776.2</v>
      </c>
      <c r="K95" s="38">
        <v>5061.7</v>
      </c>
      <c r="L95" s="332">
        <v>280</v>
      </c>
      <c r="M95" s="330" t="s">
        <v>46</v>
      </c>
      <c r="N95" s="330" t="s">
        <v>50</v>
      </c>
      <c r="O95" s="333" t="s">
        <v>1962</v>
      </c>
      <c r="P95" s="38">
        <v>4468866.21</v>
      </c>
      <c r="Q95" s="38">
        <v>0</v>
      </c>
      <c r="R95" s="38">
        <v>0</v>
      </c>
      <c r="S95" s="38">
        <f t="shared" si="7"/>
        <v>4468866.21</v>
      </c>
      <c r="T95" s="38">
        <f t="shared" si="6"/>
        <v>716.24480470565607</v>
      </c>
      <c r="U95" s="38">
        <v>1550.1728639430703</v>
      </c>
      <c r="V95" s="458">
        <f t="shared" si="8"/>
        <v>833.92805923741423</v>
      </c>
      <c r="W95" s="458">
        <f t="shared" si="9"/>
        <v>493.45604747327428</v>
      </c>
      <c r="X95" s="458">
        <v>0</v>
      </c>
      <c r="Y95" s="459">
        <v>0</v>
      </c>
      <c r="Z95" s="459">
        <v>0</v>
      </c>
      <c r="AA95" s="459">
        <v>0</v>
      </c>
      <c r="AB95" s="459">
        <v>0</v>
      </c>
      <c r="AC95" s="459">
        <v>0</v>
      </c>
      <c r="AD95" s="459">
        <v>0</v>
      </c>
      <c r="AE95" s="459">
        <v>0</v>
      </c>
      <c r="AF95" s="458">
        <v>0</v>
      </c>
      <c r="AG95" s="459">
        <v>0</v>
      </c>
      <c r="AH95" s="458">
        <v>0</v>
      </c>
      <c r="AI95" s="459">
        <v>413.87</v>
      </c>
      <c r="AJ95" s="458">
        <f>7439.1*AI95/I95</f>
        <v>493.45604747327428</v>
      </c>
      <c r="AK95" s="459">
        <v>0</v>
      </c>
      <c r="AL95" s="459">
        <v>0</v>
      </c>
      <c r="AM95" s="459">
        <v>0</v>
      </c>
      <c r="AN95" s="459"/>
      <c r="AO95" s="459">
        <v>0</v>
      </c>
      <c r="AP95" s="460"/>
      <c r="AQ95" s="460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  <c r="BK95" s="460"/>
      <c r="BL95" s="460"/>
      <c r="BM95" s="460"/>
      <c r="BN95" s="460"/>
      <c r="BO95" s="460"/>
      <c r="BP95" s="460"/>
      <c r="BQ95" s="460"/>
      <c r="BR95" s="460"/>
      <c r="BS95" s="460"/>
      <c r="BT95" s="460"/>
      <c r="BU95" s="460"/>
      <c r="BV95" s="460"/>
      <c r="BW95" s="460"/>
      <c r="BX95" s="460"/>
      <c r="BY95" s="460"/>
      <c r="BZ95" s="460"/>
      <c r="CA95" s="460"/>
      <c r="CB95" s="460"/>
      <c r="CC95" s="460"/>
      <c r="CD95" s="460"/>
      <c r="CE95" s="460"/>
      <c r="CF95" s="460"/>
      <c r="CG95" s="460"/>
      <c r="CH95" s="460"/>
      <c r="CI95" s="460"/>
      <c r="CJ95" s="460"/>
      <c r="CK95" s="460"/>
    </row>
    <row r="96" spans="1:89" s="329" customFormat="1" ht="36" customHeight="1" x14ac:dyDescent="0.25">
      <c r="A96" s="329">
        <v>1</v>
      </c>
      <c r="B96" s="39">
        <f>SUBTOTAL(103,$A$16:A96)</f>
        <v>81</v>
      </c>
      <c r="C96" s="33" t="s">
        <v>1062</v>
      </c>
      <c r="D96" s="330">
        <v>1972</v>
      </c>
      <c r="E96" s="330"/>
      <c r="F96" s="331" t="s">
        <v>48</v>
      </c>
      <c r="G96" s="330">
        <v>5</v>
      </c>
      <c r="H96" s="330" t="s">
        <v>1961</v>
      </c>
      <c r="I96" s="38">
        <v>6466</v>
      </c>
      <c r="J96" s="38">
        <v>6466</v>
      </c>
      <c r="K96" s="38">
        <v>5918.8</v>
      </c>
      <c r="L96" s="332">
        <v>277</v>
      </c>
      <c r="M96" s="330" t="s">
        <v>46</v>
      </c>
      <c r="N96" s="330" t="s">
        <v>50</v>
      </c>
      <c r="O96" s="333" t="s">
        <v>1968</v>
      </c>
      <c r="P96" s="38">
        <v>6330505.6400000006</v>
      </c>
      <c r="Q96" s="38">
        <v>0</v>
      </c>
      <c r="R96" s="38">
        <v>0</v>
      </c>
      <c r="S96" s="38">
        <f t="shared" si="7"/>
        <v>6330505.6400000006</v>
      </c>
      <c r="T96" s="38">
        <f t="shared" si="6"/>
        <v>979.04510361892983</v>
      </c>
      <c r="U96" s="38">
        <v>1610.4546931642437</v>
      </c>
      <c r="V96" s="458">
        <f t="shared" si="8"/>
        <v>631.40958954531391</v>
      </c>
      <c r="W96" s="458">
        <f t="shared" si="9"/>
        <v>449.74957148159604</v>
      </c>
      <c r="X96" s="458">
        <v>0</v>
      </c>
      <c r="Y96" s="459">
        <v>0</v>
      </c>
      <c r="Z96" s="459">
        <v>0</v>
      </c>
      <c r="AA96" s="459">
        <v>0</v>
      </c>
      <c r="AB96" s="459">
        <v>0</v>
      </c>
      <c r="AC96" s="459">
        <v>0</v>
      </c>
      <c r="AD96" s="459">
        <v>0</v>
      </c>
      <c r="AE96" s="459">
        <v>466.12</v>
      </c>
      <c r="AF96" s="458">
        <f t="shared" ref="AF96:AF105" si="10">6238.91*AE96/I96</f>
        <v>449.74957148159604</v>
      </c>
      <c r="AG96" s="459">
        <v>0</v>
      </c>
      <c r="AH96" s="458">
        <v>0</v>
      </c>
      <c r="AI96" s="459">
        <v>0</v>
      </c>
      <c r="AJ96" s="458">
        <v>0</v>
      </c>
      <c r="AK96" s="459">
        <v>0</v>
      </c>
      <c r="AL96" s="459">
        <v>0</v>
      </c>
      <c r="AM96" s="459">
        <v>0</v>
      </c>
      <c r="AN96" s="459"/>
      <c r="AO96" s="459">
        <v>0</v>
      </c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  <c r="BK96" s="460"/>
      <c r="BL96" s="460"/>
      <c r="BM96" s="460"/>
      <c r="BN96" s="460"/>
      <c r="BO96" s="460"/>
      <c r="BP96" s="460"/>
      <c r="BQ96" s="460"/>
      <c r="BR96" s="460"/>
      <c r="BS96" s="460"/>
      <c r="BT96" s="460"/>
      <c r="BU96" s="460"/>
      <c r="BV96" s="460"/>
      <c r="BW96" s="460"/>
      <c r="BX96" s="460"/>
      <c r="BY96" s="460"/>
      <c r="BZ96" s="460"/>
      <c r="CA96" s="460"/>
      <c r="CB96" s="460"/>
      <c r="CC96" s="460"/>
      <c r="CD96" s="460"/>
      <c r="CE96" s="460"/>
      <c r="CF96" s="460"/>
      <c r="CG96" s="460"/>
      <c r="CH96" s="460"/>
      <c r="CI96" s="460"/>
      <c r="CJ96" s="460"/>
      <c r="CK96" s="460"/>
    </row>
    <row r="97" spans="1:89" s="329" customFormat="1" ht="36" customHeight="1" x14ac:dyDescent="0.25">
      <c r="A97" s="329">
        <v>1</v>
      </c>
      <c r="B97" s="39">
        <f>SUBTOTAL(103,$A$16:A97)</f>
        <v>82</v>
      </c>
      <c r="C97" s="33" t="s">
        <v>988</v>
      </c>
      <c r="D97" s="330">
        <v>1976</v>
      </c>
      <c r="E97" s="330"/>
      <c r="F97" s="331" t="s">
        <v>48</v>
      </c>
      <c r="G97" s="330">
        <v>3</v>
      </c>
      <c r="H97" s="330" t="s">
        <v>56</v>
      </c>
      <c r="I97" s="38">
        <v>1178.4000000000001</v>
      </c>
      <c r="J97" s="38">
        <v>1080.5</v>
      </c>
      <c r="K97" s="38">
        <v>1080.5</v>
      </c>
      <c r="L97" s="332">
        <v>59</v>
      </c>
      <c r="M97" s="330" t="s">
        <v>46</v>
      </c>
      <c r="N97" s="330" t="s">
        <v>50</v>
      </c>
      <c r="O97" s="333" t="s">
        <v>251</v>
      </c>
      <c r="P97" s="38">
        <v>1913423.73</v>
      </c>
      <c r="Q97" s="38">
        <v>0</v>
      </c>
      <c r="R97" s="38">
        <v>0</v>
      </c>
      <c r="S97" s="38">
        <f t="shared" si="7"/>
        <v>1913423.73</v>
      </c>
      <c r="T97" s="38">
        <f t="shared" si="6"/>
        <v>1623.7472250509163</v>
      </c>
      <c r="U97" s="38">
        <v>2698.7241344195518</v>
      </c>
      <c r="V97" s="458">
        <f t="shared" si="8"/>
        <v>1074.9769093686355</v>
      </c>
      <c r="W97" s="458">
        <f t="shared" si="9"/>
        <v>4547.8816106585191</v>
      </c>
      <c r="X97" s="458">
        <v>0</v>
      </c>
      <c r="Y97" s="459">
        <v>0</v>
      </c>
      <c r="Z97" s="459">
        <v>0</v>
      </c>
      <c r="AA97" s="459">
        <v>0</v>
      </c>
      <c r="AB97" s="459">
        <v>0</v>
      </c>
      <c r="AC97" s="459">
        <v>0</v>
      </c>
      <c r="AD97" s="459">
        <v>0</v>
      </c>
      <c r="AE97" s="459">
        <v>859</v>
      </c>
      <c r="AF97" s="458">
        <f t="shared" si="10"/>
        <v>4547.8816106585191</v>
      </c>
      <c r="AG97" s="459">
        <v>0</v>
      </c>
      <c r="AH97" s="458">
        <v>0</v>
      </c>
      <c r="AI97" s="459">
        <v>0</v>
      </c>
      <c r="AJ97" s="458">
        <v>0</v>
      </c>
      <c r="AK97" s="459">
        <v>0</v>
      </c>
      <c r="AL97" s="459">
        <v>0</v>
      </c>
      <c r="AM97" s="459">
        <v>0</v>
      </c>
      <c r="AN97" s="459"/>
      <c r="AO97" s="459">
        <v>0</v>
      </c>
      <c r="AP97" s="460"/>
      <c r="AQ97" s="460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  <c r="BK97" s="460"/>
      <c r="BL97" s="460"/>
      <c r="BM97" s="460"/>
      <c r="BN97" s="460"/>
      <c r="BO97" s="460"/>
      <c r="BP97" s="460"/>
      <c r="BQ97" s="460"/>
      <c r="BR97" s="460"/>
      <c r="BS97" s="460"/>
      <c r="BT97" s="460"/>
      <c r="BU97" s="460"/>
      <c r="BV97" s="460"/>
      <c r="BW97" s="460"/>
      <c r="BX97" s="460"/>
      <c r="BY97" s="460"/>
      <c r="BZ97" s="460"/>
      <c r="CA97" s="460"/>
      <c r="CB97" s="460"/>
      <c r="CC97" s="460"/>
      <c r="CD97" s="460"/>
      <c r="CE97" s="460"/>
      <c r="CF97" s="460"/>
      <c r="CG97" s="460"/>
      <c r="CH97" s="460"/>
      <c r="CI97" s="460"/>
      <c r="CJ97" s="460"/>
      <c r="CK97" s="460"/>
    </row>
    <row r="98" spans="1:89" s="329" customFormat="1" ht="36" customHeight="1" x14ac:dyDescent="0.25">
      <c r="A98" s="329">
        <v>1</v>
      </c>
      <c r="B98" s="39">
        <f>SUBTOTAL(103,$A$16:A98)</f>
        <v>83</v>
      </c>
      <c r="C98" s="33" t="s">
        <v>1065</v>
      </c>
      <c r="D98" s="330">
        <v>1959</v>
      </c>
      <c r="E98" s="330"/>
      <c r="F98" s="331" t="s">
        <v>48</v>
      </c>
      <c r="G98" s="330">
        <v>2</v>
      </c>
      <c r="H98" s="330" t="s">
        <v>56</v>
      </c>
      <c r="I98" s="38">
        <v>595.5</v>
      </c>
      <c r="J98" s="38">
        <v>548.5</v>
      </c>
      <c r="K98" s="38">
        <v>548.5</v>
      </c>
      <c r="L98" s="332">
        <v>41</v>
      </c>
      <c r="M98" s="330" t="s">
        <v>46</v>
      </c>
      <c r="N98" s="330" t="s">
        <v>50</v>
      </c>
      <c r="O98" s="333" t="s">
        <v>251</v>
      </c>
      <c r="P98" s="38">
        <v>2130978.9000000004</v>
      </c>
      <c r="Q98" s="38">
        <v>0</v>
      </c>
      <c r="R98" s="38">
        <v>0</v>
      </c>
      <c r="S98" s="38">
        <f t="shared" si="7"/>
        <v>2130978.9000000004</v>
      </c>
      <c r="T98" s="38">
        <f t="shared" si="6"/>
        <v>3578.4700251889176</v>
      </c>
      <c r="U98" s="38">
        <v>3742.4477581863976</v>
      </c>
      <c r="V98" s="458">
        <f t="shared" si="8"/>
        <v>163.97773299747996</v>
      </c>
      <c r="W98" s="458">
        <f t="shared" si="9"/>
        <v>10521.809089840468</v>
      </c>
      <c r="X98" s="458">
        <v>0</v>
      </c>
      <c r="Y98" s="459">
        <v>0</v>
      </c>
      <c r="Z98" s="459">
        <v>0</v>
      </c>
      <c r="AA98" s="459">
        <v>0</v>
      </c>
      <c r="AB98" s="459">
        <v>0</v>
      </c>
      <c r="AC98" s="459">
        <v>0</v>
      </c>
      <c r="AD98" s="459">
        <v>0</v>
      </c>
      <c r="AE98" s="459">
        <v>1004.3</v>
      </c>
      <c r="AF98" s="458">
        <f t="shared" si="10"/>
        <v>10521.809089840468</v>
      </c>
      <c r="AG98" s="459">
        <v>0</v>
      </c>
      <c r="AH98" s="458">
        <v>0</v>
      </c>
      <c r="AI98" s="459">
        <v>0</v>
      </c>
      <c r="AJ98" s="458">
        <v>0</v>
      </c>
      <c r="AK98" s="459">
        <v>0</v>
      </c>
      <c r="AL98" s="459">
        <v>0</v>
      </c>
      <c r="AM98" s="459">
        <v>0</v>
      </c>
      <c r="AN98" s="459"/>
      <c r="AO98" s="459">
        <v>0</v>
      </c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  <c r="BK98" s="460"/>
      <c r="BL98" s="460"/>
      <c r="BM98" s="460"/>
      <c r="BN98" s="460"/>
      <c r="BO98" s="460"/>
      <c r="BP98" s="460"/>
      <c r="BQ98" s="460"/>
      <c r="BR98" s="460"/>
      <c r="BS98" s="460"/>
      <c r="BT98" s="460"/>
      <c r="BU98" s="460"/>
      <c r="BV98" s="460"/>
      <c r="BW98" s="460"/>
      <c r="BX98" s="460"/>
      <c r="BY98" s="460"/>
      <c r="BZ98" s="460"/>
      <c r="CA98" s="460"/>
      <c r="CB98" s="460"/>
      <c r="CC98" s="460"/>
      <c r="CD98" s="460"/>
      <c r="CE98" s="460"/>
      <c r="CF98" s="460"/>
      <c r="CG98" s="460"/>
      <c r="CH98" s="460"/>
      <c r="CI98" s="460"/>
      <c r="CJ98" s="460"/>
      <c r="CK98" s="460"/>
    </row>
    <row r="99" spans="1:89" s="329" customFormat="1" ht="36" customHeight="1" x14ac:dyDescent="0.25">
      <c r="A99" s="329">
        <v>1</v>
      </c>
      <c r="B99" s="39">
        <f>SUBTOTAL(103,$A$16:A99)</f>
        <v>84</v>
      </c>
      <c r="C99" s="33" t="s">
        <v>1067</v>
      </c>
      <c r="D99" s="330">
        <v>1970</v>
      </c>
      <c r="E99" s="330"/>
      <c r="F99" s="331" t="s">
        <v>48</v>
      </c>
      <c r="G99" s="330">
        <v>5</v>
      </c>
      <c r="H99" s="330" t="s">
        <v>59</v>
      </c>
      <c r="I99" s="38">
        <v>12297.5</v>
      </c>
      <c r="J99" s="38">
        <v>3386.1</v>
      </c>
      <c r="K99" s="38">
        <v>3386.1</v>
      </c>
      <c r="L99" s="332">
        <v>153</v>
      </c>
      <c r="M99" s="330" t="s">
        <v>46</v>
      </c>
      <c r="N99" s="330" t="s">
        <v>50</v>
      </c>
      <c r="O99" s="333" t="s">
        <v>1978</v>
      </c>
      <c r="P99" s="38">
        <v>86742.97</v>
      </c>
      <c r="Q99" s="38">
        <v>0</v>
      </c>
      <c r="R99" s="38">
        <v>0</v>
      </c>
      <c r="S99" s="38">
        <f t="shared" si="7"/>
        <v>86742.97</v>
      </c>
      <c r="T99" s="38">
        <f t="shared" si="6"/>
        <v>7.0537076641593819</v>
      </c>
      <c r="U99" s="38">
        <v>7.0537076641593819</v>
      </c>
      <c r="V99" s="458">
        <f t="shared" si="8"/>
        <v>0</v>
      </c>
      <c r="W99" s="458">
        <f t="shared" si="9"/>
        <v>521.79052124415523</v>
      </c>
      <c r="X99" s="458">
        <v>0</v>
      </c>
      <c r="Y99" s="459">
        <v>0</v>
      </c>
      <c r="Z99" s="459">
        <v>0</v>
      </c>
      <c r="AA99" s="459">
        <v>0</v>
      </c>
      <c r="AB99" s="459">
        <v>0</v>
      </c>
      <c r="AC99" s="459">
        <v>0</v>
      </c>
      <c r="AD99" s="459">
        <v>0</v>
      </c>
      <c r="AE99" s="459">
        <v>1028.5</v>
      </c>
      <c r="AF99" s="458">
        <f t="shared" si="10"/>
        <v>521.79052124415523</v>
      </c>
      <c r="AG99" s="459">
        <v>0</v>
      </c>
      <c r="AH99" s="458">
        <v>0</v>
      </c>
      <c r="AI99" s="459">
        <v>0</v>
      </c>
      <c r="AJ99" s="458">
        <v>0</v>
      </c>
      <c r="AK99" s="459">
        <v>0</v>
      </c>
      <c r="AL99" s="459">
        <v>0</v>
      </c>
      <c r="AM99" s="459">
        <v>0</v>
      </c>
      <c r="AN99" s="459"/>
      <c r="AO99" s="459">
        <v>0</v>
      </c>
      <c r="AP99" s="460"/>
      <c r="AQ99" s="460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  <c r="BK99" s="460"/>
      <c r="BL99" s="460"/>
      <c r="BM99" s="460"/>
      <c r="BN99" s="460"/>
      <c r="BO99" s="460"/>
      <c r="BP99" s="460"/>
      <c r="BQ99" s="460"/>
      <c r="BR99" s="460"/>
      <c r="BS99" s="460"/>
      <c r="BT99" s="460"/>
      <c r="BU99" s="460"/>
      <c r="BV99" s="460"/>
      <c r="BW99" s="460"/>
      <c r="BX99" s="460"/>
      <c r="BY99" s="460"/>
      <c r="BZ99" s="460"/>
      <c r="CA99" s="460"/>
      <c r="CB99" s="460"/>
      <c r="CC99" s="460"/>
      <c r="CD99" s="460"/>
      <c r="CE99" s="460"/>
      <c r="CF99" s="460"/>
      <c r="CG99" s="460"/>
      <c r="CH99" s="460"/>
      <c r="CI99" s="460"/>
      <c r="CJ99" s="460"/>
      <c r="CK99" s="460"/>
    </row>
    <row r="100" spans="1:89" s="329" customFormat="1" ht="36" customHeight="1" x14ac:dyDescent="0.25">
      <c r="A100" s="329">
        <v>1</v>
      </c>
      <c r="B100" s="39">
        <f>SUBTOTAL(103,$A$16:A100)</f>
        <v>85</v>
      </c>
      <c r="C100" s="33" t="s">
        <v>1069</v>
      </c>
      <c r="D100" s="330">
        <v>1961</v>
      </c>
      <c r="E100" s="330"/>
      <c r="F100" s="331" t="s">
        <v>48</v>
      </c>
      <c r="G100" s="330">
        <v>4</v>
      </c>
      <c r="H100" s="330" t="s">
        <v>56</v>
      </c>
      <c r="I100" s="38">
        <v>1732.3</v>
      </c>
      <c r="J100" s="38">
        <v>1276.7</v>
      </c>
      <c r="K100" s="38">
        <v>1276.7</v>
      </c>
      <c r="L100" s="332">
        <v>59</v>
      </c>
      <c r="M100" s="330" t="s">
        <v>46</v>
      </c>
      <c r="N100" s="330" t="s">
        <v>50</v>
      </c>
      <c r="O100" s="333" t="s">
        <v>1979</v>
      </c>
      <c r="P100" s="38">
        <v>70589.929999999993</v>
      </c>
      <c r="Q100" s="38">
        <v>0</v>
      </c>
      <c r="R100" s="38">
        <v>0</v>
      </c>
      <c r="S100" s="38">
        <f t="shared" si="7"/>
        <v>70589.929999999993</v>
      </c>
      <c r="T100" s="38">
        <f t="shared" si="6"/>
        <v>40.749252438953988</v>
      </c>
      <c r="U100" s="38">
        <v>40.749252438953988</v>
      </c>
      <c r="V100" s="458">
        <f t="shared" si="8"/>
        <v>0</v>
      </c>
      <c r="W100" s="458">
        <f t="shared" si="9"/>
        <v>1205.7882976389772</v>
      </c>
      <c r="X100" s="458">
        <v>0</v>
      </c>
      <c r="Y100" s="459">
        <v>0</v>
      </c>
      <c r="Z100" s="459">
        <v>0</v>
      </c>
      <c r="AA100" s="459">
        <v>0</v>
      </c>
      <c r="AB100" s="459">
        <v>0</v>
      </c>
      <c r="AC100" s="459">
        <v>0</v>
      </c>
      <c r="AD100" s="459">
        <v>0</v>
      </c>
      <c r="AE100" s="459">
        <v>334.8</v>
      </c>
      <c r="AF100" s="458">
        <f t="shared" si="10"/>
        <v>1205.7882976389772</v>
      </c>
      <c r="AG100" s="459">
        <v>0</v>
      </c>
      <c r="AH100" s="458">
        <v>0</v>
      </c>
      <c r="AI100" s="459">
        <v>0</v>
      </c>
      <c r="AJ100" s="458">
        <v>0</v>
      </c>
      <c r="AK100" s="459">
        <v>0</v>
      </c>
      <c r="AL100" s="459">
        <v>0</v>
      </c>
      <c r="AM100" s="459">
        <v>0</v>
      </c>
      <c r="AN100" s="459"/>
      <c r="AO100" s="459">
        <v>0</v>
      </c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  <c r="BK100" s="460"/>
      <c r="BL100" s="460"/>
      <c r="BM100" s="460"/>
      <c r="BN100" s="460"/>
      <c r="BO100" s="460"/>
      <c r="BP100" s="460"/>
      <c r="BQ100" s="460"/>
      <c r="BR100" s="460"/>
      <c r="BS100" s="460"/>
      <c r="BT100" s="460"/>
      <c r="BU100" s="460"/>
      <c r="BV100" s="460"/>
      <c r="BW100" s="460"/>
      <c r="BX100" s="460"/>
      <c r="BY100" s="460"/>
      <c r="BZ100" s="460"/>
      <c r="CA100" s="460"/>
      <c r="CB100" s="460"/>
      <c r="CC100" s="460"/>
      <c r="CD100" s="460"/>
      <c r="CE100" s="460"/>
      <c r="CF100" s="460"/>
      <c r="CG100" s="460"/>
      <c r="CH100" s="460"/>
      <c r="CI100" s="460"/>
      <c r="CJ100" s="460"/>
      <c r="CK100" s="460"/>
    </row>
    <row r="101" spans="1:89" s="329" customFormat="1" ht="36" customHeight="1" x14ac:dyDescent="0.25">
      <c r="A101" s="329">
        <v>1</v>
      </c>
      <c r="B101" s="39">
        <f>SUBTOTAL(103,$A$16:A101)</f>
        <v>86</v>
      </c>
      <c r="C101" s="33" t="s">
        <v>1071</v>
      </c>
      <c r="D101" s="330">
        <v>1953</v>
      </c>
      <c r="E101" s="330"/>
      <c r="F101" s="331" t="s">
        <v>48</v>
      </c>
      <c r="G101" s="330">
        <v>2</v>
      </c>
      <c r="H101" s="330" t="s">
        <v>56</v>
      </c>
      <c r="I101" s="38">
        <v>688.9</v>
      </c>
      <c r="J101" s="38">
        <v>620.29999999999995</v>
      </c>
      <c r="K101" s="38">
        <v>620.29999999999995</v>
      </c>
      <c r="L101" s="332">
        <v>39</v>
      </c>
      <c r="M101" s="330" t="s">
        <v>46</v>
      </c>
      <c r="N101" s="330" t="s">
        <v>50</v>
      </c>
      <c r="O101" s="333" t="s">
        <v>73</v>
      </c>
      <c r="P101" s="38">
        <v>2062889.94</v>
      </c>
      <c r="Q101" s="38">
        <v>0</v>
      </c>
      <c r="R101" s="38">
        <v>0</v>
      </c>
      <c r="S101" s="38">
        <f t="shared" si="7"/>
        <v>2062889.94</v>
      </c>
      <c r="T101" s="38">
        <f t="shared" si="6"/>
        <v>2994.4693569458559</v>
      </c>
      <c r="U101" s="38">
        <v>8422.8451154013655</v>
      </c>
      <c r="V101" s="458">
        <f t="shared" si="8"/>
        <v>5428.3757584555096</v>
      </c>
      <c r="W101" s="458">
        <f t="shared" si="9"/>
        <v>14354.292858179706</v>
      </c>
      <c r="X101" s="458">
        <v>0</v>
      </c>
      <c r="Y101" s="459">
        <v>0</v>
      </c>
      <c r="Z101" s="459">
        <v>0</v>
      </c>
      <c r="AA101" s="459">
        <v>0</v>
      </c>
      <c r="AB101" s="459">
        <v>0</v>
      </c>
      <c r="AC101" s="459">
        <v>0</v>
      </c>
      <c r="AD101" s="459">
        <v>0</v>
      </c>
      <c r="AE101" s="459">
        <v>1585</v>
      </c>
      <c r="AF101" s="458">
        <f t="shared" si="10"/>
        <v>14354.292858179706</v>
      </c>
      <c r="AG101" s="459">
        <v>0</v>
      </c>
      <c r="AH101" s="458">
        <v>0</v>
      </c>
      <c r="AI101" s="459">
        <v>0</v>
      </c>
      <c r="AJ101" s="458">
        <v>0</v>
      </c>
      <c r="AK101" s="459">
        <v>0</v>
      </c>
      <c r="AL101" s="459">
        <v>0</v>
      </c>
      <c r="AM101" s="459">
        <v>0</v>
      </c>
      <c r="AN101" s="459"/>
      <c r="AO101" s="459">
        <v>0</v>
      </c>
      <c r="AP101" s="460"/>
      <c r="AQ101" s="460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  <c r="BK101" s="460"/>
      <c r="BL101" s="460"/>
      <c r="BM101" s="460"/>
      <c r="BN101" s="460"/>
      <c r="BO101" s="460"/>
      <c r="BP101" s="460"/>
      <c r="BQ101" s="460"/>
      <c r="BR101" s="460"/>
      <c r="BS101" s="460"/>
      <c r="BT101" s="460"/>
      <c r="BU101" s="460"/>
      <c r="BV101" s="460"/>
      <c r="BW101" s="460"/>
      <c r="BX101" s="460"/>
      <c r="BY101" s="460"/>
      <c r="BZ101" s="460"/>
      <c r="CA101" s="460"/>
      <c r="CB101" s="460"/>
      <c r="CC101" s="460"/>
      <c r="CD101" s="460"/>
      <c r="CE101" s="460"/>
      <c r="CF101" s="460"/>
      <c r="CG101" s="460"/>
      <c r="CH101" s="460"/>
      <c r="CI101" s="460"/>
      <c r="CJ101" s="460"/>
      <c r="CK101" s="460"/>
    </row>
    <row r="102" spans="1:89" s="329" customFormat="1" ht="36" customHeight="1" x14ac:dyDescent="0.25">
      <c r="A102" s="329">
        <v>1</v>
      </c>
      <c r="B102" s="39">
        <f>SUBTOTAL(103,$A$16:A102)</f>
        <v>87</v>
      </c>
      <c r="C102" s="33" t="s">
        <v>1073</v>
      </c>
      <c r="D102" s="330">
        <v>1959</v>
      </c>
      <c r="E102" s="330"/>
      <c r="F102" s="331" t="s">
        <v>48</v>
      </c>
      <c r="G102" s="330">
        <v>2</v>
      </c>
      <c r="H102" s="330" t="s">
        <v>57</v>
      </c>
      <c r="I102" s="38">
        <v>452.5</v>
      </c>
      <c r="J102" s="38">
        <v>412.6</v>
      </c>
      <c r="K102" s="38">
        <v>412.6</v>
      </c>
      <c r="L102" s="332">
        <v>20</v>
      </c>
      <c r="M102" s="330" t="s">
        <v>46</v>
      </c>
      <c r="N102" s="330" t="s">
        <v>50</v>
      </c>
      <c r="O102" s="333" t="s">
        <v>1967</v>
      </c>
      <c r="P102" s="38">
        <v>1538390.57</v>
      </c>
      <c r="Q102" s="38">
        <v>0</v>
      </c>
      <c r="R102" s="38">
        <v>0</v>
      </c>
      <c r="S102" s="38">
        <f t="shared" si="7"/>
        <v>1538390.57</v>
      </c>
      <c r="T102" s="38">
        <f t="shared" si="6"/>
        <v>3399.7581657458563</v>
      </c>
      <c r="U102" s="38">
        <v>5229.5067845303865</v>
      </c>
      <c r="V102" s="458">
        <f t="shared" si="8"/>
        <v>1829.7486187845302</v>
      </c>
      <c r="W102" s="458">
        <f t="shared" si="9"/>
        <v>22934.37103646409</v>
      </c>
      <c r="X102" s="458">
        <v>0</v>
      </c>
      <c r="Y102" s="459">
        <v>0</v>
      </c>
      <c r="Z102" s="459">
        <v>0</v>
      </c>
      <c r="AA102" s="459">
        <v>0</v>
      </c>
      <c r="AB102" s="459">
        <v>0</v>
      </c>
      <c r="AC102" s="459">
        <v>0</v>
      </c>
      <c r="AD102" s="459">
        <v>0</v>
      </c>
      <c r="AE102" s="459">
        <v>1663.4</v>
      </c>
      <c r="AF102" s="458">
        <f t="shared" si="10"/>
        <v>22934.37103646409</v>
      </c>
      <c r="AG102" s="459">
        <v>0</v>
      </c>
      <c r="AH102" s="458">
        <v>0</v>
      </c>
      <c r="AI102" s="459">
        <v>0</v>
      </c>
      <c r="AJ102" s="458">
        <v>0</v>
      </c>
      <c r="AK102" s="459">
        <v>0</v>
      </c>
      <c r="AL102" s="459">
        <v>0</v>
      </c>
      <c r="AM102" s="459">
        <v>0</v>
      </c>
      <c r="AN102" s="459"/>
      <c r="AO102" s="459">
        <v>0</v>
      </c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  <c r="BK102" s="460"/>
      <c r="BL102" s="460"/>
      <c r="BM102" s="460"/>
      <c r="BN102" s="460"/>
      <c r="BO102" s="460"/>
      <c r="BP102" s="460"/>
      <c r="BQ102" s="460"/>
      <c r="BR102" s="460"/>
      <c r="BS102" s="460"/>
      <c r="BT102" s="460"/>
      <c r="BU102" s="460"/>
      <c r="BV102" s="460"/>
      <c r="BW102" s="460"/>
      <c r="BX102" s="460"/>
      <c r="BY102" s="460"/>
      <c r="BZ102" s="460"/>
      <c r="CA102" s="460"/>
      <c r="CB102" s="460"/>
      <c r="CC102" s="460"/>
      <c r="CD102" s="460"/>
      <c r="CE102" s="460"/>
      <c r="CF102" s="460"/>
      <c r="CG102" s="460"/>
      <c r="CH102" s="460"/>
      <c r="CI102" s="460"/>
      <c r="CJ102" s="460"/>
      <c r="CK102" s="460"/>
    </row>
    <row r="103" spans="1:89" s="329" customFormat="1" ht="36" customHeight="1" x14ac:dyDescent="0.25">
      <c r="A103" s="329">
        <v>1</v>
      </c>
      <c r="B103" s="39">
        <f>SUBTOTAL(103,$A$16:A103)</f>
        <v>88</v>
      </c>
      <c r="C103" s="33" t="s">
        <v>1075</v>
      </c>
      <c r="D103" s="330">
        <v>1984</v>
      </c>
      <c r="E103" s="330"/>
      <c r="F103" s="331" t="s">
        <v>60</v>
      </c>
      <c r="G103" s="330">
        <v>14</v>
      </c>
      <c r="H103" s="330" t="s">
        <v>57</v>
      </c>
      <c r="I103" s="38">
        <v>4285.8999999999996</v>
      </c>
      <c r="J103" s="38">
        <v>4285.8999999999996</v>
      </c>
      <c r="K103" s="38">
        <v>4230</v>
      </c>
      <c r="L103" s="332">
        <v>208</v>
      </c>
      <c r="M103" s="330" t="s">
        <v>46</v>
      </c>
      <c r="N103" s="330" t="s">
        <v>50</v>
      </c>
      <c r="O103" s="333" t="s">
        <v>1968</v>
      </c>
      <c r="P103" s="38">
        <v>2359648.1800000002</v>
      </c>
      <c r="Q103" s="38">
        <v>0</v>
      </c>
      <c r="R103" s="38">
        <v>0</v>
      </c>
      <c r="S103" s="38">
        <f t="shared" si="7"/>
        <v>2359648.1800000002</v>
      </c>
      <c r="T103" s="38">
        <f t="shared" si="6"/>
        <v>550.56071770223298</v>
      </c>
      <c r="U103" s="38">
        <v>712.14704029492066</v>
      </c>
      <c r="V103" s="458">
        <f t="shared" si="8"/>
        <v>161.58632259268768</v>
      </c>
      <c r="W103" s="458">
        <f t="shared" si="9"/>
        <v>739.48675424064959</v>
      </c>
      <c r="X103" s="458">
        <v>0</v>
      </c>
      <c r="Y103" s="459">
        <v>0</v>
      </c>
      <c r="Z103" s="459">
        <v>0</v>
      </c>
      <c r="AA103" s="459">
        <v>0</v>
      </c>
      <c r="AB103" s="459">
        <v>0</v>
      </c>
      <c r="AC103" s="459">
        <v>0</v>
      </c>
      <c r="AD103" s="459">
        <v>0</v>
      </c>
      <c r="AE103" s="459">
        <v>508</v>
      </c>
      <c r="AF103" s="458">
        <f t="shared" si="10"/>
        <v>739.48675424064959</v>
      </c>
      <c r="AG103" s="459">
        <v>0</v>
      </c>
      <c r="AH103" s="458">
        <v>0</v>
      </c>
      <c r="AI103" s="459">
        <v>0</v>
      </c>
      <c r="AJ103" s="458">
        <v>0</v>
      </c>
      <c r="AK103" s="459">
        <v>0</v>
      </c>
      <c r="AL103" s="459">
        <v>0</v>
      </c>
      <c r="AM103" s="459">
        <v>0</v>
      </c>
      <c r="AN103" s="459"/>
      <c r="AO103" s="459">
        <v>0</v>
      </c>
      <c r="AP103" s="460"/>
      <c r="AQ103" s="460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  <c r="BK103" s="460"/>
      <c r="BL103" s="460"/>
      <c r="BM103" s="460"/>
      <c r="BN103" s="460"/>
      <c r="BO103" s="460"/>
      <c r="BP103" s="460"/>
      <c r="BQ103" s="460"/>
      <c r="BR103" s="460"/>
      <c r="BS103" s="460"/>
      <c r="BT103" s="460"/>
      <c r="BU103" s="460"/>
      <c r="BV103" s="460"/>
      <c r="BW103" s="460"/>
      <c r="BX103" s="460"/>
      <c r="BY103" s="460"/>
      <c r="BZ103" s="460"/>
      <c r="CA103" s="460"/>
      <c r="CB103" s="460"/>
      <c r="CC103" s="460"/>
      <c r="CD103" s="460"/>
      <c r="CE103" s="460"/>
      <c r="CF103" s="460"/>
      <c r="CG103" s="460"/>
      <c r="CH103" s="460"/>
      <c r="CI103" s="460"/>
      <c r="CJ103" s="460"/>
      <c r="CK103" s="460"/>
    </row>
    <row r="104" spans="1:89" s="329" customFormat="1" ht="36" customHeight="1" x14ac:dyDescent="0.25">
      <c r="A104" s="329">
        <v>1</v>
      </c>
      <c r="B104" s="39">
        <f>SUBTOTAL(103,$A$16:A104)</f>
        <v>89</v>
      </c>
      <c r="C104" s="33" t="s">
        <v>1077</v>
      </c>
      <c r="D104" s="330">
        <v>1962</v>
      </c>
      <c r="E104" s="330"/>
      <c r="F104" s="331" t="s">
        <v>48</v>
      </c>
      <c r="G104" s="330">
        <v>4</v>
      </c>
      <c r="H104" s="330" t="s">
        <v>61</v>
      </c>
      <c r="I104" s="38">
        <v>2135.9</v>
      </c>
      <c r="J104" s="38">
        <v>1990.6</v>
      </c>
      <c r="K104" s="38">
        <v>1990.6</v>
      </c>
      <c r="L104" s="332">
        <v>103</v>
      </c>
      <c r="M104" s="330" t="s">
        <v>46</v>
      </c>
      <c r="N104" s="330" t="s">
        <v>50</v>
      </c>
      <c r="O104" s="333" t="s">
        <v>1976</v>
      </c>
      <c r="P104" s="38">
        <v>3284906.54</v>
      </c>
      <c r="Q104" s="38">
        <v>0</v>
      </c>
      <c r="R104" s="38">
        <v>0</v>
      </c>
      <c r="S104" s="38">
        <f t="shared" si="7"/>
        <v>3284906.54</v>
      </c>
      <c r="T104" s="38">
        <f t="shared" si="6"/>
        <v>1537.9495950184933</v>
      </c>
      <c r="U104" s="38">
        <v>6194.315908984503</v>
      </c>
      <c r="V104" s="458">
        <f t="shared" si="8"/>
        <v>4656.3663139660093</v>
      </c>
      <c r="W104" s="458">
        <f t="shared" si="9"/>
        <v>1039.8670162460789</v>
      </c>
      <c r="X104" s="458">
        <v>0</v>
      </c>
      <c r="Y104" s="459">
        <v>0</v>
      </c>
      <c r="Z104" s="459">
        <v>0</v>
      </c>
      <c r="AA104" s="459">
        <v>0</v>
      </c>
      <c r="AB104" s="459">
        <v>0</v>
      </c>
      <c r="AC104" s="459">
        <v>0</v>
      </c>
      <c r="AD104" s="459">
        <v>0</v>
      </c>
      <c r="AE104" s="459">
        <v>356</v>
      </c>
      <c r="AF104" s="458">
        <f t="shared" si="10"/>
        <v>1039.8670162460789</v>
      </c>
      <c r="AG104" s="459">
        <v>0</v>
      </c>
      <c r="AH104" s="458">
        <v>0</v>
      </c>
      <c r="AI104" s="459">
        <v>0</v>
      </c>
      <c r="AJ104" s="458">
        <v>0</v>
      </c>
      <c r="AK104" s="459">
        <v>0</v>
      </c>
      <c r="AL104" s="459">
        <v>0</v>
      </c>
      <c r="AM104" s="459">
        <v>0</v>
      </c>
      <c r="AN104" s="459"/>
      <c r="AO104" s="459">
        <v>0</v>
      </c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  <c r="BK104" s="460"/>
      <c r="BL104" s="460"/>
      <c r="BM104" s="460"/>
      <c r="BN104" s="460"/>
      <c r="BO104" s="460"/>
      <c r="BP104" s="460"/>
      <c r="BQ104" s="460"/>
      <c r="BR104" s="460"/>
      <c r="BS104" s="460"/>
      <c r="BT104" s="460"/>
      <c r="BU104" s="460"/>
      <c r="BV104" s="460"/>
      <c r="BW104" s="460"/>
      <c r="BX104" s="460"/>
      <c r="BY104" s="460"/>
      <c r="BZ104" s="460"/>
      <c r="CA104" s="460"/>
      <c r="CB104" s="460"/>
      <c r="CC104" s="460"/>
      <c r="CD104" s="460"/>
      <c r="CE104" s="460"/>
      <c r="CF104" s="460"/>
      <c r="CG104" s="460"/>
      <c r="CH104" s="460"/>
      <c r="CI104" s="460"/>
      <c r="CJ104" s="460"/>
      <c r="CK104" s="460"/>
    </row>
    <row r="105" spans="1:89" s="329" customFormat="1" ht="36" customHeight="1" x14ac:dyDescent="0.25">
      <c r="A105" s="329">
        <v>1</v>
      </c>
      <c r="B105" s="39">
        <f>SUBTOTAL(103,$A$16:A105)</f>
        <v>90</v>
      </c>
      <c r="C105" s="33" t="s">
        <v>1078</v>
      </c>
      <c r="D105" s="330">
        <v>1994</v>
      </c>
      <c r="E105" s="330"/>
      <c r="F105" s="331" t="s">
        <v>60</v>
      </c>
      <c r="G105" s="330">
        <v>9</v>
      </c>
      <c r="H105" s="330" t="s">
        <v>57</v>
      </c>
      <c r="I105" s="38">
        <v>2342.1999999999998</v>
      </c>
      <c r="J105" s="38">
        <v>2320.3000000000002</v>
      </c>
      <c r="K105" s="38">
        <v>2280.8000000000002</v>
      </c>
      <c r="L105" s="332">
        <v>147</v>
      </c>
      <c r="M105" s="330" t="s">
        <v>46</v>
      </c>
      <c r="N105" s="330" t="s">
        <v>50</v>
      </c>
      <c r="O105" s="333" t="s">
        <v>1968</v>
      </c>
      <c r="P105" s="38">
        <v>1843496.65</v>
      </c>
      <c r="Q105" s="38">
        <v>0</v>
      </c>
      <c r="R105" s="38">
        <v>0</v>
      </c>
      <c r="S105" s="38">
        <f t="shared" si="7"/>
        <v>1843496.65</v>
      </c>
      <c r="T105" s="38">
        <f t="shared" si="6"/>
        <v>787.07909230637858</v>
      </c>
      <c r="U105" s="38">
        <v>1049.355306976347</v>
      </c>
      <c r="V105" s="458">
        <f t="shared" si="8"/>
        <v>262.27621466996845</v>
      </c>
      <c r="W105" s="458">
        <f t="shared" si="9"/>
        <v>2980.676411066519</v>
      </c>
      <c r="X105" s="458">
        <v>0</v>
      </c>
      <c r="Y105" s="459">
        <v>0</v>
      </c>
      <c r="Z105" s="459">
        <v>0</v>
      </c>
      <c r="AA105" s="459">
        <v>0</v>
      </c>
      <c r="AB105" s="459">
        <v>0</v>
      </c>
      <c r="AC105" s="459">
        <v>0</v>
      </c>
      <c r="AD105" s="459">
        <v>0</v>
      </c>
      <c r="AE105" s="459">
        <v>1119</v>
      </c>
      <c r="AF105" s="458">
        <f t="shared" si="10"/>
        <v>2980.676411066519</v>
      </c>
      <c r="AG105" s="459">
        <v>0</v>
      </c>
      <c r="AH105" s="458">
        <v>0</v>
      </c>
      <c r="AI105" s="459">
        <v>0</v>
      </c>
      <c r="AJ105" s="458">
        <v>0</v>
      </c>
      <c r="AK105" s="459">
        <v>0</v>
      </c>
      <c r="AL105" s="459">
        <v>0</v>
      </c>
      <c r="AM105" s="459">
        <v>0</v>
      </c>
      <c r="AN105" s="459"/>
      <c r="AO105" s="459">
        <v>0</v>
      </c>
      <c r="AP105" s="460"/>
      <c r="AQ105" s="460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  <c r="BK105" s="460"/>
      <c r="BL105" s="460"/>
      <c r="BM105" s="460"/>
      <c r="BN105" s="460"/>
      <c r="BO105" s="460"/>
      <c r="BP105" s="460"/>
      <c r="BQ105" s="460"/>
      <c r="BR105" s="460"/>
      <c r="BS105" s="460"/>
      <c r="BT105" s="460"/>
      <c r="BU105" s="460"/>
      <c r="BV105" s="460"/>
      <c r="BW105" s="460"/>
      <c r="BX105" s="460"/>
      <c r="BY105" s="460"/>
      <c r="BZ105" s="460"/>
      <c r="CA105" s="460"/>
      <c r="CB105" s="460"/>
      <c r="CC105" s="460"/>
      <c r="CD105" s="460"/>
      <c r="CE105" s="460"/>
      <c r="CF105" s="460"/>
      <c r="CG105" s="460"/>
      <c r="CH105" s="460"/>
      <c r="CI105" s="460"/>
      <c r="CJ105" s="460"/>
      <c r="CK105" s="460"/>
    </row>
    <row r="106" spans="1:89" s="329" customFormat="1" ht="36" customHeight="1" x14ac:dyDescent="0.25">
      <c r="A106" s="329">
        <v>1</v>
      </c>
      <c r="B106" s="39">
        <f>SUBTOTAL(103,$A$16:A106)</f>
        <v>91</v>
      </c>
      <c r="C106" s="33" t="s">
        <v>1079</v>
      </c>
      <c r="D106" s="330">
        <v>1995</v>
      </c>
      <c r="E106" s="330"/>
      <c r="F106" s="331" t="s">
        <v>60</v>
      </c>
      <c r="G106" s="330">
        <v>9</v>
      </c>
      <c r="H106" s="330" t="s">
        <v>57</v>
      </c>
      <c r="I106" s="38">
        <v>3212.7</v>
      </c>
      <c r="J106" s="38">
        <v>2297.9</v>
      </c>
      <c r="K106" s="38">
        <v>2290.8000000000002</v>
      </c>
      <c r="L106" s="332">
        <v>116</v>
      </c>
      <c r="M106" s="330" t="s">
        <v>46</v>
      </c>
      <c r="N106" s="330" t="s">
        <v>50</v>
      </c>
      <c r="O106" s="333" t="s">
        <v>1968</v>
      </c>
      <c r="P106" s="38">
        <v>1838816.0899999999</v>
      </c>
      <c r="Q106" s="38">
        <v>0</v>
      </c>
      <c r="R106" s="38">
        <v>0</v>
      </c>
      <c r="S106" s="38">
        <f t="shared" si="7"/>
        <v>1838816.0899999999</v>
      </c>
      <c r="T106" s="38">
        <f t="shared" si="6"/>
        <v>572.35848040588917</v>
      </c>
      <c r="U106" s="38">
        <v>765.02630186447539</v>
      </c>
      <c r="V106" s="458">
        <f t="shared" si="8"/>
        <v>192.66782145858622</v>
      </c>
      <c r="W106" s="458">
        <f t="shared" si="9"/>
        <v>3042.6050985152679</v>
      </c>
      <c r="X106" s="458">
        <v>0</v>
      </c>
      <c r="Y106" s="459">
        <v>0</v>
      </c>
      <c r="Z106" s="459">
        <v>0</v>
      </c>
      <c r="AA106" s="459">
        <v>0</v>
      </c>
      <c r="AB106" s="459">
        <v>0</v>
      </c>
      <c r="AC106" s="459">
        <v>0</v>
      </c>
      <c r="AD106" s="459">
        <v>0</v>
      </c>
      <c r="AE106" s="459">
        <v>0</v>
      </c>
      <c r="AF106" s="458">
        <v>0</v>
      </c>
      <c r="AG106" s="459">
        <v>0</v>
      </c>
      <c r="AH106" s="458">
        <v>0</v>
      </c>
      <c r="AI106" s="459">
        <v>1314</v>
      </c>
      <c r="AJ106" s="458">
        <f>7439.1*AI106/I106</f>
        <v>3042.6050985152679</v>
      </c>
      <c r="AK106" s="459">
        <v>0</v>
      </c>
      <c r="AL106" s="459">
        <v>0</v>
      </c>
      <c r="AM106" s="459">
        <v>0</v>
      </c>
      <c r="AN106" s="459"/>
      <c r="AO106" s="459">
        <v>0</v>
      </c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  <c r="BK106" s="460"/>
      <c r="BL106" s="460"/>
      <c r="BM106" s="460"/>
      <c r="BN106" s="460"/>
      <c r="BO106" s="460"/>
      <c r="BP106" s="460"/>
      <c r="BQ106" s="460"/>
      <c r="BR106" s="460"/>
      <c r="BS106" s="460"/>
      <c r="BT106" s="460"/>
      <c r="BU106" s="460"/>
      <c r="BV106" s="460"/>
      <c r="BW106" s="460"/>
      <c r="BX106" s="460"/>
      <c r="BY106" s="460"/>
      <c r="BZ106" s="460"/>
      <c r="CA106" s="460"/>
      <c r="CB106" s="460"/>
      <c r="CC106" s="460"/>
      <c r="CD106" s="460"/>
      <c r="CE106" s="460"/>
      <c r="CF106" s="460"/>
      <c r="CG106" s="460"/>
      <c r="CH106" s="460"/>
      <c r="CI106" s="460"/>
      <c r="CJ106" s="460"/>
      <c r="CK106" s="460"/>
    </row>
    <row r="107" spans="1:89" s="329" customFormat="1" ht="36" customHeight="1" x14ac:dyDescent="0.25">
      <c r="A107" s="329">
        <v>1</v>
      </c>
      <c r="B107" s="39">
        <f>SUBTOTAL(103,$A$16:A107)</f>
        <v>92</v>
      </c>
      <c r="C107" s="33" t="s">
        <v>1080</v>
      </c>
      <c r="D107" s="330">
        <v>1986</v>
      </c>
      <c r="E107" s="330"/>
      <c r="F107" s="331" t="s">
        <v>60</v>
      </c>
      <c r="G107" s="330">
        <v>9</v>
      </c>
      <c r="H107" s="330" t="s">
        <v>1969</v>
      </c>
      <c r="I107" s="38">
        <v>14807.8</v>
      </c>
      <c r="J107" s="38">
        <v>11520.6</v>
      </c>
      <c r="K107" s="38">
        <v>11520.6</v>
      </c>
      <c r="L107" s="332">
        <v>529</v>
      </c>
      <c r="M107" s="330" t="s">
        <v>46</v>
      </c>
      <c r="N107" s="330" t="s">
        <v>50</v>
      </c>
      <c r="O107" s="333" t="s">
        <v>1958</v>
      </c>
      <c r="P107" s="38">
        <v>10746088.879999999</v>
      </c>
      <c r="Q107" s="38">
        <v>0</v>
      </c>
      <c r="R107" s="38">
        <v>0</v>
      </c>
      <c r="S107" s="38">
        <f t="shared" si="7"/>
        <v>10746088.879999999</v>
      </c>
      <c r="T107" s="38">
        <f t="shared" si="6"/>
        <v>725.70462053782467</v>
      </c>
      <c r="U107" s="38">
        <v>995.88054944015994</v>
      </c>
      <c r="V107" s="458">
        <f t="shared" si="8"/>
        <v>270.17592890233527</v>
      </c>
      <c r="W107" s="458">
        <f t="shared" si="9"/>
        <v>297.87742743689137</v>
      </c>
      <c r="X107" s="458">
        <v>0</v>
      </c>
      <c r="Y107" s="459">
        <v>0</v>
      </c>
      <c r="Z107" s="459">
        <v>0</v>
      </c>
      <c r="AA107" s="459">
        <v>0</v>
      </c>
      <c r="AB107" s="459">
        <v>0</v>
      </c>
      <c r="AC107" s="459">
        <v>0</v>
      </c>
      <c r="AD107" s="459">
        <v>0</v>
      </c>
      <c r="AE107" s="459">
        <v>707</v>
      </c>
      <c r="AF107" s="458">
        <f>6238.91*AE107/I107</f>
        <v>297.87742743689137</v>
      </c>
      <c r="AG107" s="459">
        <v>0</v>
      </c>
      <c r="AH107" s="458">
        <v>0</v>
      </c>
      <c r="AI107" s="459">
        <v>0</v>
      </c>
      <c r="AJ107" s="458">
        <v>0</v>
      </c>
      <c r="AK107" s="459">
        <v>0</v>
      </c>
      <c r="AL107" s="459">
        <v>0</v>
      </c>
      <c r="AM107" s="459">
        <v>0</v>
      </c>
      <c r="AN107" s="459"/>
      <c r="AO107" s="459">
        <v>0</v>
      </c>
      <c r="AP107" s="460"/>
      <c r="AQ107" s="460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  <c r="BK107" s="460"/>
      <c r="BL107" s="460"/>
      <c r="BM107" s="460"/>
      <c r="BN107" s="460"/>
      <c r="BO107" s="460"/>
      <c r="BP107" s="460"/>
      <c r="BQ107" s="460"/>
      <c r="BR107" s="460"/>
      <c r="BS107" s="460"/>
      <c r="BT107" s="460"/>
      <c r="BU107" s="460"/>
      <c r="BV107" s="460"/>
      <c r="BW107" s="460"/>
      <c r="BX107" s="460"/>
      <c r="BY107" s="460"/>
      <c r="BZ107" s="460"/>
      <c r="CA107" s="460"/>
      <c r="CB107" s="460"/>
      <c r="CC107" s="460"/>
      <c r="CD107" s="460"/>
      <c r="CE107" s="460"/>
      <c r="CF107" s="460"/>
      <c r="CG107" s="460"/>
      <c r="CH107" s="460"/>
      <c r="CI107" s="460"/>
      <c r="CJ107" s="460"/>
      <c r="CK107" s="460"/>
    </row>
    <row r="108" spans="1:89" s="329" customFormat="1" ht="36" customHeight="1" x14ac:dyDescent="0.25">
      <c r="A108" s="329">
        <v>1</v>
      </c>
      <c r="B108" s="39">
        <f>SUBTOTAL(103,$A$16:A108)</f>
        <v>93</v>
      </c>
      <c r="C108" s="33" t="s">
        <v>1081</v>
      </c>
      <c r="D108" s="330">
        <v>1993</v>
      </c>
      <c r="E108" s="330"/>
      <c r="F108" s="331" t="s">
        <v>48</v>
      </c>
      <c r="G108" s="330" t="s">
        <v>1980</v>
      </c>
      <c r="H108" s="330" t="s">
        <v>1965</v>
      </c>
      <c r="I108" s="38">
        <v>14780.2</v>
      </c>
      <c r="J108" s="38">
        <v>12472.3</v>
      </c>
      <c r="K108" s="38">
        <v>9302.2999999999993</v>
      </c>
      <c r="L108" s="332">
        <v>342</v>
      </c>
      <c r="M108" s="330" t="s">
        <v>46</v>
      </c>
      <c r="N108" s="330" t="s">
        <v>50</v>
      </c>
      <c r="O108" s="333" t="s">
        <v>1958</v>
      </c>
      <c r="P108" s="38">
        <v>2078209.55</v>
      </c>
      <c r="Q108" s="38">
        <v>0</v>
      </c>
      <c r="R108" s="38">
        <v>0</v>
      </c>
      <c r="S108" s="38">
        <f t="shared" si="7"/>
        <v>2078209.55</v>
      </c>
      <c r="T108" s="38">
        <f t="shared" si="6"/>
        <v>140.60767445636731</v>
      </c>
      <c r="U108" s="38">
        <v>180.0962774522672</v>
      </c>
      <c r="V108" s="458">
        <f t="shared" si="8"/>
        <v>39.488602995899896</v>
      </c>
      <c r="W108" s="458">
        <f t="shared" si="9"/>
        <v>322.62507273243938</v>
      </c>
      <c r="X108" s="458">
        <v>0</v>
      </c>
      <c r="Y108" s="459">
        <v>0</v>
      </c>
      <c r="Z108" s="459">
        <v>0</v>
      </c>
      <c r="AA108" s="459">
        <v>0</v>
      </c>
      <c r="AB108" s="459">
        <v>0</v>
      </c>
      <c r="AC108" s="459">
        <v>0</v>
      </c>
      <c r="AD108" s="459">
        <v>0</v>
      </c>
      <c r="AE108" s="459">
        <v>0</v>
      </c>
      <c r="AF108" s="458">
        <v>0</v>
      </c>
      <c r="AG108" s="459">
        <v>0</v>
      </c>
      <c r="AH108" s="458">
        <v>0</v>
      </c>
      <c r="AI108" s="459">
        <v>641</v>
      </c>
      <c r="AJ108" s="458">
        <f>7439.1*AI108/I108</f>
        <v>322.62507273243938</v>
      </c>
      <c r="AK108" s="459"/>
      <c r="AL108" s="459">
        <v>0</v>
      </c>
      <c r="AM108" s="459">
        <v>0</v>
      </c>
      <c r="AN108" s="459"/>
      <c r="AO108" s="459">
        <v>0</v>
      </c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  <c r="BK108" s="460"/>
      <c r="BL108" s="460"/>
      <c r="BM108" s="460"/>
      <c r="BN108" s="460"/>
      <c r="BO108" s="460"/>
      <c r="BP108" s="460"/>
      <c r="BQ108" s="460"/>
      <c r="BR108" s="460"/>
      <c r="BS108" s="460"/>
      <c r="BT108" s="460"/>
      <c r="BU108" s="460"/>
      <c r="BV108" s="460"/>
      <c r="BW108" s="460"/>
      <c r="BX108" s="460"/>
      <c r="BY108" s="460"/>
      <c r="BZ108" s="460"/>
      <c r="CA108" s="460"/>
      <c r="CB108" s="460"/>
      <c r="CC108" s="460"/>
      <c r="CD108" s="460"/>
      <c r="CE108" s="460"/>
      <c r="CF108" s="460"/>
      <c r="CG108" s="460"/>
      <c r="CH108" s="460"/>
      <c r="CI108" s="460"/>
      <c r="CJ108" s="460"/>
      <c r="CK108" s="460"/>
    </row>
    <row r="109" spans="1:89" s="329" customFormat="1" ht="36" customHeight="1" x14ac:dyDescent="0.25">
      <c r="A109" s="329">
        <v>1</v>
      </c>
      <c r="B109" s="39">
        <f>SUBTOTAL(103,$A$16:A109)</f>
        <v>94</v>
      </c>
      <c r="C109" s="33" t="s">
        <v>1082</v>
      </c>
      <c r="D109" s="330">
        <v>1989</v>
      </c>
      <c r="E109" s="330"/>
      <c r="F109" s="331" t="s">
        <v>60</v>
      </c>
      <c r="G109" s="330">
        <v>9</v>
      </c>
      <c r="H109" s="330" t="s">
        <v>59</v>
      </c>
      <c r="I109" s="38">
        <v>10574</v>
      </c>
      <c r="J109" s="38">
        <v>7454.7</v>
      </c>
      <c r="K109" s="38">
        <v>7439.2</v>
      </c>
      <c r="L109" s="332">
        <v>312</v>
      </c>
      <c r="M109" s="330" t="s">
        <v>46</v>
      </c>
      <c r="N109" s="330" t="s">
        <v>50</v>
      </c>
      <c r="O109" s="333" t="s">
        <v>1958</v>
      </c>
      <c r="P109" s="38">
        <v>8533423.2400000002</v>
      </c>
      <c r="Q109" s="38">
        <v>0</v>
      </c>
      <c r="R109" s="38">
        <v>0</v>
      </c>
      <c r="S109" s="38">
        <f t="shared" si="7"/>
        <v>8533423.2400000002</v>
      </c>
      <c r="T109" s="38">
        <f t="shared" si="6"/>
        <v>807.01940987327407</v>
      </c>
      <c r="U109" s="38">
        <v>929.75222243238136</v>
      </c>
      <c r="V109" s="458">
        <f t="shared" si="8"/>
        <v>122.73281255910729</v>
      </c>
      <c r="W109" s="458">
        <f t="shared" si="9"/>
        <v>223.02893701532059</v>
      </c>
      <c r="X109" s="458">
        <v>0</v>
      </c>
      <c r="Y109" s="459">
        <v>0</v>
      </c>
      <c r="Z109" s="459">
        <v>0</v>
      </c>
      <c r="AA109" s="459">
        <v>0</v>
      </c>
      <c r="AB109" s="459">
        <v>0</v>
      </c>
      <c r="AC109" s="459">
        <v>0</v>
      </c>
      <c r="AD109" s="459">
        <v>0</v>
      </c>
      <c r="AE109" s="459">
        <v>378</v>
      </c>
      <c r="AF109" s="458">
        <f>6238.91*AE109/I109</f>
        <v>223.02893701532059</v>
      </c>
      <c r="AG109" s="459">
        <v>0</v>
      </c>
      <c r="AH109" s="458">
        <v>0</v>
      </c>
      <c r="AI109" s="459">
        <v>0</v>
      </c>
      <c r="AJ109" s="458">
        <v>0</v>
      </c>
      <c r="AK109" s="459">
        <v>0</v>
      </c>
      <c r="AL109" s="459">
        <v>0</v>
      </c>
      <c r="AM109" s="459">
        <v>0</v>
      </c>
      <c r="AN109" s="459"/>
      <c r="AO109" s="459">
        <v>0</v>
      </c>
      <c r="AP109" s="460"/>
      <c r="AQ109" s="460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  <c r="BK109" s="460"/>
      <c r="BL109" s="460"/>
      <c r="BM109" s="460"/>
      <c r="BN109" s="460"/>
      <c r="BO109" s="460"/>
      <c r="BP109" s="460"/>
      <c r="BQ109" s="460"/>
      <c r="BR109" s="460"/>
      <c r="BS109" s="460"/>
      <c r="BT109" s="460"/>
      <c r="BU109" s="460"/>
      <c r="BV109" s="460"/>
      <c r="BW109" s="460"/>
      <c r="BX109" s="460"/>
      <c r="BY109" s="460"/>
      <c r="BZ109" s="460"/>
      <c r="CA109" s="460"/>
      <c r="CB109" s="460"/>
      <c r="CC109" s="460"/>
      <c r="CD109" s="460"/>
      <c r="CE109" s="460"/>
      <c r="CF109" s="460"/>
      <c r="CG109" s="460"/>
      <c r="CH109" s="460"/>
      <c r="CI109" s="460"/>
      <c r="CJ109" s="460"/>
      <c r="CK109" s="460"/>
    </row>
    <row r="110" spans="1:89" s="329" customFormat="1" ht="36" customHeight="1" x14ac:dyDescent="0.25">
      <c r="A110" s="329">
        <v>1</v>
      </c>
      <c r="B110" s="39">
        <f>SUBTOTAL(103,$A$16:A110)</f>
        <v>95</v>
      </c>
      <c r="C110" s="33" t="s">
        <v>1083</v>
      </c>
      <c r="D110" s="330">
        <v>1973</v>
      </c>
      <c r="E110" s="330"/>
      <c r="F110" s="331" t="s">
        <v>60</v>
      </c>
      <c r="G110" s="330">
        <v>9</v>
      </c>
      <c r="H110" s="330" t="s">
        <v>57</v>
      </c>
      <c r="I110" s="38">
        <v>1914.68</v>
      </c>
      <c r="J110" s="38">
        <v>1914.68</v>
      </c>
      <c r="K110" s="38">
        <v>1914.68</v>
      </c>
      <c r="L110" s="332">
        <v>103</v>
      </c>
      <c r="M110" s="330" t="s">
        <v>46</v>
      </c>
      <c r="N110" s="330" t="s">
        <v>50</v>
      </c>
      <c r="O110" s="333" t="s">
        <v>1968</v>
      </c>
      <c r="P110" s="38">
        <v>2063785.08</v>
      </c>
      <c r="Q110" s="38">
        <v>0</v>
      </c>
      <c r="R110" s="38">
        <v>0</v>
      </c>
      <c r="S110" s="38">
        <f t="shared" si="7"/>
        <v>2063785.08</v>
      </c>
      <c r="T110" s="38">
        <f t="shared" si="6"/>
        <v>1077.8746735746965</v>
      </c>
      <c r="U110" s="38">
        <v>1283.6609772912445</v>
      </c>
      <c r="V110" s="458">
        <f t="shared" si="8"/>
        <v>205.78630371654799</v>
      </c>
      <c r="W110" s="458">
        <f t="shared" si="9"/>
        <v>1594.0997973551716</v>
      </c>
      <c r="X110" s="458">
        <v>0</v>
      </c>
      <c r="Y110" s="459">
        <v>0</v>
      </c>
      <c r="Z110" s="459">
        <v>0</v>
      </c>
      <c r="AA110" s="459">
        <v>0</v>
      </c>
      <c r="AB110" s="459">
        <v>0</v>
      </c>
      <c r="AC110" s="459">
        <v>1</v>
      </c>
      <c r="AD110" s="458">
        <f>3052191*AC110/I110</f>
        <v>1594.0997973551716</v>
      </c>
      <c r="AE110" s="459">
        <v>0</v>
      </c>
      <c r="AF110" s="458">
        <v>0</v>
      </c>
      <c r="AG110" s="459">
        <v>0</v>
      </c>
      <c r="AH110" s="458">
        <v>0</v>
      </c>
      <c r="AI110" s="459">
        <v>0</v>
      </c>
      <c r="AJ110" s="458">
        <v>0</v>
      </c>
      <c r="AK110" s="459">
        <v>0</v>
      </c>
      <c r="AL110" s="459">
        <v>0</v>
      </c>
      <c r="AM110" s="459">
        <v>0</v>
      </c>
      <c r="AN110" s="459"/>
      <c r="AO110" s="459">
        <v>0</v>
      </c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  <c r="BK110" s="460"/>
      <c r="BL110" s="460"/>
      <c r="BM110" s="460"/>
      <c r="BN110" s="460"/>
      <c r="BO110" s="460"/>
      <c r="BP110" s="460"/>
      <c r="BQ110" s="460"/>
      <c r="BR110" s="460"/>
      <c r="BS110" s="460"/>
      <c r="BT110" s="460"/>
      <c r="BU110" s="460"/>
      <c r="BV110" s="460"/>
      <c r="BW110" s="460"/>
      <c r="BX110" s="460"/>
      <c r="BY110" s="460"/>
      <c r="BZ110" s="460"/>
      <c r="CA110" s="460"/>
      <c r="CB110" s="460"/>
      <c r="CC110" s="460"/>
      <c r="CD110" s="460"/>
      <c r="CE110" s="460"/>
      <c r="CF110" s="460"/>
      <c r="CG110" s="460"/>
      <c r="CH110" s="460"/>
      <c r="CI110" s="460"/>
      <c r="CJ110" s="460"/>
      <c r="CK110" s="460"/>
    </row>
    <row r="111" spans="1:89" s="329" customFormat="1" ht="36" customHeight="1" x14ac:dyDescent="0.25">
      <c r="A111" s="329">
        <v>1</v>
      </c>
      <c r="B111" s="39">
        <f>SUBTOTAL(103,$A$16:A111)</f>
        <v>96</v>
      </c>
      <c r="C111" s="33" t="s">
        <v>981</v>
      </c>
      <c r="D111" s="330">
        <v>1960</v>
      </c>
      <c r="E111" s="330"/>
      <c r="F111" s="331" t="s">
        <v>1981</v>
      </c>
      <c r="G111" s="330" t="s">
        <v>61</v>
      </c>
      <c r="H111" s="330" t="s">
        <v>56</v>
      </c>
      <c r="I111" s="334">
        <v>969.7</v>
      </c>
      <c r="J111" s="334">
        <v>627.4</v>
      </c>
      <c r="K111" s="334">
        <v>627.4</v>
      </c>
      <c r="L111" s="332">
        <v>38</v>
      </c>
      <c r="M111" s="330" t="s">
        <v>46</v>
      </c>
      <c r="N111" s="330" t="s">
        <v>50</v>
      </c>
      <c r="O111" s="333" t="s">
        <v>1982</v>
      </c>
      <c r="P111" s="38">
        <v>1772415.75</v>
      </c>
      <c r="Q111" s="38">
        <v>0</v>
      </c>
      <c r="R111" s="38">
        <v>0</v>
      </c>
      <c r="S111" s="38">
        <f t="shared" si="7"/>
        <v>1772415.75</v>
      </c>
      <c r="T111" s="38">
        <f t="shared" si="6"/>
        <v>1827.7980303186553</v>
      </c>
      <c r="U111" s="38">
        <v>3382.7104838609876</v>
      </c>
      <c r="V111" s="458">
        <f t="shared" si="8"/>
        <v>1554.9124535423323</v>
      </c>
      <c r="W111" s="458">
        <f t="shared" si="9"/>
        <v>13643.84794266268</v>
      </c>
      <c r="X111" s="458">
        <v>0</v>
      </c>
      <c r="Y111" s="459">
        <v>0</v>
      </c>
      <c r="Z111" s="459">
        <v>0</v>
      </c>
      <c r="AA111" s="459">
        <v>0</v>
      </c>
      <c r="AB111" s="459">
        <v>0</v>
      </c>
      <c r="AC111" s="459">
        <v>0</v>
      </c>
      <c r="AD111" s="459">
        <v>0</v>
      </c>
      <c r="AE111" s="459">
        <v>0</v>
      </c>
      <c r="AF111" s="458">
        <v>0</v>
      </c>
      <c r="AG111" s="459">
        <v>0</v>
      </c>
      <c r="AH111" s="458">
        <v>0</v>
      </c>
      <c r="AI111" s="459">
        <v>1778.5</v>
      </c>
      <c r="AJ111" s="458">
        <f>7439.1*AI111/I111</f>
        <v>13643.84794266268</v>
      </c>
      <c r="AK111" s="459">
        <v>0</v>
      </c>
      <c r="AL111" s="459">
        <v>0</v>
      </c>
      <c r="AM111" s="459">
        <v>0</v>
      </c>
      <c r="AN111" s="459"/>
      <c r="AO111" s="459">
        <v>0</v>
      </c>
      <c r="AP111" s="460"/>
      <c r="AQ111" s="460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  <c r="BK111" s="460"/>
      <c r="BL111" s="460"/>
      <c r="BM111" s="460"/>
      <c r="BN111" s="460"/>
      <c r="BO111" s="460"/>
      <c r="BP111" s="460"/>
      <c r="BQ111" s="460"/>
      <c r="BR111" s="460"/>
      <c r="BS111" s="460"/>
      <c r="BT111" s="460"/>
      <c r="BU111" s="460"/>
      <c r="BV111" s="460"/>
      <c r="BW111" s="460"/>
      <c r="BX111" s="460"/>
      <c r="BY111" s="460"/>
      <c r="BZ111" s="460"/>
      <c r="CA111" s="460"/>
      <c r="CB111" s="460"/>
      <c r="CC111" s="460"/>
      <c r="CD111" s="460"/>
      <c r="CE111" s="460"/>
      <c r="CF111" s="460"/>
      <c r="CG111" s="460"/>
      <c r="CH111" s="460"/>
      <c r="CI111" s="460"/>
      <c r="CJ111" s="460"/>
      <c r="CK111" s="460"/>
    </row>
    <row r="112" spans="1:89" s="329" customFormat="1" ht="36" customHeight="1" x14ac:dyDescent="0.25">
      <c r="A112" s="329">
        <v>1</v>
      </c>
      <c r="B112" s="39">
        <f>SUBTOTAL(103,$A$16:A112)</f>
        <v>97</v>
      </c>
      <c r="C112" s="33" t="s">
        <v>1084</v>
      </c>
      <c r="D112" s="330">
        <v>1962</v>
      </c>
      <c r="E112" s="330"/>
      <c r="F112" s="331" t="s">
        <v>48</v>
      </c>
      <c r="G112" s="330">
        <v>2</v>
      </c>
      <c r="H112" s="330" t="s">
        <v>56</v>
      </c>
      <c r="I112" s="334">
        <v>628.29999999999995</v>
      </c>
      <c r="J112" s="334">
        <v>628.29999999999995</v>
      </c>
      <c r="K112" s="334">
        <v>628.29999999999995</v>
      </c>
      <c r="L112" s="332">
        <v>38</v>
      </c>
      <c r="M112" s="330" t="s">
        <v>46</v>
      </c>
      <c r="N112" s="330" t="s">
        <v>47</v>
      </c>
      <c r="O112" s="333" t="s">
        <v>1983</v>
      </c>
      <c r="P112" s="38">
        <v>52271.7</v>
      </c>
      <c r="Q112" s="38">
        <v>0</v>
      </c>
      <c r="R112" s="38">
        <v>0</v>
      </c>
      <c r="S112" s="38">
        <f t="shared" si="7"/>
        <v>52271.7</v>
      </c>
      <c r="T112" s="38">
        <f t="shared" si="6"/>
        <v>83.195448034378487</v>
      </c>
      <c r="U112" s="38">
        <v>83.195448034378487</v>
      </c>
      <c r="V112" s="458">
        <f t="shared" si="8"/>
        <v>0</v>
      </c>
      <c r="W112" s="458">
        <f t="shared" si="9"/>
        <v>9112.6017937291108</v>
      </c>
      <c r="X112" s="458">
        <v>0</v>
      </c>
      <c r="Y112" s="459">
        <v>0</v>
      </c>
      <c r="Z112" s="459">
        <v>0</v>
      </c>
      <c r="AA112" s="459">
        <v>0</v>
      </c>
      <c r="AB112" s="459">
        <v>0</v>
      </c>
      <c r="AC112" s="459">
        <v>0</v>
      </c>
      <c r="AD112" s="459">
        <v>0</v>
      </c>
      <c r="AE112" s="459">
        <v>917.7</v>
      </c>
      <c r="AF112" s="458">
        <f>6238.91*AE112/I112</f>
        <v>9112.6017937291108</v>
      </c>
      <c r="AG112" s="459">
        <v>0</v>
      </c>
      <c r="AH112" s="458">
        <v>0</v>
      </c>
      <c r="AI112" s="459">
        <v>0</v>
      </c>
      <c r="AJ112" s="458">
        <v>0</v>
      </c>
      <c r="AK112" s="459">
        <v>0</v>
      </c>
      <c r="AL112" s="459">
        <v>0</v>
      </c>
      <c r="AM112" s="459">
        <v>0</v>
      </c>
      <c r="AN112" s="459"/>
      <c r="AO112" s="459">
        <v>0</v>
      </c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  <c r="BK112" s="460"/>
      <c r="BL112" s="460"/>
      <c r="BM112" s="460"/>
      <c r="BN112" s="460"/>
      <c r="BO112" s="460"/>
      <c r="BP112" s="460"/>
      <c r="BQ112" s="460"/>
      <c r="BR112" s="460"/>
      <c r="BS112" s="460"/>
      <c r="BT112" s="460"/>
      <c r="BU112" s="460"/>
      <c r="BV112" s="460"/>
      <c r="BW112" s="460"/>
      <c r="BX112" s="460"/>
      <c r="BY112" s="460"/>
      <c r="BZ112" s="460"/>
      <c r="CA112" s="460"/>
      <c r="CB112" s="460"/>
      <c r="CC112" s="460"/>
      <c r="CD112" s="460"/>
      <c r="CE112" s="460"/>
      <c r="CF112" s="460"/>
      <c r="CG112" s="460"/>
      <c r="CH112" s="460"/>
      <c r="CI112" s="460"/>
      <c r="CJ112" s="460"/>
      <c r="CK112" s="460"/>
    </row>
    <row r="113" spans="1:89" s="329" customFormat="1" ht="36" customHeight="1" x14ac:dyDescent="0.25">
      <c r="A113" s="329">
        <v>1</v>
      </c>
      <c r="B113" s="39">
        <f>SUBTOTAL(103,$A$16:A113)</f>
        <v>98</v>
      </c>
      <c r="C113" s="33" t="s">
        <v>1085</v>
      </c>
      <c r="D113" s="330">
        <v>1969</v>
      </c>
      <c r="E113" s="330"/>
      <c r="F113" s="331" t="s">
        <v>48</v>
      </c>
      <c r="G113" s="330">
        <v>5</v>
      </c>
      <c r="H113" s="330" t="s">
        <v>59</v>
      </c>
      <c r="I113" s="334">
        <v>3463.9</v>
      </c>
      <c r="J113" s="334">
        <v>3172.1</v>
      </c>
      <c r="K113" s="334">
        <v>3012</v>
      </c>
      <c r="L113" s="332">
        <v>132</v>
      </c>
      <c r="M113" s="330" t="s">
        <v>46</v>
      </c>
      <c r="N113" s="330" t="s">
        <v>50</v>
      </c>
      <c r="O113" s="333" t="s">
        <v>1958</v>
      </c>
      <c r="P113" s="38">
        <v>83051.86</v>
      </c>
      <c r="Q113" s="38">
        <v>0</v>
      </c>
      <c r="R113" s="38">
        <v>0</v>
      </c>
      <c r="S113" s="38">
        <f t="shared" si="7"/>
        <v>83051.86</v>
      </c>
      <c r="T113" s="38">
        <f t="shared" si="6"/>
        <v>23.976402321083171</v>
      </c>
      <c r="U113" s="38">
        <v>23.976402321083171</v>
      </c>
      <c r="V113" s="458">
        <f t="shared" si="8"/>
        <v>0</v>
      </c>
      <c r="W113" s="458">
        <f t="shared" si="9"/>
        <v>709.54704235110717</v>
      </c>
      <c r="X113" s="458">
        <v>0</v>
      </c>
      <c r="Y113" s="459">
        <v>0</v>
      </c>
      <c r="Z113" s="459">
        <v>0</v>
      </c>
      <c r="AA113" s="459">
        <v>0</v>
      </c>
      <c r="AB113" s="459">
        <v>0</v>
      </c>
      <c r="AC113" s="459">
        <v>1</v>
      </c>
      <c r="AD113" s="458">
        <f t="shared" ref="AD113:AD118" si="11">2457800*AC113/I113</f>
        <v>709.54704235110717</v>
      </c>
      <c r="AE113" s="459">
        <v>0</v>
      </c>
      <c r="AF113" s="458">
        <v>0</v>
      </c>
      <c r="AG113" s="459">
        <v>0</v>
      </c>
      <c r="AH113" s="458">
        <v>0</v>
      </c>
      <c r="AI113" s="459">
        <v>0</v>
      </c>
      <c r="AJ113" s="458">
        <v>0</v>
      </c>
      <c r="AK113" s="459">
        <v>0</v>
      </c>
      <c r="AL113" s="459">
        <v>0</v>
      </c>
      <c r="AM113" s="459">
        <v>0</v>
      </c>
      <c r="AN113" s="459"/>
      <c r="AO113" s="459">
        <v>0</v>
      </c>
      <c r="AP113" s="460"/>
      <c r="AQ113" s="460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  <c r="BK113" s="460"/>
      <c r="BL113" s="460"/>
      <c r="BM113" s="460"/>
      <c r="BN113" s="460"/>
      <c r="BO113" s="460"/>
      <c r="BP113" s="460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460"/>
      <c r="CG113" s="460"/>
      <c r="CH113" s="460"/>
      <c r="CI113" s="460"/>
      <c r="CJ113" s="460"/>
      <c r="CK113" s="460"/>
    </row>
    <row r="114" spans="1:89" s="329" customFormat="1" ht="36" customHeight="1" x14ac:dyDescent="0.25">
      <c r="A114" s="329">
        <v>1</v>
      </c>
      <c r="B114" s="39">
        <f>SUBTOTAL(103,$A$16:A114)</f>
        <v>99</v>
      </c>
      <c r="C114" s="33" t="s">
        <v>1086</v>
      </c>
      <c r="D114" s="330">
        <v>1964</v>
      </c>
      <c r="E114" s="330"/>
      <c r="F114" s="331" t="s">
        <v>48</v>
      </c>
      <c r="G114" s="330">
        <v>2</v>
      </c>
      <c r="H114" s="330" t="s">
        <v>56</v>
      </c>
      <c r="I114" s="334">
        <v>669.2</v>
      </c>
      <c r="J114" s="334">
        <v>667</v>
      </c>
      <c r="K114" s="334">
        <v>667</v>
      </c>
      <c r="L114" s="332">
        <v>30</v>
      </c>
      <c r="M114" s="330" t="s">
        <v>46</v>
      </c>
      <c r="N114" s="330" t="s">
        <v>50</v>
      </c>
      <c r="O114" s="333" t="s">
        <v>1983</v>
      </c>
      <c r="P114" s="38">
        <v>50689.120000000003</v>
      </c>
      <c r="Q114" s="38">
        <v>0</v>
      </c>
      <c r="R114" s="38">
        <v>0</v>
      </c>
      <c r="S114" s="38">
        <f t="shared" si="7"/>
        <v>50689.120000000003</v>
      </c>
      <c r="T114" s="38">
        <f t="shared" si="6"/>
        <v>75.745845786013149</v>
      </c>
      <c r="U114" s="38">
        <v>75.745845786013149</v>
      </c>
      <c r="V114" s="458">
        <f t="shared" si="8"/>
        <v>0</v>
      </c>
      <c r="W114" s="458">
        <f t="shared" si="9"/>
        <v>3672.7435744172144</v>
      </c>
      <c r="X114" s="458">
        <v>0</v>
      </c>
      <c r="Y114" s="459">
        <v>0</v>
      </c>
      <c r="Z114" s="459">
        <v>0</v>
      </c>
      <c r="AA114" s="459">
        <v>0</v>
      </c>
      <c r="AB114" s="459">
        <v>0</v>
      </c>
      <c r="AC114" s="459">
        <v>1</v>
      </c>
      <c r="AD114" s="458">
        <f t="shared" si="11"/>
        <v>3672.7435744172144</v>
      </c>
      <c r="AE114" s="459">
        <v>0</v>
      </c>
      <c r="AF114" s="458">
        <v>0</v>
      </c>
      <c r="AG114" s="459">
        <v>0</v>
      </c>
      <c r="AH114" s="458">
        <v>0</v>
      </c>
      <c r="AI114" s="459">
        <v>0</v>
      </c>
      <c r="AJ114" s="458">
        <v>0</v>
      </c>
      <c r="AK114" s="459">
        <v>0</v>
      </c>
      <c r="AL114" s="459">
        <v>0</v>
      </c>
      <c r="AM114" s="459">
        <v>0</v>
      </c>
      <c r="AN114" s="459"/>
      <c r="AO114" s="459">
        <v>0</v>
      </c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  <c r="BK114" s="460"/>
      <c r="BL114" s="460"/>
      <c r="BM114" s="460"/>
      <c r="BN114" s="460"/>
      <c r="BO114" s="460"/>
      <c r="BP114" s="460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60"/>
      <c r="CG114" s="460"/>
      <c r="CH114" s="460"/>
      <c r="CI114" s="460"/>
      <c r="CJ114" s="460"/>
      <c r="CK114" s="460"/>
    </row>
    <row r="115" spans="1:89" s="329" customFormat="1" ht="36" customHeight="1" x14ac:dyDescent="0.25">
      <c r="A115" s="329">
        <v>1</v>
      </c>
      <c r="B115" s="39">
        <f>SUBTOTAL(103,$A$16:A115)</f>
        <v>100</v>
      </c>
      <c r="C115" s="33" t="s">
        <v>1087</v>
      </c>
      <c r="D115" s="330">
        <v>1960</v>
      </c>
      <c r="E115" s="330"/>
      <c r="F115" s="331" t="s">
        <v>48</v>
      </c>
      <c r="G115" s="330">
        <v>5</v>
      </c>
      <c r="H115" s="330" t="s">
        <v>61</v>
      </c>
      <c r="I115" s="334">
        <v>3202.4</v>
      </c>
      <c r="J115" s="334">
        <v>2438.9</v>
      </c>
      <c r="K115" s="334">
        <v>2438.9</v>
      </c>
      <c r="L115" s="332">
        <v>120</v>
      </c>
      <c r="M115" s="330" t="s">
        <v>46</v>
      </c>
      <c r="N115" s="330" t="s">
        <v>50</v>
      </c>
      <c r="O115" s="333" t="s">
        <v>1958</v>
      </c>
      <c r="P115" s="38">
        <v>95587.09</v>
      </c>
      <c r="Q115" s="38">
        <v>0</v>
      </c>
      <c r="R115" s="38">
        <v>0</v>
      </c>
      <c r="S115" s="38">
        <f t="shared" si="7"/>
        <v>95587.09</v>
      </c>
      <c r="T115" s="38">
        <f t="shared" si="6"/>
        <v>29.848579190607044</v>
      </c>
      <c r="U115" s="38">
        <v>29.848579190607044</v>
      </c>
      <c r="V115" s="458">
        <f t="shared" si="8"/>
        <v>0</v>
      </c>
      <c r="W115" s="458">
        <f t="shared" si="9"/>
        <v>4604.9213090182366</v>
      </c>
      <c r="X115" s="458">
        <v>0</v>
      </c>
      <c r="Y115" s="459">
        <v>0</v>
      </c>
      <c r="Z115" s="459">
        <v>0</v>
      </c>
      <c r="AA115" s="459">
        <v>0</v>
      </c>
      <c r="AB115" s="459">
        <v>0</v>
      </c>
      <c r="AC115" s="459">
        <v>6</v>
      </c>
      <c r="AD115" s="458">
        <f t="shared" si="11"/>
        <v>4604.9213090182366</v>
      </c>
      <c r="AE115" s="459">
        <v>0</v>
      </c>
      <c r="AF115" s="458">
        <v>0</v>
      </c>
      <c r="AG115" s="459">
        <v>0</v>
      </c>
      <c r="AH115" s="458">
        <v>0</v>
      </c>
      <c r="AI115" s="459">
        <v>0</v>
      </c>
      <c r="AJ115" s="458">
        <v>0</v>
      </c>
      <c r="AK115" s="459">
        <v>0</v>
      </c>
      <c r="AL115" s="459">
        <v>0</v>
      </c>
      <c r="AM115" s="459">
        <v>0</v>
      </c>
      <c r="AN115" s="459"/>
      <c r="AO115" s="459">
        <v>0</v>
      </c>
      <c r="AP115" s="460"/>
      <c r="AQ115" s="460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  <c r="BK115" s="460"/>
      <c r="BL115" s="460"/>
      <c r="BM115" s="460"/>
      <c r="BN115" s="460"/>
      <c r="BO115" s="460"/>
      <c r="BP115" s="460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460"/>
      <c r="CG115" s="460"/>
      <c r="CH115" s="460"/>
      <c r="CI115" s="460"/>
      <c r="CJ115" s="460"/>
      <c r="CK115" s="460"/>
    </row>
    <row r="116" spans="1:89" s="329" customFormat="1" ht="36" customHeight="1" x14ac:dyDescent="0.25">
      <c r="A116" s="329">
        <v>1</v>
      </c>
      <c r="B116" s="39">
        <f>SUBTOTAL(103,$A$16:A116)</f>
        <v>101</v>
      </c>
      <c r="C116" s="33" t="s">
        <v>1088</v>
      </c>
      <c r="D116" s="330">
        <v>1941</v>
      </c>
      <c r="E116" s="330"/>
      <c r="F116" s="331" t="s">
        <v>48</v>
      </c>
      <c r="G116" s="330">
        <v>3</v>
      </c>
      <c r="H116" s="330" t="s">
        <v>56</v>
      </c>
      <c r="I116" s="334">
        <v>1265</v>
      </c>
      <c r="J116" s="334">
        <v>1152.5999999999999</v>
      </c>
      <c r="K116" s="334">
        <v>1105.5</v>
      </c>
      <c r="L116" s="332">
        <v>60</v>
      </c>
      <c r="M116" s="330" t="s">
        <v>46</v>
      </c>
      <c r="N116" s="330" t="s">
        <v>50</v>
      </c>
      <c r="O116" s="333" t="s">
        <v>1966</v>
      </c>
      <c r="P116" s="38">
        <v>79784.160000000003</v>
      </c>
      <c r="Q116" s="38">
        <v>0</v>
      </c>
      <c r="R116" s="38">
        <v>0</v>
      </c>
      <c r="S116" s="38">
        <f t="shared" si="7"/>
        <v>79784.160000000003</v>
      </c>
      <c r="T116" s="38">
        <f t="shared" si="6"/>
        <v>63.070482213438737</v>
      </c>
      <c r="U116" s="38">
        <v>63.070482213438737</v>
      </c>
      <c r="V116" s="458">
        <f t="shared" si="8"/>
        <v>0</v>
      </c>
      <c r="W116" s="458">
        <f t="shared" si="9"/>
        <v>1942.9249011857708</v>
      </c>
      <c r="X116" s="458">
        <v>0</v>
      </c>
      <c r="Y116" s="459">
        <v>0</v>
      </c>
      <c r="Z116" s="459">
        <v>0</v>
      </c>
      <c r="AA116" s="459">
        <v>0</v>
      </c>
      <c r="AB116" s="459">
        <v>0</v>
      </c>
      <c r="AC116" s="459">
        <v>1</v>
      </c>
      <c r="AD116" s="458">
        <f t="shared" si="11"/>
        <v>1942.9249011857708</v>
      </c>
      <c r="AE116" s="459">
        <v>0</v>
      </c>
      <c r="AF116" s="458">
        <v>0</v>
      </c>
      <c r="AG116" s="459">
        <v>0</v>
      </c>
      <c r="AH116" s="458">
        <v>0</v>
      </c>
      <c r="AI116" s="459">
        <v>0</v>
      </c>
      <c r="AJ116" s="458">
        <v>0</v>
      </c>
      <c r="AK116" s="459">
        <v>0</v>
      </c>
      <c r="AL116" s="459">
        <v>0</v>
      </c>
      <c r="AM116" s="459">
        <v>0</v>
      </c>
      <c r="AN116" s="459"/>
      <c r="AO116" s="459">
        <v>0</v>
      </c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0"/>
      <c r="BB116" s="460"/>
      <c r="BC116" s="460"/>
      <c r="BD116" s="460"/>
      <c r="BE116" s="460"/>
      <c r="BF116" s="460"/>
      <c r="BG116" s="460"/>
      <c r="BH116" s="460"/>
      <c r="BI116" s="460"/>
      <c r="BJ116" s="460"/>
      <c r="BK116" s="460"/>
      <c r="BL116" s="460"/>
      <c r="BM116" s="460"/>
      <c r="BN116" s="460"/>
      <c r="BO116" s="460"/>
      <c r="BP116" s="460"/>
      <c r="BQ116" s="460"/>
      <c r="BR116" s="460"/>
      <c r="BS116" s="460"/>
      <c r="BT116" s="460"/>
      <c r="BU116" s="460"/>
      <c r="BV116" s="460"/>
      <c r="BW116" s="460"/>
      <c r="BX116" s="460"/>
      <c r="BY116" s="460"/>
      <c r="BZ116" s="460"/>
      <c r="CA116" s="460"/>
      <c r="CB116" s="460"/>
      <c r="CC116" s="460"/>
      <c r="CD116" s="460"/>
      <c r="CE116" s="460"/>
      <c r="CF116" s="460"/>
      <c r="CG116" s="460"/>
      <c r="CH116" s="460"/>
      <c r="CI116" s="460"/>
      <c r="CJ116" s="460"/>
      <c r="CK116" s="460"/>
    </row>
    <row r="117" spans="1:89" s="329" customFormat="1" ht="36" customHeight="1" x14ac:dyDescent="0.25">
      <c r="A117" s="329">
        <v>1</v>
      </c>
      <c r="B117" s="39">
        <f>SUBTOTAL(103,$A$16:A117)</f>
        <v>102</v>
      </c>
      <c r="C117" s="33" t="s">
        <v>1089</v>
      </c>
      <c r="D117" s="330">
        <v>1961</v>
      </c>
      <c r="E117" s="330"/>
      <c r="F117" s="331" t="s">
        <v>48</v>
      </c>
      <c r="G117" s="330" t="s">
        <v>1969</v>
      </c>
      <c r="H117" s="330" t="s">
        <v>61</v>
      </c>
      <c r="I117" s="334">
        <v>2941.6</v>
      </c>
      <c r="J117" s="334">
        <v>2564.1</v>
      </c>
      <c r="K117" s="334">
        <v>2365.9</v>
      </c>
      <c r="L117" s="332">
        <v>130</v>
      </c>
      <c r="M117" s="330" t="s">
        <v>46</v>
      </c>
      <c r="N117" s="330" t="s">
        <v>50</v>
      </c>
      <c r="O117" s="333" t="s">
        <v>1962</v>
      </c>
      <c r="P117" s="38">
        <v>71679.100000000006</v>
      </c>
      <c r="Q117" s="38">
        <v>0</v>
      </c>
      <c r="R117" s="38">
        <v>0</v>
      </c>
      <c r="S117" s="38">
        <f t="shared" si="7"/>
        <v>71679.100000000006</v>
      </c>
      <c r="T117" s="38">
        <f t="shared" si="6"/>
        <v>24.367385096546101</v>
      </c>
      <c r="U117" s="38">
        <v>24.367385096546101</v>
      </c>
      <c r="V117" s="458">
        <f t="shared" si="8"/>
        <v>0</v>
      </c>
      <c r="W117" s="458">
        <f t="shared" si="9"/>
        <v>3342.12673375034</v>
      </c>
      <c r="X117" s="458">
        <v>0</v>
      </c>
      <c r="Y117" s="459">
        <v>0</v>
      </c>
      <c r="Z117" s="459">
        <v>0</v>
      </c>
      <c r="AA117" s="459">
        <v>0</v>
      </c>
      <c r="AB117" s="459">
        <v>0</v>
      </c>
      <c r="AC117" s="459">
        <v>4</v>
      </c>
      <c r="AD117" s="458">
        <f t="shared" si="11"/>
        <v>3342.12673375034</v>
      </c>
      <c r="AE117" s="459">
        <v>0</v>
      </c>
      <c r="AF117" s="458">
        <v>0</v>
      </c>
      <c r="AG117" s="459">
        <v>0</v>
      </c>
      <c r="AH117" s="458">
        <v>0</v>
      </c>
      <c r="AI117" s="459">
        <v>0</v>
      </c>
      <c r="AJ117" s="458">
        <v>0</v>
      </c>
      <c r="AK117" s="459">
        <v>0</v>
      </c>
      <c r="AL117" s="459">
        <v>0</v>
      </c>
      <c r="AM117" s="459">
        <v>0</v>
      </c>
      <c r="AN117" s="459"/>
      <c r="AO117" s="459">
        <v>0</v>
      </c>
      <c r="AP117" s="460"/>
      <c r="AQ117" s="460"/>
      <c r="AR117" s="460"/>
      <c r="AS117" s="460"/>
      <c r="AT117" s="460"/>
      <c r="AU117" s="460"/>
      <c r="AV117" s="460"/>
      <c r="AW117" s="460"/>
      <c r="AX117" s="460"/>
      <c r="AY117" s="460"/>
      <c r="AZ117" s="460"/>
      <c r="BA117" s="460"/>
      <c r="BB117" s="460"/>
      <c r="BC117" s="460"/>
      <c r="BD117" s="460"/>
      <c r="BE117" s="460"/>
      <c r="BF117" s="460"/>
      <c r="BG117" s="460"/>
      <c r="BH117" s="460"/>
      <c r="BI117" s="460"/>
      <c r="BJ117" s="460"/>
      <c r="BK117" s="460"/>
      <c r="BL117" s="460"/>
      <c r="BM117" s="460"/>
      <c r="BN117" s="460"/>
      <c r="BO117" s="460"/>
      <c r="BP117" s="460"/>
      <c r="BQ117" s="460"/>
      <c r="BR117" s="460"/>
      <c r="BS117" s="460"/>
      <c r="BT117" s="460"/>
      <c r="BU117" s="460"/>
      <c r="BV117" s="460"/>
      <c r="BW117" s="460"/>
      <c r="BX117" s="460"/>
      <c r="BY117" s="460"/>
      <c r="BZ117" s="460"/>
      <c r="CA117" s="460"/>
      <c r="CB117" s="460"/>
      <c r="CC117" s="460"/>
      <c r="CD117" s="460"/>
      <c r="CE117" s="460"/>
      <c r="CF117" s="460"/>
      <c r="CG117" s="460"/>
      <c r="CH117" s="460"/>
      <c r="CI117" s="460"/>
      <c r="CJ117" s="460"/>
      <c r="CK117" s="460"/>
    </row>
    <row r="118" spans="1:89" s="329" customFormat="1" ht="36" customHeight="1" x14ac:dyDescent="0.25">
      <c r="A118" s="329">
        <v>1</v>
      </c>
      <c r="B118" s="39">
        <f>SUBTOTAL(103,$A$16:A118)</f>
        <v>103</v>
      </c>
      <c r="C118" s="33" t="s">
        <v>1090</v>
      </c>
      <c r="D118" s="330">
        <v>1973</v>
      </c>
      <c r="E118" s="330"/>
      <c r="F118" s="331" t="s">
        <v>48</v>
      </c>
      <c r="G118" s="330">
        <v>9</v>
      </c>
      <c r="H118" s="330" t="s">
        <v>57</v>
      </c>
      <c r="I118" s="334">
        <v>1958.4</v>
      </c>
      <c r="J118" s="334">
        <v>1958.4</v>
      </c>
      <c r="K118" s="334">
        <v>1941.8</v>
      </c>
      <c r="L118" s="332">
        <v>92</v>
      </c>
      <c r="M118" s="330" t="s">
        <v>46</v>
      </c>
      <c r="N118" s="330" t="s">
        <v>50</v>
      </c>
      <c r="O118" s="333" t="s">
        <v>1968</v>
      </c>
      <c r="P118" s="38">
        <v>55904.38</v>
      </c>
      <c r="Q118" s="38">
        <v>0</v>
      </c>
      <c r="R118" s="38">
        <v>0</v>
      </c>
      <c r="S118" s="38">
        <f t="shared" si="7"/>
        <v>55904.38</v>
      </c>
      <c r="T118" s="38">
        <f t="shared" si="6"/>
        <v>28.545945669934639</v>
      </c>
      <c r="U118" s="38">
        <v>28.545945669934639</v>
      </c>
      <c r="V118" s="458">
        <f t="shared" si="8"/>
        <v>0</v>
      </c>
      <c r="W118" s="458">
        <f t="shared" si="9"/>
        <v>1255.0040849673203</v>
      </c>
      <c r="X118" s="458">
        <v>0</v>
      </c>
      <c r="Y118" s="459">
        <v>0</v>
      </c>
      <c r="Z118" s="459">
        <v>0</v>
      </c>
      <c r="AA118" s="459">
        <v>0</v>
      </c>
      <c r="AB118" s="459">
        <v>0</v>
      </c>
      <c r="AC118" s="459">
        <v>1</v>
      </c>
      <c r="AD118" s="458">
        <f t="shared" si="11"/>
        <v>1255.0040849673203</v>
      </c>
      <c r="AE118" s="459">
        <v>0</v>
      </c>
      <c r="AF118" s="458">
        <v>0</v>
      </c>
      <c r="AG118" s="459">
        <v>0</v>
      </c>
      <c r="AH118" s="458">
        <v>0</v>
      </c>
      <c r="AI118" s="459">
        <v>0</v>
      </c>
      <c r="AJ118" s="458">
        <v>0</v>
      </c>
      <c r="AK118" s="459">
        <v>0</v>
      </c>
      <c r="AL118" s="459">
        <v>0</v>
      </c>
      <c r="AM118" s="459">
        <v>0</v>
      </c>
      <c r="AN118" s="459"/>
      <c r="AO118" s="459">
        <v>0</v>
      </c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0"/>
      <c r="BB118" s="460"/>
      <c r="BC118" s="460"/>
      <c r="BD118" s="460"/>
      <c r="BE118" s="460"/>
      <c r="BF118" s="460"/>
      <c r="BG118" s="460"/>
      <c r="BH118" s="460"/>
      <c r="BI118" s="460"/>
      <c r="BJ118" s="460"/>
      <c r="BK118" s="460"/>
      <c r="BL118" s="460"/>
      <c r="BM118" s="460"/>
      <c r="BN118" s="460"/>
      <c r="BO118" s="460"/>
      <c r="BP118" s="460"/>
      <c r="BQ118" s="460"/>
      <c r="BR118" s="460"/>
      <c r="BS118" s="460"/>
      <c r="BT118" s="460"/>
      <c r="BU118" s="460"/>
      <c r="BV118" s="460"/>
      <c r="BW118" s="460"/>
      <c r="BX118" s="460"/>
      <c r="BY118" s="460"/>
      <c r="BZ118" s="460"/>
      <c r="CA118" s="460"/>
      <c r="CB118" s="460"/>
      <c r="CC118" s="460"/>
      <c r="CD118" s="460"/>
      <c r="CE118" s="460"/>
      <c r="CF118" s="460"/>
      <c r="CG118" s="460"/>
      <c r="CH118" s="460"/>
      <c r="CI118" s="460"/>
      <c r="CJ118" s="460"/>
      <c r="CK118" s="460"/>
    </row>
    <row r="119" spans="1:89" s="329" customFormat="1" ht="36" customHeight="1" x14ac:dyDescent="0.25">
      <c r="A119" s="329">
        <v>1</v>
      </c>
      <c r="B119" s="39">
        <f>SUBTOTAL(103,$A$16:A119)</f>
        <v>104</v>
      </c>
      <c r="C119" s="33" t="s">
        <v>1091</v>
      </c>
      <c r="D119" s="330">
        <v>1989</v>
      </c>
      <c r="E119" s="330"/>
      <c r="F119" s="331" t="s">
        <v>63</v>
      </c>
      <c r="G119" s="330">
        <v>7</v>
      </c>
      <c r="H119" s="330" t="s">
        <v>56</v>
      </c>
      <c r="I119" s="334">
        <v>4121.3999999999996</v>
      </c>
      <c r="J119" s="334">
        <v>3057</v>
      </c>
      <c r="K119" s="334">
        <v>3057</v>
      </c>
      <c r="L119" s="332">
        <v>163</v>
      </c>
      <c r="M119" s="330" t="s">
        <v>46</v>
      </c>
      <c r="N119" s="330" t="s">
        <v>50</v>
      </c>
      <c r="O119" s="333" t="s">
        <v>1984</v>
      </c>
      <c r="P119" s="38">
        <v>100382.56</v>
      </c>
      <c r="Q119" s="38">
        <v>0</v>
      </c>
      <c r="R119" s="38">
        <v>0</v>
      </c>
      <c r="S119" s="38">
        <f t="shared" si="7"/>
        <v>100382.56</v>
      </c>
      <c r="T119" s="38">
        <f t="shared" si="6"/>
        <v>24.356422574853205</v>
      </c>
      <c r="U119" s="38">
        <v>24.356422574853205</v>
      </c>
      <c r="V119" s="458">
        <f t="shared" si="8"/>
        <v>0</v>
      </c>
      <c r="W119" s="458">
        <f t="shared" si="9"/>
        <v>1329.1024845926142</v>
      </c>
      <c r="X119" s="458">
        <v>0</v>
      </c>
      <c r="Y119" s="459">
        <v>0</v>
      </c>
      <c r="Z119" s="459">
        <v>0</v>
      </c>
      <c r="AA119" s="459">
        <v>0</v>
      </c>
      <c r="AB119" s="459">
        <v>0</v>
      </c>
      <c r="AC119" s="459">
        <v>0</v>
      </c>
      <c r="AD119" s="459">
        <v>0</v>
      </c>
      <c r="AE119" s="459">
        <v>878</v>
      </c>
      <c r="AF119" s="458">
        <f>6238.91*AE119/I119</f>
        <v>1329.1024845926142</v>
      </c>
      <c r="AG119" s="459">
        <v>0</v>
      </c>
      <c r="AH119" s="458">
        <v>0</v>
      </c>
      <c r="AI119" s="459">
        <v>0</v>
      </c>
      <c r="AJ119" s="458">
        <v>0</v>
      </c>
      <c r="AK119" s="459">
        <v>0</v>
      </c>
      <c r="AL119" s="459">
        <v>0</v>
      </c>
      <c r="AM119" s="459">
        <v>0</v>
      </c>
      <c r="AN119" s="459"/>
      <c r="AO119" s="459">
        <v>0</v>
      </c>
      <c r="AP119" s="460"/>
      <c r="AQ119" s="460"/>
      <c r="AR119" s="460"/>
      <c r="AS119" s="460"/>
      <c r="AT119" s="460"/>
      <c r="AU119" s="460"/>
      <c r="AV119" s="460"/>
      <c r="AW119" s="460"/>
      <c r="AX119" s="460"/>
      <c r="AY119" s="460"/>
      <c r="AZ119" s="460"/>
      <c r="BA119" s="460"/>
      <c r="BB119" s="460"/>
      <c r="BC119" s="460"/>
      <c r="BD119" s="460"/>
      <c r="BE119" s="460"/>
      <c r="BF119" s="460"/>
      <c r="BG119" s="460"/>
      <c r="BH119" s="460"/>
      <c r="BI119" s="460"/>
      <c r="BJ119" s="460"/>
      <c r="BK119" s="460"/>
      <c r="BL119" s="460"/>
      <c r="BM119" s="460"/>
      <c r="BN119" s="460"/>
      <c r="BO119" s="460"/>
      <c r="BP119" s="460"/>
      <c r="BQ119" s="460"/>
      <c r="BR119" s="460"/>
      <c r="BS119" s="460"/>
      <c r="BT119" s="460"/>
      <c r="BU119" s="460"/>
      <c r="BV119" s="460"/>
      <c r="BW119" s="460"/>
      <c r="BX119" s="460"/>
      <c r="BY119" s="460"/>
      <c r="BZ119" s="460"/>
      <c r="CA119" s="460"/>
      <c r="CB119" s="460"/>
      <c r="CC119" s="460"/>
      <c r="CD119" s="460"/>
      <c r="CE119" s="460"/>
      <c r="CF119" s="460"/>
      <c r="CG119" s="460"/>
      <c r="CH119" s="460"/>
      <c r="CI119" s="460"/>
      <c r="CJ119" s="460"/>
      <c r="CK119" s="460"/>
    </row>
    <row r="120" spans="1:89" s="329" customFormat="1" ht="36" customHeight="1" x14ac:dyDescent="0.25">
      <c r="B120" s="33" t="s">
        <v>1092</v>
      </c>
      <c r="C120" s="462"/>
      <c r="D120" s="330" t="s">
        <v>131</v>
      </c>
      <c r="E120" s="330" t="s">
        <v>131</v>
      </c>
      <c r="F120" s="330" t="s">
        <v>131</v>
      </c>
      <c r="G120" s="330" t="s">
        <v>131</v>
      </c>
      <c r="H120" s="330" t="s">
        <v>131</v>
      </c>
      <c r="I120" s="334">
        <f>SUM(I121:I150)</f>
        <v>55241.1</v>
      </c>
      <c r="J120" s="334">
        <f>SUM(J121:J150)</f>
        <v>51576.500000000007</v>
      </c>
      <c r="K120" s="334">
        <f>SUM(K121:K150)</f>
        <v>48670.000000000007</v>
      </c>
      <c r="L120" s="332">
        <f>SUM(L121:L150)</f>
        <v>2194</v>
      </c>
      <c r="M120" s="330" t="s">
        <v>131</v>
      </c>
      <c r="N120" s="330" t="s">
        <v>131</v>
      </c>
      <c r="O120" s="333" t="s">
        <v>131</v>
      </c>
      <c r="P120" s="334">
        <v>52540905.469999999</v>
      </c>
      <c r="Q120" s="334">
        <f>SUM(Q121:Q150)</f>
        <v>0</v>
      </c>
      <c r="R120" s="334">
        <f>SUM(R121:R150)</f>
        <v>0</v>
      </c>
      <c r="S120" s="334">
        <f>SUM(S121:S150)</f>
        <v>52540905.469999999</v>
      </c>
      <c r="T120" s="38">
        <f t="shared" si="6"/>
        <v>951.11982690424338</v>
      </c>
      <c r="U120" s="38">
        <f>MAX(U121:U150)</f>
        <v>8884.540477465418</v>
      </c>
      <c r="V120" s="458">
        <f t="shared" si="8"/>
        <v>7933.4206505611746</v>
      </c>
      <c r="W120" s="458"/>
      <c r="X120" s="458"/>
      <c r="Y120" s="459"/>
      <c r="Z120" s="459"/>
      <c r="AA120" s="459"/>
      <c r="AB120" s="459"/>
      <c r="AC120" s="459"/>
      <c r="AD120" s="459"/>
      <c r="AE120" s="459"/>
      <c r="AF120" s="459"/>
      <c r="AG120" s="459"/>
      <c r="AH120" s="459"/>
      <c r="AI120" s="459"/>
      <c r="AJ120" s="459"/>
      <c r="AK120" s="459"/>
      <c r="AL120" s="459"/>
      <c r="AM120" s="459"/>
      <c r="AN120" s="459"/>
      <c r="AO120" s="459"/>
      <c r="AP120" s="460"/>
      <c r="AQ120" s="460"/>
      <c r="AR120" s="460"/>
      <c r="AS120" s="460"/>
      <c r="AT120" s="460"/>
      <c r="AU120" s="460"/>
      <c r="AV120" s="460"/>
      <c r="AW120" s="460"/>
      <c r="AX120" s="460"/>
      <c r="AY120" s="460"/>
      <c r="AZ120" s="460"/>
      <c r="BA120" s="460"/>
      <c r="BB120" s="460"/>
      <c r="BC120" s="460"/>
      <c r="BD120" s="460"/>
      <c r="BE120" s="460"/>
      <c r="BF120" s="460"/>
      <c r="BG120" s="460"/>
      <c r="BH120" s="460"/>
      <c r="BI120" s="460"/>
      <c r="BJ120" s="460"/>
      <c r="BK120" s="460"/>
      <c r="BL120" s="460"/>
      <c r="BM120" s="460"/>
      <c r="BN120" s="460"/>
      <c r="BO120" s="460"/>
      <c r="BP120" s="460"/>
      <c r="BQ120" s="460"/>
      <c r="BR120" s="460"/>
      <c r="BS120" s="460"/>
      <c r="BT120" s="460"/>
      <c r="BU120" s="460"/>
      <c r="BV120" s="460"/>
      <c r="BW120" s="460"/>
      <c r="BX120" s="460"/>
      <c r="BY120" s="460"/>
      <c r="BZ120" s="460"/>
      <c r="CA120" s="460"/>
      <c r="CB120" s="460"/>
      <c r="CC120" s="460"/>
      <c r="CD120" s="460"/>
      <c r="CE120" s="460"/>
      <c r="CF120" s="460"/>
      <c r="CG120" s="460"/>
      <c r="CH120" s="460"/>
      <c r="CI120" s="460"/>
      <c r="CJ120" s="460"/>
      <c r="CK120" s="460"/>
    </row>
    <row r="121" spans="1:89" s="329" customFormat="1" ht="61.5" x14ac:dyDescent="0.25">
      <c r="A121" s="329">
        <v>1</v>
      </c>
      <c r="B121" s="39">
        <f>SUBTOTAL(103,$A$16:A121)</f>
        <v>105</v>
      </c>
      <c r="C121" s="33" t="s">
        <v>1094</v>
      </c>
      <c r="D121" s="330">
        <v>1966</v>
      </c>
      <c r="E121" s="330"/>
      <c r="F121" s="331" t="s">
        <v>48</v>
      </c>
      <c r="G121" s="330">
        <v>2</v>
      </c>
      <c r="H121" s="330" t="s">
        <v>56</v>
      </c>
      <c r="I121" s="38">
        <v>766.7</v>
      </c>
      <c r="J121" s="38">
        <v>707.3</v>
      </c>
      <c r="K121" s="38">
        <v>707.3</v>
      </c>
      <c r="L121" s="332">
        <v>39</v>
      </c>
      <c r="M121" s="330" t="s">
        <v>46</v>
      </c>
      <c r="N121" s="330" t="s">
        <v>50</v>
      </c>
      <c r="O121" s="333" t="s">
        <v>1985</v>
      </c>
      <c r="P121" s="38">
        <v>2291514.0300000003</v>
      </c>
      <c r="Q121" s="38">
        <v>0</v>
      </c>
      <c r="R121" s="38">
        <v>0</v>
      </c>
      <c r="S121" s="38">
        <f t="shared" ref="S121:S150" si="12">P121-Q121-R121</f>
        <v>2291514.0300000003</v>
      </c>
      <c r="T121" s="38">
        <f t="shared" si="6"/>
        <v>2988.8013955914962</v>
      </c>
      <c r="U121" s="38">
        <v>5194.7247683578971</v>
      </c>
      <c r="V121" s="458">
        <f t="shared" si="8"/>
        <v>2205.9233727664009</v>
      </c>
      <c r="W121" s="458">
        <f t="shared" ref="W121:W148" si="13">X121+Y121+Z121+AA121+AB121+AD121+AF121+AH121+AJ121+AL121+AN121+AO121</f>
        <v>4866.138228772661</v>
      </c>
      <c r="X121" s="458">
        <v>0</v>
      </c>
      <c r="Y121" s="459">
        <v>0</v>
      </c>
      <c r="Z121" s="459">
        <v>0</v>
      </c>
      <c r="AA121" s="459">
        <v>0</v>
      </c>
      <c r="AB121" s="459">
        <v>0</v>
      </c>
      <c r="AC121" s="459">
        <v>0</v>
      </c>
      <c r="AD121" s="459">
        <v>0</v>
      </c>
      <c r="AE121" s="459">
        <v>598</v>
      </c>
      <c r="AF121" s="458">
        <f>6238.91*AE121/I121</f>
        <v>4866.138228772661</v>
      </c>
      <c r="AG121" s="459">
        <v>0</v>
      </c>
      <c r="AH121" s="458">
        <v>0</v>
      </c>
      <c r="AI121" s="459">
        <v>0</v>
      </c>
      <c r="AJ121" s="458">
        <v>0</v>
      </c>
      <c r="AK121" s="459">
        <v>0</v>
      </c>
      <c r="AL121" s="459">
        <v>0</v>
      </c>
      <c r="AM121" s="459">
        <v>0</v>
      </c>
      <c r="AN121" s="459"/>
      <c r="AO121" s="459">
        <v>0</v>
      </c>
      <c r="AP121" s="460"/>
      <c r="AQ121" s="460"/>
      <c r="AR121" s="460"/>
      <c r="AS121" s="460"/>
      <c r="AT121" s="460"/>
      <c r="AU121" s="460"/>
      <c r="AV121" s="460"/>
      <c r="AW121" s="460"/>
      <c r="AX121" s="460"/>
      <c r="AY121" s="460"/>
      <c r="AZ121" s="460"/>
      <c r="BA121" s="460"/>
      <c r="BB121" s="460"/>
      <c r="BC121" s="460"/>
      <c r="BD121" s="460"/>
      <c r="BE121" s="460"/>
      <c r="BF121" s="460"/>
      <c r="BG121" s="460"/>
      <c r="BH121" s="460"/>
      <c r="BI121" s="460"/>
      <c r="BJ121" s="460"/>
      <c r="BK121" s="460"/>
      <c r="BL121" s="460"/>
      <c r="BM121" s="460"/>
      <c r="BN121" s="460"/>
      <c r="BO121" s="460"/>
      <c r="BP121" s="460"/>
      <c r="BQ121" s="460"/>
      <c r="BR121" s="460"/>
      <c r="BS121" s="460"/>
      <c r="BT121" s="460"/>
      <c r="BU121" s="460"/>
      <c r="BV121" s="460"/>
      <c r="BW121" s="460"/>
      <c r="BX121" s="460"/>
      <c r="BY121" s="460"/>
      <c r="BZ121" s="460"/>
      <c r="CA121" s="460"/>
      <c r="CB121" s="460"/>
      <c r="CC121" s="460"/>
      <c r="CD121" s="460"/>
      <c r="CE121" s="460"/>
      <c r="CF121" s="460"/>
      <c r="CG121" s="460"/>
      <c r="CH121" s="460"/>
      <c r="CI121" s="460"/>
      <c r="CJ121" s="460"/>
      <c r="CK121" s="460"/>
    </row>
    <row r="122" spans="1:89" s="329" customFormat="1" ht="36" customHeight="1" x14ac:dyDescent="0.25">
      <c r="A122" s="329">
        <v>1</v>
      </c>
      <c r="B122" s="39">
        <f>SUBTOTAL(103,$A$16:A122)</f>
        <v>106</v>
      </c>
      <c r="C122" s="33" t="s">
        <v>1096</v>
      </c>
      <c r="D122" s="330">
        <v>1959</v>
      </c>
      <c r="E122" s="330"/>
      <c r="F122" s="331" t="s">
        <v>48</v>
      </c>
      <c r="G122" s="330">
        <v>2</v>
      </c>
      <c r="H122" s="330" t="s">
        <v>56</v>
      </c>
      <c r="I122" s="38">
        <v>680.5</v>
      </c>
      <c r="J122" s="38">
        <v>632.1</v>
      </c>
      <c r="K122" s="38">
        <v>632.1</v>
      </c>
      <c r="L122" s="332">
        <v>38</v>
      </c>
      <c r="M122" s="330" t="s">
        <v>46</v>
      </c>
      <c r="N122" s="330" t="s">
        <v>47</v>
      </c>
      <c r="O122" s="333" t="s">
        <v>49</v>
      </c>
      <c r="P122" s="38">
        <v>2189911.6500000004</v>
      </c>
      <c r="Q122" s="38">
        <v>0</v>
      </c>
      <c r="R122" s="38">
        <v>0</v>
      </c>
      <c r="S122" s="38">
        <f t="shared" si="12"/>
        <v>2189911.6500000004</v>
      </c>
      <c r="T122" s="38">
        <f t="shared" si="6"/>
        <v>3218.09206465834</v>
      </c>
      <c r="U122" s="38">
        <v>5387.075183100661</v>
      </c>
      <c r="V122" s="458">
        <f t="shared" si="8"/>
        <v>2168.983118442321</v>
      </c>
      <c r="W122" s="458">
        <f t="shared" si="13"/>
        <v>5429.3644408523151</v>
      </c>
      <c r="X122" s="458">
        <v>0</v>
      </c>
      <c r="Y122" s="459">
        <v>0</v>
      </c>
      <c r="Z122" s="459">
        <v>0</v>
      </c>
      <c r="AA122" s="459">
        <v>0</v>
      </c>
      <c r="AB122" s="459">
        <v>0</v>
      </c>
      <c r="AC122" s="459">
        <v>0</v>
      </c>
      <c r="AD122" s="459">
        <v>0</v>
      </c>
      <c r="AE122" s="459">
        <v>592.20000000000005</v>
      </c>
      <c r="AF122" s="458">
        <f>6238.91*AE122/I122</f>
        <v>5429.3644408523151</v>
      </c>
      <c r="AG122" s="459">
        <v>0</v>
      </c>
      <c r="AH122" s="458">
        <v>0</v>
      </c>
      <c r="AI122" s="459">
        <v>0</v>
      </c>
      <c r="AJ122" s="458">
        <v>0</v>
      </c>
      <c r="AK122" s="459">
        <v>0</v>
      </c>
      <c r="AL122" s="459">
        <v>0</v>
      </c>
      <c r="AM122" s="459">
        <v>0</v>
      </c>
      <c r="AN122" s="459"/>
      <c r="AO122" s="459">
        <v>0</v>
      </c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0"/>
      <c r="BB122" s="460"/>
      <c r="BC122" s="460"/>
      <c r="BD122" s="460"/>
      <c r="BE122" s="460"/>
      <c r="BF122" s="460"/>
      <c r="BG122" s="460"/>
      <c r="BH122" s="460"/>
      <c r="BI122" s="460"/>
      <c r="BJ122" s="460"/>
      <c r="BK122" s="460"/>
      <c r="BL122" s="460"/>
      <c r="BM122" s="460"/>
      <c r="BN122" s="460"/>
      <c r="BO122" s="460"/>
      <c r="BP122" s="460"/>
      <c r="BQ122" s="460"/>
      <c r="BR122" s="460"/>
      <c r="BS122" s="460"/>
      <c r="BT122" s="460"/>
      <c r="BU122" s="460"/>
      <c r="BV122" s="460"/>
      <c r="BW122" s="460"/>
      <c r="BX122" s="460"/>
      <c r="BY122" s="460"/>
      <c r="BZ122" s="460"/>
      <c r="CA122" s="460"/>
      <c r="CB122" s="460"/>
      <c r="CC122" s="460"/>
      <c r="CD122" s="460"/>
      <c r="CE122" s="460"/>
      <c r="CF122" s="460"/>
      <c r="CG122" s="460"/>
      <c r="CH122" s="460"/>
      <c r="CI122" s="460"/>
      <c r="CJ122" s="460"/>
      <c r="CK122" s="460"/>
    </row>
    <row r="123" spans="1:89" s="329" customFormat="1" ht="36" customHeight="1" x14ac:dyDescent="0.25">
      <c r="A123" s="329">
        <v>1</v>
      </c>
      <c r="B123" s="39">
        <f>SUBTOTAL(103,$A$16:A123)</f>
        <v>107</v>
      </c>
      <c r="C123" s="33" t="s">
        <v>1098</v>
      </c>
      <c r="D123" s="330">
        <v>1958</v>
      </c>
      <c r="E123" s="330"/>
      <c r="F123" s="331" t="s">
        <v>48</v>
      </c>
      <c r="G123" s="330">
        <v>2</v>
      </c>
      <c r="H123" s="330" t="s">
        <v>56</v>
      </c>
      <c r="I123" s="38">
        <v>615</v>
      </c>
      <c r="J123" s="38">
        <v>568.29999999999995</v>
      </c>
      <c r="K123" s="38">
        <v>568.29999999999995</v>
      </c>
      <c r="L123" s="332">
        <v>25</v>
      </c>
      <c r="M123" s="330" t="s">
        <v>46</v>
      </c>
      <c r="N123" s="330" t="s">
        <v>47</v>
      </c>
      <c r="O123" s="333" t="s">
        <v>49</v>
      </c>
      <c r="P123" s="38">
        <v>3676534.89</v>
      </c>
      <c r="Q123" s="38">
        <v>0</v>
      </c>
      <c r="R123" s="38">
        <v>0</v>
      </c>
      <c r="S123" s="38">
        <f t="shared" si="12"/>
        <v>3676534.89</v>
      </c>
      <c r="T123" s="38">
        <f t="shared" si="6"/>
        <v>5978.1055121951222</v>
      </c>
      <c r="U123" s="38">
        <v>5246.1410117073165</v>
      </c>
      <c r="V123" s="458">
        <f t="shared" si="8"/>
        <v>-731.96450048780571</v>
      </c>
      <c r="W123" s="458">
        <f t="shared" si="13"/>
        <v>5477.0528601626011</v>
      </c>
      <c r="X123" s="458">
        <v>0</v>
      </c>
      <c r="Y123" s="459">
        <v>0</v>
      </c>
      <c r="Z123" s="459">
        <v>0</v>
      </c>
      <c r="AA123" s="459">
        <v>0</v>
      </c>
      <c r="AB123" s="459">
        <v>0</v>
      </c>
      <c r="AC123" s="459">
        <v>0</v>
      </c>
      <c r="AD123" s="459">
        <v>0</v>
      </c>
      <c r="AE123" s="459">
        <v>539.9</v>
      </c>
      <c r="AF123" s="458">
        <f>6238.91*AE123/I123</f>
        <v>5477.0528601626011</v>
      </c>
      <c r="AG123" s="459">
        <v>0</v>
      </c>
      <c r="AH123" s="458">
        <v>0</v>
      </c>
      <c r="AI123" s="459">
        <v>0</v>
      </c>
      <c r="AJ123" s="458">
        <v>0</v>
      </c>
      <c r="AK123" s="459">
        <v>0</v>
      </c>
      <c r="AL123" s="459">
        <v>0</v>
      </c>
      <c r="AM123" s="459">
        <v>0</v>
      </c>
      <c r="AN123" s="459"/>
      <c r="AO123" s="459">
        <v>0</v>
      </c>
      <c r="AP123" s="460"/>
      <c r="AQ123" s="460"/>
      <c r="AR123" s="460"/>
      <c r="AS123" s="460"/>
      <c r="AT123" s="460"/>
      <c r="AU123" s="460"/>
      <c r="AV123" s="460"/>
      <c r="AW123" s="460"/>
      <c r="AX123" s="460"/>
      <c r="AY123" s="460"/>
      <c r="AZ123" s="460"/>
      <c r="BA123" s="460"/>
      <c r="BB123" s="460"/>
      <c r="BC123" s="460"/>
      <c r="BD123" s="460"/>
      <c r="BE123" s="460"/>
      <c r="BF123" s="460"/>
      <c r="BG123" s="460"/>
      <c r="BH123" s="460"/>
      <c r="BI123" s="460"/>
      <c r="BJ123" s="460"/>
      <c r="BK123" s="460"/>
      <c r="BL123" s="460"/>
      <c r="BM123" s="460"/>
      <c r="BN123" s="460"/>
      <c r="BO123" s="460"/>
      <c r="BP123" s="460"/>
      <c r="BQ123" s="460"/>
      <c r="BR123" s="460"/>
      <c r="BS123" s="460"/>
      <c r="BT123" s="460"/>
      <c r="BU123" s="460"/>
      <c r="BV123" s="460"/>
      <c r="BW123" s="460"/>
      <c r="BX123" s="460"/>
      <c r="BY123" s="460"/>
      <c r="BZ123" s="460"/>
      <c r="CA123" s="460"/>
      <c r="CB123" s="460"/>
      <c r="CC123" s="460"/>
      <c r="CD123" s="460"/>
      <c r="CE123" s="460"/>
      <c r="CF123" s="460"/>
      <c r="CG123" s="460"/>
      <c r="CH123" s="460"/>
      <c r="CI123" s="460"/>
      <c r="CJ123" s="460"/>
      <c r="CK123" s="460"/>
    </row>
    <row r="124" spans="1:89" s="329" customFormat="1" ht="36" customHeight="1" x14ac:dyDescent="0.25">
      <c r="A124" s="329">
        <v>1</v>
      </c>
      <c r="B124" s="39">
        <f>SUBTOTAL(103,$A$16:A124)</f>
        <v>108</v>
      </c>
      <c r="C124" s="33" t="s">
        <v>1100</v>
      </c>
      <c r="D124" s="330">
        <v>1969</v>
      </c>
      <c r="E124" s="330"/>
      <c r="F124" s="331" t="s">
        <v>48</v>
      </c>
      <c r="G124" s="330">
        <v>2</v>
      </c>
      <c r="H124" s="330" t="s">
        <v>56</v>
      </c>
      <c r="I124" s="38">
        <v>725.2</v>
      </c>
      <c r="J124" s="38">
        <v>674.9</v>
      </c>
      <c r="K124" s="38">
        <v>674.9</v>
      </c>
      <c r="L124" s="332">
        <v>25</v>
      </c>
      <c r="M124" s="330" t="s">
        <v>46</v>
      </c>
      <c r="N124" s="330" t="s">
        <v>47</v>
      </c>
      <c r="O124" s="333" t="s">
        <v>49</v>
      </c>
      <c r="P124" s="38">
        <v>55080.59</v>
      </c>
      <c r="Q124" s="38">
        <v>0</v>
      </c>
      <c r="R124" s="38">
        <v>0</v>
      </c>
      <c r="S124" s="38">
        <f t="shared" si="12"/>
        <v>55080.59</v>
      </c>
      <c r="T124" s="38">
        <f t="shared" si="6"/>
        <v>75.952275234418082</v>
      </c>
      <c r="U124" s="38">
        <v>75.952275234418082</v>
      </c>
      <c r="V124" s="458">
        <f t="shared" si="8"/>
        <v>0</v>
      </c>
      <c r="W124" s="458">
        <f>T124</f>
        <v>75.952275234418082</v>
      </c>
      <c r="X124" s="458">
        <v>0</v>
      </c>
      <c r="Y124" s="459">
        <v>0</v>
      </c>
      <c r="Z124" s="459">
        <v>0</v>
      </c>
      <c r="AA124" s="459">
        <v>0</v>
      </c>
      <c r="AB124" s="459">
        <v>0</v>
      </c>
      <c r="AC124" s="459">
        <v>0</v>
      </c>
      <c r="AD124" s="459">
        <v>0</v>
      </c>
      <c r="AE124" s="459">
        <v>0</v>
      </c>
      <c r="AF124" s="458">
        <v>0</v>
      </c>
      <c r="AG124" s="459">
        <v>0</v>
      </c>
      <c r="AH124" s="458">
        <v>0</v>
      </c>
      <c r="AI124" s="459">
        <v>0</v>
      </c>
      <c r="AJ124" s="458">
        <v>0</v>
      </c>
      <c r="AK124" s="459">
        <v>0</v>
      </c>
      <c r="AL124" s="459">
        <v>0</v>
      </c>
      <c r="AM124" s="459">
        <v>0</v>
      </c>
      <c r="AN124" s="459"/>
      <c r="AO124" s="459">
        <v>0</v>
      </c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0"/>
      <c r="BB124" s="460"/>
      <c r="BC124" s="460"/>
      <c r="BD124" s="460"/>
      <c r="BE124" s="460"/>
      <c r="BF124" s="460"/>
      <c r="BG124" s="460"/>
      <c r="BH124" s="460"/>
      <c r="BI124" s="460"/>
      <c r="BJ124" s="460"/>
      <c r="BK124" s="460"/>
      <c r="BL124" s="460"/>
      <c r="BM124" s="460"/>
      <c r="BN124" s="460"/>
      <c r="BO124" s="460"/>
      <c r="BP124" s="460"/>
      <c r="BQ124" s="460"/>
      <c r="BR124" s="460"/>
      <c r="BS124" s="460"/>
      <c r="BT124" s="460"/>
      <c r="BU124" s="460"/>
      <c r="BV124" s="460"/>
      <c r="BW124" s="460"/>
      <c r="BX124" s="460"/>
      <c r="BY124" s="460"/>
      <c r="BZ124" s="460"/>
      <c r="CA124" s="460"/>
      <c r="CB124" s="460"/>
      <c r="CC124" s="460"/>
      <c r="CD124" s="460"/>
      <c r="CE124" s="460"/>
      <c r="CF124" s="460"/>
      <c r="CG124" s="460"/>
      <c r="CH124" s="460"/>
      <c r="CI124" s="460"/>
      <c r="CJ124" s="460"/>
      <c r="CK124" s="460"/>
    </row>
    <row r="125" spans="1:89" s="329" customFormat="1" ht="36" customHeight="1" x14ac:dyDescent="0.25">
      <c r="A125" s="329">
        <v>1</v>
      </c>
      <c r="B125" s="39">
        <f>SUBTOTAL(103,$A$16:A125)</f>
        <v>109</v>
      </c>
      <c r="C125" s="33" t="s">
        <v>989</v>
      </c>
      <c r="D125" s="330">
        <v>1959</v>
      </c>
      <c r="E125" s="330"/>
      <c r="F125" s="331" t="s">
        <v>48</v>
      </c>
      <c r="G125" s="330">
        <v>2</v>
      </c>
      <c r="H125" s="330" t="s">
        <v>56</v>
      </c>
      <c r="I125" s="38">
        <v>654.20000000000005</v>
      </c>
      <c r="J125" s="38">
        <v>602.9</v>
      </c>
      <c r="K125" s="38">
        <v>602.9</v>
      </c>
      <c r="L125" s="332">
        <v>34</v>
      </c>
      <c r="M125" s="330" t="s">
        <v>46</v>
      </c>
      <c r="N125" s="330" t="s">
        <v>47</v>
      </c>
      <c r="O125" s="333" t="s">
        <v>49</v>
      </c>
      <c r="P125" s="38">
        <v>2500155.3199999998</v>
      </c>
      <c r="Q125" s="38">
        <v>0</v>
      </c>
      <c r="R125" s="38">
        <v>0</v>
      </c>
      <c r="S125" s="38">
        <f t="shared" si="12"/>
        <v>2500155.3199999998</v>
      </c>
      <c r="T125" s="38">
        <f t="shared" si="6"/>
        <v>3821.6987465606844</v>
      </c>
      <c r="U125" s="38">
        <v>5720.7725278202379</v>
      </c>
      <c r="V125" s="458">
        <f t="shared" si="8"/>
        <v>1899.0737812595535</v>
      </c>
      <c r="W125" s="458">
        <f t="shared" si="13"/>
        <v>5757.4019506267196</v>
      </c>
      <c r="X125" s="458">
        <v>0</v>
      </c>
      <c r="Y125" s="459">
        <v>0</v>
      </c>
      <c r="Z125" s="459">
        <v>0</v>
      </c>
      <c r="AA125" s="459">
        <v>0</v>
      </c>
      <c r="AB125" s="459">
        <v>0</v>
      </c>
      <c r="AC125" s="459">
        <v>0</v>
      </c>
      <c r="AD125" s="459">
        <v>0</v>
      </c>
      <c r="AE125" s="459">
        <v>603.71</v>
      </c>
      <c r="AF125" s="458">
        <f t="shared" ref="AF125:AF132" si="14">6238.91*AE125/I125</f>
        <v>5757.4019506267196</v>
      </c>
      <c r="AG125" s="459">
        <v>0</v>
      </c>
      <c r="AH125" s="458">
        <v>0</v>
      </c>
      <c r="AI125" s="459">
        <v>0</v>
      </c>
      <c r="AJ125" s="458">
        <v>0</v>
      </c>
      <c r="AK125" s="459">
        <v>0</v>
      </c>
      <c r="AL125" s="459">
        <v>0</v>
      </c>
      <c r="AM125" s="459">
        <v>0</v>
      </c>
      <c r="AN125" s="459"/>
      <c r="AO125" s="459">
        <v>0</v>
      </c>
      <c r="AP125" s="460"/>
      <c r="AQ125" s="460"/>
      <c r="AR125" s="460"/>
      <c r="AS125" s="460"/>
      <c r="AT125" s="460"/>
      <c r="AU125" s="460"/>
      <c r="AV125" s="460"/>
      <c r="AW125" s="460"/>
      <c r="AX125" s="460"/>
      <c r="AY125" s="460"/>
      <c r="AZ125" s="460"/>
      <c r="BA125" s="460"/>
      <c r="BB125" s="460"/>
      <c r="BC125" s="460"/>
      <c r="BD125" s="460"/>
      <c r="BE125" s="460"/>
      <c r="BF125" s="460"/>
      <c r="BG125" s="460"/>
      <c r="BH125" s="460"/>
      <c r="BI125" s="460"/>
      <c r="BJ125" s="460"/>
      <c r="BK125" s="460"/>
      <c r="BL125" s="460"/>
      <c r="BM125" s="460"/>
      <c r="BN125" s="460"/>
      <c r="BO125" s="460"/>
      <c r="BP125" s="460"/>
      <c r="BQ125" s="460"/>
      <c r="BR125" s="460"/>
      <c r="BS125" s="460"/>
      <c r="BT125" s="460"/>
      <c r="BU125" s="460"/>
      <c r="BV125" s="460"/>
      <c r="BW125" s="460"/>
      <c r="BX125" s="460"/>
      <c r="BY125" s="460"/>
      <c r="BZ125" s="460"/>
      <c r="CA125" s="460"/>
      <c r="CB125" s="460"/>
      <c r="CC125" s="460"/>
      <c r="CD125" s="460"/>
      <c r="CE125" s="460"/>
      <c r="CF125" s="460"/>
      <c r="CG125" s="460"/>
      <c r="CH125" s="460"/>
      <c r="CI125" s="460"/>
      <c r="CJ125" s="460"/>
      <c r="CK125" s="460"/>
    </row>
    <row r="126" spans="1:89" s="329" customFormat="1" ht="61.5" x14ac:dyDescent="0.25">
      <c r="A126" s="329">
        <v>1</v>
      </c>
      <c r="B126" s="39">
        <f>SUBTOTAL(103,$A$16:A126)</f>
        <v>110</v>
      </c>
      <c r="C126" s="33" t="s">
        <v>991</v>
      </c>
      <c r="D126" s="330">
        <v>1959</v>
      </c>
      <c r="E126" s="330"/>
      <c r="F126" s="331" t="s">
        <v>48</v>
      </c>
      <c r="G126" s="330">
        <v>2</v>
      </c>
      <c r="H126" s="330" t="s">
        <v>56</v>
      </c>
      <c r="I126" s="38">
        <v>673.3</v>
      </c>
      <c r="J126" s="38">
        <v>622.29999999999995</v>
      </c>
      <c r="K126" s="38">
        <v>622.29999999999995</v>
      </c>
      <c r="L126" s="332">
        <v>42</v>
      </c>
      <c r="M126" s="330" t="s">
        <v>46</v>
      </c>
      <c r="N126" s="330" t="s">
        <v>50</v>
      </c>
      <c r="O126" s="333" t="s">
        <v>1985</v>
      </c>
      <c r="P126" s="38">
        <v>2128855.41</v>
      </c>
      <c r="Q126" s="38">
        <v>0</v>
      </c>
      <c r="R126" s="38">
        <v>0</v>
      </c>
      <c r="S126" s="38">
        <f t="shared" si="12"/>
        <v>2128855.41</v>
      </c>
      <c r="T126" s="38">
        <f t="shared" si="6"/>
        <v>3161.8229763849699</v>
      </c>
      <c r="U126" s="38">
        <v>5747.6967981583239</v>
      </c>
      <c r="V126" s="458">
        <f t="shared" si="8"/>
        <v>2585.8738217733539</v>
      </c>
      <c r="W126" s="458">
        <f t="shared" si="13"/>
        <v>5728.1588946977572</v>
      </c>
      <c r="X126" s="458">
        <v>0</v>
      </c>
      <c r="Y126" s="459">
        <v>0</v>
      </c>
      <c r="Z126" s="459">
        <v>0</v>
      </c>
      <c r="AA126" s="459">
        <v>0</v>
      </c>
      <c r="AB126" s="459">
        <v>0</v>
      </c>
      <c r="AC126" s="459">
        <v>0</v>
      </c>
      <c r="AD126" s="459">
        <v>0</v>
      </c>
      <c r="AE126" s="459">
        <v>618.17999999999995</v>
      </c>
      <c r="AF126" s="458">
        <f t="shared" si="14"/>
        <v>5728.1588946977572</v>
      </c>
      <c r="AG126" s="459">
        <v>0</v>
      </c>
      <c r="AH126" s="458">
        <v>0</v>
      </c>
      <c r="AI126" s="459">
        <v>0</v>
      </c>
      <c r="AJ126" s="458">
        <v>0</v>
      </c>
      <c r="AK126" s="459">
        <v>0</v>
      </c>
      <c r="AL126" s="459">
        <v>0</v>
      </c>
      <c r="AM126" s="459">
        <v>0</v>
      </c>
      <c r="AN126" s="459"/>
      <c r="AO126" s="459">
        <v>0</v>
      </c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0"/>
      <c r="BB126" s="460"/>
      <c r="BC126" s="460"/>
      <c r="BD126" s="460"/>
      <c r="BE126" s="460"/>
      <c r="BF126" s="460"/>
      <c r="BG126" s="460"/>
      <c r="BH126" s="460"/>
      <c r="BI126" s="460"/>
      <c r="BJ126" s="460"/>
      <c r="BK126" s="460"/>
      <c r="BL126" s="460"/>
      <c r="BM126" s="460"/>
      <c r="BN126" s="460"/>
      <c r="BO126" s="460"/>
      <c r="BP126" s="460"/>
      <c r="BQ126" s="460"/>
      <c r="BR126" s="460"/>
      <c r="BS126" s="460"/>
      <c r="BT126" s="460"/>
      <c r="BU126" s="460"/>
      <c r="BV126" s="460"/>
      <c r="BW126" s="460"/>
      <c r="BX126" s="460"/>
      <c r="BY126" s="460"/>
      <c r="BZ126" s="460"/>
      <c r="CA126" s="460"/>
      <c r="CB126" s="460"/>
      <c r="CC126" s="460"/>
      <c r="CD126" s="460"/>
      <c r="CE126" s="460"/>
      <c r="CF126" s="460"/>
      <c r="CG126" s="460"/>
      <c r="CH126" s="460"/>
      <c r="CI126" s="460"/>
      <c r="CJ126" s="460"/>
      <c r="CK126" s="460"/>
    </row>
    <row r="127" spans="1:89" s="329" customFormat="1" ht="61.5" x14ac:dyDescent="0.25">
      <c r="A127" s="329">
        <v>1</v>
      </c>
      <c r="B127" s="39">
        <f>SUBTOTAL(103,$A$16:A127)</f>
        <v>111</v>
      </c>
      <c r="C127" s="33" t="s">
        <v>935</v>
      </c>
      <c r="D127" s="330">
        <v>1962</v>
      </c>
      <c r="E127" s="330"/>
      <c r="F127" s="331" t="s">
        <v>48</v>
      </c>
      <c r="G127" s="330">
        <v>3</v>
      </c>
      <c r="H127" s="330" t="s">
        <v>56</v>
      </c>
      <c r="I127" s="38">
        <v>1048.8</v>
      </c>
      <c r="J127" s="38">
        <v>975.2</v>
      </c>
      <c r="K127" s="38">
        <v>975.2</v>
      </c>
      <c r="L127" s="332">
        <v>56</v>
      </c>
      <c r="M127" s="330" t="s">
        <v>46</v>
      </c>
      <c r="N127" s="330" t="s">
        <v>50</v>
      </c>
      <c r="O127" s="333" t="s">
        <v>1986</v>
      </c>
      <c r="P127" s="38">
        <v>2561299.4900000002</v>
      </c>
      <c r="Q127" s="38">
        <v>0</v>
      </c>
      <c r="R127" s="38">
        <v>0</v>
      </c>
      <c r="S127" s="38">
        <f t="shared" si="12"/>
        <v>2561299.4900000002</v>
      </c>
      <c r="T127" s="38">
        <f t="shared" si="6"/>
        <v>2442.1238463005343</v>
      </c>
      <c r="U127" s="38">
        <v>3315.0714379290616</v>
      </c>
      <c r="V127" s="458">
        <f t="shared" si="8"/>
        <v>872.94759162852733</v>
      </c>
      <c r="W127" s="458">
        <f t="shared" si="13"/>
        <v>3303.8026553203663</v>
      </c>
      <c r="X127" s="458">
        <v>0</v>
      </c>
      <c r="Y127" s="459">
        <v>0</v>
      </c>
      <c r="Z127" s="459">
        <v>0</v>
      </c>
      <c r="AA127" s="459">
        <v>0</v>
      </c>
      <c r="AB127" s="459">
        <v>0</v>
      </c>
      <c r="AC127" s="459">
        <v>0</v>
      </c>
      <c r="AD127" s="459">
        <v>0</v>
      </c>
      <c r="AE127" s="459">
        <v>555.39</v>
      </c>
      <c r="AF127" s="458">
        <f t="shared" si="14"/>
        <v>3303.8026553203663</v>
      </c>
      <c r="AG127" s="459">
        <v>0</v>
      </c>
      <c r="AH127" s="458">
        <v>0</v>
      </c>
      <c r="AI127" s="459">
        <v>0</v>
      </c>
      <c r="AJ127" s="458">
        <v>0</v>
      </c>
      <c r="AK127" s="459">
        <v>0</v>
      </c>
      <c r="AL127" s="459">
        <v>0</v>
      </c>
      <c r="AM127" s="459">
        <v>0</v>
      </c>
      <c r="AN127" s="459"/>
      <c r="AO127" s="459">
        <v>0</v>
      </c>
      <c r="AP127" s="460"/>
      <c r="AQ127" s="460"/>
      <c r="AR127" s="460"/>
      <c r="AS127" s="460"/>
      <c r="AT127" s="460"/>
      <c r="AU127" s="460"/>
      <c r="AV127" s="460"/>
      <c r="AW127" s="460"/>
      <c r="AX127" s="460"/>
      <c r="AY127" s="460"/>
      <c r="AZ127" s="460"/>
      <c r="BA127" s="460"/>
      <c r="BB127" s="460"/>
      <c r="BC127" s="460"/>
      <c r="BD127" s="460"/>
      <c r="BE127" s="460"/>
      <c r="BF127" s="460"/>
      <c r="BG127" s="460"/>
      <c r="BH127" s="460"/>
      <c r="BI127" s="460"/>
      <c r="BJ127" s="460"/>
      <c r="BK127" s="460"/>
      <c r="BL127" s="460"/>
      <c r="BM127" s="460"/>
      <c r="BN127" s="460"/>
      <c r="BO127" s="460"/>
      <c r="BP127" s="460"/>
      <c r="BQ127" s="460"/>
      <c r="BR127" s="460"/>
      <c r="BS127" s="460"/>
      <c r="BT127" s="460"/>
      <c r="BU127" s="460"/>
      <c r="BV127" s="460"/>
      <c r="BW127" s="460"/>
      <c r="BX127" s="460"/>
      <c r="BY127" s="460"/>
      <c r="BZ127" s="460"/>
      <c r="CA127" s="460"/>
      <c r="CB127" s="460"/>
      <c r="CC127" s="460"/>
      <c r="CD127" s="460"/>
      <c r="CE127" s="460"/>
      <c r="CF127" s="460"/>
      <c r="CG127" s="460"/>
      <c r="CH127" s="460"/>
      <c r="CI127" s="460"/>
      <c r="CJ127" s="460"/>
      <c r="CK127" s="460"/>
    </row>
    <row r="128" spans="1:89" s="329" customFormat="1" ht="61.5" x14ac:dyDescent="0.25">
      <c r="A128" s="329">
        <v>1</v>
      </c>
      <c r="B128" s="39">
        <f>SUBTOTAL(103,$A$16:A128)</f>
        <v>112</v>
      </c>
      <c r="C128" s="33" t="s">
        <v>992</v>
      </c>
      <c r="D128" s="330">
        <v>1962</v>
      </c>
      <c r="E128" s="330"/>
      <c r="F128" s="331" t="s">
        <v>48</v>
      </c>
      <c r="G128" s="330">
        <v>2</v>
      </c>
      <c r="H128" s="330" t="s">
        <v>56</v>
      </c>
      <c r="I128" s="38">
        <v>679.6</v>
      </c>
      <c r="J128" s="38">
        <v>631.6</v>
      </c>
      <c r="K128" s="38">
        <v>631.6</v>
      </c>
      <c r="L128" s="332">
        <v>42</v>
      </c>
      <c r="M128" s="330" t="s">
        <v>46</v>
      </c>
      <c r="N128" s="330" t="s">
        <v>50</v>
      </c>
      <c r="O128" s="333" t="s">
        <v>1985</v>
      </c>
      <c r="P128" s="38">
        <v>2317566.0299999998</v>
      </c>
      <c r="Q128" s="38">
        <v>0</v>
      </c>
      <c r="R128" s="38">
        <v>0</v>
      </c>
      <c r="S128" s="38">
        <f t="shared" si="12"/>
        <v>2317566.0299999998</v>
      </c>
      <c r="T128" s="38">
        <f t="shared" si="6"/>
        <v>3410.1913331371393</v>
      </c>
      <c r="U128" s="38">
        <v>5171.749666862861</v>
      </c>
      <c r="V128" s="458">
        <f t="shared" si="8"/>
        <v>1761.5583337257217</v>
      </c>
      <c r="W128" s="458">
        <f t="shared" si="13"/>
        <v>5297.0145232489695</v>
      </c>
      <c r="X128" s="458">
        <v>0</v>
      </c>
      <c r="Y128" s="459">
        <v>0</v>
      </c>
      <c r="Z128" s="459">
        <v>0</v>
      </c>
      <c r="AA128" s="459">
        <v>0</v>
      </c>
      <c r="AB128" s="459">
        <v>0</v>
      </c>
      <c r="AC128" s="459">
        <v>0</v>
      </c>
      <c r="AD128" s="459">
        <v>0</v>
      </c>
      <c r="AE128" s="459">
        <v>577</v>
      </c>
      <c r="AF128" s="458">
        <f t="shared" si="14"/>
        <v>5297.0145232489695</v>
      </c>
      <c r="AG128" s="459">
        <v>0</v>
      </c>
      <c r="AH128" s="458">
        <v>0</v>
      </c>
      <c r="AI128" s="459">
        <v>0</v>
      </c>
      <c r="AJ128" s="458">
        <v>0</v>
      </c>
      <c r="AK128" s="459">
        <v>0</v>
      </c>
      <c r="AL128" s="459">
        <v>0</v>
      </c>
      <c r="AM128" s="459">
        <v>0</v>
      </c>
      <c r="AN128" s="459"/>
      <c r="AO128" s="459">
        <v>0</v>
      </c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0"/>
      <c r="BB128" s="460"/>
      <c r="BC128" s="460"/>
      <c r="BD128" s="460"/>
      <c r="BE128" s="460"/>
      <c r="BF128" s="460"/>
      <c r="BG128" s="460"/>
      <c r="BH128" s="460"/>
      <c r="BI128" s="460"/>
      <c r="BJ128" s="460"/>
      <c r="BK128" s="460"/>
      <c r="BL128" s="460"/>
      <c r="BM128" s="460"/>
      <c r="BN128" s="460"/>
      <c r="BO128" s="460"/>
      <c r="BP128" s="460"/>
      <c r="BQ128" s="460"/>
      <c r="BR128" s="460"/>
      <c r="BS128" s="460"/>
      <c r="BT128" s="460"/>
      <c r="BU128" s="460"/>
      <c r="BV128" s="460"/>
      <c r="BW128" s="460"/>
      <c r="BX128" s="460"/>
      <c r="BY128" s="460"/>
      <c r="BZ128" s="460"/>
      <c r="CA128" s="460"/>
      <c r="CB128" s="460"/>
      <c r="CC128" s="460"/>
      <c r="CD128" s="460"/>
      <c r="CE128" s="460"/>
      <c r="CF128" s="460"/>
      <c r="CG128" s="460"/>
      <c r="CH128" s="460"/>
      <c r="CI128" s="460"/>
      <c r="CJ128" s="460"/>
      <c r="CK128" s="460"/>
    </row>
    <row r="129" spans="1:89" s="329" customFormat="1" ht="61.5" x14ac:dyDescent="0.25">
      <c r="A129" s="329">
        <v>1</v>
      </c>
      <c r="B129" s="39">
        <f>SUBTOTAL(103,$A$16:A129)</f>
        <v>113</v>
      </c>
      <c r="C129" s="33" t="s">
        <v>1106</v>
      </c>
      <c r="D129" s="330">
        <v>1962</v>
      </c>
      <c r="E129" s="330"/>
      <c r="F129" s="331" t="s">
        <v>48</v>
      </c>
      <c r="G129" s="330">
        <v>2</v>
      </c>
      <c r="H129" s="330" t="s">
        <v>56</v>
      </c>
      <c r="I129" s="38">
        <v>696.3</v>
      </c>
      <c r="J129" s="38">
        <v>645.29999999999995</v>
      </c>
      <c r="K129" s="38">
        <v>645.29999999999995</v>
      </c>
      <c r="L129" s="332">
        <v>42</v>
      </c>
      <c r="M129" s="330" t="s">
        <v>46</v>
      </c>
      <c r="N129" s="330" t="s">
        <v>50</v>
      </c>
      <c r="O129" s="333" t="s">
        <v>1985</v>
      </c>
      <c r="P129" s="38">
        <v>2392182.6</v>
      </c>
      <c r="Q129" s="38">
        <v>0</v>
      </c>
      <c r="R129" s="38">
        <v>0</v>
      </c>
      <c r="S129" s="38">
        <f t="shared" si="12"/>
        <v>2392182.6</v>
      </c>
      <c r="T129" s="38">
        <f t="shared" si="6"/>
        <v>3435.5631193451104</v>
      </c>
      <c r="U129" s="38">
        <v>5267.7120822921152</v>
      </c>
      <c r="V129" s="458">
        <f t="shared" si="8"/>
        <v>1832.1489629470047</v>
      </c>
      <c r="W129" s="458">
        <f t="shared" si="13"/>
        <v>5249.8057706448371</v>
      </c>
      <c r="X129" s="458">
        <v>0</v>
      </c>
      <c r="Y129" s="459">
        <v>0</v>
      </c>
      <c r="Z129" s="459">
        <v>0</v>
      </c>
      <c r="AA129" s="459">
        <v>0</v>
      </c>
      <c r="AB129" s="459">
        <v>0</v>
      </c>
      <c r="AC129" s="459">
        <v>0</v>
      </c>
      <c r="AD129" s="459">
        <v>0</v>
      </c>
      <c r="AE129" s="459">
        <v>585.91</v>
      </c>
      <c r="AF129" s="458">
        <f t="shared" si="14"/>
        <v>5249.8057706448371</v>
      </c>
      <c r="AG129" s="459">
        <v>0</v>
      </c>
      <c r="AH129" s="458">
        <v>0</v>
      </c>
      <c r="AI129" s="459">
        <v>0</v>
      </c>
      <c r="AJ129" s="458">
        <v>0</v>
      </c>
      <c r="AK129" s="459">
        <v>0</v>
      </c>
      <c r="AL129" s="459">
        <v>0</v>
      </c>
      <c r="AM129" s="459">
        <v>0</v>
      </c>
      <c r="AN129" s="459"/>
      <c r="AO129" s="459">
        <v>0</v>
      </c>
      <c r="AP129" s="460"/>
      <c r="AQ129" s="460"/>
      <c r="AR129" s="460"/>
      <c r="AS129" s="460"/>
      <c r="AT129" s="460"/>
      <c r="AU129" s="460"/>
      <c r="AV129" s="460"/>
      <c r="AW129" s="460"/>
      <c r="AX129" s="460"/>
      <c r="AY129" s="460"/>
      <c r="AZ129" s="460"/>
      <c r="BA129" s="460"/>
      <c r="BB129" s="460"/>
      <c r="BC129" s="460"/>
      <c r="BD129" s="460"/>
      <c r="BE129" s="460"/>
      <c r="BF129" s="460"/>
      <c r="BG129" s="460"/>
      <c r="BH129" s="460"/>
      <c r="BI129" s="460"/>
      <c r="BJ129" s="460"/>
      <c r="BK129" s="460"/>
      <c r="BL129" s="460"/>
      <c r="BM129" s="460"/>
      <c r="BN129" s="460"/>
      <c r="BO129" s="460"/>
      <c r="BP129" s="460"/>
      <c r="BQ129" s="460"/>
      <c r="BR129" s="460"/>
      <c r="BS129" s="460"/>
      <c r="BT129" s="460"/>
      <c r="BU129" s="460"/>
      <c r="BV129" s="460"/>
      <c r="BW129" s="460"/>
      <c r="BX129" s="460"/>
      <c r="BY129" s="460"/>
      <c r="BZ129" s="460"/>
      <c r="CA129" s="460"/>
      <c r="CB129" s="460"/>
      <c r="CC129" s="460"/>
      <c r="CD129" s="460"/>
      <c r="CE129" s="460"/>
      <c r="CF129" s="460"/>
      <c r="CG129" s="460"/>
      <c r="CH129" s="460"/>
      <c r="CI129" s="460"/>
      <c r="CJ129" s="460"/>
      <c r="CK129" s="460"/>
    </row>
    <row r="130" spans="1:89" s="329" customFormat="1" ht="61.5" x14ac:dyDescent="0.25">
      <c r="A130" s="329">
        <v>1</v>
      </c>
      <c r="B130" s="39">
        <f>SUBTOTAL(103,$A$16:A130)</f>
        <v>114</v>
      </c>
      <c r="C130" s="33" t="s">
        <v>938</v>
      </c>
      <c r="D130" s="330">
        <v>1963</v>
      </c>
      <c r="E130" s="330"/>
      <c r="F130" s="331" t="s">
        <v>48</v>
      </c>
      <c r="G130" s="330">
        <v>4</v>
      </c>
      <c r="H130" s="330" t="s">
        <v>61</v>
      </c>
      <c r="I130" s="38">
        <v>2252.4</v>
      </c>
      <c r="J130" s="38">
        <v>2107.9</v>
      </c>
      <c r="K130" s="38">
        <v>1530.2</v>
      </c>
      <c r="L130" s="332">
        <v>83</v>
      </c>
      <c r="M130" s="330" t="s">
        <v>46</v>
      </c>
      <c r="N130" s="330" t="s">
        <v>50</v>
      </c>
      <c r="O130" s="333" t="s">
        <v>1986</v>
      </c>
      <c r="P130" s="38">
        <v>3326185.79</v>
      </c>
      <c r="Q130" s="38">
        <v>0</v>
      </c>
      <c r="R130" s="38">
        <v>0</v>
      </c>
      <c r="S130" s="38">
        <f t="shared" si="12"/>
        <v>3326185.79</v>
      </c>
      <c r="T130" s="38">
        <f t="shared" si="6"/>
        <v>1476.7296172971053</v>
      </c>
      <c r="U130" s="38">
        <v>2356.2427971497063</v>
      </c>
      <c r="V130" s="458">
        <f t="shared" si="8"/>
        <v>879.51317985260107</v>
      </c>
      <c r="W130" s="458">
        <f t="shared" si="13"/>
        <v>2396.2909870360504</v>
      </c>
      <c r="X130" s="458">
        <v>0</v>
      </c>
      <c r="Y130" s="459">
        <v>0</v>
      </c>
      <c r="Z130" s="459">
        <v>0</v>
      </c>
      <c r="AA130" s="459">
        <v>0</v>
      </c>
      <c r="AB130" s="459">
        <v>0</v>
      </c>
      <c r="AC130" s="459">
        <v>0</v>
      </c>
      <c r="AD130" s="459">
        <v>0</v>
      </c>
      <c r="AE130" s="459">
        <v>865.12</v>
      </c>
      <c r="AF130" s="458">
        <f t="shared" si="14"/>
        <v>2396.2909870360504</v>
      </c>
      <c r="AG130" s="459">
        <v>0</v>
      </c>
      <c r="AH130" s="458">
        <v>0</v>
      </c>
      <c r="AI130" s="459">
        <v>0</v>
      </c>
      <c r="AJ130" s="458">
        <v>0</v>
      </c>
      <c r="AK130" s="459">
        <v>0</v>
      </c>
      <c r="AL130" s="459">
        <v>0</v>
      </c>
      <c r="AM130" s="459">
        <v>0</v>
      </c>
      <c r="AN130" s="459"/>
      <c r="AO130" s="459">
        <v>0</v>
      </c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0"/>
      <c r="BB130" s="460"/>
      <c r="BC130" s="460"/>
      <c r="BD130" s="460"/>
      <c r="BE130" s="460"/>
      <c r="BF130" s="460"/>
      <c r="BG130" s="460"/>
      <c r="BH130" s="460"/>
      <c r="BI130" s="460"/>
      <c r="BJ130" s="460"/>
      <c r="BK130" s="460"/>
      <c r="BL130" s="460"/>
      <c r="BM130" s="460"/>
      <c r="BN130" s="460"/>
      <c r="BO130" s="460"/>
      <c r="BP130" s="460"/>
      <c r="BQ130" s="460"/>
      <c r="BR130" s="460"/>
      <c r="BS130" s="460"/>
      <c r="BT130" s="460"/>
      <c r="BU130" s="460"/>
      <c r="BV130" s="460"/>
      <c r="BW130" s="460"/>
      <c r="BX130" s="460"/>
      <c r="BY130" s="460"/>
      <c r="BZ130" s="460"/>
      <c r="CA130" s="460"/>
      <c r="CB130" s="460"/>
      <c r="CC130" s="460"/>
      <c r="CD130" s="460"/>
      <c r="CE130" s="460"/>
      <c r="CF130" s="460"/>
      <c r="CG130" s="460"/>
      <c r="CH130" s="460"/>
      <c r="CI130" s="460"/>
      <c r="CJ130" s="460"/>
      <c r="CK130" s="460"/>
    </row>
    <row r="131" spans="1:89" s="329" customFormat="1" ht="61.5" x14ac:dyDescent="0.25">
      <c r="A131" s="329">
        <v>1</v>
      </c>
      <c r="B131" s="39">
        <f>SUBTOTAL(103,$A$16:A131)</f>
        <v>115</v>
      </c>
      <c r="C131" s="33" t="s">
        <v>1109</v>
      </c>
      <c r="D131" s="330">
        <v>1961</v>
      </c>
      <c r="E131" s="330"/>
      <c r="F131" s="331" t="s">
        <v>48</v>
      </c>
      <c r="G131" s="330">
        <v>2</v>
      </c>
      <c r="H131" s="330" t="s">
        <v>56</v>
      </c>
      <c r="I131" s="38">
        <v>695.8</v>
      </c>
      <c r="J131" s="38">
        <v>646.6</v>
      </c>
      <c r="K131" s="38">
        <v>646.6</v>
      </c>
      <c r="L131" s="332">
        <v>42</v>
      </c>
      <c r="M131" s="330" t="s">
        <v>46</v>
      </c>
      <c r="N131" s="330" t="s">
        <v>50</v>
      </c>
      <c r="O131" s="333" t="s">
        <v>1985</v>
      </c>
      <c r="P131" s="38">
        <v>2218259.69</v>
      </c>
      <c r="Q131" s="38">
        <v>0</v>
      </c>
      <c r="R131" s="38">
        <v>0</v>
      </c>
      <c r="S131" s="38">
        <f t="shared" si="12"/>
        <v>2218259.69</v>
      </c>
      <c r="T131" s="38">
        <f t="shared" si="6"/>
        <v>3188.0708393216441</v>
      </c>
      <c r="U131" s="38">
        <v>5227.9514275653928</v>
      </c>
      <c r="V131" s="458">
        <f t="shared" si="8"/>
        <v>2039.8805882437487</v>
      </c>
      <c r="W131" s="458">
        <f t="shared" si="13"/>
        <v>4992.5626444380569</v>
      </c>
      <c r="X131" s="458">
        <v>0</v>
      </c>
      <c r="Y131" s="459">
        <v>0</v>
      </c>
      <c r="Z131" s="459">
        <v>0</v>
      </c>
      <c r="AA131" s="459">
        <v>0</v>
      </c>
      <c r="AB131" s="459">
        <v>0</v>
      </c>
      <c r="AC131" s="459">
        <v>0</v>
      </c>
      <c r="AD131" s="459">
        <v>0</v>
      </c>
      <c r="AE131" s="459">
        <v>556.79999999999995</v>
      </c>
      <c r="AF131" s="458">
        <f t="shared" si="14"/>
        <v>4992.5626444380569</v>
      </c>
      <c r="AG131" s="459">
        <v>0</v>
      </c>
      <c r="AH131" s="458">
        <v>0</v>
      </c>
      <c r="AI131" s="459">
        <v>0</v>
      </c>
      <c r="AJ131" s="458">
        <v>0</v>
      </c>
      <c r="AK131" s="459">
        <v>0</v>
      </c>
      <c r="AL131" s="459">
        <v>0</v>
      </c>
      <c r="AM131" s="459">
        <v>0</v>
      </c>
      <c r="AN131" s="459"/>
      <c r="AO131" s="459">
        <v>0</v>
      </c>
      <c r="AP131" s="460"/>
      <c r="AQ131" s="460"/>
      <c r="AR131" s="460"/>
      <c r="AS131" s="460"/>
      <c r="AT131" s="460"/>
      <c r="AU131" s="460"/>
      <c r="AV131" s="460"/>
      <c r="AW131" s="460"/>
      <c r="AX131" s="460"/>
      <c r="AY131" s="460"/>
      <c r="AZ131" s="460"/>
      <c r="BA131" s="460"/>
      <c r="BB131" s="460"/>
      <c r="BC131" s="460"/>
      <c r="BD131" s="460"/>
      <c r="BE131" s="460"/>
      <c r="BF131" s="460"/>
      <c r="BG131" s="460"/>
      <c r="BH131" s="460"/>
      <c r="BI131" s="460"/>
      <c r="BJ131" s="460"/>
      <c r="BK131" s="460"/>
      <c r="BL131" s="460"/>
      <c r="BM131" s="460"/>
      <c r="BN131" s="460"/>
      <c r="BO131" s="460"/>
      <c r="BP131" s="460"/>
      <c r="BQ131" s="460"/>
      <c r="BR131" s="460"/>
      <c r="BS131" s="460"/>
      <c r="BT131" s="460"/>
      <c r="BU131" s="460"/>
      <c r="BV131" s="460"/>
      <c r="BW131" s="460"/>
      <c r="BX131" s="460"/>
      <c r="BY131" s="460"/>
      <c r="BZ131" s="460"/>
      <c r="CA131" s="460"/>
      <c r="CB131" s="460"/>
      <c r="CC131" s="460"/>
      <c r="CD131" s="460"/>
      <c r="CE131" s="460"/>
      <c r="CF131" s="460"/>
      <c r="CG131" s="460"/>
      <c r="CH131" s="460"/>
      <c r="CI131" s="460"/>
      <c r="CJ131" s="460"/>
      <c r="CK131" s="460"/>
    </row>
    <row r="132" spans="1:89" s="329" customFormat="1" ht="36" customHeight="1" x14ac:dyDescent="0.25">
      <c r="A132" s="329">
        <v>1</v>
      </c>
      <c r="B132" s="39">
        <f>SUBTOTAL(103,$A$16:A132)</f>
        <v>116</v>
      </c>
      <c r="C132" s="33" t="s">
        <v>941</v>
      </c>
      <c r="D132" s="330">
        <v>1962</v>
      </c>
      <c r="E132" s="330"/>
      <c r="F132" s="331" t="s">
        <v>48</v>
      </c>
      <c r="G132" s="330" t="s">
        <v>61</v>
      </c>
      <c r="H132" s="330" t="s">
        <v>61</v>
      </c>
      <c r="I132" s="38">
        <v>1651.8</v>
      </c>
      <c r="J132" s="38">
        <v>1537.5</v>
      </c>
      <c r="K132" s="38">
        <v>1462.9</v>
      </c>
      <c r="L132" s="332">
        <v>58</v>
      </c>
      <c r="M132" s="330" t="s">
        <v>46</v>
      </c>
      <c r="N132" s="330" t="s">
        <v>71</v>
      </c>
      <c r="O132" s="333" t="s">
        <v>1987</v>
      </c>
      <c r="P132" s="38">
        <v>91764.43</v>
      </c>
      <c r="Q132" s="38">
        <v>0</v>
      </c>
      <c r="R132" s="38">
        <v>0</v>
      </c>
      <c r="S132" s="38">
        <f t="shared" si="12"/>
        <v>91764.43</v>
      </c>
      <c r="T132" s="38">
        <f t="shared" si="6"/>
        <v>55.554201477176413</v>
      </c>
      <c r="U132" s="38">
        <f>T132</f>
        <v>55.554201477176413</v>
      </c>
      <c r="V132" s="458">
        <f t="shared" si="8"/>
        <v>0</v>
      </c>
      <c r="W132" s="458">
        <f t="shared" si="13"/>
        <v>3251.6890713766797</v>
      </c>
      <c r="X132" s="458">
        <v>0</v>
      </c>
      <c r="Y132" s="459">
        <v>0</v>
      </c>
      <c r="Z132" s="459">
        <v>0</v>
      </c>
      <c r="AA132" s="459">
        <v>0</v>
      </c>
      <c r="AB132" s="459">
        <v>0</v>
      </c>
      <c r="AC132" s="459">
        <v>0</v>
      </c>
      <c r="AD132" s="459">
        <v>0</v>
      </c>
      <c r="AE132" s="459">
        <v>860.91</v>
      </c>
      <c r="AF132" s="458">
        <f t="shared" si="14"/>
        <v>3251.6890713766797</v>
      </c>
      <c r="AG132" s="459">
        <v>0</v>
      </c>
      <c r="AH132" s="458">
        <v>0</v>
      </c>
      <c r="AI132" s="459">
        <v>0</v>
      </c>
      <c r="AJ132" s="458">
        <v>0</v>
      </c>
      <c r="AK132" s="459">
        <v>0</v>
      </c>
      <c r="AL132" s="459">
        <v>0</v>
      </c>
      <c r="AM132" s="459">
        <v>0</v>
      </c>
      <c r="AN132" s="459"/>
      <c r="AO132" s="459">
        <v>0</v>
      </c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0"/>
      <c r="BB132" s="460"/>
      <c r="BC132" s="460"/>
      <c r="BD132" s="460"/>
      <c r="BE132" s="460"/>
      <c r="BF132" s="460"/>
      <c r="BG132" s="460"/>
      <c r="BH132" s="460"/>
      <c r="BI132" s="460"/>
      <c r="BJ132" s="460"/>
      <c r="BK132" s="460"/>
      <c r="BL132" s="460"/>
      <c r="BM132" s="460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0"/>
      <c r="BX132" s="460"/>
      <c r="BY132" s="460"/>
      <c r="BZ132" s="460"/>
      <c r="CA132" s="460"/>
      <c r="CB132" s="460"/>
      <c r="CC132" s="460"/>
      <c r="CD132" s="460"/>
      <c r="CE132" s="460"/>
      <c r="CF132" s="460"/>
      <c r="CG132" s="460"/>
      <c r="CH132" s="460"/>
      <c r="CI132" s="460"/>
      <c r="CJ132" s="460"/>
      <c r="CK132" s="460"/>
    </row>
    <row r="133" spans="1:89" s="329" customFormat="1" ht="36" customHeight="1" x14ac:dyDescent="0.25">
      <c r="A133" s="329">
        <v>1</v>
      </c>
      <c r="B133" s="39">
        <f>SUBTOTAL(103,$A$16:A133)</f>
        <v>117</v>
      </c>
      <c r="C133" s="33" t="s">
        <v>1112</v>
      </c>
      <c r="D133" s="330">
        <v>1937</v>
      </c>
      <c r="E133" s="330">
        <v>2010</v>
      </c>
      <c r="F133" s="331" t="s">
        <v>68</v>
      </c>
      <c r="G133" s="330">
        <v>2</v>
      </c>
      <c r="H133" s="330" t="s">
        <v>56</v>
      </c>
      <c r="I133" s="38">
        <v>522</v>
      </c>
      <c r="J133" s="38">
        <v>471.4</v>
      </c>
      <c r="K133" s="38">
        <v>471.4</v>
      </c>
      <c r="L133" s="332">
        <v>22</v>
      </c>
      <c r="M133" s="330" t="s">
        <v>46</v>
      </c>
      <c r="N133" s="330" t="s">
        <v>47</v>
      </c>
      <c r="O133" s="333" t="s">
        <v>49</v>
      </c>
      <c r="P133" s="38">
        <v>45369.9</v>
      </c>
      <c r="Q133" s="38">
        <v>0</v>
      </c>
      <c r="R133" s="38">
        <v>0</v>
      </c>
      <c r="S133" s="38">
        <f t="shared" si="12"/>
        <v>45369.9</v>
      </c>
      <c r="T133" s="38">
        <f t="shared" si="6"/>
        <v>86.91551724137932</v>
      </c>
      <c r="U133" s="38">
        <v>86.91551724137932</v>
      </c>
      <c r="V133" s="458">
        <f t="shared" si="8"/>
        <v>0</v>
      </c>
      <c r="W133" s="458">
        <f>T133</f>
        <v>86.91551724137932</v>
      </c>
      <c r="X133" s="458">
        <v>0</v>
      </c>
      <c r="Y133" s="459">
        <v>0</v>
      </c>
      <c r="Z133" s="459">
        <v>0</v>
      </c>
      <c r="AA133" s="459">
        <v>0</v>
      </c>
      <c r="AB133" s="459">
        <v>0</v>
      </c>
      <c r="AC133" s="459">
        <v>0</v>
      </c>
      <c r="AD133" s="459">
        <v>0</v>
      </c>
      <c r="AE133" s="459">
        <v>0</v>
      </c>
      <c r="AF133" s="458">
        <v>0</v>
      </c>
      <c r="AG133" s="459">
        <v>0</v>
      </c>
      <c r="AH133" s="458">
        <v>0</v>
      </c>
      <c r="AI133" s="459">
        <v>0</v>
      </c>
      <c r="AJ133" s="458">
        <v>0</v>
      </c>
      <c r="AK133" s="459">
        <v>0</v>
      </c>
      <c r="AL133" s="459">
        <v>0</v>
      </c>
      <c r="AM133" s="459">
        <v>0</v>
      </c>
      <c r="AN133" s="459"/>
      <c r="AO133" s="459">
        <v>0</v>
      </c>
      <c r="AP133" s="460"/>
      <c r="AQ133" s="460"/>
      <c r="AR133" s="460"/>
      <c r="AS133" s="460"/>
      <c r="AT133" s="460"/>
      <c r="AU133" s="460"/>
      <c r="AV133" s="460"/>
      <c r="AW133" s="460"/>
      <c r="AX133" s="460"/>
      <c r="AY133" s="460"/>
      <c r="AZ133" s="460"/>
      <c r="BA133" s="460"/>
      <c r="BB133" s="460"/>
      <c r="BC133" s="460"/>
      <c r="BD133" s="460"/>
      <c r="BE133" s="460"/>
      <c r="BF133" s="460"/>
      <c r="BG133" s="460"/>
      <c r="BH133" s="460"/>
      <c r="BI133" s="460"/>
      <c r="BJ133" s="460"/>
      <c r="BK133" s="460"/>
      <c r="BL133" s="460"/>
      <c r="BM133" s="460"/>
      <c r="BN133" s="460"/>
      <c r="BO133" s="460"/>
      <c r="BP133" s="460"/>
      <c r="BQ133" s="460"/>
      <c r="BR133" s="460"/>
      <c r="BS133" s="460"/>
      <c r="BT133" s="460"/>
      <c r="BU133" s="460"/>
      <c r="BV133" s="460"/>
      <c r="BW133" s="460"/>
      <c r="BX133" s="460"/>
      <c r="BY133" s="460"/>
      <c r="BZ133" s="460"/>
      <c r="CA133" s="460"/>
      <c r="CB133" s="460"/>
      <c r="CC133" s="460"/>
      <c r="CD133" s="460"/>
      <c r="CE133" s="460"/>
      <c r="CF133" s="460"/>
      <c r="CG133" s="460"/>
      <c r="CH133" s="460"/>
      <c r="CI133" s="460"/>
      <c r="CJ133" s="460"/>
      <c r="CK133" s="460"/>
    </row>
    <row r="134" spans="1:89" s="329" customFormat="1" ht="36" customHeight="1" x14ac:dyDescent="0.25">
      <c r="A134" s="329">
        <v>1</v>
      </c>
      <c r="B134" s="39">
        <f>SUBTOTAL(103,$A$16:A134)</f>
        <v>118</v>
      </c>
      <c r="C134" s="33" t="s">
        <v>1114</v>
      </c>
      <c r="D134" s="330">
        <v>1979</v>
      </c>
      <c r="E134" s="330">
        <v>2008</v>
      </c>
      <c r="F134" s="331" t="s">
        <v>60</v>
      </c>
      <c r="G134" s="330">
        <v>5</v>
      </c>
      <c r="H134" s="330" t="s">
        <v>1969</v>
      </c>
      <c r="I134" s="38">
        <v>5005</v>
      </c>
      <c r="J134" s="38">
        <v>4545.8</v>
      </c>
      <c r="K134" s="38">
        <v>4545.8</v>
      </c>
      <c r="L134" s="332">
        <v>153</v>
      </c>
      <c r="M134" s="330" t="s">
        <v>46</v>
      </c>
      <c r="N134" s="330" t="s">
        <v>50</v>
      </c>
      <c r="O134" s="333" t="s">
        <v>1988</v>
      </c>
      <c r="P134" s="38">
        <v>2879103.97</v>
      </c>
      <c r="Q134" s="38">
        <v>0</v>
      </c>
      <c r="R134" s="38">
        <v>0</v>
      </c>
      <c r="S134" s="38">
        <f t="shared" si="12"/>
        <v>2879103.97</v>
      </c>
      <c r="T134" s="38">
        <f t="shared" si="6"/>
        <v>575.24554845154853</v>
      </c>
      <c r="U134" s="38">
        <v>4070.12</v>
      </c>
      <c r="V134" s="458">
        <f t="shared" si="8"/>
        <v>3494.8744515484514</v>
      </c>
      <c r="W134" s="458">
        <f t="shared" si="13"/>
        <v>4054.97</v>
      </c>
      <c r="X134" s="458">
        <v>0</v>
      </c>
      <c r="Y134" s="459">
        <v>0</v>
      </c>
      <c r="Z134" s="459">
        <v>3259.66</v>
      </c>
      <c r="AA134" s="459">
        <v>0</v>
      </c>
      <c r="AB134" s="459">
        <v>795.31</v>
      </c>
      <c r="AC134" s="459">
        <v>0</v>
      </c>
      <c r="AD134" s="459">
        <v>0</v>
      </c>
      <c r="AE134" s="459">
        <v>0</v>
      </c>
      <c r="AF134" s="458">
        <v>0</v>
      </c>
      <c r="AG134" s="459">
        <v>0</v>
      </c>
      <c r="AH134" s="458">
        <v>0</v>
      </c>
      <c r="AI134" s="459">
        <v>0</v>
      </c>
      <c r="AJ134" s="458">
        <v>0</v>
      </c>
      <c r="AK134" s="459">
        <v>0</v>
      </c>
      <c r="AL134" s="459">
        <v>0</v>
      </c>
      <c r="AM134" s="459">
        <v>0</v>
      </c>
      <c r="AN134" s="459"/>
      <c r="AO134" s="459">
        <v>0</v>
      </c>
      <c r="AP134" s="460"/>
      <c r="AQ134" s="460"/>
      <c r="AR134" s="460"/>
      <c r="AS134" s="460"/>
      <c r="AT134" s="460"/>
      <c r="AU134" s="460"/>
      <c r="AV134" s="460"/>
      <c r="AW134" s="460"/>
      <c r="AX134" s="460"/>
      <c r="AY134" s="460"/>
      <c r="AZ134" s="460"/>
      <c r="BA134" s="460"/>
      <c r="BB134" s="460"/>
      <c r="BC134" s="460"/>
      <c r="BD134" s="460"/>
      <c r="BE134" s="460"/>
      <c r="BF134" s="460"/>
      <c r="BG134" s="460"/>
      <c r="BH134" s="460"/>
      <c r="BI134" s="460"/>
      <c r="BJ134" s="460"/>
      <c r="BK134" s="460"/>
      <c r="BL134" s="460"/>
      <c r="BM134" s="460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460"/>
      <c r="CG134" s="460"/>
      <c r="CH134" s="460"/>
      <c r="CI134" s="460"/>
      <c r="CJ134" s="460"/>
      <c r="CK134" s="460"/>
    </row>
    <row r="135" spans="1:89" s="329" customFormat="1" ht="36" customHeight="1" x14ac:dyDescent="0.25">
      <c r="A135" s="329">
        <v>1</v>
      </c>
      <c r="B135" s="39">
        <f>SUBTOTAL(103,$A$16:A135)</f>
        <v>119</v>
      </c>
      <c r="C135" s="33" t="s">
        <v>1116</v>
      </c>
      <c r="D135" s="330">
        <v>1933</v>
      </c>
      <c r="E135" s="330">
        <v>2008</v>
      </c>
      <c r="F135" s="331" t="s">
        <v>48</v>
      </c>
      <c r="G135" s="330">
        <v>3</v>
      </c>
      <c r="H135" s="330" t="s">
        <v>59</v>
      </c>
      <c r="I135" s="38">
        <v>1863.4</v>
      </c>
      <c r="J135" s="38">
        <v>1677.4</v>
      </c>
      <c r="K135" s="38">
        <v>1677.4</v>
      </c>
      <c r="L135" s="332">
        <v>86</v>
      </c>
      <c r="M135" s="330" t="s">
        <v>46</v>
      </c>
      <c r="N135" s="330" t="s">
        <v>50</v>
      </c>
      <c r="O135" s="333" t="s">
        <v>1986</v>
      </c>
      <c r="P135" s="38">
        <v>994785.73</v>
      </c>
      <c r="Q135" s="38">
        <v>0</v>
      </c>
      <c r="R135" s="38">
        <v>0</v>
      </c>
      <c r="S135" s="38">
        <f t="shared" si="12"/>
        <v>994785.73</v>
      </c>
      <c r="T135" s="38">
        <f t="shared" si="6"/>
        <v>533.85517333905761</v>
      </c>
      <c r="U135" s="38">
        <v>810.46</v>
      </c>
      <c r="V135" s="458">
        <f t="shared" si="8"/>
        <v>276.60482666094242</v>
      </c>
      <c r="W135" s="458">
        <f t="shared" si="13"/>
        <v>795.31</v>
      </c>
      <c r="X135" s="458">
        <v>0</v>
      </c>
      <c r="Y135" s="459">
        <v>0</v>
      </c>
      <c r="Z135" s="459">
        <v>0</v>
      </c>
      <c r="AA135" s="459">
        <v>0</v>
      </c>
      <c r="AB135" s="459">
        <v>795.31</v>
      </c>
      <c r="AC135" s="459">
        <v>0</v>
      </c>
      <c r="AD135" s="459">
        <v>0</v>
      </c>
      <c r="AE135" s="459">
        <v>0</v>
      </c>
      <c r="AF135" s="458">
        <v>0</v>
      </c>
      <c r="AG135" s="459">
        <v>0</v>
      </c>
      <c r="AH135" s="458">
        <v>0</v>
      </c>
      <c r="AI135" s="459">
        <v>0</v>
      </c>
      <c r="AJ135" s="458">
        <v>0</v>
      </c>
      <c r="AK135" s="459">
        <v>0</v>
      </c>
      <c r="AL135" s="459">
        <v>0</v>
      </c>
      <c r="AM135" s="459">
        <v>0</v>
      </c>
      <c r="AN135" s="459"/>
      <c r="AO135" s="459">
        <v>0</v>
      </c>
      <c r="AP135" s="460"/>
      <c r="AQ135" s="460"/>
      <c r="AR135" s="460"/>
      <c r="AS135" s="460"/>
      <c r="AT135" s="460"/>
      <c r="AU135" s="460"/>
      <c r="AV135" s="460"/>
      <c r="AW135" s="460"/>
      <c r="AX135" s="460"/>
      <c r="AY135" s="460"/>
      <c r="AZ135" s="460"/>
      <c r="BA135" s="460"/>
      <c r="BB135" s="460"/>
      <c r="BC135" s="460"/>
      <c r="BD135" s="460"/>
      <c r="BE135" s="460"/>
      <c r="BF135" s="460"/>
      <c r="BG135" s="460"/>
      <c r="BH135" s="460"/>
      <c r="BI135" s="460"/>
      <c r="BJ135" s="460"/>
      <c r="BK135" s="460"/>
      <c r="BL135" s="460"/>
      <c r="BM135" s="460"/>
      <c r="BN135" s="460"/>
      <c r="BO135" s="460"/>
      <c r="BP135" s="460"/>
      <c r="BQ135" s="460"/>
      <c r="BR135" s="460"/>
      <c r="BS135" s="460"/>
      <c r="BT135" s="460"/>
      <c r="BU135" s="460"/>
      <c r="BV135" s="460"/>
      <c r="BW135" s="460"/>
      <c r="BX135" s="460"/>
      <c r="BY135" s="460"/>
      <c r="BZ135" s="460"/>
      <c r="CA135" s="460"/>
      <c r="CB135" s="460"/>
      <c r="CC135" s="460"/>
      <c r="CD135" s="460"/>
      <c r="CE135" s="460"/>
      <c r="CF135" s="460"/>
      <c r="CG135" s="460"/>
      <c r="CH135" s="460"/>
      <c r="CI135" s="460"/>
      <c r="CJ135" s="460"/>
      <c r="CK135" s="460"/>
    </row>
    <row r="136" spans="1:89" s="329" customFormat="1" ht="36" customHeight="1" x14ac:dyDescent="0.25">
      <c r="A136" s="329">
        <v>1</v>
      </c>
      <c r="B136" s="39">
        <f>SUBTOTAL(103,$A$16:A136)</f>
        <v>120</v>
      </c>
      <c r="C136" s="33" t="s">
        <v>1118</v>
      </c>
      <c r="D136" s="330" t="s">
        <v>1989</v>
      </c>
      <c r="E136" s="330"/>
      <c r="F136" s="331" t="s">
        <v>48</v>
      </c>
      <c r="G136" s="330" t="s">
        <v>56</v>
      </c>
      <c r="H136" s="330" t="s">
        <v>56</v>
      </c>
      <c r="I136" s="38">
        <v>823.9</v>
      </c>
      <c r="J136" s="38">
        <v>758.2</v>
      </c>
      <c r="K136" s="38">
        <v>758.2</v>
      </c>
      <c r="L136" s="332">
        <v>35</v>
      </c>
      <c r="M136" s="330" t="s">
        <v>46</v>
      </c>
      <c r="N136" s="330" t="s">
        <v>50</v>
      </c>
      <c r="O136" s="333" t="s">
        <v>1986</v>
      </c>
      <c r="P136" s="38">
        <v>1804069.72</v>
      </c>
      <c r="Q136" s="38">
        <v>0</v>
      </c>
      <c r="R136" s="38">
        <v>0</v>
      </c>
      <c r="S136" s="38">
        <f t="shared" si="12"/>
        <v>1804069.72</v>
      </c>
      <c r="T136" s="38">
        <f t="shared" si="6"/>
        <v>2189.6707367398958</v>
      </c>
      <c r="U136" s="38">
        <v>7820.6710231824245</v>
      </c>
      <c r="V136" s="458">
        <f t="shared" si="8"/>
        <v>5631.0002864425287</v>
      </c>
      <c r="W136" s="458">
        <f t="shared" si="13"/>
        <v>6698.1696128170897</v>
      </c>
      <c r="X136" s="458">
        <v>0</v>
      </c>
      <c r="Y136" s="459">
        <v>0</v>
      </c>
      <c r="Z136" s="459">
        <v>0</v>
      </c>
      <c r="AA136" s="459">
        <v>0</v>
      </c>
      <c r="AB136" s="459">
        <v>0</v>
      </c>
      <c r="AC136" s="459">
        <v>0</v>
      </c>
      <c r="AD136" s="459">
        <v>0</v>
      </c>
      <c r="AE136" s="459">
        <v>0</v>
      </c>
      <c r="AF136" s="458">
        <v>0</v>
      </c>
      <c r="AG136" s="459">
        <v>0</v>
      </c>
      <c r="AH136" s="458">
        <v>0</v>
      </c>
      <c r="AI136" s="459">
        <v>741.84</v>
      </c>
      <c r="AJ136" s="458">
        <f>7439.1*AI136/I136</f>
        <v>6698.1696128170897</v>
      </c>
      <c r="AK136" s="459">
        <v>0</v>
      </c>
      <c r="AL136" s="459">
        <v>0</v>
      </c>
      <c r="AM136" s="459">
        <v>0</v>
      </c>
      <c r="AN136" s="459"/>
      <c r="AO136" s="459">
        <v>0</v>
      </c>
      <c r="AP136" s="460"/>
      <c r="AQ136" s="460"/>
      <c r="AR136" s="460"/>
      <c r="AS136" s="460"/>
      <c r="AT136" s="460"/>
      <c r="AU136" s="460"/>
      <c r="AV136" s="460"/>
      <c r="AW136" s="460"/>
      <c r="AX136" s="460"/>
      <c r="AY136" s="460"/>
      <c r="AZ136" s="460"/>
      <c r="BA136" s="460"/>
      <c r="BB136" s="460"/>
      <c r="BC136" s="460"/>
      <c r="BD136" s="460"/>
      <c r="BE136" s="460"/>
      <c r="BF136" s="460"/>
      <c r="BG136" s="460"/>
      <c r="BH136" s="460"/>
      <c r="BI136" s="460"/>
      <c r="BJ136" s="460"/>
      <c r="BK136" s="460"/>
      <c r="BL136" s="460"/>
      <c r="BM136" s="460"/>
      <c r="BN136" s="460"/>
      <c r="BO136" s="460"/>
      <c r="BP136" s="460"/>
      <c r="BQ136" s="460"/>
      <c r="BR136" s="460"/>
      <c r="BS136" s="460"/>
      <c r="BT136" s="460"/>
      <c r="BU136" s="460"/>
      <c r="BV136" s="460"/>
      <c r="BW136" s="460"/>
      <c r="BX136" s="460"/>
      <c r="BY136" s="460"/>
      <c r="BZ136" s="460"/>
      <c r="CA136" s="460"/>
      <c r="CB136" s="460"/>
      <c r="CC136" s="460"/>
      <c r="CD136" s="460"/>
      <c r="CE136" s="460"/>
      <c r="CF136" s="460"/>
      <c r="CG136" s="460"/>
      <c r="CH136" s="460"/>
      <c r="CI136" s="460"/>
      <c r="CJ136" s="460"/>
      <c r="CK136" s="460"/>
    </row>
    <row r="137" spans="1:89" s="329" customFormat="1" ht="36" customHeight="1" x14ac:dyDescent="0.25">
      <c r="A137" s="329">
        <v>1</v>
      </c>
      <c r="B137" s="39">
        <f>SUBTOTAL(103,$A$16:A137)</f>
        <v>121</v>
      </c>
      <c r="C137" s="33" t="s">
        <v>1120</v>
      </c>
      <c r="D137" s="330">
        <v>1956</v>
      </c>
      <c r="E137" s="330"/>
      <c r="F137" s="331" t="s">
        <v>48</v>
      </c>
      <c r="G137" s="330">
        <v>2</v>
      </c>
      <c r="H137" s="330" t="s">
        <v>57</v>
      </c>
      <c r="I137" s="38">
        <v>420.5</v>
      </c>
      <c r="J137" s="38">
        <v>420.5</v>
      </c>
      <c r="K137" s="38">
        <v>420.5</v>
      </c>
      <c r="L137" s="332">
        <v>20</v>
      </c>
      <c r="M137" s="330" t="s">
        <v>46</v>
      </c>
      <c r="N137" s="330" t="s">
        <v>47</v>
      </c>
      <c r="O137" s="333" t="s">
        <v>49</v>
      </c>
      <c r="P137" s="38">
        <v>121797.55</v>
      </c>
      <c r="Q137" s="38">
        <v>0</v>
      </c>
      <c r="R137" s="38">
        <v>0</v>
      </c>
      <c r="S137" s="38">
        <f t="shared" si="12"/>
        <v>121797.55</v>
      </c>
      <c r="T137" s="38">
        <f t="shared" si="6"/>
        <v>289.64934601664686</v>
      </c>
      <c r="U137" s="38">
        <v>810.46</v>
      </c>
      <c r="V137" s="458">
        <f t="shared" si="8"/>
        <v>520.81065398335318</v>
      </c>
      <c r="W137" s="458">
        <f t="shared" si="13"/>
        <v>15323.307624256837</v>
      </c>
      <c r="X137" s="458">
        <v>0</v>
      </c>
      <c r="Y137" s="459">
        <v>0</v>
      </c>
      <c r="Z137" s="459">
        <v>0</v>
      </c>
      <c r="AA137" s="459">
        <v>0</v>
      </c>
      <c r="AB137" s="459">
        <v>0</v>
      </c>
      <c r="AC137" s="459">
        <v>0</v>
      </c>
      <c r="AD137" s="459">
        <v>0</v>
      </c>
      <c r="AE137" s="459">
        <v>0</v>
      </c>
      <c r="AF137" s="458">
        <v>0</v>
      </c>
      <c r="AG137" s="459">
        <v>0</v>
      </c>
      <c r="AH137" s="458">
        <v>0</v>
      </c>
      <c r="AI137" s="459">
        <v>866.16</v>
      </c>
      <c r="AJ137" s="458">
        <f>7439.1*AI137/I137</f>
        <v>15323.307624256837</v>
      </c>
      <c r="AK137" s="459">
        <v>0</v>
      </c>
      <c r="AL137" s="459">
        <v>0</v>
      </c>
      <c r="AM137" s="459">
        <v>0</v>
      </c>
      <c r="AN137" s="459"/>
      <c r="AO137" s="459">
        <v>0</v>
      </c>
      <c r="AP137" s="460"/>
      <c r="AQ137" s="460"/>
      <c r="AR137" s="460"/>
      <c r="AS137" s="460"/>
      <c r="AT137" s="460"/>
      <c r="AU137" s="460"/>
      <c r="AV137" s="460"/>
      <c r="AW137" s="460"/>
      <c r="AX137" s="460"/>
      <c r="AY137" s="460"/>
      <c r="AZ137" s="460"/>
      <c r="BA137" s="460"/>
      <c r="BB137" s="460"/>
      <c r="BC137" s="460"/>
      <c r="BD137" s="460"/>
      <c r="BE137" s="460"/>
      <c r="BF137" s="460"/>
      <c r="BG137" s="460"/>
      <c r="BH137" s="460"/>
      <c r="BI137" s="460"/>
      <c r="BJ137" s="460"/>
      <c r="BK137" s="460"/>
      <c r="BL137" s="460"/>
      <c r="BM137" s="460"/>
      <c r="BN137" s="460"/>
      <c r="BO137" s="460"/>
      <c r="BP137" s="460"/>
      <c r="BQ137" s="460"/>
      <c r="BR137" s="460"/>
      <c r="BS137" s="460"/>
      <c r="BT137" s="460"/>
      <c r="BU137" s="460"/>
      <c r="BV137" s="460"/>
      <c r="BW137" s="460"/>
      <c r="BX137" s="460"/>
      <c r="BY137" s="460"/>
      <c r="BZ137" s="460"/>
      <c r="CA137" s="460"/>
      <c r="CB137" s="460"/>
      <c r="CC137" s="460"/>
      <c r="CD137" s="460"/>
      <c r="CE137" s="460"/>
      <c r="CF137" s="460"/>
      <c r="CG137" s="460"/>
      <c r="CH137" s="460"/>
      <c r="CI137" s="460"/>
      <c r="CJ137" s="460"/>
      <c r="CK137" s="460"/>
    </row>
    <row r="138" spans="1:89" s="329" customFormat="1" ht="36" customHeight="1" x14ac:dyDescent="0.25">
      <c r="A138" s="329">
        <v>1</v>
      </c>
      <c r="B138" s="39">
        <f>SUBTOTAL(103,$A$16:A138)</f>
        <v>122</v>
      </c>
      <c r="C138" s="33" t="s">
        <v>1122</v>
      </c>
      <c r="D138" s="330">
        <v>1949</v>
      </c>
      <c r="E138" s="330">
        <v>2008</v>
      </c>
      <c r="F138" s="331" t="s">
        <v>48</v>
      </c>
      <c r="G138" s="330" t="s">
        <v>56</v>
      </c>
      <c r="H138" s="330" t="s">
        <v>57</v>
      </c>
      <c r="I138" s="38">
        <v>446.3</v>
      </c>
      <c r="J138" s="38">
        <v>446.3</v>
      </c>
      <c r="K138" s="38">
        <v>446.3</v>
      </c>
      <c r="L138" s="332">
        <v>28</v>
      </c>
      <c r="M138" s="330" t="s">
        <v>46</v>
      </c>
      <c r="N138" s="330" t="s">
        <v>47</v>
      </c>
      <c r="O138" s="333" t="s">
        <v>49</v>
      </c>
      <c r="P138" s="38">
        <v>949317.13</v>
      </c>
      <c r="Q138" s="38">
        <v>0</v>
      </c>
      <c r="R138" s="38">
        <v>0</v>
      </c>
      <c r="S138" s="38">
        <f t="shared" si="12"/>
        <v>949317.13</v>
      </c>
      <c r="T138" s="38">
        <f t="shared" si="6"/>
        <v>2127.0829710956755</v>
      </c>
      <c r="U138" s="38">
        <v>7265.748801254761</v>
      </c>
      <c r="V138" s="458">
        <f t="shared" si="8"/>
        <v>5138.6658301590851</v>
      </c>
      <c r="W138" s="458">
        <f t="shared" si="13"/>
        <v>795.31</v>
      </c>
      <c r="X138" s="458">
        <v>0</v>
      </c>
      <c r="Y138" s="459">
        <v>0</v>
      </c>
      <c r="Z138" s="459">
        <v>0</v>
      </c>
      <c r="AA138" s="459">
        <v>0</v>
      </c>
      <c r="AB138" s="459">
        <v>795.31</v>
      </c>
      <c r="AC138" s="459">
        <v>0</v>
      </c>
      <c r="AD138" s="459">
        <v>0</v>
      </c>
      <c r="AE138" s="459">
        <v>0</v>
      </c>
      <c r="AF138" s="458">
        <v>0</v>
      </c>
      <c r="AG138" s="459">
        <v>0</v>
      </c>
      <c r="AH138" s="458">
        <v>0</v>
      </c>
      <c r="AI138" s="459">
        <v>0</v>
      </c>
      <c r="AJ138" s="458">
        <v>0</v>
      </c>
      <c r="AK138" s="459">
        <v>0</v>
      </c>
      <c r="AL138" s="459">
        <v>0</v>
      </c>
      <c r="AM138" s="459">
        <v>0</v>
      </c>
      <c r="AN138" s="459"/>
      <c r="AO138" s="459">
        <v>0</v>
      </c>
      <c r="AP138" s="460"/>
      <c r="AQ138" s="460"/>
      <c r="AR138" s="460"/>
      <c r="AS138" s="460"/>
      <c r="AT138" s="460"/>
      <c r="AU138" s="460"/>
      <c r="AV138" s="460"/>
      <c r="AW138" s="460"/>
      <c r="AX138" s="460"/>
      <c r="AY138" s="460"/>
      <c r="AZ138" s="460"/>
      <c r="BA138" s="460"/>
      <c r="BB138" s="460"/>
      <c r="BC138" s="460"/>
      <c r="BD138" s="460"/>
      <c r="BE138" s="460"/>
      <c r="BF138" s="460"/>
      <c r="BG138" s="460"/>
      <c r="BH138" s="460"/>
      <c r="BI138" s="460"/>
      <c r="BJ138" s="460"/>
      <c r="BK138" s="460"/>
      <c r="BL138" s="460"/>
      <c r="BM138" s="460"/>
      <c r="BN138" s="460"/>
      <c r="BO138" s="460"/>
      <c r="BP138" s="460"/>
      <c r="BQ138" s="460"/>
      <c r="BR138" s="460"/>
      <c r="BS138" s="460"/>
      <c r="BT138" s="460"/>
      <c r="BU138" s="460"/>
      <c r="BV138" s="460"/>
      <c r="BW138" s="460"/>
      <c r="BX138" s="460"/>
      <c r="BY138" s="460"/>
      <c r="BZ138" s="460"/>
      <c r="CA138" s="460"/>
      <c r="CB138" s="460"/>
      <c r="CC138" s="460"/>
      <c r="CD138" s="460"/>
      <c r="CE138" s="460"/>
      <c r="CF138" s="460"/>
      <c r="CG138" s="460"/>
      <c r="CH138" s="460"/>
      <c r="CI138" s="460"/>
      <c r="CJ138" s="460"/>
      <c r="CK138" s="460"/>
    </row>
    <row r="139" spans="1:89" s="329" customFormat="1" ht="36" customHeight="1" x14ac:dyDescent="0.25">
      <c r="A139" s="329">
        <v>1</v>
      </c>
      <c r="B139" s="39">
        <f>SUBTOTAL(103,$A$16:A139)</f>
        <v>123</v>
      </c>
      <c r="C139" s="33" t="s">
        <v>1124</v>
      </c>
      <c r="D139" s="330">
        <v>1964</v>
      </c>
      <c r="E139" s="330"/>
      <c r="F139" s="331" t="s">
        <v>48</v>
      </c>
      <c r="G139" s="330">
        <v>2</v>
      </c>
      <c r="H139" s="330" t="s">
        <v>57</v>
      </c>
      <c r="I139" s="38">
        <v>380.8</v>
      </c>
      <c r="J139" s="38">
        <v>380.8</v>
      </c>
      <c r="K139" s="38">
        <v>380.8</v>
      </c>
      <c r="L139" s="332">
        <v>13</v>
      </c>
      <c r="M139" s="330" t="s">
        <v>46</v>
      </c>
      <c r="N139" s="330" t="s">
        <v>47</v>
      </c>
      <c r="O139" s="333" t="s">
        <v>49</v>
      </c>
      <c r="P139" s="38">
        <v>294696.21999999997</v>
      </c>
      <c r="Q139" s="38">
        <v>0</v>
      </c>
      <c r="R139" s="38">
        <v>0</v>
      </c>
      <c r="S139" s="38">
        <f t="shared" si="12"/>
        <v>294696.21999999997</v>
      </c>
      <c r="T139" s="38">
        <f t="shared" si="6"/>
        <v>773.88713235294108</v>
      </c>
      <c r="U139" s="38">
        <v>1009.72</v>
      </c>
      <c r="V139" s="458">
        <f t="shared" si="8"/>
        <v>235.83286764705895</v>
      </c>
      <c r="W139" s="458">
        <f t="shared" si="13"/>
        <v>9572.3713235294108</v>
      </c>
      <c r="X139" s="458">
        <v>0</v>
      </c>
      <c r="Y139" s="459">
        <v>0</v>
      </c>
      <c r="Z139" s="459">
        <v>0</v>
      </c>
      <c r="AA139" s="459">
        <v>0</v>
      </c>
      <c r="AB139" s="459">
        <v>0</v>
      </c>
      <c r="AC139" s="459">
        <v>0</v>
      </c>
      <c r="AD139" s="459">
        <v>0</v>
      </c>
      <c r="AE139" s="459">
        <v>0</v>
      </c>
      <c r="AF139" s="458">
        <v>0</v>
      </c>
      <c r="AG139" s="459">
        <v>0</v>
      </c>
      <c r="AH139" s="458">
        <v>0</v>
      </c>
      <c r="AI139" s="459">
        <v>490</v>
      </c>
      <c r="AJ139" s="458">
        <f>7439.1*AI139/I139</f>
        <v>9572.3713235294108</v>
      </c>
      <c r="AK139" s="459">
        <v>0</v>
      </c>
      <c r="AL139" s="459">
        <v>0</v>
      </c>
      <c r="AM139" s="459">
        <v>0</v>
      </c>
      <c r="AN139" s="459"/>
      <c r="AO139" s="459">
        <v>0</v>
      </c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</row>
    <row r="140" spans="1:89" s="329" customFormat="1" ht="36" customHeight="1" x14ac:dyDescent="0.25">
      <c r="A140" s="329">
        <v>1</v>
      </c>
      <c r="B140" s="39">
        <f>SUBTOTAL(103,$A$16:A140)</f>
        <v>124</v>
      </c>
      <c r="C140" s="33" t="s">
        <v>1126</v>
      </c>
      <c r="D140" s="330">
        <v>1956</v>
      </c>
      <c r="E140" s="330"/>
      <c r="F140" s="331" t="s">
        <v>1990</v>
      </c>
      <c r="G140" s="330">
        <v>2</v>
      </c>
      <c r="H140" s="330" t="s">
        <v>56</v>
      </c>
      <c r="I140" s="38">
        <v>672.3</v>
      </c>
      <c r="J140" s="38">
        <v>672.3</v>
      </c>
      <c r="K140" s="38">
        <v>577.9</v>
      </c>
      <c r="L140" s="332">
        <v>17</v>
      </c>
      <c r="M140" s="330" t="s">
        <v>46</v>
      </c>
      <c r="N140" s="330" t="s">
        <v>47</v>
      </c>
      <c r="O140" s="333" t="s">
        <v>49</v>
      </c>
      <c r="P140" s="38">
        <v>1755092.12</v>
      </c>
      <c r="Q140" s="38">
        <v>0</v>
      </c>
      <c r="R140" s="38">
        <v>0</v>
      </c>
      <c r="S140" s="38">
        <f t="shared" si="12"/>
        <v>1755092.12</v>
      </c>
      <c r="T140" s="38">
        <f t="shared" si="6"/>
        <v>2610.5787892309986</v>
      </c>
      <c r="U140" s="38">
        <v>8884.540477465418</v>
      </c>
      <c r="V140" s="458">
        <f t="shared" si="8"/>
        <v>6273.9616882344199</v>
      </c>
      <c r="W140" s="458">
        <f t="shared" si="13"/>
        <v>1081.8399999999999</v>
      </c>
      <c r="X140" s="458">
        <v>101.55</v>
      </c>
      <c r="Y140" s="459">
        <v>0</v>
      </c>
      <c r="Z140" s="459">
        <v>0</v>
      </c>
      <c r="AA140" s="459">
        <v>184.98</v>
      </c>
      <c r="AB140" s="459">
        <v>795.31</v>
      </c>
      <c r="AC140" s="459">
        <v>0</v>
      </c>
      <c r="AD140" s="459">
        <v>0</v>
      </c>
      <c r="AE140" s="459">
        <v>0</v>
      </c>
      <c r="AF140" s="458">
        <v>0</v>
      </c>
      <c r="AG140" s="459">
        <v>0</v>
      </c>
      <c r="AH140" s="458">
        <v>0</v>
      </c>
      <c r="AI140" s="459">
        <v>0</v>
      </c>
      <c r="AJ140" s="458">
        <v>0</v>
      </c>
      <c r="AK140" s="459">
        <v>0</v>
      </c>
      <c r="AL140" s="459">
        <v>0</v>
      </c>
      <c r="AM140" s="459">
        <v>0</v>
      </c>
      <c r="AN140" s="459"/>
      <c r="AO140" s="459">
        <v>0</v>
      </c>
      <c r="AP140" s="460"/>
      <c r="AQ140" s="460"/>
      <c r="AR140" s="460"/>
      <c r="AS140" s="460"/>
      <c r="AT140" s="460"/>
      <c r="AU140" s="460"/>
      <c r="AV140" s="460"/>
      <c r="AW140" s="460"/>
      <c r="AX140" s="460"/>
      <c r="AY140" s="460"/>
      <c r="AZ140" s="460"/>
      <c r="BA140" s="460"/>
      <c r="BB140" s="460"/>
      <c r="BC140" s="460"/>
      <c r="BD140" s="460"/>
      <c r="BE140" s="460"/>
      <c r="BF140" s="460"/>
      <c r="BG140" s="460"/>
      <c r="BH140" s="460"/>
      <c r="BI140" s="460"/>
      <c r="BJ140" s="460"/>
      <c r="BK140" s="460"/>
      <c r="BL140" s="460"/>
      <c r="BM140" s="460"/>
      <c r="BN140" s="460"/>
      <c r="BO140" s="460"/>
      <c r="BP140" s="460"/>
      <c r="BQ140" s="460"/>
      <c r="BR140" s="460"/>
      <c r="BS140" s="460"/>
      <c r="BT140" s="460"/>
      <c r="BU140" s="460"/>
      <c r="BV140" s="460"/>
      <c r="BW140" s="460"/>
      <c r="BX140" s="460"/>
      <c r="BY140" s="460"/>
      <c r="BZ140" s="460"/>
      <c r="CA140" s="460"/>
      <c r="CB140" s="460"/>
      <c r="CC140" s="460"/>
      <c r="CD140" s="460"/>
      <c r="CE140" s="460"/>
      <c r="CF140" s="460"/>
      <c r="CG140" s="460"/>
      <c r="CH140" s="460"/>
      <c r="CI140" s="460"/>
      <c r="CJ140" s="460"/>
      <c r="CK140" s="460"/>
    </row>
    <row r="141" spans="1:89" s="329" customFormat="1" ht="36" customHeight="1" x14ac:dyDescent="0.25">
      <c r="A141" s="329">
        <v>1</v>
      </c>
      <c r="B141" s="39">
        <f>SUBTOTAL(103,$A$16:A141)</f>
        <v>125</v>
      </c>
      <c r="C141" s="33" t="s">
        <v>1127</v>
      </c>
      <c r="D141" s="330">
        <v>1961</v>
      </c>
      <c r="E141" s="330"/>
      <c r="F141" s="331" t="s">
        <v>48</v>
      </c>
      <c r="G141" s="330">
        <v>2</v>
      </c>
      <c r="H141" s="330" t="s">
        <v>56</v>
      </c>
      <c r="I141" s="38">
        <v>546.70000000000005</v>
      </c>
      <c r="J141" s="38">
        <v>546.70000000000005</v>
      </c>
      <c r="K141" s="38">
        <v>546.70000000000005</v>
      </c>
      <c r="L141" s="332">
        <v>45</v>
      </c>
      <c r="M141" s="330" t="s">
        <v>46</v>
      </c>
      <c r="N141" s="330" t="s">
        <v>47</v>
      </c>
      <c r="O141" s="333" t="s">
        <v>49</v>
      </c>
      <c r="P141" s="38">
        <v>1184059.1499999999</v>
      </c>
      <c r="Q141" s="38">
        <v>0</v>
      </c>
      <c r="R141" s="38">
        <v>0</v>
      </c>
      <c r="S141" s="38">
        <f t="shared" si="12"/>
        <v>1184059.1499999999</v>
      </c>
      <c r="T141" s="38">
        <f t="shared" ref="T141:T204" si="15">P141/I141</f>
        <v>2165.8297969635996</v>
      </c>
      <c r="U141" s="38">
        <v>7798.604338759832</v>
      </c>
      <c r="V141" s="458">
        <f t="shared" si="8"/>
        <v>5632.7745417962324</v>
      </c>
      <c r="W141" s="458">
        <f t="shared" si="13"/>
        <v>11459.574990488383</v>
      </c>
      <c r="X141" s="458">
        <v>0</v>
      </c>
      <c r="Y141" s="459">
        <v>0</v>
      </c>
      <c r="Z141" s="459">
        <v>0</v>
      </c>
      <c r="AA141" s="459">
        <v>0</v>
      </c>
      <c r="AB141" s="459">
        <v>0</v>
      </c>
      <c r="AC141" s="459">
        <v>0</v>
      </c>
      <c r="AD141" s="459">
        <v>0</v>
      </c>
      <c r="AE141" s="459">
        <v>0</v>
      </c>
      <c r="AF141" s="458">
        <v>0</v>
      </c>
      <c r="AG141" s="459">
        <v>0</v>
      </c>
      <c r="AH141" s="458">
        <v>0</v>
      </c>
      <c r="AI141" s="459">
        <v>802.93</v>
      </c>
      <c r="AJ141" s="458">
        <f>7802.61*AI141/I141</f>
        <v>11459.574990488383</v>
      </c>
      <c r="AK141" s="459">
        <v>0</v>
      </c>
      <c r="AL141" s="459">
        <v>0</v>
      </c>
      <c r="AM141" s="459">
        <v>0</v>
      </c>
      <c r="AN141" s="459"/>
      <c r="AO141" s="459">
        <v>0</v>
      </c>
      <c r="AP141" s="460"/>
      <c r="AQ141" s="460"/>
      <c r="AR141" s="460"/>
      <c r="AS141" s="460"/>
      <c r="AT141" s="460"/>
      <c r="AU141" s="460"/>
      <c r="AV141" s="460"/>
      <c r="AW141" s="460"/>
      <c r="AX141" s="460"/>
      <c r="AY141" s="460"/>
      <c r="AZ141" s="460"/>
      <c r="BA141" s="460"/>
      <c r="BB141" s="460"/>
      <c r="BC141" s="460"/>
      <c r="BD141" s="460"/>
      <c r="BE141" s="460"/>
      <c r="BF141" s="460"/>
      <c r="BG141" s="460"/>
      <c r="BH141" s="460"/>
      <c r="BI141" s="460"/>
      <c r="BJ141" s="460"/>
      <c r="BK141" s="460"/>
      <c r="BL141" s="460"/>
      <c r="BM141" s="460"/>
      <c r="BN141" s="460"/>
      <c r="BO141" s="460"/>
      <c r="BP141" s="460"/>
      <c r="BQ141" s="460"/>
      <c r="BR141" s="460"/>
      <c r="BS141" s="460"/>
      <c r="BT141" s="460"/>
      <c r="BU141" s="460"/>
      <c r="BV141" s="460"/>
      <c r="BW141" s="460"/>
      <c r="BX141" s="460"/>
      <c r="BY141" s="460"/>
      <c r="BZ141" s="460"/>
      <c r="CA141" s="460"/>
      <c r="CB141" s="460"/>
      <c r="CC141" s="460"/>
      <c r="CD141" s="460"/>
      <c r="CE141" s="460"/>
      <c r="CF141" s="460"/>
      <c r="CG141" s="460"/>
      <c r="CH141" s="460"/>
      <c r="CI141" s="460"/>
      <c r="CJ141" s="460"/>
      <c r="CK141" s="460"/>
    </row>
    <row r="142" spans="1:89" s="329" customFormat="1" ht="36" customHeight="1" x14ac:dyDescent="0.25">
      <c r="A142" s="329">
        <v>1</v>
      </c>
      <c r="B142" s="39">
        <f>SUBTOTAL(103,$A$16:A142)</f>
        <v>126</v>
      </c>
      <c r="C142" s="33" t="s">
        <v>1128</v>
      </c>
      <c r="D142" s="330">
        <v>1993</v>
      </c>
      <c r="E142" s="330">
        <v>2016</v>
      </c>
      <c r="F142" s="331" t="s">
        <v>1991</v>
      </c>
      <c r="G142" s="330">
        <v>9</v>
      </c>
      <c r="H142" s="330" t="s">
        <v>59</v>
      </c>
      <c r="I142" s="38">
        <v>9105.2999999999993</v>
      </c>
      <c r="J142" s="38">
        <v>9105.2999999999993</v>
      </c>
      <c r="K142" s="38">
        <v>9105.2999999999993</v>
      </c>
      <c r="L142" s="332">
        <v>293</v>
      </c>
      <c r="M142" s="330" t="s">
        <v>46</v>
      </c>
      <c r="N142" s="330" t="s">
        <v>71</v>
      </c>
      <c r="O142" s="333" t="s">
        <v>1992</v>
      </c>
      <c r="P142" s="38">
        <v>5593558.4000000004</v>
      </c>
      <c r="Q142" s="38">
        <v>0</v>
      </c>
      <c r="R142" s="38">
        <v>0</v>
      </c>
      <c r="S142" s="38">
        <f t="shared" si="12"/>
        <v>5593558.4000000004</v>
      </c>
      <c r="T142" s="38">
        <f t="shared" si="15"/>
        <v>614.31895709092521</v>
      </c>
      <c r="U142" s="38">
        <v>1079.7227988094846</v>
      </c>
      <c r="V142" s="458">
        <f t="shared" si="8"/>
        <v>465.40384171855942</v>
      </c>
      <c r="W142" s="458">
        <f t="shared" si="13"/>
        <v>468.24343975486812</v>
      </c>
      <c r="X142" s="458">
        <v>0</v>
      </c>
      <c r="Y142" s="459">
        <v>0</v>
      </c>
      <c r="Z142" s="459">
        <v>0</v>
      </c>
      <c r="AA142" s="459">
        <v>0</v>
      </c>
      <c r="AB142" s="459">
        <v>0</v>
      </c>
      <c r="AC142" s="459">
        <v>0</v>
      </c>
      <c r="AD142" s="459">
        <v>0</v>
      </c>
      <c r="AE142" s="459">
        <v>0</v>
      </c>
      <c r="AF142" s="458">
        <v>0</v>
      </c>
      <c r="AG142" s="459">
        <v>0</v>
      </c>
      <c r="AH142" s="458">
        <v>0</v>
      </c>
      <c r="AI142" s="459">
        <v>573.12</v>
      </c>
      <c r="AJ142" s="458">
        <f>7439.1*AI142/I142</f>
        <v>468.24343975486812</v>
      </c>
      <c r="AK142" s="459">
        <v>0</v>
      </c>
      <c r="AL142" s="459">
        <v>0</v>
      </c>
      <c r="AM142" s="459">
        <v>0</v>
      </c>
      <c r="AN142" s="459"/>
      <c r="AO142" s="459">
        <v>0</v>
      </c>
      <c r="AP142" s="460"/>
      <c r="AQ142" s="460"/>
      <c r="AR142" s="460"/>
      <c r="AS142" s="460"/>
      <c r="AT142" s="460"/>
      <c r="AU142" s="460"/>
      <c r="AV142" s="460"/>
      <c r="AW142" s="460"/>
      <c r="AX142" s="460"/>
      <c r="AY142" s="460"/>
      <c r="AZ142" s="460"/>
      <c r="BA142" s="460"/>
      <c r="BB142" s="460"/>
      <c r="BC142" s="460"/>
      <c r="BD142" s="460"/>
      <c r="BE142" s="460"/>
      <c r="BF142" s="460"/>
      <c r="BG142" s="460"/>
      <c r="BH142" s="460"/>
      <c r="BI142" s="460"/>
      <c r="BJ142" s="460"/>
      <c r="BK142" s="460"/>
      <c r="BL142" s="460"/>
      <c r="BM142" s="460"/>
      <c r="BN142" s="460"/>
      <c r="BO142" s="460"/>
      <c r="BP142" s="460"/>
      <c r="BQ142" s="460"/>
      <c r="BR142" s="460"/>
      <c r="BS142" s="460"/>
      <c r="BT142" s="460"/>
      <c r="BU142" s="460"/>
      <c r="BV142" s="460"/>
      <c r="BW142" s="460"/>
      <c r="BX142" s="460"/>
      <c r="BY142" s="460"/>
      <c r="BZ142" s="460"/>
      <c r="CA142" s="460"/>
      <c r="CB142" s="460"/>
      <c r="CC142" s="460"/>
      <c r="CD142" s="460"/>
      <c r="CE142" s="460"/>
      <c r="CF142" s="460"/>
      <c r="CG142" s="460"/>
      <c r="CH142" s="460"/>
      <c r="CI142" s="460"/>
      <c r="CJ142" s="460"/>
      <c r="CK142" s="460"/>
    </row>
    <row r="143" spans="1:89" s="329" customFormat="1" ht="36" customHeight="1" x14ac:dyDescent="0.25">
      <c r="A143" s="329">
        <v>1</v>
      </c>
      <c r="B143" s="39">
        <f>SUBTOTAL(103,$A$16:A143)</f>
        <v>127</v>
      </c>
      <c r="C143" s="33" t="s">
        <v>1130</v>
      </c>
      <c r="D143" s="330">
        <v>1977</v>
      </c>
      <c r="E143" s="330">
        <v>2014</v>
      </c>
      <c r="F143" s="331" t="s">
        <v>48</v>
      </c>
      <c r="G143" s="330">
        <v>5</v>
      </c>
      <c r="H143" s="330" t="s">
        <v>59</v>
      </c>
      <c r="I143" s="38">
        <v>3912.3</v>
      </c>
      <c r="J143" s="38">
        <v>3639.1</v>
      </c>
      <c r="K143" s="38">
        <v>2732.3</v>
      </c>
      <c r="L143" s="332">
        <v>140</v>
      </c>
      <c r="M143" s="330" t="s">
        <v>46</v>
      </c>
      <c r="N143" s="330" t="s">
        <v>50</v>
      </c>
      <c r="O143" s="333" t="s">
        <v>1988</v>
      </c>
      <c r="P143" s="38">
        <v>1062143.8500000001</v>
      </c>
      <c r="Q143" s="38">
        <v>0</v>
      </c>
      <c r="R143" s="38">
        <v>0</v>
      </c>
      <c r="S143" s="38">
        <f t="shared" si="12"/>
        <v>1062143.8500000001</v>
      </c>
      <c r="T143" s="38">
        <f t="shared" si="15"/>
        <v>271.48834445211259</v>
      </c>
      <c r="U143" s="38">
        <v>1009.72</v>
      </c>
      <c r="V143" s="458">
        <f t="shared" si="8"/>
        <v>738.23165554788739</v>
      </c>
      <c r="W143" s="458">
        <f t="shared" si="13"/>
        <v>2512.8952278710731</v>
      </c>
      <c r="X143" s="458">
        <v>0</v>
      </c>
      <c r="Y143" s="459">
        <v>0</v>
      </c>
      <c r="Z143" s="459">
        <v>0</v>
      </c>
      <c r="AA143" s="459">
        <v>0</v>
      </c>
      <c r="AB143" s="459">
        <v>0</v>
      </c>
      <c r="AC143" s="459">
        <v>4</v>
      </c>
      <c r="AD143" s="458">
        <f>2457800*AC143/I143</f>
        <v>2512.8952278710731</v>
      </c>
      <c r="AE143" s="459">
        <v>0</v>
      </c>
      <c r="AF143" s="458">
        <v>0</v>
      </c>
      <c r="AG143" s="459">
        <v>0</v>
      </c>
      <c r="AH143" s="458">
        <v>0</v>
      </c>
      <c r="AI143" s="459">
        <v>0</v>
      </c>
      <c r="AJ143" s="458">
        <v>0</v>
      </c>
      <c r="AK143" s="459">
        <v>0</v>
      </c>
      <c r="AL143" s="459">
        <v>0</v>
      </c>
      <c r="AM143" s="459">
        <v>0</v>
      </c>
      <c r="AN143" s="459"/>
      <c r="AO143" s="459">
        <v>0</v>
      </c>
      <c r="AP143" s="460"/>
      <c r="AQ143" s="460"/>
      <c r="AR143" s="460"/>
      <c r="AS143" s="460"/>
      <c r="AT143" s="460"/>
      <c r="AU143" s="460"/>
      <c r="AV143" s="460"/>
      <c r="AW143" s="460"/>
      <c r="AX143" s="460"/>
      <c r="AY143" s="460"/>
      <c r="AZ143" s="460"/>
      <c r="BA143" s="460"/>
      <c r="BB143" s="460"/>
      <c r="BC143" s="460"/>
      <c r="BD143" s="460"/>
      <c r="BE143" s="460"/>
      <c r="BF143" s="460"/>
      <c r="BG143" s="460"/>
      <c r="BH143" s="460"/>
      <c r="BI143" s="460"/>
      <c r="BJ143" s="460"/>
      <c r="BK143" s="460"/>
      <c r="BL143" s="460"/>
      <c r="BM143" s="460"/>
      <c r="BN143" s="460"/>
      <c r="BO143" s="460"/>
      <c r="BP143" s="460"/>
      <c r="BQ143" s="460"/>
      <c r="BR143" s="460"/>
      <c r="BS143" s="460"/>
      <c r="BT143" s="460"/>
      <c r="BU143" s="460"/>
      <c r="BV143" s="460"/>
      <c r="BW143" s="460"/>
      <c r="BX143" s="460"/>
      <c r="BY143" s="460"/>
      <c r="BZ143" s="460"/>
      <c r="CA143" s="460"/>
      <c r="CB143" s="460"/>
      <c r="CC143" s="460"/>
      <c r="CD143" s="460"/>
      <c r="CE143" s="460"/>
      <c r="CF143" s="460"/>
      <c r="CG143" s="460"/>
      <c r="CH143" s="460"/>
      <c r="CI143" s="460"/>
      <c r="CJ143" s="460"/>
      <c r="CK143" s="460"/>
    </row>
    <row r="144" spans="1:89" s="329" customFormat="1" ht="36" customHeight="1" x14ac:dyDescent="0.25">
      <c r="A144" s="329">
        <v>1</v>
      </c>
      <c r="B144" s="39">
        <f>SUBTOTAL(103,$A$16:A144)</f>
        <v>128</v>
      </c>
      <c r="C144" s="33" t="s">
        <v>1132</v>
      </c>
      <c r="D144" s="330">
        <v>1970</v>
      </c>
      <c r="E144" s="330"/>
      <c r="F144" s="331" t="s">
        <v>48</v>
      </c>
      <c r="G144" s="330">
        <v>5</v>
      </c>
      <c r="H144" s="330" t="s">
        <v>59</v>
      </c>
      <c r="I144" s="38">
        <v>3635.4</v>
      </c>
      <c r="J144" s="38">
        <v>3360</v>
      </c>
      <c r="K144" s="38">
        <v>3247.2</v>
      </c>
      <c r="L144" s="332">
        <v>167</v>
      </c>
      <c r="M144" s="330" t="s">
        <v>46</v>
      </c>
      <c r="N144" s="330" t="s">
        <v>50</v>
      </c>
      <c r="O144" s="333" t="s">
        <v>1993</v>
      </c>
      <c r="P144" s="38">
        <v>1542936.46</v>
      </c>
      <c r="Q144" s="38">
        <v>0</v>
      </c>
      <c r="R144" s="38">
        <v>0</v>
      </c>
      <c r="S144" s="38">
        <f t="shared" si="12"/>
        <v>1542936.46</v>
      </c>
      <c r="T144" s="38">
        <f t="shared" si="15"/>
        <v>424.41999779941682</v>
      </c>
      <c r="U144" s="38">
        <v>1272.47</v>
      </c>
      <c r="V144" s="458">
        <f t="shared" si="8"/>
        <v>848.05000220058321</v>
      </c>
      <c r="W144" s="458">
        <f t="shared" si="13"/>
        <v>1081.8399999999999</v>
      </c>
      <c r="X144" s="458">
        <v>101.55</v>
      </c>
      <c r="Y144" s="459">
        <v>0</v>
      </c>
      <c r="Z144" s="459">
        <v>0</v>
      </c>
      <c r="AA144" s="459">
        <v>184.98</v>
      </c>
      <c r="AB144" s="459">
        <v>795.31</v>
      </c>
      <c r="AC144" s="459">
        <v>0</v>
      </c>
      <c r="AD144" s="459">
        <v>0</v>
      </c>
      <c r="AE144" s="459">
        <v>0</v>
      </c>
      <c r="AF144" s="458">
        <v>0</v>
      </c>
      <c r="AG144" s="459">
        <v>0</v>
      </c>
      <c r="AH144" s="458">
        <v>0</v>
      </c>
      <c r="AI144" s="459">
        <v>0</v>
      </c>
      <c r="AJ144" s="458">
        <v>0</v>
      </c>
      <c r="AK144" s="459">
        <v>0</v>
      </c>
      <c r="AL144" s="459">
        <v>0</v>
      </c>
      <c r="AM144" s="459">
        <v>0</v>
      </c>
      <c r="AN144" s="459"/>
      <c r="AO144" s="459">
        <v>0</v>
      </c>
      <c r="AP144" s="460"/>
      <c r="AQ144" s="460"/>
      <c r="AR144" s="460"/>
      <c r="AS144" s="460"/>
      <c r="AT144" s="460"/>
      <c r="AU144" s="460"/>
      <c r="AV144" s="460"/>
      <c r="AW144" s="460"/>
      <c r="AX144" s="460"/>
      <c r="AY144" s="460"/>
      <c r="AZ144" s="460"/>
      <c r="BA144" s="460"/>
      <c r="BB144" s="460"/>
      <c r="BC144" s="460"/>
      <c r="BD144" s="460"/>
      <c r="BE144" s="460"/>
      <c r="BF144" s="460"/>
      <c r="BG144" s="460"/>
      <c r="BH144" s="460"/>
      <c r="BI144" s="460"/>
      <c r="BJ144" s="460"/>
      <c r="BK144" s="460"/>
      <c r="BL144" s="460"/>
      <c r="BM144" s="460"/>
      <c r="BN144" s="460"/>
      <c r="BO144" s="460"/>
      <c r="BP144" s="460"/>
      <c r="BQ144" s="460"/>
      <c r="BR144" s="460"/>
      <c r="BS144" s="460"/>
      <c r="BT144" s="460"/>
      <c r="BU144" s="460"/>
      <c r="BV144" s="460"/>
      <c r="BW144" s="460"/>
      <c r="BX144" s="460"/>
      <c r="BY144" s="460"/>
      <c r="BZ144" s="460"/>
      <c r="CA144" s="460"/>
      <c r="CB144" s="460"/>
      <c r="CC144" s="460"/>
      <c r="CD144" s="460"/>
      <c r="CE144" s="460"/>
      <c r="CF144" s="460"/>
      <c r="CG144" s="460"/>
      <c r="CH144" s="460"/>
      <c r="CI144" s="460"/>
      <c r="CJ144" s="460"/>
      <c r="CK144" s="460"/>
    </row>
    <row r="145" spans="1:89" s="329" customFormat="1" ht="36" customHeight="1" x14ac:dyDescent="0.25">
      <c r="A145" s="329">
        <v>1</v>
      </c>
      <c r="B145" s="39">
        <f>SUBTOTAL(103,$A$16:A145)</f>
        <v>129</v>
      </c>
      <c r="C145" s="33" t="s">
        <v>1134</v>
      </c>
      <c r="D145" s="330">
        <v>1985</v>
      </c>
      <c r="E145" s="330">
        <v>2014</v>
      </c>
      <c r="F145" s="331" t="s">
        <v>48</v>
      </c>
      <c r="G145" s="330">
        <v>9</v>
      </c>
      <c r="H145" s="330" t="s">
        <v>61</v>
      </c>
      <c r="I145" s="38">
        <v>7073.4</v>
      </c>
      <c r="J145" s="38">
        <v>6236.1</v>
      </c>
      <c r="K145" s="38">
        <v>5330.6</v>
      </c>
      <c r="L145" s="332">
        <v>229</v>
      </c>
      <c r="M145" s="330" t="s">
        <v>46</v>
      </c>
      <c r="N145" s="330" t="s">
        <v>50</v>
      </c>
      <c r="O145" s="333" t="s">
        <v>1993</v>
      </c>
      <c r="P145" s="38">
        <v>285579.52000000002</v>
      </c>
      <c r="Q145" s="38">
        <v>0</v>
      </c>
      <c r="R145" s="38">
        <v>0</v>
      </c>
      <c r="S145" s="38">
        <f t="shared" si="12"/>
        <v>285579.52000000002</v>
      </c>
      <c r="T145" s="38">
        <f t="shared" si="15"/>
        <v>40.373726920575685</v>
      </c>
      <c r="U145" s="38">
        <v>86.17</v>
      </c>
      <c r="V145" s="458">
        <f t="shared" ref="V145:V208" si="16">U145-T145</f>
        <v>45.796273079424317</v>
      </c>
      <c r="W145" s="458">
        <f t="shared" si="13"/>
        <v>4586.9399999999996</v>
      </c>
      <c r="X145" s="458">
        <v>101.55</v>
      </c>
      <c r="Y145" s="459">
        <v>245.44</v>
      </c>
      <c r="Z145" s="459">
        <v>3259.66</v>
      </c>
      <c r="AA145" s="459">
        <v>184.98</v>
      </c>
      <c r="AB145" s="459">
        <v>795.31</v>
      </c>
      <c r="AC145" s="459">
        <v>0</v>
      </c>
      <c r="AD145" s="459">
        <v>0</v>
      </c>
      <c r="AE145" s="459">
        <v>0</v>
      </c>
      <c r="AF145" s="458">
        <v>0</v>
      </c>
      <c r="AG145" s="459">
        <v>0</v>
      </c>
      <c r="AH145" s="458">
        <v>0</v>
      </c>
      <c r="AI145" s="459">
        <v>0</v>
      </c>
      <c r="AJ145" s="458">
        <v>0</v>
      </c>
      <c r="AK145" s="459">
        <v>0</v>
      </c>
      <c r="AL145" s="459">
        <v>0</v>
      </c>
      <c r="AM145" s="459">
        <v>0</v>
      </c>
      <c r="AN145" s="459"/>
      <c r="AO145" s="459">
        <v>0</v>
      </c>
      <c r="AP145" s="460"/>
      <c r="AQ145" s="460"/>
      <c r="AR145" s="460"/>
      <c r="AS145" s="460"/>
      <c r="AT145" s="460"/>
      <c r="AU145" s="460"/>
      <c r="AV145" s="460"/>
      <c r="AW145" s="460"/>
      <c r="AX145" s="460"/>
      <c r="AY145" s="460"/>
      <c r="AZ145" s="460"/>
      <c r="BA145" s="460"/>
      <c r="BB145" s="460"/>
      <c r="BC145" s="460"/>
      <c r="BD145" s="460"/>
      <c r="BE145" s="460"/>
      <c r="BF145" s="460"/>
      <c r="BG145" s="460"/>
      <c r="BH145" s="460"/>
      <c r="BI145" s="460"/>
      <c r="BJ145" s="460"/>
      <c r="BK145" s="460"/>
      <c r="BL145" s="460"/>
      <c r="BM145" s="460"/>
      <c r="BN145" s="460"/>
      <c r="BO145" s="460"/>
      <c r="BP145" s="460"/>
      <c r="BQ145" s="460"/>
      <c r="BR145" s="460"/>
      <c r="BS145" s="460"/>
      <c r="BT145" s="460"/>
      <c r="BU145" s="460"/>
      <c r="BV145" s="460"/>
      <c r="BW145" s="460"/>
      <c r="BX145" s="460"/>
      <c r="BY145" s="460"/>
      <c r="BZ145" s="460"/>
      <c r="CA145" s="460"/>
      <c r="CB145" s="460"/>
      <c r="CC145" s="460"/>
      <c r="CD145" s="460"/>
      <c r="CE145" s="460"/>
      <c r="CF145" s="460"/>
      <c r="CG145" s="460"/>
      <c r="CH145" s="460"/>
      <c r="CI145" s="460"/>
      <c r="CJ145" s="460"/>
      <c r="CK145" s="460"/>
    </row>
    <row r="146" spans="1:89" s="329" customFormat="1" ht="36" customHeight="1" x14ac:dyDescent="0.25">
      <c r="A146" s="329">
        <v>1</v>
      </c>
      <c r="B146" s="39">
        <f>SUBTOTAL(103,$A$16:A146)</f>
        <v>130</v>
      </c>
      <c r="C146" s="33" t="s">
        <v>994</v>
      </c>
      <c r="D146" s="330">
        <v>1966</v>
      </c>
      <c r="E146" s="330"/>
      <c r="F146" s="331" t="s">
        <v>48</v>
      </c>
      <c r="G146" s="330">
        <v>2</v>
      </c>
      <c r="H146" s="330" t="s">
        <v>56</v>
      </c>
      <c r="I146" s="38">
        <v>787.5</v>
      </c>
      <c r="J146" s="38">
        <v>727.8</v>
      </c>
      <c r="K146" s="38">
        <v>727.8</v>
      </c>
      <c r="L146" s="332">
        <v>35</v>
      </c>
      <c r="M146" s="330" t="s">
        <v>46</v>
      </c>
      <c r="N146" s="330" t="s">
        <v>47</v>
      </c>
      <c r="O146" s="333" t="s">
        <v>49</v>
      </c>
      <c r="P146" s="38">
        <v>2415665.65</v>
      </c>
      <c r="Q146" s="38">
        <v>0</v>
      </c>
      <c r="R146" s="38">
        <v>0</v>
      </c>
      <c r="S146" s="38">
        <f t="shared" si="12"/>
        <v>2415665.65</v>
      </c>
      <c r="T146" s="38">
        <f t="shared" si="15"/>
        <v>3067.5119365079363</v>
      </c>
      <c r="U146" s="38">
        <v>4920.7080761904763</v>
      </c>
      <c r="V146" s="458">
        <f t="shared" si="16"/>
        <v>1853.19613968254</v>
      </c>
      <c r="W146" s="458">
        <f t="shared" si="13"/>
        <v>184.98</v>
      </c>
      <c r="X146" s="458">
        <v>0</v>
      </c>
      <c r="Y146" s="459">
        <v>0</v>
      </c>
      <c r="Z146" s="459">
        <v>0</v>
      </c>
      <c r="AA146" s="459">
        <v>184.98</v>
      </c>
      <c r="AB146" s="459">
        <v>0</v>
      </c>
      <c r="AC146" s="459">
        <v>0</v>
      </c>
      <c r="AD146" s="459">
        <v>0</v>
      </c>
      <c r="AE146" s="459">
        <v>0</v>
      </c>
      <c r="AF146" s="458">
        <v>0</v>
      </c>
      <c r="AG146" s="459">
        <v>0</v>
      </c>
      <c r="AH146" s="458">
        <v>0</v>
      </c>
      <c r="AI146" s="459">
        <v>0</v>
      </c>
      <c r="AJ146" s="458">
        <v>0</v>
      </c>
      <c r="AK146" s="459">
        <v>0</v>
      </c>
      <c r="AL146" s="459">
        <v>0</v>
      </c>
      <c r="AM146" s="459">
        <v>0</v>
      </c>
      <c r="AN146" s="459"/>
      <c r="AO146" s="459">
        <v>0</v>
      </c>
      <c r="AP146" s="460"/>
      <c r="AQ146" s="460"/>
      <c r="AR146" s="460"/>
      <c r="AS146" s="460"/>
      <c r="AT146" s="460"/>
      <c r="AU146" s="460"/>
      <c r="AV146" s="460"/>
      <c r="AW146" s="460"/>
      <c r="AX146" s="460"/>
      <c r="AY146" s="460"/>
      <c r="AZ146" s="460"/>
      <c r="BA146" s="460"/>
      <c r="BB146" s="460"/>
      <c r="BC146" s="460"/>
      <c r="BD146" s="460"/>
      <c r="BE146" s="460"/>
      <c r="BF146" s="460"/>
      <c r="BG146" s="460"/>
      <c r="BH146" s="460"/>
      <c r="BI146" s="460"/>
      <c r="BJ146" s="460"/>
      <c r="BK146" s="460"/>
      <c r="BL146" s="460"/>
      <c r="BM146" s="460"/>
      <c r="BN146" s="460"/>
      <c r="BO146" s="460"/>
      <c r="BP146" s="460"/>
      <c r="BQ146" s="460"/>
      <c r="BR146" s="460"/>
      <c r="BS146" s="460"/>
      <c r="BT146" s="460"/>
      <c r="BU146" s="460"/>
      <c r="BV146" s="460"/>
      <c r="BW146" s="460"/>
      <c r="BX146" s="460"/>
      <c r="BY146" s="460"/>
      <c r="BZ146" s="460"/>
      <c r="CA146" s="460"/>
      <c r="CB146" s="460"/>
      <c r="CC146" s="460"/>
      <c r="CD146" s="460"/>
      <c r="CE146" s="460"/>
      <c r="CF146" s="460"/>
      <c r="CG146" s="460"/>
      <c r="CH146" s="460"/>
      <c r="CI146" s="460"/>
      <c r="CJ146" s="460"/>
      <c r="CK146" s="460"/>
    </row>
    <row r="147" spans="1:89" s="329" customFormat="1" ht="36" customHeight="1" x14ac:dyDescent="0.25">
      <c r="A147" s="329">
        <v>1</v>
      </c>
      <c r="B147" s="39">
        <f>SUBTOTAL(103,$A$16:A147)</f>
        <v>131</v>
      </c>
      <c r="C147" s="33" t="s">
        <v>996</v>
      </c>
      <c r="D147" s="330">
        <v>1977</v>
      </c>
      <c r="E147" s="330"/>
      <c r="F147" s="331" t="s">
        <v>63</v>
      </c>
      <c r="G147" s="330">
        <v>5</v>
      </c>
      <c r="H147" s="330" t="s">
        <v>1961</v>
      </c>
      <c r="I147" s="38">
        <v>6715.9</v>
      </c>
      <c r="J147" s="38">
        <v>6150.8</v>
      </c>
      <c r="K147" s="38">
        <v>6150.8</v>
      </c>
      <c r="L147" s="332">
        <v>309</v>
      </c>
      <c r="M147" s="330" t="s">
        <v>46</v>
      </c>
      <c r="N147" s="330" t="s">
        <v>50</v>
      </c>
      <c r="O147" s="333" t="s">
        <v>1994</v>
      </c>
      <c r="P147" s="38">
        <v>5623327.0800000001</v>
      </c>
      <c r="Q147" s="38">
        <v>0</v>
      </c>
      <c r="R147" s="38">
        <v>0</v>
      </c>
      <c r="S147" s="38">
        <f t="shared" si="12"/>
        <v>5623327.0800000001</v>
      </c>
      <c r="T147" s="38">
        <f t="shared" si="15"/>
        <v>837.31548712756296</v>
      </c>
      <c r="U147" s="38">
        <v>1395.2154124093568</v>
      </c>
      <c r="V147" s="458">
        <f t="shared" si="16"/>
        <v>557.8999252817938</v>
      </c>
      <c r="W147" s="458">
        <f t="shared" si="13"/>
        <v>575.03615152101736</v>
      </c>
      <c r="X147" s="458">
        <v>0</v>
      </c>
      <c r="Y147" s="459">
        <v>0</v>
      </c>
      <c r="Z147" s="459">
        <v>0</v>
      </c>
      <c r="AA147" s="459">
        <v>0</v>
      </c>
      <c r="AB147" s="459">
        <v>0</v>
      </c>
      <c r="AC147" s="459">
        <v>0</v>
      </c>
      <c r="AD147" s="459">
        <v>0</v>
      </c>
      <c r="AE147" s="459">
        <v>619</v>
      </c>
      <c r="AF147" s="458">
        <f>6238.91*AE147/I147</f>
        <v>575.03615152101736</v>
      </c>
      <c r="AG147" s="459">
        <v>0</v>
      </c>
      <c r="AH147" s="458">
        <v>0</v>
      </c>
      <c r="AI147" s="459">
        <v>0</v>
      </c>
      <c r="AJ147" s="458">
        <v>0</v>
      </c>
      <c r="AK147" s="459">
        <v>0</v>
      </c>
      <c r="AL147" s="459">
        <v>0</v>
      </c>
      <c r="AM147" s="459">
        <v>0</v>
      </c>
      <c r="AN147" s="459"/>
      <c r="AO147" s="459">
        <v>0</v>
      </c>
      <c r="AP147" s="460"/>
      <c r="AQ147" s="460"/>
      <c r="AR147" s="460"/>
      <c r="AS147" s="460"/>
      <c r="AT147" s="460"/>
      <c r="AU147" s="460"/>
      <c r="AV147" s="460"/>
      <c r="AW147" s="460"/>
      <c r="AX147" s="460"/>
      <c r="AY147" s="460"/>
      <c r="AZ147" s="460"/>
      <c r="BA147" s="460"/>
      <c r="BB147" s="460"/>
      <c r="BC147" s="460"/>
      <c r="BD147" s="460"/>
      <c r="BE147" s="460"/>
      <c r="BF147" s="460"/>
      <c r="BG147" s="460"/>
      <c r="BH147" s="460"/>
      <c r="BI147" s="460"/>
      <c r="BJ147" s="460"/>
      <c r="BK147" s="460"/>
      <c r="BL147" s="460"/>
      <c r="BM147" s="460"/>
      <c r="BN147" s="460"/>
      <c r="BO147" s="460"/>
      <c r="BP147" s="460"/>
      <c r="BQ147" s="460"/>
      <c r="BR147" s="460"/>
      <c r="BS147" s="460"/>
      <c r="BT147" s="460"/>
      <c r="BU147" s="460"/>
      <c r="BV147" s="460"/>
      <c r="BW147" s="460"/>
      <c r="BX147" s="460"/>
      <c r="BY147" s="460"/>
      <c r="BZ147" s="460"/>
      <c r="CA147" s="460"/>
      <c r="CB147" s="460"/>
      <c r="CC147" s="460"/>
      <c r="CD147" s="460"/>
      <c r="CE147" s="460"/>
      <c r="CF147" s="460"/>
      <c r="CG147" s="460"/>
      <c r="CH147" s="460"/>
      <c r="CI147" s="460"/>
      <c r="CJ147" s="460"/>
      <c r="CK147" s="460"/>
    </row>
    <row r="148" spans="1:89" s="329" customFormat="1" ht="36" customHeight="1" x14ac:dyDescent="0.25">
      <c r="A148" s="329">
        <v>1</v>
      </c>
      <c r="B148" s="39">
        <f>SUBTOTAL(103,$A$16:A148)</f>
        <v>132</v>
      </c>
      <c r="C148" s="33" t="s">
        <v>1135</v>
      </c>
      <c r="D148" s="330">
        <v>1970</v>
      </c>
      <c r="E148" s="330"/>
      <c r="F148" s="331" t="s">
        <v>48</v>
      </c>
      <c r="G148" s="330">
        <v>2</v>
      </c>
      <c r="H148" s="330" t="s">
        <v>56</v>
      </c>
      <c r="I148" s="38">
        <v>794.7</v>
      </c>
      <c r="J148" s="38">
        <v>737.8</v>
      </c>
      <c r="K148" s="38">
        <v>737.8</v>
      </c>
      <c r="L148" s="332">
        <v>38</v>
      </c>
      <c r="M148" s="330" t="s">
        <v>46</v>
      </c>
      <c r="N148" s="330" t="s">
        <v>47</v>
      </c>
      <c r="O148" s="333" t="s">
        <v>49</v>
      </c>
      <c r="P148" s="38">
        <v>52567.68</v>
      </c>
      <c r="Q148" s="38">
        <v>0</v>
      </c>
      <c r="R148" s="38">
        <v>0</v>
      </c>
      <c r="S148" s="38">
        <f t="shared" si="12"/>
        <v>52567.68</v>
      </c>
      <c r="T148" s="38">
        <f t="shared" si="15"/>
        <v>66.147829369573415</v>
      </c>
      <c r="U148" s="38">
        <v>66.147829369573415</v>
      </c>
      <c r="V148" s="458">
        <f t="shared" si="16"/>
        <v>0</v>
      </c>
      <c r="W148" s="458">
        <f t="shared" si="13"/>
        <v>11750.692978230778</v>
      </c>
      <c r="X148" s="458">
        <v>0</v>
      </c>
      <c r="Y148" s="459">
        <v>0</v>
      </c>
      <c r="Z148" s="459">
        <v>0</v>
      </c>
      <c r="AA148" s="459">
        <v>0</v>
      </c>
      <c r="AB148" s="459">
        <v>0</v>
      </c>
      <c r="AC148" s="459">
        <v>0</v>
      </c>
      <c r="AD148" s="459">
        <v>0</v>
      </c>
      <c r="AE148" s="459">
        <v>1496.78</v>
      </c>
      <c r="AF148" s="458">
        <f>6238.91*AE148/I148</f>
        <v>11750.692978230778</v>
      </c>
      <c r="AG148" s="459">
        <v>0</v>
      </c>
      <c r="AH148" s="458">
        <v>0</v>
      </c>
      <c r="AI148" s="459">
        <v>0</v>
      </c>
      <c r="AJ148" s="458">
        <v>0</v>
      </c>
      <c r="AK148" s="459">
        <v>0</v>
      </c>
      <c r="AL148" s="459">
        <v>0</v>
      </c>
      <c r="AM148" s="459">
        <v>0</v>
      </c>
      <c r="AN148" s="459"/>
      <c r="AO148" s="459">
        <v>0</v>
      </c>
      <c r="AP148" s="460"/>
      <c r="AQ148" s="460"/>
      <c r="AR148" s="460"/>
      <c r="AS148" s="460"/>
      <c r="AT148" s="460"/>
      <c r="AU148" s="460"/>
      <c r="AV148" s="460"/>
      <c r="AW148" s="460"/>
      <c r="AX148" s="460"/>
      <c r="AY148" s="460"/>
      <c r="AZ148" s="460"/>
      <c r="BA148" s="460"/>
      <c r="BB148" s="460"/>
      <c r="BC148" s="460"/>
      <c r="BD148" s="460"/>
      <c r="BE148" s="460"/>
      <c r="BF148" s="460"/>
      <c r="BG148" s="460"/>
      <c r="BH148" s="460"/>
      <c r="BI148" s="460"/>
      <c r="BJ148" s="460"/>
      <c r="BK148" s="460"/>
      <c r="BL148" s="460"/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0"/>
      <c r="BX148" s="460"/>
      <c r="BY148" s="460"/>
      <c r="BZ148" s="460"/>
      <c r="CA148" s="460"/>
      <c r="CB148" s="460"/>
      <c r="CC148" s="460"/>
      <c r="CD148" s="460"/>
      <c r="CE148" s="460"/>
      <c r="CF148" s="460"/>
      <c r="CG148" s="460"/>
      <c r="CH148" s="460"/>
      <c r="CI148" s="460"/>
      <c r="CJ148" s="460"/>
      <c r="CK148" s="460"/>
    </row>
    <row r="149" spans="1:89" s="329" customFormat="1" ht="36" customHeight="1" x14ac:dyDescent="0.25">
      <c r="A149" s="329">
        <v>1</v>
      </c>
      <c r="B149" s="39">
        <f>SUBTOTAL(103,$A$16:A149)</f>
        <v>133</v>
      </c>
      <c r="C149" s="33" t="s">
        <v>1136</v>
      </c>
      <c r="D149" s="330">
        <v>1978</v>
      </c>
      <c r="E149" s="330"/>
      <c r="F149" s="331" t="s">
        <v>68</v>
      </c>
      <c r="G149" s="330" t="s">
        <v>56</v>
      </c>
      <c r="H149" s="330" t="s">
        <v>61</v>
      </c>
      <c r="I149" s="38">
        <v>873.7</v>
      </c>
      <c r="J149" s="38">
        <v>873.7</v>
      </c>
      <c r="K149" s="38">
        <v>873.7</v>
      </c>
      <c r="L149" s="332">
        <v>31</v>
      </c>
      <c r="M149" s="330" t="s">
        <v>46</v>
      </c>
      <c r="N149" s="330" t="s">
        <v>47</v>
      </c>
      <c r="O149" s="333" t="s">
        <v>49</v>
      </c>
      <c r="P149" s="38">
        <v>61131.360000000001</v>
      </c>
      <c r="Q149" s="38">
        <v>0</v>
      </c>
      <c r="R149" s="38">
        <v>0</v>
      </c>
      <c r="S149" s="38">
        <f t="shared" si="12"/>
        <v>61131.360000000001</v>
      </c>
      <c r="T149" s="38">
        <f t="shared" si="15"/>
        <v>69.968364427148899</v>
      </c>
      <c r="U149" s="38">
        <v>69.968364427148899</v>
      </c>
      <c r="V149" s="458">
        <f t="shared" si="16"/>
        <v>0</v>
      </c>
      <c r="W149" s="458">
        <f>T149</f>
        <v>69.968364427148899</v>
      </c>
      <c r="X149" s="458">
        <v>0</v>
      </c>
      <c r="Y149" s="459">
        <v>0</v>
      </c>
      <c r="Z149" s="459">
        <v>0</v>
      </c>
      <c r="AA149" s="459">
        <v>0</v>
      </c>
      <c r="AB149" s="459">
        <v>0</v>
      </c>
      <c r="AC149" s="459">
        <v>0</v>
      </c>
      <c r="AD149" s="459">
        <v>0</v>
      </c>
      <c r="AE149" s="459">
        <v>625.1</v>
      </c>
      <c r="AF149" s="458">
        <f>6436.53*AE149/I149</f>
        <v>4605.098893212773</v>
      </c>
      <c r="AG149" s="459">
        <v>0</v>
      </c>
      <c r="AH149" s="458">
        <v>0</v>
      </c>
      <c r="AI149" s="459">
        <v>0</v>
      </c>
      <c r="AJ149" s="458">
        <v>0</v>
      </c>
      <c r="AK149" s="459">
        <v>0</v>
      </c>
      <c r="AL149" s="459">
        <v>0</v>
      </c>
      <c r="AM149" s="459">
        <v>0</v>
      </c>
      <c r="AN149" s="459"/>
      <c r="AO149" s="459">
        <v>0</v>
      </c>
      <c r="AP149" s="460"/>
      <c r="AQ149" s="460"/>
      <c r="AR149" s="460"/>
      <c r="AS149" s="460"/>
      <c r="AT149" s="460"/>
      <c r="AU149" s="460"/>
      <c r="AV149" s="460"/>
      <c r="AW149" s="460"/>
      <c r="AX149" s="460"/>
      <c r="AY149" s="460"/>
      <c r="AZ149" s="460"/>
      <c r="BA149" s="460"/>
      <c r="BB149" s="460"/>
      <c r="BC149" s="460"/>
      <c r="BD149" s="460"/>
      <c r="BE149" s="460"/>
      <c r="BF149" s="460"/>
      <c r="BG149" s="460"/>
      <c r="BH149" s="460"/>
      <c r="BI149" s="460"/>
      <c r="BJ149" s="460"/>
      <c r="BK149" s="460"/>
      <c r="BL149" s="460"/>
      <c r="BM149" s="460"/>
      <c r="BN149" s="460"/>
      <c r="BO149" s="460"/>
      <c r="BP149" s="460"/>
      <c r="BQ149" s="460"/>
      <c r="BR149" s="460"/>
      <c r="BS149" s="460"/>
      <c r="BT149" s="460"/>
      <c r="BU149" s="460"/>
      <c r="BV149" s="460"/>
      <c r="BW149" s="460"/>
      <c r="BX149" s="460"/>
      <c r="BY149" s="460"/>
      <c r="BZ149" s="460"/>
      <c r="CA149" s="460"/>
      <c r="CB149" s="460"/>
      <c r="CC149" s="460"/>
      <c r="CD149" s="460"/>
      <c r="CE149" s="460"/>
      <c r="CF149" s="460"/>
      <c r="CG149" s="460"/>
      <c r="CH149" s="460"/>
      <c r="CI149" s="460"/>
      <c r="CJ149" s="460"/>
      <c r="CK149" s="460"/>
    </row>
    <row r="150" spans="1:89" s="329" customFormat="1" ht="36" customHeight="1" x14ac:dyDescent="0.25">
      <c r="A150" s="329">
        <v>1</v>
      </c>
      <c r="B150" s="39">
        <f>SUBTOTAL(103,$A$16:A150)</f>
        <v>134</v>
      </c>
      <c r="C150" s="33" t="s">
        <v>1138</v>
      </c>
      <c r="D150" s="330">
        <v>1927</v>
      </c>
      <c r="E150" s="330"/>
      <c r="F150" s="331" t="s">
        <v>1981</v>
      </c>
      <c r="G150" s="330">
        <v>2</v>
      </c>
      <c r="H150" s="330" t="s">
        <v>56</v>
      </c>
      <c r="I150" s="38">
        <v>522.4</v>
      </c>
      <c r="J150" s="38">
        <v>474.6</v>
      </c>
      <c r="K150" s="38">
        <v>239.9</v>
      </c>
      <c r="L150" s="332">
        <v>7</v>
      </c>
      <c r="M150" s="330" t="s">
        <v>46</v>
      </c>
      <c r="N150" s="330" t="s">
        <v>50</v>
      </c>
      <c r="O150" s="333" t="s">
        <v>1995</v>
      </c>
      <c r="P150" s="38">
        <v>126394.06</v>
      </c>
      <c r="Q150" s="38">
        <v>0</v>
      </c>
      <c r="R150" s="38">
        <v>0</v>
      </c>
      <c r="S150" s="38">
        <f t="shared" si="12"/>
        <v>126394.06</v>
      </c>
      <c r="T150" s="38">
        <f t="shared" si="15"/>
        <v>241.9488131699847</v>
      </c>
      <c r="U150" s="38">
        <v>241.9488131699847</v>
      </c>
      <c r="V150" s="458">
        <f t="shared" si="16"/>
        <v>0</v>
      </c>
      <c r="W150" s="458">
        <f>T150</f>
        <v>241.9488131699847</v>
      </c>
      <c r="X150" s="458">
        <v>0</v>
      </c>
      <c r="Y150" s="459">
        <v>0</v>
      </c>
      <c r="Z150" s="459">
        <v>0</v>
      </c>
      <c r="AA150" s="459">
        <v>0</v>
      </c>
      <c r="AB150" s="459">
        <v>0</v>
      </c>
      <c r="AC150" s="459">
        <v>0</v>
      </c>
      <c r="AD150" s="459">
        <v>0</v>
      </c>
      <c r="AE150" s="459">
        <v>0</v>
      </c>
      <c r="AF150" s="458">
        <v>0</v>
      </c>
      <c r="AG150" s="459">
        <v>0</v>
      </c>
      <c r="AH150" s="458">
        <v>0</v>
      </c>
      <c r="AI150" s="459">
        <v>718.9</v>
      </c>
      <c r="AJ150" s="458">
        <f>3979.46*AI150/I150</f>
        <v>5476.3280895865237</v>
      </c>
      <c r="AK150" s="459">
        <v>0</v>
      </c>
      <c r="AL150" s="459">
        <v>0</v>
      </c>
      <c r="AM150" s="459">
        <v>0</v>
      </c>
      <c r="AN150" s="459"/>
      <c r="AO150" s="459">
        <v>0</v>
      </c>
      <c r="AP150" s="460"/>
      <c r="AQ150" s="460"/>
      <c r="AR150" s="460"/>
      <c r="AS150" s="460"/>
      <c r="AT150" s="460"/>
      <c r="AU150" s="460"/>
      <c r="AV150" s="460"/>
      <c r="AW150" s="460"/>
      <c r="AX150" s="460"/>
      <c r="AY150" s="460"/>
      <c r="AZ150" s="460"/>
      <c r="BA150" s="460"/>
      <c r="BB150" s="460"/>
      <c r="BC150" s="460"/>
      <c r="BD150" s="460"/>
      <c r="BE150" s="460"/>
      <c r="BF150" s="460"/>
      <c r="BG150" s="460"/>
      <c r="BH150" s="460"/>
      <c r="BI150" s="460"/>
      <c r="BJ150" s="460"/>
      <c r="BK150" s="460"/>
      <c r="BL150" s="460"/>
      <c r="BM150" s="460"/>
      <c r="BN150" s="460"/>
      <c r="BO150" s="460"/>
      <c r="BP150" s="460"/>
      <c r="BQ150" s="460"/>
      <c r="BR150" s="460"/>
      <c r="BS150" s="460"/>
      <c r="BT150" s="460"/>
      <c r="BU150" s="460"/>
      <c r="BV150" s="460"/>
      <c r="BW150" s="460"/>
      <c r="BX150" s="460"/>
      <c r="BY150" s="460"/>
      <c r="BZ150" s="460"/>
      <c r="CA150" s="460"/>
      <c r="CB150" s="460"/>
      <c r="CC150" s="460"/>
      <c r="CD150" s="460"/>
      <c r="CE150" s="460"/>
      <c r="CF150" s="460"/>
      <c r="CG150" s="460"/>
      <c r="CH150" s="460"/>
      <c r="CI150" s="460"/>
      <c r="CJ150" s="460"/>
      <c r="CK150" s="460"/>
    </row>
    <row r="151" spans="1:89" s="329" customFormat="1" ht="36" customHeight="1" x14ac:dyDescent="0.25">
      <c r="B151" s="33" t="s">
        <v>1140</v>
      </c>
      <c r="C151" s="462"/>
      <c r="D151" s="330" t="s">
        <v>131</v>
      </c>
      <c r="E151" s="330" t="s">
        <v>131</v>
      </c>
      <c r="F151" s="330" t="s">
        <v>131</v>
      </c>
      <c r="G151" s="330" t="s">
        <v>131</v>
      </c>
      <c r="H151" s="330" t="s">
        <v>131</v>
      </c>
      <c r="I151" s="334">
        <f>SUM(I152:I196)</f>
        <v>122338.65999999997</v>
      </c>
      <c r="J151" s="334">
        <f>SUM(J152:J196)</f>
        <v>104282.45000000003</v>
      </c>
      <c r="K151" s="334">
        <f>SUM(K152:K196)</f>
        <v>101660.15000000001</v>
      </c>
      <c r="L151" s="332">
        <f>SUM(L152:L196)</f>
        <v>4539</v>
      </c>
      <c r="M151" s="330" t="s">
        <v>131</v>
      </c>
      <c r="N151" s="330" t="s">
        <v>131</v>
      </c>
      <c r="O151" s="333" t="s">
        <v>131</v>
      </c>
      <c r="P151" s="334">
        <v>115734825.99000001</v>
      </c>
      <c r="Q151" s="334">
        <f>SUM(Q152:Q196)</f>
        <v>0</v>
      </c>
      <c r="R151" s="334">
        <f>SUM(R152:R196)</f>
        <v>0</v>
      </c>
      <c r="S151" s="334">
        <f>SUM(S152:S196)</f>
        <v>115734825.99000001</v>
      </c>
      <c r="T151" s="38">
        <f t="shared" si="15"/>
        <v>946.02005604769613</v>
      </c>
      <c r="U151" s="38">
        <f>MAX(U152:U196)</f>
        <v>7697.4329007017313</v>
      </c>
      <c r="V151" s="458">
        <f t="shared" si="16"/>
        <v>6751.4128446540353</v>
      </c>
      <c r="W151" s="458"/>
      <c r="X151" s="458"/>
      <c r="Y151" s="459"/>
      <c r="Z151" s="459"/>
      <c r="AA151" s="459"/>
      <c r="AB151" s="459"/>
      <c r="AC151" s="459"/>
      <c r="AD151" s="459"/>
      <c r="AE151" s="459"/>
      <c r="AF151" s="459"/>
      <c r="AG151" s="459"/>
      <c r="AH151" s="459"/>
      <c r="AI151" s="459"/>
      <c r="AJ151" s="459"/>
      <c r="AK151" s="459"/>
      <c r="AL151" s="459"/>
      <c r="AM151" s="459"/>
      <c r="AN151" s="459"/>
      <c r="AO151" s="459"/>
      <c r="AP151" s="460"/>
      <c r="AQ151" s="460"/>
      <c r="AR151" s="460"/>
      <c r="AS151" s="460"/>
      <c r="AT151" s="460"/>
      <c r="AU151" s="460"/>
      <c r="AV151" s="460"/>
      <c r="AW151" s="460"/>
      <c r="AX151" s="460"/>
      <c r="AY151" s="460"/>
      <c r="AZ151" s="460"/>
      <c r="BA151" s="460"/>
      <c r="BB151" s="460"/>
      <c r="BC151" s="460"/>
      <c r="BD151" s="460"/>
      <c r="BE151" s="460"/>
      <c r="BF151" s="460"/>
      <c r="BG151" s="460"/>
      <c r="BH151" s="460"/>
      <c r="BI151" s="460"/>
      <c r="BJ151" s="460"/>
      <c r="BK151" s="460"/>
      <c r="BL151" s="460"/>
      <c r="BM151" s="460"/>
      <c r="BN151" s="460"/>
      <c r="BO151" s="460"/>
      <c r="BP151" s="460"/>
      <c r="BQ151" s="460"/>
      <c r="BR151" s="460"/>
      <c r="BS151" s="460"/>
      <c r="BT151" s="460"/>
      <c r="BU151" s="460"/>
      <c r="BV151" s="460"/>
      <c r="BW151" s="460"/>
      <c r="BX151" s="460"/>
      <c r="BY151" s="460"/>
      <c r="BZ151" s="460"/>
      <c r="CA151" s="460"/>
      <c r="CB151" s="460"/>
      <c r="CC151" s="460"/>
      <c r="CD151" s="460"/>
      <c r="CE151" s="460"/>
      <c r="CF151" s="460"/>
      <c r="CG151" s="460"/>
      <c r="CH151" s="460"/>
      <c r="CI151" s="460"/>
      <c r="CJ151" s="460"/>
      <c r="CK151" s="460"/>
    </row>
    <row r="152" spans="1:89" s="329" customFormat="1" ht="36" customHeight="1" x14ac:dyDescent="0.25">
      <c r="A152" s="329">
        <v>1</v>
      </c>
      <c r="B152" s="39">
        <f>SUBTOTAL(103,$A$16:A152)</f>
        <v>135</v>
      </c>
      <c r="C152" s="33" t="s">
        <v>1142</v>
      </c>
      <c r="D152" s="330">
        <v>1974</v>
      </c>
      <c r="E152" s="330"/>
      <c r="F152" s="331" t="s">
        <v>60</v>
      </c>
      <c r="G152" s="330">
        <v>5</v>
      </c>
      <c r="H152" s="330" t="s">
        <v>1969</v>
      </c>
      <c r="I152" s="38">
        <v>4987.2</v>
      </c>
      <c r="J152" s="38">
        <v>4580.7</v>
      </c>
      <c r="K152" s="38">
        <v>4580.7</v>
      </c>
      <c r="L152" s="332">
        <v>117</v>
      </c>
      <c r="M152" s="330" t="s">
        <v>46</v>
      </c>
      <c r="N152" s="330" t="s">
        <v>50</v>
      </c>
      <c r="O152" s="333" t="s">
        <v>65</v>
      </c>
      <c r="P152" s="38">
        <v>2649277.08</v>
      </c>
      <c r="Q152" s="38">
        <v>0</v>
      </c>
      <c r="R152" s="38">
        <v>0</v>
      </c>
      <c r="S152" s="38">
        <f t="shared" ref="S152:S186" si="17">P152-Q152-R152</f>
        <v>2649277.08</v>
      </c>
      <c r="T152" s="38">
        <f t="shared" si="15"/>
        <v>531.21532723772862</v>
      </c>
      <c r="U152" s="38">
        <v>1392.0487460298364</v>
      </c>
      <c r="V152" s="458">
        <f t="shared" si="16"/>
        <v>860.83341879210775</v>
      </c>
      <c r="W152" s="458">
        <f t="shared" ref="W152:W196" si="18">X152+Y152+Z152+AA152+AB152+AD152+AF152+AH152+AJ152+AL152+AN152+AO152</f>
        <v>1387.3168134023099</v>
      </c>
      <c r="X152" s="458">
        <v>0</v>
      </c>
      <c r="Y152" s="459">
        <v>0</v>
      </c>
      <c r="Z152" s="459">
        <v>0</v>
      </c>
      <c r="AA152" s="459">
        <v>0</v>
      </c>
      <c r="AB152" s="459">
        <v>0</v>
      </c>
      <c r="AC152" s="459">
        <v>0</v>
      </c>
      <c r="AD152" s="459">
        <v>0</v>
      </c>
      <c r="AE152" s="459">
        <v>1108.98</v>
      </c>
      <c r="AF152" s="458">
        <f>6238.91*AE152/I152</f>
        <v>1387.3168134023099</v>
      </c>
      <c r="AG152" s="459">
        <v>0</v>
      </c>
      <c r="AH152" s="458">
        <v>0</v>
      </c>
      <c r="AI152" s="459">
        <v>0</v>
      </c>
      <c r="AJ152" s="458">
        <v>0</v>
      </c>
      <c r="AK152" s="459">
        <v>0</v>
      </c>
      <c r="AL152" s="459">
        <v>0</v>
      </c>
      <c r="AM152" s="459">
        <v>0</v>
      </c>
      <c r="AN152" s="459"/>
      <c r="AO152" s="459">
        <v>0</v>
      </c>
      <c r="AP152" s="460"/>
      <c r="AQ152" s="460"/>
      <c r="AR152" s="460"/>
      <c r="AS152" s="460"/>
      <c r="AT152" s="460"/>
      <c r="AU152" s="460"/>
      <c r="AV152" s="460"/>
      <c r="AW152" s="460"/>
      <c r="AX152" s="460"/>
      <c r="AY152" s="460"/>
      <c r="AZ152" s="460"/>
      <c r="BA152" s="460"/>
      <c r="BB152" s="460"/>
      <c r="BC152" s="460"/>
      <c r="BD152" s="460"/>
      <c r="BE152" s="460"/>
      <c r="BF152" s="460"/>
      <c r="BG152" s="460"/>
      <c r="BH152" s="460"/>
      <c r="BI152" s="460"/>
      <c r="BJ152" s="460"/>
      <c r="BK152" s="460"/>
      <c r="BL152" s="460"/>
      <c r="BM152" s="460"/>
      <c r="BN152" s="460"/>
      <c r="BO152" s="460"/>
      <c r="BP152" s="460"/>
      <c r="BQ152" s="460"/>
      <c r="BR152" s="460"/>
      <c r="BS152" s="460"/>
      <c r="BT152" s="460"/>
      <c r="BU152" s="460"/>
      <c r="BV152" s="460"/>
      <c r="BW152" s="460"/>
      <c r="BX152" s="460"/>
      <c r="BY152" s="460"/>
      <c r="BZ152" s="460"/>
      <c r="CA152" s="460"/>
      <c r="CB152" s="460"/>
      <c r="CC152" s="460"/>
      <c r="CD152" s="460"/>
      <c r="CE152" s="460"/>
      <c r="CF152" s="460"/>
      <c r="CG152" s="460"/>
      <c r="CH152" s="460"/>
      <c r="CI152" s="460"/>
      <c r="CJ152" s="460"/>
      <c r="CK152" s="460"/>
    </row>
    <row r="153" spans="1:89" s="329" customFormat="1" ht="36" customHeight="1" x14ac:dyDescent="0.25">
      <c r="A153" s="329">
        <v>1</v>
      </c>
      <c r="B153" s="39">
        <f>SUBTOTAL(103,$A$16:A153)</f>
        <v>136</v>
      </c>
      <c r="C153" s="33" t="s">
        <v>1144</v>
      </c>
      <c r="D153" s="330">
        <v>1975</v>
      </c>
      <c r="E153" s="330"/>
      <c r="F153" s="331" t="s">
        <v>60</v>
      </c>
      <c r="G153" s="330">
        <v>5</v>
      </c>
      <c r="H153" s="330" t="s">
        <v>1961</v>
      </c>
      <c r="I153" s="38">
        <v>6679</v>
      </c>
      <c r="J153" s="38">
        <v>6109.3</v>
      </c>
      <c r="K153" s="38">
        <v>6109.3</v>
      </c>
      <c r="L153" s="332">
        <v>285</v>
      </c>
      <c r="M153" s="330" t="s">
        <v>46</v>
      </c>
      <c r="N153" s="330" t="s">
        <v>50</v>
      </c>
      <c r="O153" s="333" t="s">
        <v>1996</v>
      </c>
      <c r="P153" s="38">
        <v>2599693.37</v>
      </c>
      <c r="Q153" s="38">
        <v>0</v>
      </c>
      <c r="R153" s="38">
        <v>0</v>
      </c>
      <c r="S153" s="38">
        <f t="shared" si="17"/>
        <v>2599693.37</v>
      </c>
      <c r="T153" s="38">
        <f t="shared" si="15"/>
        <v>389.23392274292559</v>
      </c>
      <c r="U153" s="38">
        <v>3635.5</v>
      </c>
      <c r="V153" s="458">
        <f t="shared" si="16"/>
        <v>3246.2660772570744</v>
      </c>
      <c r="W153" s="458">
        <f t="shared" si="18"/>
        <v>3606.6499999999996</v>
      </c>
      <c r="X153" s="458">
        <v>101.55</v>
      </c>
      <c r="Y153" s="459">
        <v>245.44</v>
      </c>
      <c r="Z153" s="459">
        <v>3259.66</v>
      </c>
      <c r="AA153" s="459">
        <v>0</v>
      </c>
      <c r="AB153" s="459">
        <v>0</v>
      </c>
      <c r="AC153" s="459">
        <v>0</v>
      </c>
      <c r="AD153" s="459">
        <v>0</v>
      </c>
      <c r="AE153" s="459">
        <v>0</v>
      </c>
      <c r="AF153" s="458">
        <v>0</v>
      </c>
      <c r="AG153" s="459">
        <v>0</v>
      </c>
      <c r="AH153" s="458">
        <v>0</v>
      </c>
      <c r="AI153" s="459">
        <v>0</v>
      </c>
      <c r="AJ153" s="458">
        <v>0</v>
      </c>
      <c r="AK153" s="459">
        <v>0</v>
      </c>
      <c r="AL153" s="459">
        <v>0</v>
      </c>
      <c r="AM153" s="459">
        <v>0</v>
      </c>
      <c r="AN153" s="459"/>
      <c r="AO153" s="459">
        <v>0</v>
      </c>
      <c r="AP153" s="460"/>
      <c r="AQ153" s="460"/>
      <c r="AR153" s="460"/>
      <c r="AS153" s="460"/>
      <c r="AT153" s="460"/>
      <c r="AU153" s="460"/>
      <c r="AV153" s="460"/>
      <c r="AW153" s="460"/>
      <c r="AX153" s="460"/>
      <c r="AY153" s="460"/>
      <c r="AZ153" s="460"/>
      <c r="BA153" s="460"/>
      <c r="BB153" s="460"/>
      <c r="BC153" s="460"/>
      <c r="BD153" s="460"/>
      <c r="BE153" s="460"/>
      <c r="BF153" s="460"/>
      <c r="BG153" s="460"/>
      <c r="BH153" s="460"/>
      <c r="BI153" s="460"/>
      <c r="BJ153" s="460"/>
      <c r="BK153" s="460"/>
      <c r="BL153" s="460"/>
      <c r="BM153" s="460"/>
      <c r="BN153" s="460"/>
      <c r="BO153" s="460"/>
      <c r="BP153" s="460"/>
      <c r="BQ153" s="460"/>
      <c r="BR153" s="460"/>
      <c r="BS153" s="460"/>
      <c r="BT153" s="460"/>
      <c r="BU153" s="460"/>
      <c r="BV153" s="460"/>
      <c r="BW153" s="460"/>
      <c r="BX153" s="460"/>
      <c r="BY153" s="460"/>
      <c r="BZ153" s="460"/>
      <c r="CA153" s="460"/>
      <c r="CB153" s="460"/>
      <c r="CC153" s="460"/>
      <c r="CD153" s="460"/>
      <c r="CE153" s="460"/>
      <c r="CF153" s="460"/>
      <c r="CG153" s="460"/>
      <c r="CH153" s="460"/>
      <c r="CI153" s="460"/>
      <c r="CJ153" s="460"/>
      <c r="CK153" s="460"/>
    </row>
    <row r="154" spans="1:89" s="329" customFormat="1" ht="36" customHeight="1" x14ac:dyDescent="0.25">
      <c r="A154" s="329">
        <v>1</v>
      </c>
      <c r="B154" s="39">
        <f>SUBTOTAL(103,$A$16:A154)</f>
        <v>137</v>
      </c>
      <c r="C154" s="33" t="s">
        <v>1146</v>
      </c>
      <c r="D154" s="330">
        <v>1954</v>
      </c>
      <c r="E154" s="330"/>
      <c r="F154" s="331" t="s">
        <v>48</v>
      </c>
      <c r="G154" s="330">
        <v>2</v>
      </c>
      <c r="H154" s="330" t="s">
        <v>61</v>
      </c>
      <c r="I154" s="38">
        <v>641.79999999999995</v>
      </c>
      <c r="J154" s="38">
        <v>552.29999999999995</v>
      </c>
      <c r="K154" s="38">
        <v>552.29999999999995</v>
      </c>
      <c r="L154" s="332">
        <v>34</v>
      </c>
      <c r="M154" s="330" t="s">
        <v>46</v>
      </c>
      <c r="N154" s="330" t="s">
        <v>50</v>
      </c>
      <c r="O154" s="333" t="s">
        <v>65</v>
      </c>
      <c r="P154" s="38">
        <v>3188621.1</v>
      </c>
      <c r="Q154" s="38">
        <v>0</v>
      </c>
      <c r="R154" s="38">
        <v>0</v>
      </c>
      <c r="S154" s="38">
        <f t="shared" si="17"/>
        <v>3188621.1</v>
      </c>
      <c r="T154" s="38">
        <f t="shared" si="15"/>
        <v>4968.2472732938613</v>
      </c>
      <c r="U154" s="38">
        <v>5852.4680585852284</v>
      </c>
      <c r="V154" s="458">
        <f t="shared" si="16"/>
        <v>884.22078529136706</v>
      </c>
      <c r="W154" s="458">
        <f t="shared" si="18"/>
        <v>5832.5740105952018</v>
      </c>
      <c r="X154" s="458">
        <v>0</v>
      </c>
      <c r="Y154" s="459">
        <v>0</v>
      </c>
      <c r="Z154" s="459">
        <v>0</v>
      </c>
      <c r="AA154" s="459">
        <v>0</v>
      </c>
      <c r="AB154" s="459">
        <v>0</v>
      </c>
      <c r="AC154" s="459">
        <v>0</v>
      </c>
      <c r="AD154" s="459">
        <v>0</v>
      </c>
      <c r="AE154" s="459">
        <v>600</v>
      </c>
      <c r="AF154" s="458">
        <f>6238.91*AE154/I154</f>
        <v>5832.5740105952018</v>
      </c>
      <c r="AG154" s="459">
        <v>0</v>
      </c>
      <c r="AH154" s="458">
        <v>0</v>
      </c>
      <c r="AI154" s="459">
        <v>0</v>
      </c>
      <c r="AJ154" s="458">
        <v>0</v>
      </c>
      <c r="AK154" s="459">
        <v>0</v>
      </c>
      <c r="AL154" s="459">
        <v>0</v>
      </c>
      <c r="AM154" s="459">
        <v>0</v>
      </c>
      <c r="AN154" s="459"/>
      <c r="AO154" s="459">
        <v>0</v>
      </c>
      <c r="AP154" s="460"/>
      <c r="AQ154" s="460"/>
      <c r="AR154" s="460"/>
      <c r="AS154" s="460"/>
      <c r="AT154" s="460"/>
      <c r="AU154" s="460"/>
      <c r="AV154" s="460"/>
      <c r="AW154" s="460"/>
      <c r="AX154" s="460"/>
      <c r="AY154" s="460"/>
      <c r="AZ154" s="460"/>
      <c r="BA154" s="460"/>
      <c r="BB154" s="460"/>
      <c r="BC154" s="460"/>
      <c r="BD154" s="460"/>
      <c r="BE154" s="460"/>
      <c r="BF154" s="460"/>
      <c r="BG154" s="460"/>
      <c r="BH154" s="460"/>
      <c r="BI154" s="460"/>
      <c r="BJ154" s="460"/>
      <c r="BK154" s="460"/>
      <c r="BL154" s="460"/>
      <c r="BM154" s="460"/>
      <c r="BN154" s="460"/>
      <c r="BO154" s="460"/>
      <c r="BP154" s="460"/>
      <c r="BQ154" s="460"/>
      <c r="BR154" s="460"/>
      <c r="BS154" s="460"/>
      <c r="BT154" s="460"/>
      <c r="BU154" s="460"/>
      <c r="BV154" s="460"/>
      <c r="BW154" s="460"/>
      <c r="BX154" s="460"/>
      <c r="BY154" s="460"/>
      <c r="BZ154" s="460"/>
      <c r="CA154" s="460"/>
      <c r="CB154" s="460"/>
      <c r="CC154" s="460"/>
      <c r="CD154" s="460"/>
      <c r="CE154" s="460"/>
      <c r="CF154" s="460"/>
      <c r="CG154" s="460"/>
      <c r="CH154" s="460"/>
      <c r="CI154" s="460"/>
      <c r="CJ154" s="460"/>
      <c r="CK154" s="460"/>
    </row>
    <row r="155" spans="1:89" s="329" customFormat="1" ht="36" customHeight="1" x14ac:dyDescent="0.25">
      <c r="A155" s="329">
        <v>1</v>
      </c>
      <c r="B155" s="39">
        <f>SUBTOTAL(103,$A$16:A155)</f>
        <v>138</v>
      </c>
      <c r="C155" s="33" t="s">
        <v>1148</v>
      </c>
      <c r="D155" s="330">
        <v>1975</v>
      </c>
      <c r="E155" s="330"/>
      <c r="F155" s="331" t="s">
        <v>48</v>
      </c>
      <c r="G155" s="330">
        <v>5</v>
      </c>
      <c r="H155" s="330" t="s">
        <v>59</v>
      </c>
      <c r="I155" s="38">
        <v>3325.2</v>
      </c>
      <c r="J155" s="38">
        <v>3325.2</v>
      </c>
      <c r="K155" s="38">
        <v>3325.2</v>
      </c>
      <c r="L155" s="332">
        <v>111</v>
      </c>
      <c r="M155" s="330" t="s">
        <v>46</v>
      </c>
      <c r="N155" s="330" t="s">
        <v>50</v>
      </c>
      <c r="O155" s="333" t="s">
        <v>1997</v>
      </c>
      <c r="P155" s="38">
        <v>5265781.6800000006</v>
      </c>
      <c r="Q155" s="38">
        <v>0</v>
      </c>
      <c r="R155" s="38">
        <v>0</v>
      </c>
      <c r="S155" s="38">
        <f t="shared" si="17"/>
        <v>5265781.6800000006</v>
      </c>
      <c r="T155" s="38">
        <f t="shared" si="15"/>
        <v>1583.5984843016963</v>
      </c>
      <c r="U155" s="38">
        <v>2057.7371797185133</v>
      </c>
      <c r="V155" s="458">
        <f t="shared" si="16"/>
        <v>474.13869541681697</v>
      </c>
      <c r="W155" s="458">
        <f t="shared" si="18"/>
        <v>2050.7424004571153</v>
      </c>
      <c r="X155" s="458">
        <v>0</v>
      </c>
      <c r="Y155" s="459">
        <v>0</v>
      </c>
      <c r="Z155" s="459">
        <v>0</v>
      </c>
      <c r="AA155" s="459">
        <v>0</v>
      </c>
      <c r="AB155" s="459">
        <v>0</v>
      </c>
      <c r="AC155" s="459">
        <v>0</v>
      </c>
      <c r="AD155" s="459">
        <v>0</v>
      </c>
      <c r="AE155" s="459">
        <v>1093</v>
      </c>
      <c r="AF155" s="458">
        <f>6238.91*AE155/I155</f>
        <v>2050.7424004571153</v>
      </c>
      <c r="AG155" s="459">
        <v>0</v>
      </c>
      <c r="AH155" s="458">
        <v>0</v>
      </c>
      <c r="AI155" s="459">
        <v>0</v>
      </c>
      <c r="AJ155" s="458">
        <v>0</v>
      </c>
      <c r="AK155" s="459">
        <v>0</v>
      </c>
      <c r="AL155" s="459">
        <v>0</v>
      </c>
      <c r="AM155" s="459">
        <v>0</v>
      </c>
      <c r="AN155" s="459"/>
      <c r="AO155" s="459">
        <v>0</v>
      </c>
      <c r="AP155" s="460"/>
      <c r="AQ155" s="460"/>
      <c r="AR155" s="460"/>
      <c r="AS155" s="460"/>
      <c r="AT155" s="460"/>
      <c r="AU155" s="460"/>
      <c r="AV155" s="460"/>
      <c r="AW155" s="460"/>
      <c r="AX155" s="460"/>
      <c r="AY155" s="460"/>
      <c r="AZ155" s="460"/>
      <c r="BA155" s="460"/>
      <c r="BB155" s="460"/>
      <c r="BC155" s="460"/>
      <c r="BD155" s="460"/>
      <c r="BE155" s="460"/>
      <c r="BF155" s="460"/>
      <c r="BG155" s="460"/>
      <c r="BH155" s="460"/>
      <c r="BI155" s="460"/>
      <c r="BJ155" s="460"/>
      <c r="BK155" s="460"/>
      <c r="BL155" s="460"/>
      <c r="BM155" s="460"/>
      <c r="BN155" s="460"/>
      <c r="BO155" s="460"/>
      <c r="BP155" s="460"/>
      <c r="BQ155" s="460"/>
      <c r="BR155" s="460"/>
      <c r="BS155" s="460"/>
      <c r="BT155" s="460"/>
      <c r="BU155" s="460"/>
      <c r="BV155" s="460"/>
      <c r="BW155" s="460"/>
      <c r="BX155" s="460"/>
      <c r="BY155" s="460"/>
      <c r="BZ155" s="460"/>
      <c r="CA155" s="460"/>
      <c r="CB155" s="460"/>
      <c r="CC155" s="460"/>
      <c r="CD155" s="460"/>
      <c r="CE155" s="460"/>
      <c r="CF155" s="460"/>
      <c r="CG155" s="460"/>
      <c r="CH155" s="460"/>
      <c r="CI155" s="460"/>
      <c r="CJ155" s="460"/>
      <c r="CK155" s="460"/>
    </row>
    <row r="156" spans="1:89" s="329" customFormat="1" ht="36" customHeight="1" x14ac:dyDescent="0.25">
      <c r="A156" s="329">
        <v>1</v>
      </c>
      <c r="B156" s="39">
        <f>SUBTOTAL(103,$A$16:A156)</f>
        <v>139</v>
      </c>
      <c r="C156" s="33" t="s">
        <v>1150</v>
      </c>
      <c r="D156" s="330">
        <v>1966</v>
      </c>
      <c r="E156" s="330"/>
      <c r="F156" s="331" t="s">
        <v>48</v>
      </c>
      <c r="G156" s="330">
        <v>4</v>
      </c>
      <c r="H156" s="330" t="s">
        <v>59</v>
      </c>
      <c r="I156" s="38">
        <v>2747.7</v>
      </c>
      <c r="J156" s="38">
        <v>2553.9</v>
      </c>
      <c r="K156" s="38">
        <v>2553.9</v>
      </c>
      <c r="L156" s="332">
        <v>120</v>
      </c>
      <c r="M156" s="330" t="s">
        <v>46</v>
      </c>
      <c r="N156" s="330" t="s">
        <v>50</v>
      </c>
      <c r="O156" s="333" t="s">
        <v>1996</v>
      </c>
      <c r="P156" s="38">
        <v>5393074.9299999997</v>
      </c>
      <c r="Q156" s="38">
        <v>0</v>
      </c>
      <c r="R156" s="38">
        <v>0</v>
      </c>
      <c r="S156" s="38">
        <f t="shared" si="17"/>
        <v>5393074.9299999997</v>
      </c>
      <c r="T156" s="38">
        <f t="shared" si="15"/>
        <v>1962.7597372347782</v>
      </c>
      <c r="U156" s="38">
        <v>2489.1756678676711</v>
      </c>
      <c r="V156" s="458">
        <f t="shared" si="16"/>
        <v>526.41593063289292</v>
      </c>
      <c r="W156" s="458">
        <f t="shared" si="18"/>
        <v>2216.0993412672419</v>
      </c>
      <c r="X156" s="458">
        <v>0</v>
      </c>
      <c r="Y156" s="459">
        <v>0</v>
      </c>
      <c r="Z156" s="459">
        <v>0</v>
      </c>
      <c r="AA156" s="459">
        <v>0</v>
      </c>
      <c r="AB156" s="459">
        <v>0</v>
      </c>
      <c r="AC156" s="459">
        <v>0</v>
      </c>
      <c r="AD156" s="459">
        <v>0</v>
      </c>
      <c r="AE156" s="459">
        <v>976</v>
      </c>
      <c r="AF156" s="458">
        <f>6238.91*AE156/I156</f>
        <v>2216.0993412672419</v>
      </c>
      <c r="AG156" s="459">
        <v>0</v>
      </c>
      <c r="AH156" s="458">
        <v>0</v>
      </c>
      <c r="AI156" s="459">
        <v>0</v>
      </c>
      <c r="AJ156" s="458">
        <v>0</v>
      </c>
      <c r="AK156" s="459">
        <v>0</v>
      </c>
      <c r="AL156" s="459">
        <v>0</v>
      </c>
      <c r="AM156" s="459">
        <v>0</v>
      </c>
      <c r="AN156" s="459"/>
      <c r="AO156" s="459">
        <v>0</v>
      </c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460"/>
      <c r="BA156" s="460"/>
      <c r="BB156" s="460"/>
      <c r="BC156" s="460"/>
      <c r="BD156" s="460"/>
      <c r="BE156" s="460"/>
      <c r="BF156" s="460"/>
      <c r="BG156" s="460"/>
      <c r="BH156" s="460"/>
      <c r="BI156" s="460"/>
      <c r="BJ156" s="460"/>
      <c r="BK156" s="460"/>
      <c r="BL156" s="460"/>
      <c r="BM156" s="460"/>
      <c r="BN156" s="460"/>
      <c r="BO156" s="460"/>
      <c r="BP156" s="460"/>
      <c r="BQ156" s="460"/>
      <c r="BR156" s="460"/>
      <c r="BS156" s="460"/>
      <c r="BT156" s="460"/>
      <c r="BU156" s="460"/>
      <c r="BV156" s="460"/>
      <c r="BW156" s="460"/>
      <c r="BX156" s="460"/>
      <c r="BY156" s="460"/>
      <c r="BZ156" s="460"/>
      <c r="CA156" s="460"/>
      <c r="CB156" s="460"/>
      <c r="CC156" s="460"/>
      <c r="CD156" s="460"/>
      <c r="CE156" s="460"/>
      <c r="CF156" s="460"/>
      <c r="CG156" s="460"/>
      <c r="CH156" s="460"/>
      <c r="CI156" s="460"/>
      <c r="CJ156" s="460"/>
      <c r="CK156" s="460"/>
    </row>
    <row r="157" spans="1:89" s="329" customFormat="1" ht="36" customHeight="1" x14ac:dyDescent="0.25">
      <c r="A157" s="329">
        <v>1</v>
      </c>
      <c r="B157" s="39">
        <f>SUBTOTAL(103,$A$16:A157)</f>
        <v>140</v>
      </c>
      <c r="C157" s="33" t="s">
        <v>917</v>
      </c>
      <c r="D157" s="330" t="s">
        <v>1998</v>
      </c>
      <c r="E157" s="330"/>
      <c r="F157" s="331" t="s">
        <v>48</v>
      </c>
      <c r="G157" s="330">
        <v>9</v>
      </c>
      <c r="H157" s="330" t="s">
        <v>61</v>
      </c>
      <c r="I157" s="38">
        <v>6434.3</v>
      </c>
      <c r="J157" s="38">
        <v>5754.2</v>
      </c>
      <c r="K157" s="38">
        <v>5754.2</v>
      </c>
      <c r="L157" s="332">
        <v>247</v>
      </c>
      <c r="M157" s="330" t="s">
        <v>46</v>
      </c>
      <c r="N157" s="330" t="s">
        <v>50</v>
      </c>
      <c r="O157" s="333" t="s">
        <v>1997</v>
      </c>
      <c r="P157" s="38">
        <v>4873547.67</v>
      </c>
      <c r="Q157" s="38">
        <v>0</v>
      </c>
      <c r="R157" s="38">
        <v>0</v>
      </c>
      <c r="S157" s="38">
        <f t="shared" si="17"/>
        <v>4873547.67</v>
      </c>
      <c r="T157" s="38">
        <f t="shared" si="15"/>
        <v>757.43245885333283</v>
      </c>
      <c r="U157" s="38">
        <v>1145.9521626284134</v>
      </c>
      <c r="V157" s="458">
        <f t="shared" si="16"/>
        <v>388.51970377508053</v>
      </c>
      <c r="W157" s="458">
        <f t="shared" si="18"/>
        <v>1145.9521626284134</v>
      </c>
      <c r="X157" s="458">
        <v>0</v>
      </c>
      <c r="Y157" s="459">
        <v>0</v>
      </c>
      <c r="Z157" s="459">
        <v>0</v>
      </c>
      <c r="AA157" s="459">
        <v>0</v>
      </c>
      <c r="AB157" s="459">
        <v>0</v>
      </c>
      <c r="AC157" s="459">
        <v>3</v>
      </c>
      <c r="AD157" s="458">
        <f>2457800*AC157/I157</f>
        <v>1145.9521626284134</v>
      </c>
      <c r="AE157" s="459">
        <v>0</v>
      </c>
      <c r="AF157" s="458">
        <v>0</v>
      </c>
      <c r="AG157" s="459">
        <v>0</v>
      </c>
      <c r="AH157" s="458">
        <v>0</v>
      </c>
      <c r="AI157" s="459">
        <v>0</v>
      </c>
      <c r="AJ157" s="458">
        <v>0</v>
      </c>
      <c r="AK157" s="459">
        <v>0</v>
      </c>
      <c r="AL157" s="459">
        <v>0</v>
      </c>
      <c r="AM157" s="459">
        <v>0</v>
      </c>
      <c r="AN157" s="459"/>
      <c r="AO157" s="459">
        <v>0</v>
      </c>
      <c r="AP157" s="460"/>
      <c r="AQ157" s="460"/>
      <c r="AR157" s="460"/>
      <c r="AS157" s="460"/>
      <c r="AT157" s="460"/>
      <c r="AU157" s="460"/>
      <c r="AV157" s="460"/>
      <c r="AW157" s="460"/>
      <c r="AX157" s="460"/>
      <c r="AY157" s="460"/>
      <c r="AZ157" s="460"/>
      <c r="BA157" s="460"/>
      <c r="BB157" s="460"/>
      <c r="BC157" s="460"/>
      <c r="BD157" s="460"/>
      <c r="BE157" s="460"/>
      <c r="BF157" s="460"/>
      <c r="BG157" s="460"/>
      <c r="BH157" s="460"/>
      <c r="BI157" s="460"/>
      <c r="BJ157" s="460"/>
      <c r="BK157" s="460"/>
      <c r="BL157" s="460"/>
      <c r="BM157" s="460"/>
      <c r="BN157" s="460"/>
      <c r="BO157" s="460"/>
      <c r="BP157" s="460"/>
      <c r="BQ157" s="460"/>
      <c r="BR157" s="460"/>
      <c r="BS157" s="460"/>
      <c r="BT157" s="460"/>
      <c r="BU157" s="460"/>
      <c r="BV157" s="460"/>
      <c r="BW157" s="460"/>
      <c r="BX157" s="460"/>
      <c r="BY157" s="460"/>
      <c r="BZ157" s="460"/>
      <c r="CA157" s="460"/>
      <c r="CB157" s="460"/>
      <c r="CC157" s="460"/>
      <c r="CD157" s="460"/>
      <c r="CE157" s="460"/>
      <c r="CF157" s="460"/>
      <c r="CG157" s="460"/>
      <c r="CH157" s="460"/>
      <c r="CI157" s="460"/>
      <c r="CJ157" s="460"/>
      <c r="CK157" s="460"/>
    </row>
    <row r="158" spans="1:89" s="329" customFormat="1" ht="36" customHeight="1" x14ac:dyDescent="0.25">
      <c r="A158" s="329">
        <v>1</v>
      </c>
      <c r="B158" s="39">
        <f>SUBTOTAL(103,$A$16:A158)</f>
        <v>141</v>
      </c>
      <c r="C158" s="33" t="s">
        <v>1151</v>
      </c>
      <c r="D158" s="330">
        <v>1949</v>
      </c>
      <c r="E158" s="330"/>
      <c r="F158" s="331" t="s">
        <v>1990</v>
      </c>
      <c r="G158" s="330">
        <v>2</v>
      </c>
      <c r="H158" s="330" t="s">
        <v>57</v>
      </c>
      <c r="I158" s="38">
        <v>499.5</v>
      </c>
      <c r="J158" s="38">
        <v>450.4</v>
      </c>
      <c r="K158" s="38">
        <v>450.4</v>
      </c>
      <c r="L158" s="332">
        <v>16</v>
      </c>
      <c r="M158" s="330" t="s">
        <v>46</v>
      </c>
      <c r="N158" s="330" t="s">
        <v>47</v>
      </c>
      <c r="O158" s="333" t="s">
        <v>49</v>
      </c>
      <c r="P158" s="38">
        <v>2215482.85</v>
      </c>
      <c r="Q158" s="38">
        <v>0</v>
      </c>
      <c r="R158" s="38">
        <v>0</v>
      </c>
      <c r="S158" s="38">
        <f t="shared" si="17"/>
        <v>2215482.85</v>
      </c>
      <c r="T158" s="38">
        <f t="shared" si="15"/>
        <v>4435.4011011011016</v>
      </c>
      <c r="U158" s="38">
        <v>5562.1067507507505</v>
      </c>
      <c r="V158" s="458">
        <f t="shared" si="16"/>
        <v>1126.7056496496489</v>
      </c>
      <c r="W158" s="458">
        <f t="shared" si="18"/>
        <v>5543.1997157157157</v>
      </c>
      <c r="X158" s="458">
        <v>0</v>
      </c>
      <c r="Y158" s="459">
        <v>0</v>
      </c>
      <c r="Z158" s="459">
        <v>0</v>
      </c>
      <c r="AA158" s="459">
        <v>0</v>
      </c>
      <c r="AB158" s="459">
        <v>0</v>
      </c>
      <c r="AC158" s="459">
        <v>0</v>
      </c>
      <c r="AD158" s="459">
        <v>0</v>
      </c>
      <c r="AE158" s="459">
        <v>443.8</v>
      </c>
      <c r="AF158" s="458">
        <f>6238.91*AE158/I158</f>
        <v>5543.1997157157157</v>
      </c>
      <c r="AG158" s="459">
        <v>0</v>
      </c>
      <c r="AH158" s="458">
        <v>0</v>
      </c>
      <c r="AI158" s="459">
        <v>0</v>
      </c>
      <c r="AJ158" s="458">
        <v>0</v>
      </c>
      <c r="AK158" s="459">
        <v>0</v>
      </c>
      <c r="AL158" s="459">
        <v>0</v>
      </c>
      <c r="AM158" s="459">
        <v>0</v>
      </c>
      <c r="AN158" s="459"/>
      <c r="AO158" s="459">
        <v>0</v>
      </c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0"/>
      <c r="BB158" s="460"/>
      <c r="BC158" s="460"/>
      <c r="BD158" s="460"/>
      <c r="BE158" s="460"/>
      <c r="BF158" s="460"/>
      <c r="BG158" s="460"/>
      <c r="BH158" s="460"/>
      <c r="BI158" s="460"/>
      <c r="BJ158" s="460"/>
      <c r="BK158" s="460"/>
      <c r="BL158" s="460"/>
      <c r="BM158" s="460"/>
      <c r="BN158" s="460"/>
      <c r="BO158" s="460"/>
      <c r="BP158" s="460"/>
      <c r="BQ158" s="460"/>
      <c r="BR158" s="460"/>
      <c r="BS158" s="460"/>
      <c r="BT158" s="460"/>
      <c r="BU158" s="460"/>
      <c r="BV158" s="460"/>
      <c r="BW158" s="460"/>
      <c r="BX158" s="460"/>
      <c r="BY158" s="460"/>
      <c r="BZ158" s="460"/>
      <c r="CA158" s="460"/>
      <c r="CB158" s="460"/>
      <c r="CC158" s="460"/>
      <c r="CD158" s="460"/>
      <c r="CE158" s="460"/>
      <c r="CF158" s="460"/>
      <c r="CG158" s="460"/>
      <c r="CH158" s="460"/>
      <c r="CI158" s="460"/>
      <c r="CJ158" s="460"/>
      <c r="CK158" s="460"/>
    </row>
    <row r="159" spans="1:89" s="329" customFormat="1" ht="36" customHeight="1" x14ac:dyDescent="0.25">
      <c r="A159" s="329">
        <v>1</v>
      </c>
      <c r="B159" s="39">
        <f>SUBTOTAL(103,$A$16:A159)</f>
        <v>142</v>
      </c>
      <c r="C159" s="33" t="s">
        <v>1152</v>
      </c>
      <c r="D159" s="330">
        <v>1992</v>
      </c>
      <c r="E159" s="330"/>
      <c r="F159" s="331" t="s">
        <v>48</v>
      </c>
      <c r="G159" s="330">
        <v>9</v>
      </c>
      <c r="H159" s="330" t="s">
        <v>61</v>
      </c>
      <c r="I159" s="38">
        <v>6502.8</v>
      </c>
      <c r="J159" s="38">
        <v>5914.7</v>
      </c>
      <c r="K159" s="38">
        <v>5914.7</v>
      </c>
      <c r="L159" s="332">
        <v>287</v>
      </c>
      <c r="M159" s="330" t="s">
        <v>46</v>
      </c>
      <c r="N159" s="330" t="s">
        <v>50</v>
      </c>
      <c r="O159" s="333" t="s">
        <v>1996</v>
      </c>
      <c r="P159" s="38">
        <v>4885396.4400000004</v>
      </c>
      <c r="Q159" s="38">
        <v>0</v>
      </c>
      <c r="R159" s="38">
        <v>0</v>
      </c>
      <c r="S159" s="38">
        <f t="shared" si="17"/>
        <v>4885396.4400000004</v>
      </c>
      <c r="T159" s="38">
        <f t="shared" si="15"/>
        <v>751.27582579811781</v>
      </c>
      <c r="U159" s="38">
        <v>1133.8807898136188</v>
      </c>
      <c r="V159" s="458">
        <f t="shared" si="16"/>
        <v>382.60496401550097</v>
      </c>
      <c r="W159" s="458">
        <f t="shared" si="18"/>
        <v>1133.8807898136188</v>
      </c>
      <c r="X159" s="458">
        <v>0</v>
      </c>
      <c r="Y159" s="459">
        <v>0</v>
      </c>
      <c r="Z159" s="459">
        <v>0</v>
      </c>
      <c r="AA159" s="459">
        <v>0</v>
      </c>
      <c r="AB159" s="459">
        <v>0</v>
      </c>
      <c r="AC159" s="459">
        <v>3</v>
      </c>
      <c r="AD159" s="458">
        <f>2457800*AC159/I159</f>
        <v>1133.8807898136188</v>
      </c>
      <c r="AE159" s="459">
        <v>0</v>
      </c>
      <c r="AF159" s="458">
        <v>0</v>
      </c>
      <c r="AG159" s="459">
        <v>0</v>
      </c>
      <c r="AH159" s="458">
        <v>0</v>
      </c>
      <c r="AI159" s="459">
        <v>0</v>
      </c>
      <c r="AJ159" s="458">
        <v>0</v>
      </c>
      <c r="AK159" s="459">
        <v>0</v>
      </c>
      <c r="AL159" s="459">
        <v>0</v>
      </c>
      <c r="AM159" s="459">
        <v>0</v>
      </c>
      <c r="AN159" s="459"/>
      <c r="AO159" s="459">
        <v>0</v>
      </c>
      <c r="AP159" s="460"/>
      <c r="AQ159" s="460"/>
      <c r="AR159" s="460"/>
      <c r="AS159" s="460"/>
      <c r="AT159" s="460"/>
      <c r="AU159" s="460"/>
      <c r="AV159" s="460"/>
      <c r="AW159" s="460"/>
      <c r="AX159" s="460"/>
      <c r="AY159" s="460"/>
      <c r="AZ159" s="460"/>
      <c r="BA159" s="460"/>
      <c r="BB159" s="460"/>
      <c r="BC159" s="460"/>
      <c r="BD159" s="460"/>
      <c r="BE159" s="460"/>
      <c r="BF159" s="460"/>
      <c r="BG159" s="460"/>
      <c r="BH159" s="460"/>
      <c r="BI159" s="460"/>
      <c r="BJ159" s="460"/>
      <c r="BK159" s="460"/>
      <c r="BL159" s="460"/>
      <c r="BM159" s="460"/>
      <c r="BN159" s="460"/>
      <c r="BO159" s="460"/>
      <c r="BP159" s="460"/>
      <c r="BQ159" s="460"/>
      <c r="BR159" s="460"/>
      <c r="BS159" s="460"/>
      <c r="BT159" s="460"/>
      <c r="BU159" s="460"/>
      <c r="BV159" s="460"/>
      <c r="BW159" s="460"/>
      <c r="BX159" s="460"/>
      <c r="BY159" s="460"/>
      <c r="BZ159" s="460"/>
      <c r="CA159" s="460"/>
      <c r="CB159" s="460"/>
      <c r="CC159" s="460"/>
      <c r="CD159" s="460"/>
      <c r="CE159" s="460"/>
      <c r="CF159" s="460"/>
      <c r="CG159" s="460"/>
      <c r="CH159" s="460"/>
      <c r="CI159" s="460"/>
      <c r="CJ159" s="460"/>
      <c r="CK159" s="460"/>
    </row>
    <row r="160" spans="1:89" s="329" customFormat="1" ht="36" customHeight="1" x14ac:dyDescent="0.25">
      <c r="A160" s="329">
        <v>1</v>
      </c>
      <c r="B160" s="39">
        <f>SUBTOTAL(103,$A$16:A160)</f>
        <v>143</v>
      </c>
      <c r="C160" s="33" t="s">
        <v>1153</v>
      </c>
      <c r="D160" s="330">
        <v>1974</v>
      </c>
      <c r="E160" s="330"/>
      <c r="F160" s="331" t="s">
        <v>48</v>
      </c>
      <c r="G160" s="330">
        <v>5</v>
      </c>
      <c r="H160" s="330" t="s">
        <v>1969</v>
      </c>
      <c r="I160" s="38">
        <v>5896.3</v>
      </c>
      <c r="J160" s="38">
        <v>4495.2</v>
      </c>
      <c r="K160" s="38">
        <v>4495.2</v>
      </c>
      <c r="L160" s="332">
        <v>192</v>
      </c>
      <c r="M160" s="330" t="s">
        <v>46</v>
      </c>
      <c r="N160" s="330" t="s">
        <v>50</v>
      </c>
      <c r="O160" s="333" t="s">
        <v>66</v>
      </c>
      <c r="P160" s="38">
        <v>7884254.25</v>
      </c>
      <c r="Q160" s="38">
        <v>0</v>
      </c>
      <c r="R160" s="38">
        <v>0</v>
      </c>
      <c r="S160" s="38">
        <f t="shared" si="17"/>
        <v>7884254.25</v>
      </c>
      <c r="T160" s="38">
        <f t="shared" si="15"/>
        <v>1337.1528331326424</v>
      </c>
      <c r="U160" s="38">
        <v>1595.8106913657716</v>
      </c>
      <c r="V160" s="458">
        <f t="shared" si="16"/>
        <v>258.65785823312922</v>
      </c>
      <c r="W160" s="458">
        <f t="shared" si="18"/>
        <v>1590.3861193460305</v>
      </c>
      <c r="X160" s="458">
        <v>0</v>
      </c>
      <c r="Y160" s="459">
        <v>0</v>
      </c>
      <c r="Z160" s="459">
        <v>0</v>
      </c>
      <c r="AA160" s="459">
        <v>0</v>
      </c>
      <c r="AB160" s="459">
        <v>0</v>
      </c>
      <c r="AC160" s="459">
        <v>0</v>
      </c>
      <c r="AD160" s="459">
        <v>0</v>
      </c>
      <c r="AE160" s="459">
        <v>1503.05</v>
      </c>
      <c r="AF160" s="458">
        <f>6238.91*AE160/I160</f>
        <v>1590.3861193460305</v>
      </c>
      <c r="AG160" s="459">
        <v>0</v>
      </c>
      <c r="AH160" s="458">
        <v>0</v>
      </c>
      <c r="AI160" s="459">
        <v>0</v>
      </c>
      <c r="AJ160" s="458">
        <v>0</v>
      </c>
      <c r="AK160" s="459">
        <v>0</v>
      </c>
      <c r="AL160" s="459">
        <v>0</v>
      </c>
      <c r="AM160" s="459">
        <v>0</v>
      </c>
      <c r="AN160" s="459"/>
      <c r="AO160" s="459">
        <v>0</v>
      </c>
      <c r="AP160" s="460"/>
      <c r="AQ160" s="460"/>
      <c r="AR160" s="460"/>
      <c r="AS160" s="460"/>
      <c r="AT160" s="460"/>
      <c r="AU160" s="460"/>
      <c r="AV160" s="460"/>
      <c r="AW160" s="460"/>
      <c r="AX160" s="460"/>
      <c r="AY160" s="460"/>
      <c r="AZ160" s="460"/>
      <c r="BA160" s="460"/>
      <c r="BB160" s="460"/>
      <c r="BC160" s="460"/>
      <c r="BD160" s="460"/>
      <c r="BE160" s="460"/>
      <c r="BF160" s="460"/>
      <c r="BG160" s="460"/>
      <c r="BH160" s="460"/>
      <c r="BI160" s="460"/>
      <c r="BJ160" s="460"/>
      <c r="BK160" s="460"/>
      <c r="BL160" s="460"/>
      <c r="BM160" s="460"/>
      <c r="BN160" s="460"/>
      <c r="BO160" s="460"/>
      <c r="BP160" s="460"/>
      <c r="BQ160" s="460"/>
      <c r="BR160" s="460"/>
      <c r="BS160" s="460"/>
      <c r="BT160" s="460"/>
      <c r="BU160" s="460"/>
      <c r="BV160" s="460"/>
      <c r="BW160" s="460"/>
      <c r="BX160" s="460"/>
      <c r="BY160" s="460"/>
      <c r="BZ160" s="460"/>
      <c r="CA160" s="460"/>
      <c r="CB160" s="460"/>
      <c r="CC160" s="460"/>
      <c r="CD160" s="460"/>
      <c r="CE160" s="460"/>
      <c r="CF160" s="460"/>
      <c r="CG160" s="460"/>
      <c r="CH160" s="460"/>
      <c r="CI160" s="460"/>
      <c r="CJ160" s="460"/>
      <c r="CK160" s="460"/>
    </row>
    <row r="161" spans="1:89" s="329" customFormat="1" ht="36" customHeight="1" x14ac:dyDescent="0.25">
      <c r="A161" s="329">
        <v>1</v>
      </c>
      <c r="B161" s="39">
        <f>SUBTOTAL(103,$A$16:A161)</f>
        <v>144</v>
      </c>
      <c r="C161" s="33" t="s">
        <v>1154</v>
      </c>
      <c r="D161" s="330">
        <v>1974</v>
      </c>
      <c r="E161" s="330"/>
      <c r="F161" s="331" t="s">
        <v>48</v>
      </c>
      <c r="G161" s="330">
        <v>5</v>
      </c>
      <c r="H161" s="330" t="s">
        <v>59</v>
      </c>
      <c r="I161" s="38">
        <v>3647.3</v>
      </c>
      <c r="J161" s="38">
        <v>3647.3</v>
      </c>
      <c r="K161" s="38">
        <v>2672.9</v>
      </c>
      <c r="L161" s="332">
        <v>113</v>
      </c>
      <c r="M161" s="330" t="s">
        <v>46</v>
      </c>
      <c r="N161" s="330" t="s">
        <v>50</v>
      </c>
      <c r="O161" s="333" t="s">
        <v>1999</v>
      </c>
      <c r="P161" s="38">
        <v>2908813.4299999997</v>
      </c>
      <c r="Q161" s="38">
        <v>0</v>
      </c>
      <c r="R161" s="38">
        <v>0</v>
      </c>
      <c r="S161" s="38">
        <f t="shared" si="17"/>
        <v>2908813.4299999997</v>
      </c>
      <c r="T161" s="38">
        <f t="shared" si="15"/>
        <v>797.52513640227005</v>
      </c>
      <c r="U161" s="38">
        <v>1605.2024488799932</v>
      </c>
      <c r="V161" s="458">
        <f t="shared" si="16"/>
        <v>807.67731247772315</v>
      </c>
      <c r="W161" s="458">
        <f t="shared" si="18"/>
        <v>1599.7459518547967</v>
      </c>
      <c r="X161" s="458">
        <v>0</v>
      </c>
      <c r="Y161" s="459">
        <v>0</v>
      </c>
      <c r="Z161" s="459">
        <v>0</v>
      </c>
      <c r="AA161" s="459">
        <v>0</v>
      </c>
      <c r="AB161" s="459">
        <v>0</v>
      </c>
      <c r="AC161" s="459">
        <v>0</v>
      </c>
      <c r="AD161" s="459">
        <v>0</v>
      </c>
      <c r="AE161" s="459">
        <v>935.22</v>
      </c>
      <c r="AF161" s="458">
        <f>6238.91*AE161/I161</f>
        <v>1599.7459518547967</v>
      </c>
      <c r="AG161" s="459">
        <v>0</v>
      </c>
      <c r="AH161" s="458">
        <v>0</v>
      </c>
      <c r="AI161" s="459">
        <v>0</v>
      </c>
      <c r="AJ161" s="458">
        <v>0</v>
      </c>
      <c r="AK161" s="459">
        <v>0</v>
      </c>
      <c r="AL161" s="459">
        <v>0</v>
      </c>
      <c r="AM161" s="459">
        <v>0</v>
      </c>
      <c r="AN161" s="459"/>
      <c r="AO161" s="459">
        <v>0</v>
      </c>
      <c r="AP161" s="460"/>
      <c r="AQ161" s="460"/>
      <c r="AR161" s="460"/>
      <c r="AS161" s="460"/>
      <c r="AT161" s="460"/>
      <c r="AU161" s="460"/>
      <c r="AV161" s="460"/>
      <c r="AW161" s="460"/>
      <c r="AX161" s="460"/>
      <c r="AY161" s="460"/>
      <c r="AZ161" s="460"/>
      <c r="BA161" s="460"/>
      <c r="BB161" s="460"/>
      <c r="BC161" s="460"/>
      <c r="BD161" s="460"/>
      <c r="BE161" s="460"/>
      <c r="BF161" s="460"/>
      <c r="BG161" s="460"/>
      <c r="BH161" s="460"/>
      <c r="BI161" s="460"/>
      <c r="BJ161" s="460"/>
      <c r="BK161" s="460"/>
      <c r="BL161" s="460"/>
      <c r="BM161" s="460"/>
      <c r="BN161" s="460"/>
      <c r="BO161" s="460"/>
      <c r="BP161" s="460"/>
      <c r="BQ161" s="460"/>
      <c r="BR161" s="460"/>
      <c r="BS161" s="460"/>
      <c r="BT161" s="460"/>
      <c r="BU161" s="460"/>
      <c r="BV161" s="460"/>
      <c r="BW161" s="460"/>
      <c r="BX161" s="460"/>
      <c r="BY161" s="460"/>
      <c r="BZ161" s="460"/>
      <c r="CA161" s="460"/>
      <c r="CB161" s="460"/>
      <c r="CC161" s="460"/>
      <c r="CD161" s="460"/>
      <c r="CE161" s="460"/>
      <c r="CF161" s="460"/>
      <c r="CG161" s="460"/>
      <c r="CH161" s="460"/>
      <c r="CI161" s="460"/>
      <c r="CJ161" s="460"/>
      <c r="CK161" s="460"/>
    </row>
    <row r="162" spans="1:89" s="329" customFormat="1" ht="36" customHeight="1" x14ac:dyDescent="0.25">
      <c r="A162" s="329">
        <v>1</v>
      </c>
      <c r="B162" s="39">
        <f>SUBTOTAL(103,$A$16:A162)</f>
        <v>145</v>
      </c>
      <c r="C162" s="33" t="s">
        <v>1155</v>
      </c>
      <c r="D162" s="330">
        <v>1958</v>
      </c>
      <c r="E162" s="330"/>
      <c r="F162" s="331" t="s">
        <v>48</v>
      </c>
      <c r="G162" s="330">
        <v>2</v>
      </c>
      <c r="H162" s="330" t="s">
        <v>56</v>
      </c>
      <c r="I162" s="38">
        <v>592.70000000000005</v>
      </c>
      <c r="J162" s="38">
        <v>548</v>
      </c>
      <c r="K162" s="38">
        <v>548</v>
      </c>
      <c r="L162" s="332">
        <v>26</v>
      </c>
      <c r="M162" s="330" t="s">
        <v>46</v>
      </c>
      <c r="N162" s="330" t="s">
        <v>47</v>
      </c>
      <c r="O162" s="333" t="s">
        <v>49</v>
      </c>
      <c r="P162" s="38">
        <v>2189551</v>
      </c>
      <c r="Q162" s="38">
        <v>0</v>
      </c>
      <c r="R162" s="38">
        <v>0</v>
      </c>
      <c r="S162" s="38">
        <f t="shared" si="17"/>
        <v>2189551</v>
      </c>
      <c r="T162" s="38">
        <f t="shared" si="15"/>
        <v>3694.197739159777</v>
      </c>
      <c r="U162" s="38">
        <v>4995.8998987683472</v>
      </c>
      <c r="V162" s="458">
        <f t="shared" si="16"/>
        <v>1301.7021596085701</v>
      </c>
      <c r="W162" s="458">
        <f t="shared" si="18"/>
        <v>4978.9175468196381</v>
      </c>
      <c r="X162" s="458">
        <v>0</v>
      </c>
      <c r="Y162" s="459">
        <v>0</v>
      </c>
      <c r="Z162" s="459">
        <v>0</v>
      </c>
      <c r="AA162" s="459">
        <v>0</v>
      </c>
      <c r="AB162" s="459">
        <v>0</v>
      </c>
      <c r="AC162" s="459">
        <v>0</v>
      </c>
      <c r="AD162" s="459">
        <v>0</v>
      </c>
      <c r="AE162" s="459">
        <v>473</v>
      </c>
      <c r="AF162" s="458">
        <f>6238.91*AE162/I162</f>
        <v>4978.9175468196381</v>
      </c>
      <c r="AG162" s="459">
        <v>0</v>
      </c>
      <c r="AH162" s="458">
        <v>0</v>
      </c>
      <c r="AI162" s="459">
        <v>0</v>
      </c>
      <c r="AJ162" s="458">
        <v>0</v>
      </c>
      <c r="AK162" s="459">
        <v>0</v>
      </c>
      <c r="AL162" s="459">
        <v>0</v>
      </c>
      <c r="AM162" s="459">
        <v>0</v>
      </c>
      <c r="AN162" s="459"/>
      <c r="AO162" s="459">
        <v>0</v>
      </c>
      <c r="AP162" s="460"/>
      <c r="AQ162" s="460"/>
      <c r="AR162" s="460"/>
      <c r="AS162" s="460"/>
      <c r="AT162" s="460"/>
      <c r="AU162" s="460"/>
      <c r="AV162" s="460"/>
      <c r="AW162" s="460"/>
      <c r="AX162" s="460"/>
      <c r="AY162" s="460"/>
      <c r="AZ162" s="460"/>
      <c r="BA162" s="460"/>
      <c r="BB162" s="460"/>
      <c r="BC162" s="460"/>
      <c r="BD162" s="460"/>
      <c r="BE162" s="460"/>
      <c r="BF162" s="460"/>
      <c r="BG162" s="460"/>
      <c r="BH162" s="460"/>
      <c r="BI162" s="460"/>
      <c r="BJ162" s="460"/>
      <c r="BK162" s="460"/>
      <c r="BL162" s="460"/>
      <c r="BM162" s="460"/>
      <c r="BN162" s="460"/>
      <c r="BO162" s="460"/>
      <c r="BP162" s="460"/>
      <c r="BQ162" s="460"/>
      <c r="BR162" s="460"/>
      <c r="BS162" s="460"/>
      <c r="BT162" s="460"/>
      <c r="BU162" s="460"/>
      <c r="BV162" s="460"/>
      <c r="BW162" s="460"/>
      <c r="BX162" s="460"/>
      <c r="BY162" s="460"/>
      <c r="BZ162" s="460"/>
      <c r="CA162" s="460"/>
      <c r="CB162" s="460"/>
      <c r="CC162" s="460"/>
      <c r="CD162" s="460"/>
      <c r="CE162" s="460"/>
      <c r="CF162" s="460"/>
      <c r="CG162" s="460"/>
      <c r="CH162" s="460"/>
      <c r="CI162" s="460"/>
      <c r="CJ162" s="460"/>
      <c r="CK162" s="460"/>
    </row>
    <row r="163" spans="1:89" s="329" customFormat="1" ht="36" customHeight="1" x14ac:dyDescent="0.25">
      <c r="A163" s="329">
        <v>1</v>
      </c>
      <c r="B163" s="39">
        <f>SUBTOTAL(103,$A$16:A163)</f>
        <v>146</v>
      </c>
      <c r="C163" s="33" t="s">
        <v>1156</v>
      </c>
      <c r="D163" s="330">
        <v>1961</v>
      </c>
      <c r="E163" s="330"/>
      <c r="F163" s="331" t="s">
        <v>48</v>
      </c>
      <c r="G163" s="330">
        <v>2</v>
      </c>
      <c r="H163" s="330" t="s">
        <v>56</v>
      </c>
      <c r="I163" s="38">
        <v>679.5</v>
      </c>
      <c r="J163" s="38">
        <v>630.79999999999995</v>
      </c>
      <c r="K163" s="38">
        <v>630.79999999999995</v>
      </c>
      <c r="L163" s="332">
        <v>43</v>
      </c>
      <c r="M163" s="330" t="s">
        <v>46</v>
      </c>
      <c r="N163" s="330" t="s">
        <v>50</v>
      </c>
      <c r="O163" s="333" t="s">
        <v>66</v>
      </c>
      <c r="P163" s="38">
        <v>2855710.47</v>
      </c>
      <c r="Q163" s="38">
        <v>0</v>
      </c>
      <c r="R163" s="38">
        <v>0</v>
      </c>
      <c r="S163" s="38">
        <f t="shared" si="17"/>
        <v>2855710.47</v>
      </c>
      <c r="T163" s="38">
        <f t="shared" si="15"/>
        <v>4202.6644150110378</v>
      </c>
      <c r="U163" s="38">
        <v>5067.1147902869761</v>
      </c>
      <c r="V163" s="458">
        <f t="shared" si="16"/>
        <v>864.45037527593831</v>
      </c>
      <c r="W163" s="458">
        <f t="shared" si="18"/>
        <v>5049.890360559235</v>
      </c>
      <c r="X163" s="458">
        <v>0</v>
      </c>
      <c r="Y163" s="459">
        <v>0</v>
      </c>
      <c r="Z163" s="459">
        <v>0</v>
      </c>
      <c r="AA163" s="459">
        <v>0</v>
      </c>
      <c r="AB163" s="459">
        <v>0</v>
      </c>
      <c r="AC163" s="459">
        <v>0</v>
      </c>
      <c r="AD163" s="459">
        <v>0</v>
      </c>
      <c r="AE163" s="459">
        <v>550</v>
      </c>
      <c r="AF163" s="458">
        <f>6238.91*AE163/I163</f>
        <v>5049.890360559235</v>
      </c>
      <c r="AG163" s="459">
        <v>0</v>
      </c>
      <c r="AH163" s="458">
        <v>0</v>
      </c>
      <c r="AI163" s="459">
        <v>0</v>
      </c>
      <c r="AJ163" s="458">
        <v>0</v>
      </c>
      <c r="AK163" s="459">
        <v>0</v>
      </c>
      <c r="AL163" s="459">
        <v>0</v>
      </c>
      <c r="AM163" s="459">
        <v>0</v>
      </c>
      <c r="AN163" s="459"/>
      <c r="AO163" s="459">
        <v>0</v>
      </c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460"/>
      <c r="BA163" s="460"/>
      <c r="BB163" s="460"/>
      <c r="BC163" s="460"/>
      <c r="BD163" s="460"/>
      <c r="BE163" s="460"/>
      <c r="BF163" s="460"/>
      <c r="BG163" s="460"/>
      <c r="BH163" s="460"/>
      <c r="BI163" s="460"/>
      <c r="BJ163" s="460"/>
      <c r="BK163" s="460"/>
      <c r="BL163" s="460"/>
      <c r="BM163" s="460"/>
      <c r="BN163" s="460"/>
      <c r="BO163" s="460"/>
      <c r="BP163" s="460"/>
      <c r="BQ163" s="460"/>
      <c r="BR163" s="460"/>
      <c r="BS163" s="460"/>
      <c r="BT163" s="460"/>
      <c r="BU163" s="460"/>
      <c r="BV163" s="460"/>
      <c r="BW163" s="460"/>
      <c r="BX163" s="460"/>
      <c r="BY163" s="460"/>
      <c r="BZ163" s="460"/>
      <c r="CA163" s="460"/>
      <c r="CB163" s="460"/>
      <c r="CC163" s="460"/>
      <c r="CD163" s="460"/>
      <c r="CE163" s="460"/>
      <c r="CF163" s="460"/>
      <c r="CG163" s="460"/>
      <c r="CH163" s="460"/>
      <c r="CI163" s="460"/>
      <c r="CJ163" s="460"/>
      <c r="CK163" s="460"/>
    </row>
    <row r="164" spans="1:89" s="329" customFormat="1" ht="36" customHeight="1" x14ac:dyDescent="0.25">
      <c r="A164" s="329">
        <v>1</v>
      </c>
      <c r="B164" s="39">
        <f>SUBTOTAL(103,$A$16:A164)</f>
        <v>147</v>
      </c>
      <c r="C164" s="33" t="s">
        <v>1157</v>
      </c>
      <c r="D164" s="330">
        <v>1973</v>
      </c>
      <c r="E164" s="330"/>
      <c r="F164" s="331" t="s">
        <v>48</v>
      </c>
      <c r="G164" s="330">
        <v>5</v>
      </c>
      <c r="H164" s="330" t="s">
        <v>56</v>
      </c>
      <c r="I164" s="38">
        <v>4577.26</v>
      </c>
      <c r="J164" s="38">
        <v>2855</v>
      </c>
      <c r="K164" s="38">
        <v>2787.4</v>
      </c>
      <c r="L164" s="332">
        <v>181</v>
      </c>
      <c r="M164" s="330" t="s">
        <v>46</v>
      </c>
      <c r="N164" s="330" t="s">
        <v>50</v>
      </c>
      <c r="O164" s="333" t="s">
        <v>67</v>
      </c>
      <c r="P164" s="38">
        <v>3985297.65</v>
      </c>
      <c r="Q164" s="38">
        <v>0</v>
      </c>
      <c r="R164" s="38">
        <v>0</v>
      </c>
      <c r="S164" s="38">
        <f t="shared" si="17"/>
        <v>3985297.65</v>
      </c>
      <c r="T164" s="38">
        <f t="shared" si="15"/>
        <v>870.67320842600157</v>
      </c>
      <c r="U164" s="38">
        <v>3259.66</v>
      </c>
      <c r="V164" s="458">
        <f t="shared" si="16"/>
        <v>2388.9867915739983</v>
      </c>
      <c r="W164" s="458">
        <f t="shared" si="18"/>
        <v>3259.66</v>
      </c>
      <c r="X164" s="458">
        <v>0</v>
      </c>
      <c r="Y164" s="459">
        <v>0</v>
      </c>
      <c r="Z164" s="459">
        <v>3259.66</v>
      </c>
      <c r="AA164" s="459">
        <v>0</v>
      </c>
      <c r="AB164" s="459">
        <v>0</v>
      </c>
      <c r="AC164" s="459">
        <v>0</v>
      </c>
      <c r="AD164" s="459">
        <v>0</v>
      </c>
      <c r="AE164" s="459">
        <v>0</v>
      </c>
      <c r="AF164" s="458">
        <v>0</v>
      </c>
      <c r="AG164" s="459">
        <v>0</v>
      </c>
      <c r="AH164" s="458">
        <v>0</v>
      </c>
      <c r="AI164" s="459">
        <v>0</v>
      </c>
      <c r="AJ164" s="458">
        <v>0</v>
      </c>
      <c r="AK164" s="459">
        <v>0</v>
      </c>
      <c r="AL164" s="459">
        <v>0</v>
      </c>
      <c r="AM164" s="459">
        <v>0</v>
      </c>
      <c r="AN164" s="459"/>
      <c r="AO164" s="459">
        <v>0</v>
      </c>
      <c r="AP164" s="460"/>
      <c r="AQ164" s="460"/>
      <c r="AR164" s="460"/>
      <c r="AS164" s="460"/>
      <c r="AT164" s="460"/>
      <c r="AU164" s="460"/>
      <c r="AV164" s="460"/>
      <c r="AW164" s="460"/>
      <c r="AX164" s="460"/>
      <c r="AY164" s="460"/>
      <c r="AZ164" s="460"/>
      <c r="BA164" s="460"/>
      <c r="BB164" s="460"/>
      <c r="BC164" s="460"/>
      <c r="BD164" s="460"/>
      <c r="BE164" s="460"/>
      <c r="BF164" s="460"/>
      <c r="BG164" s="460"/>
      <c r="BH164" s="460"/>
      <c r="BI164" s="460"/>
      <c r="BJ164" s="460"/>
      <c r="BK164" s="460"/>
      <c r="BL164" s="460"/>
      <c r="BM164" s="460"/>
      <c r="BN164" s="460"/>
      <c r="BO164" s="460"/>
      <c r="BP164" s="460"/>
      <c r="BQ164" s="460"/>
      <c r="BR164" s="460"/>
      <c r="BS164" s="460"/>
      <c r="BT164" s="460"/>
      <c r="BU164" s="460"/>
      <c r="BV164" s="460"/>
      <c r="BW164" s="460"/>
      <c r="BX164" s="460"/>
      <c r="BY164" s="460"/>
      <c r="BZ164" s="460"/>
      <c r="CA164" s="460"/>
      <c r="CB164" s="460"/>
      <c r="CC164" s="460"/>
      <c r="CD164" s="460"/>
      <c r="CE164" s="460"/>
      <c r="CF164" s="460"/>
      <c r="CG164" s="460"/>
      <c r="CH164" s="460"/>
      <c r="CI164" s="460"/>
      <c r="CJ164" s="460"/>
      <c r="CK164" s="460"/>
    </row>
    <row r="165" spans="1:89" s="329" customFormat="1" ht="36" customHeight="1" x14ac:dyDescent="0.25">
      <c r="A165" s="329">
        <v>1</v>
      </c>
      <c r="B165" s="39">
        <f>SUBTOTAL(103,$A$16:A165)</f>
        <v>148</v>
      </c>
      <c r="C165" s="33" t="s">
        <v>1158</v>
      </c>
      <c r="D165" s="330">
        <v>1986</v>
      </c>
      <c r="E165" s="330"/>
      <c r="F165" s="331" t="s">
        <v>60</v>
      </c>
      <c r="G165" s="330">
        <v>5</v>
      </c>
      <c r="H165" s="330" t="s">
        <v>1969</v>
      </c>
      <c r="I165" s="38">
        <v>6281</v>
      </c>
      <c r="J165" s="38">
        <v>4728.1000000000004</v>
      </c>
      <c r="K165" s="38">
        <v>4728.1000000000004</v>
      </c>
      <c r="L165" s="332">
        <v>195</v>
      </c>
      <c r="M165" s="330" t="s">
        <v>46</v>
      </c>
      <c r="N165" s="330" t="s">
        <v>50</v>
      </c>
      <c r="O165" s="333" t="s">
        <v>1999</v>
      </c>
      <c r="P165" s="38">
        <v>2766905.7600000002</v>
      </c>
      <c r="Q165" s="38">
        <v>0</v>
      </c>
      <c r="R165" s="38">
        <v>0</v>
      </c>
      <c r="S165" s="38">
        <f t="shared" si="17"/>
        <v>2766905.7600000002</v>
      </c>
      <c r="T165" s="38">
        <f t="shared" si="15"/>
        <v>440.51994268428598</v>
      </c>
      <c r="U165" s="38">
        <v>1186.4560063684128</v>
      </c>
      <c r="V165" s="458">
        <f t="shared" si="16"/>
        <v>745.93606368412679</v>
      </c>
      <c r="W165" s="458">
        <f t="shared" si="18"/>
        <v>1182.4229364750836</v>
      </c>
      <c r="X165" s="458">
        <v>0</v>
      </c>
      <c r="Y165" s="459">
        <v>0</v>
      </c>
      <c r="Z165" s="459">
        <v>0</v>
      </c>
      <c r="AA165" s="459">
        <v>0</v>
      </c>
      <c r="AB165" s="459">
        <v>0</v>
      </c>
      <c r="AC165" s="459">
        <v>0</v>
      </c>
      <c r="AD165" s="459">
        <v>0</v>
      </c>
      <c r="AE165" s="459">
        <v>1190.4000000000001</v>
      </c>
      <c r="AF165" s="458">
        <f>6238.91*AE165/I165</f>
        <v>1182.4229364750836</v>
      </c>
      <c r="AG165" s="459">
        <v>0</v>
      </c>
      <c r="AH165" s="458">
        <v>0</v>
      </c>
      <c r="AI165" s="459">
        <v>0</v>
      </c>
      <c r="AJ165" s="458">
        <v>0</v>
      </c>
      <c r="AK165" s="459">
        <v>0</v>
      </c>
      <c r="AL165" s="459">
        <v>0</v>
      </c>
      <c r="AM165" s="459">
        <v>0</v>
      </c>
      <c r="AN165" s="459"/>
      <c r="AO165" s="459">
        <v>0</v>
      </c>
      <c r="AP165" s="460"/>
      <c r="AQ165" s="460"/>
      <c r="AR165" s="460"/>
      <c r="AS165" s="460"/>
      <c r="AT165" s="460"/>
      <c r="AU165" s="460"/>
      <c r="AV165" s="460"/>
      <c r="AW165" s="460"/>
      <c r="AX165" s="460"/>
      <c r="AY165" s="460"/>
      <c r="AZ165" s="460"/>
      <c r="BA165" s="460"/>
      <c r="BB165" s="460"/>
      <c r="BC165" s="460"/>
      <c r="BD165" s="460"/>
      <c r="BE165" s="460"/>
      <c r="BF165" s="460"/>
      <c r="BG165" s="460"/>
      <c r="BH165" s="460"/>
      <c r="BI165" s="460"/>
      <c r="BJ165" s="460"/>
      <c r="BK165" s="460"/>
      <c r="BL165" s="460"/>
      <c r="BM165" s="460"/>
      <c r="BN165" s="460"/>
      <c r="BO165" s="460"/>
      <c r="BP165" s="460"/>
      <c r="BQ165" s="460"/>
      <c r="BR165" s="460"/>
      <c r="BS165" s="460"/>
      <c r="BT165" s="460"/>
      <c r="BU165" s="460"/>
      <c r="BV165" s="460"/>
      <c r="BW165" s="460"/>
      <c r="BX165" s="460"/>
      <c r="BY165" s="460"/>
      <c r="BZ165" s="460"/>
      <c r="CA165" s="460"/>
      <c r="CB165" s="460"/>
      <c r="CC165" s="460"/>
      <c r="CD165" s="460"/>
      <c r="CE165" s="460"/>
      <c r="CF165" s="460"/>
      <c r="CG165" s="460"/>
      <c r="CH165" s="460"/>
      <c r="CI165" s="460"/>
      <c r="CJ165" s="460"/>
      <c r="CK165" s="460"/>
    </row>
    <row r="166" spans="1:89" s="329" customFormat="1" ht="36" customHeight="1" x14ac:dyDescent="0.25">
      <c r="A166" s="329">
        <v>1</v>
      </c>
      <c r="B166" s="39">
        <f>SUBTOTAL(103,$A$16:A166)</f>
        <v>149</v>
      </c>
      <c r="C166" s="33" t="s">
        <v>1159</v>
      </c>
      <c r="D166" s="330">
        <v>1948</v>
      </c>
      <c r="E166" s="330"/>
      <c r="F166" s="331" t="s">
        <v>1990</v>
      </c>
      <c r="G166" s="330">
        <v>2</v>
      </c>
      <c r="H166" s="330" t="s">
        <v>57</v>
      </c>
      <c r="I166" s="38">
        <v>380.35</v>
      </c>
      <c r="J166" s="38">
        <v>328.8</v>
      </c>
      <c r="K166" s="38">
        <v>328.8</v>
      </c>
      <c r="L166" s="332">
        <v>16</v>
      </c>
      <c r="M166" s="330" t="s">
        <v>46</v>
      </c>
      <c r="N166" s="330" t="s">
        <v>50</v>
      </c>
      <c r="O166" s="333" t="s">
        <v>65</v>
      </c>
      <c r="P166" s="38">
        <v>1828369.47</v>
      </c>
      <c r="Q166" s="38">
        <v>0</v>
      </c>
      <c r="R166" s="38">
        <v>0</v>
      </c>
      <c r="S166" s="38">
        <f t="shared" si="17"/>
        <v>1828369.47</v>
      </c>
      <c r="T166" s="38">
        <f t="shared" si="15"/>
        <v>4807.0710398317333</v>
      </c>
      <c r="U166" s="38">
        <v>5628.9864072564742</v>
      </c>
      <c r="V166" s="458">
        <f t="shared" si="16"/>
        <v>821.91536742474091</v>
      </c>
      <c r="W166" s="458">
        <f t="shared" si="18"/>
        <v>5609.8520310240556</v>
      </c>
      <c r="X166" s="458">
        <v>0</v>
      </c>
      <c r="Y166" s="459">
        <v>0</v>
      </c>
      <c r="Z166" s="459">
        <v>0</v>
      </c>
      <c r="AA166" s="459">
        <v>0</v>
      </c>
      <c r="AB166" s="459">
        <v>0</v>
      </c>
      <c r="AC166" s="459">
        <v>0</v>
      </c>
      <c r="AD166" s="459">
        <v>0</v>
      </c>
      <c r="AE166" s="459">
        <v>342</v>
      </c>
      <c r="AF166" s="458">
        <f>6238.91*AE166/I166</f>
        <v>5609.8520310240556</v>
      </c>
      <c r="AG166" s="459">
        <v>0</v>
      </c>
      <c r="AH166" s="458">
        <v>0</v>
      </c>
      <c r="AI166" s="459">
        <v>0</v>
      </c>
      <c r="AJ166" s="458">
        <v>0</v>
      </c>
      <c r="AK166" s="459">
        <v>0</v>
      </c>
      <c r="AL166" s="459">
        <v>0</v>
      </c>
      <c r="AM166" s="459">
        <v>0</v>
      </c>
      <c r="AN166" s="459"/>
      <c r="AO166" s="459">
        <v>0</v>
      </c>
      <c r="AP166" s="460"/>
      <c r="AQ166" s="460"/>
      <c r="AR166" s="460"/>
      <c r="AS166" s="460"/>
      <c r="AT166" s="460"/>
      <c r="AU166" s="460"/>
      <c r="AV166" s="460"/>
      <c r="AW166" s="460"/>
      <c r="AX166" s="460"/>
      <c r="AY166" s="460"/>
      <c r="AZ166" s="460"/>
      <c r="BA166" s="460"/>
      <c r="BB166" s="460"/>
      <c r="BC166" s="460"/>
      <c r="BD166" s="460"/>
      <c r="BE166" s="460"/>
      <c r="BF166" s="460"/>
      <c r="BG166" s="460"/>
      <c r="BH166" s="460"/>
      <c r="BI166" s="460"/>
      <c r="BJ166" s="460"/>
      <c r="BK166" s="460"/>
      <c r="BL166" s="460"/>
      <c r="BM166" s="460"/>
      <c r="BN166" s="460"/>
      <c r="BO166" s="460"/>
      <c r="BP166" s="460"/>
      <c r="BQ166" s="460"/>
      <c r="BR166" s="460"/>
      <c r="BS166" s="460"/>
      <c r="BT166" s="460"/>
      <c r="BU166" s="460"/>
      <c r="BV166" s="460"/>
      <c r="BW166" s="460"/>
      <c r="BX166" s="460"/>
      <c r="BY166" s="460"/>
      <c r="BZ166" s="460"/>
      <c r="CA166" s="460"/>
      <c r="CB166" s="460"/>
      <c r="CC166" s="460"/>
      <c r="CD166" s="460"/>
      <c r="CE166" s="460"/>
      <c r="CF166" s="460"/>
      <c r="CG166" s="460"/>
      <c r="CH166" s="460"/>
      <c r="CI166" s="460"/>
      <c r="CJ166" s="460"/>
      <c r="CK166" s="460"/>
    </row>
    <row r="167" spans="1:89" s="329" customFormat="1" ht="36" customHeight="1" x14ac:dyDescent="0.25">
      <c r="A167" s="329">
        <v>1</v>
      </c>
      <c r="B167" s="39">
        <f>SUBTOTAL(103,$A$16:A167)</f>
        <v>150</v>
      </c>
      <c r="C167" s="33" t="s">
        <v>1161</v>
      </c>
      <c r="D167" s="330">
        <v>1972</v>
      </c>
      <c r="E167" s="330"/>
      <c r="F167" s="331" t="s">
        <v>48</v>
      </c>
      <c r="G167" s="330">
        <v>5</v>
      </c>
      <c r="H167" s="330" t="s">
        <v>1961</v>
      </c>
      <c r="I167" s="38">
        <v>6552.34</v>
      </c>
      <c r="J167" s="38">
        <v>6023.94</v>
      </c>
      <c r="K167" s="38">
        <v>6023.94</v>
      </c>
      <c r="L167" s="332">
        <v>307</v>
      </c>
      <c r="M167" s="330" t="s">
        <v>46</v>
      </c>
      <c r="N167" s="330" t="s">
        <v>50</v>
      </c>
      <c r="O167" s="333" t="s">
        <v>2000</v>
      </c>
      <c r="P167" s="38">
        <v>9410555.9500000011</v>
      </c>
      <c r="Q167" s="38">
        <v>0</v>
      </c>
      <c r="R167" s="38">
        <v>0</v>
      </c>
      <c r="S167" s="38">
        <f t="shared" si="17"/>
        <v>9410555.9500000011</v>
      </c>
      <c r="T167" s="38">
        <f t="shared" si="15"/>
        <v>1436.2130093981693</v>
      </c>
      <c r="U167" s="38">
        <v>1924.2015310560805</v>
      </c>
      <c r="V167" s="458">
        <f t="shared" si="16"/>
        <v>487.98852165791118</v>
      </c>
      <c r="W167" s="458">
        <f t="shared" si="18"/>
        <v>1925.277995342122</v>
      </c>
      <c r="X167" s="458">
        <v>0</v>
      </c>
      <c r="Y167" s="459">
        <v>0</v>
      </c>
      <c r="Z167" s="459">
        <v>0</v>
      </c>
      <c r="AA167" s="459">
        <v>0</v>
      </c>
      <c r="AB167" s="459">
        <v>0</v>
      </c>
      <c r="AC167" s="459">
        <v>0</v>
      </c>
      <c r="AD167" s="459">
        <v>0</v>
      </c>
      <c r="AE167" s="459">
        <v>2022</v>
      </c>
      <c r="AF167" s="458">
        <f>6238.91*AE167/I167</f>
        <v>1925.277995342122</v>
      </c>
      <c r="AG167" s="459">
        <v>0</v>
      </c>
      <c r="AH167" s="458">
        <v>0</v>
      </c>
      <c r="AI167" s="459">
        <v>0</v>
      </c>
      <c r="AJ167" s="458">
        <v>0</v>
      </c>
      <c r="AK167" s="459">
        <v>0</v>
      </c>
      <c r="AL167" s="459">
        <v>0</v>
      </c>
      <c r="AM167" s="459">
        <v>0</v>
      </c>
      <c r="AN167" s="459"/>
      <c r="AO167" s="459">
        <v>0</v>
      </c>
      <c r="AP167" s="460"/>
      <c r="AQ167" s="460"/>
      <c r="AR167" s="460"/>
      <c r="AS167" s="460"/>
      <c r="AT167" s="460"/>
      <c r="AU167" s="460"/>
      <c r="AV167" s="460"/>
      <c r="AW167" s="460"/>
      <c r="AX167" s="460"/>
      <c r="AY167" s="460"/>
      <c r="AZ167" s="460"/>
      <c r="BA167" s="460"/>
      <c r="BB167" s="460"/>
      <c r="BC167" s="460"/>
      <c r="BD167" s="460"/>
      <c r="BE167" s="460"/>
      <c r="BF167" s="460"/>
      <c r="BG167" s="460"/>
      <c r="BH167" s="460"/>
      <c r="BI167" s="460"/>
      <c r="BJ167" s="460"/>
      <c r="BK167" s="460"/>
      <c r="BL167" s="460"/>
      <c r="BM167" s="460"/>
      <c r="BN167" s="460"/>
      <c r="BO167" s="460"/>
      <c r="BP167" s="460"/>
      <c r="BQ167" s="460"/>
      <c r="BR167" s="460"/>
      <c r="BS167" s="460"/>
      <c r="BT167" s="460"/>
      <c r="BU167" s="460"/>
      <c r="BV167" s="460"/>
      <c r="BW167" s="460"/>
      <c r="BX167" s="460"/>
      <c r="BY167" s="460"/>
      <c r="BZ167" s="460"/>
      <c r="CA167" s="460"/>
      <c r="CB167" s="460"/>
      <c r="CC167" s="460"/>
      <c r="CD167" s="460"/>
      <c r="CE167" s="460"/>
      <c r="CF167" s="460"/>
      <c r="CG167" s="460"/>
      <c r="CH167" s="460"/>
      <c r="CI167" s="460"/>
      <c r="CJ167" s="460"/>
      <c r="CK167" s="460"/>
    </row>
    <row r="168" spans="1:89" s="329" customFormat="1" ht="36" customHeight="1" x14ac:dyDescent="0.25">
      <c r="A168" s="329">
        <v>1</v>
      </c>
      <c r="B168" s="39">
        <f>SUBTOTAL(103,$A$16:A168)</f>
        <v>151</v>
      </c>
      <c r="C168" s="33" t="s">
        <v>1163</v>
      </c>
      <c r="D168" s="330">
        <v>1958</v>
      </c>
      <c r="E168" s="330"/>
      <c r="F168" s="331" t="s">
        <v>48</v>
      </c>
      <c r="G168" s="330">
        <v>2</v>
      </c>
      <c r="H168" s="330" t="s">
        <v>56</v>
      </c>
      <c r="I168" s="38">
        <v>731.63</v>
      </c>
      <c r="J168" s="38">
        <v>675.13</v>
      </c>
      <c r="K168" s="38">
        <v>675.13</v>
      </c>
      <c r="L168" s="332">
        <v>27</v>
      </c>
      <c r="M168" s="330" t="s">
        <v>46</v>
      </c>
      <c r="N168" s="330" t="s">
        <v>47</v>
      </c>
      <c r="O168" s="333" t="s">
        <v>49</v>
      </c>
      <c r="P168" s="38">
        <v>1472488.92</v>
      </c>
      <c r="Q168" s="38">
        <v>0</v>
      </c>
      <c r="R168" s="38">
        <v>0</v>
      </c>
      <c r="S168" s="38">
        <f t="shared" si="17"/>
        <v>1472488.92</v>
      </c>
      <c r="T168" s="38">
        <f t="shared" si="15"/>
        <v>2012.6141902327679</v>
      </c>
      <c r="U168" s="38">
        <v>4156.29</v>
      </c>
      <c r="V168" s="458">
        <f t="shared" si="16"/>
        <v>2143.6758097672318</v>
      </c>
      <c r="W168" s="458">
        <f t="shared" si="18"/>
        <v>4341.5</v>
      </c>
      <c r="X168" s="458">
        <v>101.55</v>
      </c>
      <c r="Y168" s="459">
        <v>0</v>
      </c>
      <c r="Z168" s="459">
        <v>3259.66</v>
      </c>
      <c r="AA168" s="459">
        <v>184.98</v>
      </c>
      <c r="AB168" s="459">
        <v>795.31</v>
      </c>
      <c r="AC168" s="459">
        <v>0</v>
      </c>
      <c r="AD168" s="459">
        <v>0</v>
      </c>
      <c r="AE168" s="459">
        <v>0</v>
      </c>
      <c r="AF168" s="458">
        <v>0</v>
      </c>
      <c r="AG168" s="459">
        <v>0</v>
      </c>
      <c r="AH168" s="458">
        <v>0</v>
      </c>
      <c r="AI168" s="459">
        <v>0</v>
      </c>
      <c r="AJ168" s="458">
        <v>0</v>
      </c>
      <c r="AK168" s="459">
        <v>0</v>
      </c>
      <c r="AL168" s="459">
        <v>0</v>
      </c>
      <c r="AM168" s="459">
        <v>0</v>
      </c>
      <c r="AN168" s="459"/>
      <c r="AO168" s="459">
        <v>0</v>
      </c>
      <c r="AP168" s="460"/>
      <c r="AQ168" s="460"/>
      <c r="AR168" s="460"/>
      <c r="AS168" s="460"/>
      <c r="AT168" s="460"/>
      <c r="AU168" s="460"/>
      <c r="AV168" s="460"/>
      <c r="AW168" s="460"/>
      <c r="AX168" s="460"/>
      <c r="AY168" s="460"/>
      <c r="AZ168" s="460"/>
      <c r="BA168" s="460"/>
      <c r="BB168" s="460"/>
      <c r="BC168" s="460"/>
      <c r="BD168" s="460"/>
      <c r="BE168" s="460"/>
      <c r="BF168" s="460"/>
      <c r="BG168" s="460"/>
      <c r="BH168" s="460"/>
      <c r="BI168" s="460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460"/>
      <c r="BW168" s="460"/>
      <c r="BX168" s="460"/>
      <c r="BY168" s="460"/>
      <c r="BZ168" s="460"/>
      <c r="CA168" s="460"/>
      <c r="CB168" s="460"/>
      <c r="CC168" s="460"/>
      <c r="CD168" s="460"/>
      <c r="CE168" s="460"/>
      <c r="CF168" s="460"/>
      <c r="CG168" s="460"/>
      <c r="CH168" s="460"/>
      <c r="CI168" s="460"/>
      <c r="CJ168" s="460"/>
      <c r="CK168" s="460"/>
    </row>
    <row r="169" spans="1:89" s="329" customFormat="1" ht="36" customHeight="1" x14ac:dyDescent="0.25">
      <c r="A169" s="329">
        <v>1</v>
      </c>
      <c r="B169" s="39">
        <f>SUBTOTAL(103,$A$16:A169)</f>
        <v>152</v>
      </c>
      <c r="C169" s="33" t="s">
        <v>1160</v>
      </c>
      <c r="D169" s="330">
        <v>1963</v>
      </c>
      <c r="E169" s="330"/>
      <c r="F169" s="331" t="s">
        <v>48</v>
      </c>
      <c r="G169" s="330">
        <v>3</v>
      </c>
      <c r="H169" s="330" t="s">
        <v>56</v>
      </c>
      <c r="I169" s="38">
        <v>518.79999999999995</v>
      </c>
      <c r="J169" s="38">
        <v>518.73</v>
      </c>
      <c r="K169" s="38">
        <v>518.73</v>
      </c>
      <c r="L169" s="332">
        <v>28</v>
      </c>
      <c r="M169" s="330" t="s">
        <v>46</v>
      </c>
      <c r="N169" s="330" t="s">
        <v>47</v>
      </c>
      <c r="O169" s="333" t="s">
        <v>49</v>
      </c>
      <c r="P169" s="38">
        <v>1557950.91</v>
      </c>
      <c r="Q169" s="38">
        <v>0</v>
      </c>
      <c r="R169" s="38">
        <v>0</v>
      </c>
      <c r="S169" s="38">
        <f t="shared" si="17"/>
        <v>1557950.91</v>
      </c>
      <c r="T169" s="38">
        <f t="shared" si="15"/>
        <v>3002.9894178874329</v>
      </c>
      <c r="U169" s="38">
        <v>3994.0687933693139</v>
      </c>
      <c r="V169" s="458">
        <f t="shared" si="16"/>
        <v>991.07937548188102</v>
      </c>
      <c r="W169" s="458">
        <f t="shared" si="18"/>
        <v>3980.491923670008</v>
      </c>
      <c r="X169" s="458">
        <v>0</v>
      </c>
      <c r="Y169" s="459">
        <v>0</v>
      </c>
      <c r="Z169" s="459">
        <v>0</v>
      </c>
      <c r="AA169" s="459">
        <v>0</v>
      </c>
      <c r="AB169" s="459">
        <v>0</v>
      </c>
      <c r="AC169" s="459">
        <v>0</v>
      </c>
      <c r="AD169" s="459">
        <v>0</v>
      </c>
      <c r="AE169" s="459">
        <v>331</v>
      </c>
      <c r="AF169" s="458">
        <f>6238.91*AE169/I169</f>
        <v>3980.491923670008</v>
      </c>
      <c r="AG169" s="459">
        <v>0</v>
      </c>
      <c r="AH169" s="458">
        <v>0</v>
      </c>
      <c r="AI169" s="459">
        <v>0</v>
      </c>
      <c r="AJ169" s="458">
        <v>0</v>
      </c>
      <c r="AK169" s="459">
        <v>0</v>
      </c>
      <c r="AL169" s="459">
        <v>0</v>
      </c>
      <c r="AM169" s="459">
        <v>0</v>
      </c>
      <c r="AN169" s="459"/>
      <c r="AO169" s="459">
        <v>0</v>
      </c>
      <c r="AP169" s="460"/>
      <c r="AQ169" s="460"/>
      <c r="AR169" s="460"/>
      <c r="AS169" s="460"/>
      <c r="AT169" s="460"/>
      <c r="AU169" s="460"/>
      <c r="AV169" s="460"/>
      <c r="AW169" s="460"/>
      <c r="AX169" s="460"/>
      <c r="AY169" s="460"/>
      <c r="AZ169" s="460"/>
      <c r="BA169" s="460"/>
      <c r="BB169" s="460"/>
      <c r="BC169" s="460"/>
      <c r="BD169" s="460"/>
      <c r="BE169" s="460"/>
      <c r="BF169" s="460"/>
      <c r="BG169" s="460"/>
      <c r="BH169" s="460"/>
      <c r="BI169" s="460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460"/>
      <c r="BW169" s="460"/>
      <c r="BX169" s="460"/>
      <c r="BY169" s="460"/>
      <c r="BZ169" s="460"/>
      <c r="CA169" s="460"/>
      <c r="CB169" s="460"/>
      <c r="CC169" s="460"/>
      <c r="CD169" s="460"/>
      <c r="CE169" s="460"/>
      <c r="CF169" s="460"/>
      <c r="CG169" s="460"/>
      <c r="CH169" s="460"/>
      <c r="CI169" s="460"/>
      <c r="CJ169" s="460"/>
      <c r="CK169" s="460"/>
    </row>
    <row r="170" spans="1:89" s="329" customFormat="1" ht="36" customHeight="1" x14ac:dyDescent="0.25">
      <c r="A170" s="329">
        <v>1</v>
      </c>
      <c r="B170" s="39">
        <f>SUBTOTAL(103,$A$16:A170)</f>
        <v>153</v>
      </c>
      <c r="C170" s="33" t="s">
        <v>1166</v>
      </c>
      <c r="D170" s="330">
        <v>1989</v>
      </c>
      <c r="E170" s="330"/>
      <c r="F170" s="331" t="s">
        <v>48</v>
      </c>
      <c r="G170" s="330">
        <v>9</v>
      </c>
      <c r="H170" s="330" t="s">
        <v>56</v>
      </c>
      <c r="I170" s="38">
        <v>4913</v>
      </c>
      <c r="J170" s="38">
        <v>3935.8</v>
      </c>
      <c r="K170" s="38">
        <v>3935.8</v>
      </c>
      <c r="L170" s="332">
        <v>173</v>
      </c>
      <c r="M170" s="330" t="s">
        <v>46</v>
      </c>
      <c r="N170" s="330" t="s">
        <v>50</v>
      </c>
      <c r="O170" s="333" t="s">
        <v>66</v>
      </c>
      <c r="P170" s="38">
        <v>2712861.94</v>
      </c>
      <c r="Q170" s="38">
        <v>0</v>
      </c>
      <c r="R170" s="38">
        <v>0</v>
      </c>
      <c r="S170" s="38">
        <f t="shared" si="17"/>
        <v>2712861.94</v>
      </c>
      <c r="T170" s="38">
        <f t="shared" si="15"/>
        <v>552.18032566659883</v>
      </c>
      <c r="U170" s="38">
        <v>1000.5292082230816</v>
      </c>
      <c r="V170" s="458">
        <f t="shared" si="16"/>
        <v>448.34888255648275</v>
      </c>
      <c r="W170" s="458">
        <f t="shared" si="18"/>
        <v>1000.5292082230816</v>
      </c>
      <c r="X170" s="458">
        <v>0</v>
      </c>
      <c r="Y170" s="459">
        <v>0</v>
      </c>
      <c r="Z170" s="459">
        <v>0</v>
      </c>
      <c r="AA170" s="459">
        <v>0</v>
      </c>
      <c r="AB170" s="459">
        <v>0</v>
      </c>
      <c r="AC170" s="459">
        <v>2</v>
      </c>
      <c r="AD170" s="458">
        <f>2457800*AC170/I170</f>
        <v>1000.5292082230816</v>
      </c>
      <c r="AE170" s="459">
        <v>0</v>
      </c>
      <c r="AF170" s="458">
        <v>0</v>
      </c>
      <c r="AG170" s="459">
        <v>0</v>
      </c>
      <c r="AH170" s="458">
        <v>0</v>
      </c>
      <c r="AI170" s="459">
        <v>0</v>
      </c>
      <c r="AJ170" s="458">
        <v>0</v>
      </c>
      <c r="AK170" s="459">
        <v>0</v>
      </c>
      <c r="AL170" s="459">
        <v>0</v>
      </c>
      <c r="AM170" s="459">
        <v>0</v>
      </c>
      <c r="AN170" s="459"/>
      <c r="AO170" s="459">
        <v>0</v>
      </c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460"/>
      <c r="BA170" s="460"/>
      <c r="BB170" s="460"/>
      <c r="BC170" s="460"/>
      <c r="BD170" s="460"/>
      <c r="BE170" s="460"/>
      <c r="BF170" s="460"/>
      <c r="BG170" s="460"/>
      <c r="BH170" s="460"/>
      <c r="BI170" s="460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460"/>
      <c r="BW170" s="460"/>
      <c r="BX170" s="460"/>
      <c r="BY170" s="460"/>
      <c r="BZ170" s="460"/>
      <c r="CA170" s="460"/>
      <c r="CB170" s="460"/>
      <c r="CC170" s="460"/>
      <c r="CD170" s="460"/>
      <c r="CE170" s="460"/>
      <c r="CF170" s="460"/>
      <c r="CG170" s="460"/>
      <c r="CH170" s="460"/>
      <c r="CI170" s="460"/>
      <c r="CJ170" s="460"/>
      <c r="CK170" s="460"/>
    </row>
    <row r="171" spans="1:89" s="329" customFormat="1" ht="36" customHeight="1" x14ac:dyDescent="0.25">
      <c r="A171" s="329">
        <v>1</v>
      </c>
      <c r="B171" s="39">
        <f>SUBTOTAL(103,$A$16:A171)</f>
        <v>154</v>
      </c>
      <c r="C171" s="33" t="s">
        <v>1168</v>
      </c>
      <c r="D171" s="330">
        <v>1964</v>
      </c>
      <c r="E171" s="330"/>
      <c r="F171" s="331" t="s">
        <v>48</v>
      </c>
      <c r="G171" s="330">
        <v>2</v>
      </c>
      <c r="H171" s="330" t="s">
        <v>56</v>
      </c>
      <c r="I171" s="38">
        <v>384.9</v>
      </c>
      <c r="J171" s="38">
        <v>384.9</v>
      </c>
      <c r="K171" s="38">
        <v>384.9</v>
      </c>
      <c r="L171" s="332">
        <v>27</v>
      </c>
      <c r="M171" s="330" t="s">
        <v>46</v>
      </c>
      <c r="N171" s="330" t="s">
        <v>50</v>
      </c>
      <c r="O171" s="333" t="s">
        <v>1999</v>
      </c>
      <c r="P171" s="38">
        <v>211626.35</v>
      </c>
      <c r="Q171" s="38">
        <v>0</v>
      </c>
      <c r="R171" s="38">
        <v>0</v>
      </c>
      <c r="S171" s="38">
        <f t="shared" si="17"/>
        <v>211626.35</v>
      </c>
      <c r="T171" s="38">
        <f t="shared" si="15"/>
        <v>549.82164198493115</v>
      </c>
      <c r="U171" s="38">
        <v>3803.7451062613673</v>
      </c>
      <c r="V171" s="458">
        <f t="shared" si="16"/>
        <v>3253.9234642764359</v>
      </c>
      <c r="W171" s="458">
        <f t="shared" si="18"/>
        <v>3803.7451062613673</v>
      </c>
      <c r="X171" s="458">
        <v>0</v>
      </c>
      <c r="Y171" s="459">
        <v>0</v>
      </c>
      <c r="Z171" s="459">
        <v>0</v>
      </c>
      <c r="AA171" s="459">
        <v>0</v>
      </c>
      <c r="AB171" s="459">
        <v>0</v>
      </c>
      <c r="AC171" s="459">
        <v>0</v>
      </c>
      <c r="AD171" s="459">
        <v>0</v>
      </c>
      <c r="AE171" s="459">
        <v>0</v>
      </c>
      <c r="AF171" s="458">
        <v>0</v>
      </c>
      <c r="AG171" s="459">
        <v>0</v>
      </c>
      <c r="AH171" s="458">
        <v>0</v>
      </c>
      <c r="AI171" s="459">
        <v>0</v>
      </c>
      <c r="AJ171" s="458">
        <v>0</v>
      </c>
      <c r="AK171" s="459">
        <v>19.07</v>
      </c>
      <c r="AL171" s="458">
        <f>76773.02*AK171/I171</f>
        <v>3803.7451062613673</v>
      </c>
      <c r="AM171" s="459">
        <v>0</v>
      </c>
      <c r="AN171" s="459"/>
      <c r="AO171" s="459">
        <v>0</v>
      </c>
      <c r="AP171" s="460"/>
      <c r="AQ171" s="460"/>
      <c r="AR171" s="460"/>
      <c r="AS171" s="460"/>
      <c r="AT171" s="460"/>
      <c r="AU171" s="460"/>
      <c r="AV171" s="460"/>
      <c r="AW171" s="460"/>
      <c r="AX171" s="460"/>
      <c r="AY171" s="460"/>
      <c r="AZ171" s="460"/>
      <c r="BA171" s="460"/>
      <c r="BB171" s="460"/>
      <c r="BC171" s="460"/>
      <c r="BD171" s="460"/>
      <c r="BE171" s="460"/>
      <c r="BF171" s="460"/>
      <c r="BG171" s="460"/>
      <c r="BH171" s="460"/>
      <c r="BI171" s="460"/>
      <c r="BJ171" s="460"/>
      <c r="BK171" s="460"/>
      <c r="BL171" s="460"/>
      <c r="BM171" s="460"/>
      <c r="BN171" s="460"/>
      <c r="BO171" s="460"/>
      <c r="BP171" s="460"/>
      <c r="BQ171" s="460"/>
      <c r="BR171" s="460"/>
      <c r="BS171" s="460"/>
      <c r="BT171" s="460"/>
      <c r="BU171" s="460"/>
      <c r="BV171" s="460"/>
      <c r="BW171" s="460"/>
      <c r="BX171" s="460"/>
      <c r="BY171" s="460"/>
      <c r="BZ171" s="460"/>
      <c r="CA171" s="460"/>
      <c r="CB171" s="460"/>
      <c r="CC171" s="460"/>
      <c r="CD171" s="460"/>
      <c r="CE171" s="460"/>
      <c r="CF171" s="460"/>
      <c r="CG171" s="460"/>
      <c r="CH171" s="460"/>
      <c r="CI171" s="460"/>
      <c r="CJ171" s="460"/>
      <c r="CK171" s="460"/>
    </row>
    <row r="172" spans="1:89" s="329" customFormat="1" ht="36" customHeight="1" x14ac:dyDescent="0.25">
      <c r="A172" s="329">
        <v>1</v>
      </c>
      <c r="B172" s="39">
        <f>SUBTOTAL(103,$A$16:A172)</f>
        <v>155</v>
      </c>
      <c r="C172" s="33" t="s">
        <v>1170</v>
      </c>
      <c r="D172" s="330">
        <v>1971</v>
      </c>
      <c r="E172" s="330"/>
      <c r="F172" s="331" t="s">
        <v>48</v>
      </c>
      <c r="G172" s="330">
        <v>5</v>
      </c>
      <c r="H172" s="330" t="s">
        <v>1969</v>
      </c>
      <c r="I172" s="38">
        <v>5698.2</v>
      </c>
      <c r="J172" s="38">
        <v>5283.5</v>
      </c>
      <c r="K172" s="38">
        <v>4475.3999999999996</v>
      </c>
      <c r="L172" s="332">
        <v>198</v>
      </c>
      <c r="M172" s="330" t="s">
        <v>46</v>
      </c>
      <c r="N172" s="330" t="s">
        <v>50</v>
      </c>
      <c r="O172" s="333" t="s">
        <v>2000</v>
      </c>
      <c r="P172" s="38">
        <v>2878164.01</v>
      </c>
      <c r="Q172" s="38">
        <v>0</v>
      </c>
      <c r="R172" s="38">
        <v>0</v>
      </c>
      <c r="S172" s="38">
        <f t="shared" si="17"/>
        <v>2878164.01</v>
      </c>
      <c r="T172" s="38">
        <f t="shared" si="15"/>
        <v>505.1005598259099</v>
      </c>
      <c r="U172" s="38">
        <v>1129.3822926538207</v>
      </c>
      <c r="V172" s="458">
        <f t="shared" si="16"/>
        <v>624.2817328279109</v>
      </c>
      <c r="W172" s="458">
        <f t="shared" si="18"/>
        <v>1129.3822926538207</v>
      </c>
      <c r="X172" s="458">
        <v>0</v>
      </c>
      <c r="Y172" s="459">
        <v>0</v>
      </c>
      <c r="Z172" s="459">
        <v>0</v>
      </c>
      <c r="AA172" s="459">
        <v>0</v>
      </c>
      <c r="AB172" s="459">
        <v>0</v>
      </c>
      <c r="AC172" s="459">
        <v>0</v>
      </c>
      <c r="AD172" s="459">
        <v>0</v>
      </c>
      <c r="AE172" s="459">
        <v>0</v>
      </c>
      <c r="AF172" s="458">
        <v>0</v>
      </c>
      <c r="AG172" s="459">
        <v>725.5</v>
      </c>
      <c r="AH172" s="458">
        <f>8870.36*AG172/I172</f>
        <v>1129.3822926538207</v>
      </c>
      <c r="AI172" s="459">
        <v>0</v>
      </c>
      <c r="AJ172" s="458">
        <v>0</v>
      </c>
      <c r="AK172" s="459">
        <v>0</v>
      </c>
      <c r="AL172" s="459">
        <v>0</v>
      </c>
      <c r="AM172" s="459">
        <v>0</v>
      </c>
      <c r="AN172" s="459"/>
      <c r="AO172" s="459">
        <v>0</v>
      </c>
      <c r="AP172" s="460"/>
      <c r="AQ172" s="460"/>
      <c r="AR172" s="460"/>
      <c r="AS172" s="460"/>
      <c r="AT172" s="460"/>
      <c r="AU172" s="460"/>
      <c r="AV172" s="460"/>
      <c r="AW172" s="460"/>
      <c r="AX172" s="460"/>
      <c r="AY172" s="460"/>
      <c r="AZ172" s="460"/>
      <c r="BA172" s="460"/>
      <c r="BB172" s="460"/>
      <c r="BC172" s="460"/>
      <c r="BD172" s="460"/>
      <c r="BE172" s="460"/>
      <c r="BF172" s="460"/>
      <c r="BG172" s="460"/>
      <c r="BH172" s="460"/>
      <c r="BI172" s="460"/>
      <c r="BJ172" s="460"/>
      <c r="BK172" s="460"/>
      <c r="BL172" s="460"/>
      <c r="BM172" s="460"/>
      <c r="BN172" s="460"/>
      <c r="BO172" s="460"/>
      <c r="BP172" s="460"/>
      <c r="BQ172" s="460"/>
      <c r="BR172" s="460"/>
      <c r="BS172" s="460"/>
      <c r="BT172" s="460"/>
      <c r="BU172" s="460"/>
      <c r="BV172" s="460"/>
      <c r="BW172" s="460"/>
      <c r="BX172" s="460"/>
      <c r="BY172" s="460"/>
      <c r="BZ172" s="460"/>
      <c r="CA172" s="460"/>
      <c r="CB172" s="460"/>
      <c r="CC172" s="460"/>
      <c r="CD172" s="460"/>
      <c r="CE172" s="460"/>
      <c r="CF172" s="460"/>
      <c r="CG172" s="460"/>
      <c r="CH172" s="460"/>
      <c r="CI172" s="460"/>
      <c r="CJ172" s="460"/>
      <c r="CK172" s="460"/>
    </row>
    <row r="173" spans="1:89" s="329" customFormat="1" ht="36" customHeight="1" x14ac:dyDescent="0.25">
      <c r="A173" s="329">
        <v>1</v>
      </c>
      <c r="B173" s="39">
        <f>SUBTOTAL(103,$A$16:A173)</f>
        <v>156</v>
      </c>
      <c r="C173" s="33" t="s">
        <v>1172</v>
      </c>
      <c r="D173" s="330">
        <v>1991</v>
      </c>
      <c r="E173" s="330"/>
      <c r="F173" s="331" t="s">
        <v>1991</v>
      </c>
      <c r="G173" s="330">
        <v>9</v>
      </c>
      <c r="H173" s="330" t="s">
        <v>56</v>
      </c>
      <c r="I173" s="38">
        <v>4196.7</v>
      </c>
      <c r="J173" s="38">
        <v>3776.7</v>
      </c>
      <c r="K173" s="38">
        <v>3776.7</v>
      </c>
      <c r="L173" s="332">
        <v>175</v>
      </c>
      <c r="M173" s="330" t="s">
        <v>46</v>
      </c>
      <c r="N173" s="330" t="s">
        <v>50</v>
      </c>
      <c r="O173" s="333" t="s">
        <v>65</v>
      </c>
      <c r="P173" s="38">
        <v>2712861.94</v>
      </c>
      <c r="Q173" s="38">
        <v>0</v>
      </c>
      <c r="R173" s="38">
        <v>0</v>
      </c>
      <c r="S173" s="38">
        <f t="shared" si="17"/>
        <v>2712861.94</v>
      </c>
      <c r="T173" s="38">
        <f t="shared" si="15"/>
        <v>646.42741677985089</v>
      </c>
      <c r="U173" s="38">
        <v>1171.3012605142137</v>
      </c>
      <c r="V173" s="458">
        <f t="shared" si="16"/>
        <v>524.87384373436282</v>
      </c>
      <c r="W173" s="458">
        <f t="shared" si="18"/>
        <v>1171.3012605142137</v>
      </c>
      <c r="X173" s="458">
        <v>0</v>
      </c>
      <c r="Y173" s="459">
        <v>0</v>
      </c>
      <c r="Z173" s="459">
        <v>0</v>
      </c>
      <c r="AA173" s="459">
        <v>0</v>
      </c>
      <c r="AB173" s="459">
        <v>0</v>
      </c>
      <c r="AC173" s="459">
        <v>2</v>
      </c>
      <c r="AD173" s="458">
        <f>2457800*AC173/I173</f>
        <v>1171.3012605142137</v>
      </c>
      <c r="AE173" s="459">
        <v>0</v>
      </c>
      <c r="AF173" s="458">
        <v>0</v>
      </c>
      <c r="AG173" s="459">
        <v>0</v>
      </c>
      <c r="AH173" s="458">
        <v>0</v>
      </c>
      <c r="AI173" s="459">
        <v>0</v>
      </c>
      <c r="AJ173" s="458">
        <v>0</v>
      </c>
      <c r="AK173" s="459">
        <v>0</v>
      </c>
      <c r="AL173" s="459">
        <v>0</v>
      </c>
      <c r="AM173" s="459">
        <v>0</v>
      </c>
      <c r="AN173" s="459"/>
      <c r="AO173" s="459">
        <v>0</v>
      </c>
      <c r="AP173" s="460"/>
      <c r="AQ173" s="460"/>
      <c r="AR173" s="460"/>
      <c r="AS173" s="460"/>
      <c r="AT173" s="460"/>
      <c r="AU173" s="460"/>
      <c r="AV173" s="460"/>
      <c r="AW173" s="460"/>
      <c r="AX173" s="460"/>
      <c r="AY173" s="460"/>
      <c r="AZ173" s="460"/>
      <c r="BA173" s="460"/>
      <c r="BB173" s="460"/>
      <c r="BC173" s="460"/>
      <c r="BD173" s="460"/>
      <c r="BE173" s="460"/>
      <c r="BF173" s="460"/>
      <c r="BG173" s="460"/>
      <c r="BH173" s="460"/>
      <c r="BI173" s="460"/>
      <c r="BJ173" s="460"/>
      <c r="BK173" s="460"/>
      <c r="BL173" s="460"/>
      <c r="BM173" s="460"/>
      <c r="BN173" s="460"/>
      <c r="BO173" s="460"/>
      <c r="BP173" s="460"/>
      <c r="BQ173" s="460"/>
      <c r="BR173" s="460"/>
      <c r="BS173" s="460"/>
      <c r="BT173" s="460"/>
      <c r="BU173" s="460"/>
      <c r="BV173" s="460"/>
      <c r="BW173" s="460"/>
      <c r="BX173" s="460"/>
      <c r="BY173" s="460"/>
      <c r="BZ173" s="460"/>
      <c r="CA173" s="460"/>
      <c r="CB173" s="460"/>
      <c r="CC173" s="460"/>
      <c r="CD173" s="460"/>
      <c r="CE173" s="460"/>
      <c r="CF173" s="460"/>
      <c r="CG173" s="460"/>
      <c r="CH173" s="460"/>
      <c r="CI173" s="460"/>
      <c r="CJ173" s="460"/>
      <c r="CK173" s="460"/>
    </row>
    <row r="174" spans="1:89" s="329" customFormat="1" ht="36" customHeight="1" x14ac:dyDescent="0.25">
      <c r="A174" s="329">
        <v>1</v>
      </c>
      <c r="B174" s="39">
        <f>SUBTOTAL(103,$A$16:A174)</f>
        <v>157</v>
      </c>
      <c r="C174" s="33" t="s">
        <v>1174</v>
      </c>
      <c r="D174" s="330">
        <v>1963</v>
      </c>
      <c r="E174" s="330"/>
      <c r="F174" s="331" t="s">
        <v>48</v>
      </c>
      <c r="G174" s="330">
        <v>4</v>
      </c>
      <c r="H174" s="330" t="s">
        <v>59</v>
      </c>
      <c r="I174" s="38">
        <v>2775</v>
      </c>
      <c r="J174" s="38">
        <v>2580</v>
      </c>
      <c r="K174" s="38">
        <v>2580</v>
      </c>
      <c r="L174" s="332">
        <v>110</v>
      </c>
      <c r="M174" s="330" t="s">
        <v>46</v>
      </c>
      <c r="N174" s="330" t="s">
        <v>50</v>
      </c>
      <c r="O174" s="333" t="s">
        <v>1996</v>
      </c>
      <c r="P174" s="38">
        <v>2237682.5499999998</v>
      </c>
      <c r="Q174" s="38">
        <v>0</v>
      </c>
      <c r="R174" s="38">
        <v>0</v>
      </c>
      <c r="S174" s="38">
        <f t="shared" si="17"/>
        <v>2237682.5499999998</v>
      </c>
      <c r="T174" s="38">
        <f t="shared" si="15"/>
        <v>806.37209009009007</v>
      </c>
      <c r="U174" s="38">
        <v>3259.66</v>
      </c>
      <c r="V174" s="458">
        <f t="shared" si="16"/>
        <v>2453.28790990991</v>
      </c>
      <c r="W174" s="458">
        <f t="shared" si="18"/>
        <v>3259.66</v>
      </c>
      <c r="X174" s="458">
        <v>0</v>
      </c>
      <c r="Y174" s="459">
        <v>0</v>
      </c>
      <c r="Z174" s="459">
        <v>3259.66</v>
      </c>
      <c r="AA174" s="459">
        <v>0</v>
      </c>
      <c r="AB174" s="459">
        <v>0</v>
      </c>
      <c r="AC174" s="459">
        <v>0</v>
      </c>
      <c r="AD174" s="459">
        <v>0</v>
      </c>
      <c r="AE174" s="459">
        <v>0</v>
      </c>
      <c r="AF174" s="458">
        <v>0</v>
      </c>
      <c r="AG174" s="459">
        <v>0</v>
      </c>
      <c r="AH174" s="458">
        <v>0</v>
      </c>
      <c r="AI174" s="459">
        <v>0</v>
      </c>
      <c r="AJ174" s="458">
        <v>0</v>
      </c>
      <c r="AK174" s="459">
        <v>0</v>
      </c>
      <c r="AL174" s="459">
        <v>0</v>
      </c>
      <c r="AM174" s="459">
        <v>0</v>
      </c>
      <c r="AN174" s="459"/>
      <c r="AO174" s="459">
        <v>0</v>
      </c>
      <c r="AP174" s="460"/>
      <c r="AQ174" s="460"/>
      <c r="AR174" s="460"/>
      <c r="AS174" s="460"/>
      <c r="AT174" s="460"/>
      <c r="AU174" s="460"/>
      <c r="AV174" s="460"/>
      <c r="AW174" s="460"/>
      <c r="AX174" s="460"/>
      <c r="AY174" s="460"/>
      <c r="AZ174" s="460"/>
      <c r="BA174" s="460"/>
      <c r="BB174" s="460"/>
      <c r="BC174" s="460"/>
      <c r="BD174" s="460"/>
      <c r="BE174" s="460"/>
      <c r="BF174" s="460"/>
      <c r="BG174" s="460"/>
      <c r="BH174" s="460"/>
      <c r="BI174" s="460"/>
      <c r="BJ174" s="460"/>
      <c r="BK174" s="460"/>
      <c r="BL174" s="460"/>
      <c r="BM174" s="460"/>
      <c r="BN174" s="460"/>
      <c r="BO174" s="460"/>
      <c r="BP174" s="460"/>
      <c r="BQ174" s="460"/>
      <c r="BR174" s="460"/>
      <c r="BS174" s="460"/>
      <c r="BT174" s="460"/>
      <c r="BU174" s="460"/>
      <c r="BV174" s="460"/>
      <c r="BW174" s="460"/>
      <c r="BX174" s="460"/>
      <c r="BY174" s="460"/>
      <c r="BZ174" s="460"/>
      <c r="CA174" s="460"/>
      <c r="CB174" s="460"/>
      <c r="CC174" s="460"/>
      <c r="CD174" s="460"/>
      <c r="CE174" s="460"/>
      <c r="CF174" s="460"/>
      <c r="CG174" s="460"/>
      <c r="CH174" s="460"/>
      <c r="CI174" s="460"/>
      <c r="CJ174" s="460"/>
      <c r="CK174" s="460"/>
    </row>
    <row r="175" spans="1:89" s="329" customFormat="1" ht="36" customHeight="1" x14ac:dyDescent="0.25">
      <c r="A175" s="329">
        <v>1</v>
      </c>
      <c r="B175" s="39">
        <f>SUBTOTAL(103,$A$16:A175)</f>
        <v>158</v>
      </c>
      <c r="C175" s="33" t="s">
        <v>1176</v>
      </c>
      <c r="D175" s="330">
        <v>1959</v>
      </c>
      <c r="E175" s="330"/>
      <c r="F175" s="331" t="s">
        <v>48</v>
      </c>
      <c r="G175" s="330">
        <v>2</v>
      </c>
      <c r="H175" s="330" t="s">
        <v>56</v>
      </c>
      <c r="I175" s="38">
        <v>598.02</v>
      </c>
      <c r="J175" s="38">
        <v>552.79999999999995</v>
      </c>
      <c r="K175" s="38">
        <v>552.79999999999995</v>
      </c>
      <c r="L175" s="332">
        <v>28</v>
      </c>
      <c r="M175" s="330" t="s">
        <v>46</v>
      </c>
      <c r="N175" s="330" t="s">
        <v>50</v>
      </c>
      <c r="O175" s="333" t="s">
        <v>2000</v>
      </c>
      <c r="P175" s="38">
        <v>2418873.6</v>
      </c>
      <c r="Q175" s="38">
        <v>0</v>
      </c>
      <c r="R175" s="38">
        <v>0</v>
      </c>
      <c r="S175" s="38">
        <f t="shared" si="17"/>
        <v>2418873.6</v>
      </c>
      <c r="T175" s="38">
        <f t="shared" si="15"/>
        <v>4044.8038527139565</v>
      </c>
      <c r="U175" s="38">
        <v>5176.836494933279</v>
      </c>
      <c r="V175" s="458">
        <f t="shared" si="16"/>
        <v>1132.0326422193225</v>
      </c>
      <c r="W175" s="458">
        <f t="shared" si="18"/>
        <v>4976.3554228955554</v>
      </c>
      <c r="X175" s="458">
        <v>0</v>
      </c>
      <c r="Y175" s="459">
        <v>0</v>
      </c>
      <c r="Z175" s="459">
        <v>0</v>
      </c>
      <c r="AA175" s="459">
        <v>0</v>
      </c>
      <c r="AB175" s="459">
        <v>0</v>
      </c>
      <c r="AC175" s="459">
        <v>0</v>
      </c>
      <c r="AD175" s="459">
        <v>0</v>
      </c>
      <c r="AE175" s="459">
        <v>477</v>
      </c>
      <c r="AF175" s="458">
        <f>6238.91*AE175/I175</f>
        <v>4976.3554228955554</v>
      </c>
      <c r="AG175" s="459">
        <v>0</v>
      </c>
      <c r="AH175" s="458">
        <v>0</v>
      </c>
      <c r="AI175" s="459">
        <v>0</v>
      </c>
      <c r="AJ175" s="458">
        <v>0</v>
      </c>
      <c r="AK175" s="459">
        <v>0</v>
      </c>
      <c r="AL175" s="459">
        <v>0</v>
      </c>
      <c r="AM175" s="459">
        <v>0</v>
      </c>
      <c r="AN175" s="459"/>
      <c r="AO175" s="459">
        <v>0</v>
      </c>
      <c r="AP175" s="460"/>
      <c r="AQ175" s="460"/>
      <c r="AR175" s="460"/>
      <c r="AS175" s="460"/>
      <c r="AT175" s="460"/>
      <c r="AU175" s="460"/>
      <c r="AV175" s="460"/>
      <c r="AW175" s="460"/>
      <c r="AX175" s="460"/>
      <c r="AY175" s="460"/>
      <c r="AZ175" s="460"/>
      <c r="BA175" s="460"/>
      <c r="BB175" s="460"/>
      <c r="BC175" s="460"/>
      <c r="BD175" s="460"/>
      <c r="BE175" s="460"/>
      <c r="BF175" s="460"/>
      <c r="BG175" s="460"/>
      <c r="BH175" s="460"/>
      <c r="BI175" s="460"/>
      <c r="BJ175" s="460"/>
      <c r="BK175" s="460"/>
      <c r="BL175" s="460"/>
      <c r="BM175" s="460"/>
      <c r="BN175" s="460"/>
      <c r="BO175" s="460"/>
      <c r="BP175" s="460"/>
      <c r="BQ175" s="460"/>
      <c r="BR175" s="460"/>
      <c r="BS175" s="460"/>
      <c r="BT175" s="460"/>
      <c r="BU175" s="460"/>
      <c r="BV175" s="460"/>
      <c r="BW175" s="460"/>
      <c r="BX175" s="460"/>
      <c r="BY175" s="460"/>
      <c r="BZ175" s="460"/>
      <c r="CA175" s="460"/>
      <c r="CB175" s="460"/>
      <c r="CC175" s="460"/>
      <c r="CD175" s="460"/>
      <c r="CE175" s="460"/>
      <c r="CF175" s="460"/>
      <c r="CG175" s="460"/>
      <c r="CH175" s="460"/>
      <c r="CI175" s="460"/>
      <c r="CJ175" s="460"/>
      <c r="CK175" s="460"/>
    </row>
    <row r="176" spans="1:89" s="329" customFormat="1" ht="36" customHeight="1" x14ac:dyDescent="0.25">
      <c r="A176" s="329">
        <v>1</v>
      </c>
      <c r="B176" s="39">
        <f>SUBTOTAL(103,$A$16:A176)</f>
        <v>159</v>
      </c>
      <c r="C176" s="33" t="s">
        <v>236</v>
      </c>
      <c r="D176" s="330">
        <v>1989</v>
      </c>
      <c r="E176" s="330"/>
      <c r="F176" s="331" t="s">
        <v>48</v>
      </c>
      <c r="G176" s="330">
        <v>9</v>
      </c>
      <c r="H176" s="330" t="s">
        <v>57</v>
      </c>
      <c r="I176" s="38">
        <v>3493.71</v>
      </c>
      <c r="J176" s="38">
        <v>3277.11</v>
      </c>
      <c r="K176" s="38">
        <v>3277.11</v>
      </c>
      <c r="L176" s="332">
        <v>159</v>
      </c>
      <c r="M176" s="330" t="s">
        <v>46</v>
      </c>
      <c r="N176" s="330" t="s">
        <v>50</v>
      </c>
      <c r="O176" s="333" t="s">
        <v>242</v>
      </c>
      <c r="P176" s="38">
        <v>1640571.49</v>
      </c>
      <c r="Q176" s="38">
        <v>0</v>
      </c>
      <c r="R176" s="38">
        <v>0</v>
      </c>
      <c r="S176" s="38">
        <f t="shared" si="17"/>
        <v>1640571.49</v>
      </c>
      <c r="T176" s="38">
        <f t="shared" si="15"/>
        <v>469.57861127569259</v>
      </c>
      <c r="U176" s="38">
        <v>703.4928485764417</v>
      </c>
      <c r="V176" s="458">
        <f t="shared" si="16"/>
        <v>233.91423730074911</v>
      </c>
      <c r="W176" s="458">
        <f t="shared" si="18"/>
        <v>795.31</v>
      </c>
      <c r="X176" s="458">
        <v>0</v>
      </c>
      <c r="Y176" s="459">
        <v>0</v>
      </c>
      <c r="Z176" s="459">
        <v>0</v>
      </c>
      <c r="AA176" s="459">
        <v>0</v>
      </c>
      <c r="AB176" s="459">
        <v>795.31</v>
      </c>
      <c r="AC176" s="459">
        <v>0</v>
      </c>
      <c r="AD176" s="459">
        <v>0</v>
      </c>
      <c r="AE176" s="459">
        <v>0</v>
      </c>
      <c r="AF176" s="458">
        <v>0</v>
      </c>
      <c r="AG176" s="459">
        <v>0</v>
      </c>
      <c r="AH176" s="458">
        <v>0</v>
      </c>
      <c r="AI176" s="459">
        <v>0</v>
      </c>
      <c r="AJ176" s="458">
        <v>0</v>
      </c>
      <c r="AK176" s="459">
        <v>0</v>
      </c>
      <c r="AL176" s="459">
        <v>0</v>
      </c>
      <c r="AM176" s="459">
        <v>0</v>
      </c>
      <c r="AN176" s="459"/>
      <c r="AO176" s="459">
        <v>0</v>
      </c>
      <c r="AP176" s="460"/>
      <c r="AQ176" s="460"/>
      <c r="AR176" s="460"/>
      <c r="AS176" s="460"/>
      <c r="AT176" s="460"/>
      <c r="AU176" s="460"/>
      <c r="AV176" s="460"/>
      <c r="AW176" s="460"/>
      <c r="AX176" s="460"/>
      <c r="AY176" s="460"/>
      <c r="AZ176" s="460"/>
      <c r="BA176" s="460"/>
      <c r="BB176" s="460"/>
      <c r="BC176" s="460"/>
      <c r="BD176" s="460"/>
      <c r="BE176" s="460"/>
      <c r="BF176" s="460"/>
      <c r="BG176" s="460"/>
      <c r="BH176" s="460"/>
      <c r="BI176" s="460"/>
      <c r="BJ176" s="460"/>
      <c r="BK176" s="460"/>
      <c r="BL176" s="460"/>
      <c r="BM176" s="460"/>
      <c r="BN176" s="460"/>
      <c r="BO176" s="460"/>
      <c r="BP176" s="460"/>
      <c r="BQ176" s="460"/>
      <c r="BR176" s="460"/>
      <c r="BS176" s="460"/>
      <c r="BT176" s="460"/>
      <c r="BU176" s="460"/>
      <c r="BV176" s="460"/>
      <c r="BW176" s="460"/>
      <c r="BX176" s="460"/>
      <c r="BY176" s="460"/>
      <c r="BZ176" s="460"/>
      <c r="CA176" s="460"/>
      <c r="CB176" s="460"/>
      <c r="CC176" s="460"/>
      <c r="CD176" s="460"/>
      <c r="CE176" s="460"/>
      <c r="CF176" s="460"/>
      <c r="CG176" s="460"/>
      <c r="CH176" s="460"/>
      <c r="CI176" s="460"/>
      <c r="CJ176" s="460"/>
      <c r="CK176" s="460"/>
    </row>
    <row r="177" spans="1:89" s="329" customFormat="1" ht="36" customHeight="1" x14ac:dyDescent="0.25">
      <c r="A177" s="329">
        <v>1</v>
      </c>
      <c r="B177" s="39">
        <f>SUBTOTAL(103,$A$16:A177)</f>
        <v>160</v>
      </c>
      <c r="C177" s="33" t="s">
        <v>1178</v>
      </c>
      <c r="D177" s="330">
        <v>1992</v>
      </c>
      <c r="E177" s="330"/>
      <c r="F177" s="331" t="s">
        <v>48</v>
      </c>
      <c r="G177" s="330">
        <v>9</v>
      </c>
      <c r="H177" s="330" t="s">
        <v>57</v>
      </c>
      <c r="I177" s="38">
        <v>2755.2</v>
      </c>
      <c r="J177" s="38">
        <v>2755.2</v>
      </c>
      <c r="K177" s="38">
        <v>2755.2</v>
      </c>
      <c r="L177" s="332">
        <v>117</v>
      </c>
      <c r="M177" s="330" t="s">
        <v>46</v>
      </c>
      <c r="N177" s="330" t="s">
        <v>50</v>
      </c>
      <c r="O177" s="333" t="s">
        <v>2001</v>
      </c>
      <c r="P177" s="38">
        <v>1784450.96</v>
      </c>
      <c r="Q177" s="38">
        <v>0</v>
      </c>
      <c r="R177" s="38">
        <v>0</v>
      </c>
      <c r="S177" s="38">
        <f t="shared" si="17"/>
        <v>1784450.96</v>
      </c>
      <c r="T177" s="38">
        <f t="shared" si="15"/>
        <v>647.66657955865276</v>
      </c>
      <c r="U177" s="38">
        <v>892.05865272938445</v>
      </c>
      <c r="V177" s="458">
        <f t="shared" si="16"/>
        <v>244.39207317073169</v>
      </c>
      <c r="W177" s="458">
        <f t="shared" si="18"/>
        <v>795.31</v>
      </c>
      <c r="X177" s="458">
        <v>0</v>
      </c>
      <c r="Y177" s="459">
        <v>0</v>
      </c>
      <c r="Z177" s="459">
        <v>0</v>
      </c>
      <c r="AA177" s="459">
        <v>0</v>
      </c>
      <c r="AB177" s="459">
        <v>795.31</v>
      </c>
      <c r="AC177" s="459">
        <v>0</v>
      </c>
      <c r="AD177" s="459">
        <v>0</v>
      </c>
      <c r="AE177" s="459">
        <v>0</v>
      </c>
      <c r="AF177" s="458">
        <v>0</v>
      </c>
      <c r="AG177" s="459">
        <v>0</v>
      </c>
      <c r="AH177" s="458">
        <v>0</v>
      </c>
      <c r="AI177" s="459">
        <v>0</v>
      </c>
      <c r="AJ177" s="458">
        <v>0</v>
      </c>
      <c r="AK177" s="459">
        <v>0</v>
      </c>
      <c r="AL177" s="459">
        <v>0</v>
      </c>
      <c r="AM177" s="459">
        <v>0</v>
      </c>
      <c r="AN177" s="459"/>
      <c r="AO177" s="459">
        <v>0</v>
      </c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460"/>
      <c r="BA177" s="460"/>
      <c r="BB177" s="460"/>
      <c r="BC177" s="460"/>
      <c r="BD177" s="460"/>
      <c r="BE177" s="460"/>
      <c r="BF177" s="460"/>
      <c r="BG177" s="460"/>
      <c r="BH177" s="460"/>
      <c r="BI177" s="460"/>
      <c r="BJ177" s="460"/>
      <c r="BK177" s="460"/>
      <c r="BL177" s="460"/>
      <c r="BM177" s="460"/>
      <c r="BN177" s="460"/>
      <c r="BO177" s="460"/>
      <c r="BP177" s="460"/>
      <c r="BQ177" s="460"/>
      <c r="BR177" s="460"/>
      <c r="BS177" s="460"/>
      <c r="BT177" s="460"/>
      <c r="BU177" s="460"/>
      <c r="BV177" s="460"/>
      <c r="BW177" s="460"/>
      <c r="BX177" s="460"/>
      <c r="BY177" s="460"/>
      <c r="BZ177" s="460"/>
      <c r="CA177" s="460"/>
      <c r="CB177" s="460"/>
      <c r="CC177" s="460"/>
      <c r="CD177" s="460"/>
      <c r="CE177" s="460"/>
      <c r="CF177" s="460"/>
      <c r="CG177" s="460"/>
      <c r="CH177" s="460"/>
      <c r="CI177" s="460"/>
      <c r="CJ177" s="460"/>
      <c r="CK177" s="460"/>
    </row>
    <row r="178" spans="1:89" s="329" customFormat="1" ht="36" customHeight="1" x14ac:dyDescent="0.25">
      <c r="A178" s="329">
        <v>1</v>
      </c>
      <c r="B178" s="39">
        <f>SUBTOTAL(103,$A$16:A178)</f>
        <v>161</v>
      </c>
      <c r="C178" s="33" t="s">
        <v>1180</v>
      </c>
      <c r="D178" s="330">
        <v>1992</v>
      </c>
      <c r="E178" s="330"/>
      <c r="F178" s="331" t="s">
        <v>60</v>
      </c>
      <c r="G178" s="330">
        <v>9</v>
      </c>
      <c r="H178" s="330" t="s">
        <v>59</v>
      </c>
      <c r="I178" s="38">
        <v>8435</v>
      </c>
      <c r="J178" s="38">
        <v>4621</v>
      </c>
      <c r="K178" s="38">
        <v>4597</v>
      </c>
      <c r="L178" s="332">
        <v>317</v>
      </c>
      <c r="M178" s="330" t="s">
        <v>46</v>
      </c>
      <c r="N178" s="330" t="s">
        <v>50</v>
      </c>
      <c r="O178" s="333" t="s">
        <v>2002</v>
      </c>
      <c r="P178" s="38">
        <v>6364982.3099999996</v>
      </c>
      <c r="Q178" s="38">
        <v>0</v>
      </c>
      <c r="R178" s="38">
        <v>0</v>
      </c>
      <c r="S178" s="38">
        <f t="shared" si="17"/>
        <v>6364982.3099999996</v>
      </c>
      <c r="T178" s="38">
        <f t="shared" si="15"/>
        <v>754.59185655008889</v>
      </c>
      <c r="U178" s="38">
        <v>1165.5245998814464</v>
      </c>
      <c r="V178" s="458">
        <f t="shared" si="16"/>
        <v>410.93274333135753</v>
      </c>
      <c r="W178" s="458">
        <f t="shared" si="18"/>
        <v>291.38114997036161</v>
      </c>
      <c r="X178" s="458">
        <v>0</v>
      </c>
      <c r="Y178" s="459">
        <v>0</v>
      </c>
      <c r="Z178" s="459">
        <v>0</v>
      </c>
      <c r="AA178" s="459">
        <v>0</v>
      </c>
      <c r="AB178" s="459">
        <v>0</v>
      </c>
      <c r="AC178" s="459">
        <v>1</v>
      </c>
      <c r="AD178" s="458">
        <f>2457800*AC178/I178</f>
        <v>291.38114997036161</v>
      </c>
      <c r="AE178" s="459">
        <v>0</v>
      </c>
      <c r="AF178" s="458">
        <v>0</v>
      </c>
      <c r="AG178" s="459">
        <v>0</v>
      </c>
      <c r="AH178" s="458">
        <v>0</v>
      </c>
      <c r="AI178" s="459">
        <v>0</v>
      </c>
      <c r="AJ178" s="458">
        <v>0</v>
      </c>
      <c r="AK178" s="459">
        <v>0</v>
      </c>
      <c r="AL178" s="459">
        <v>0</v>
      </c>
      <c r="AM178" s="459">
        <v>0</v>
      </c>
      <c r="AN178" s="459"/>
      <c r="AO178" s="459">
        <v>0</v>
      </c>
      <c r="AP178" s="460"/>
      <c r="AQ178" s="460"/>
      <c r="AR178" s="460"/>
      <c r="AS178" s="460"/>
      <c r="AT178" s="460"/>
      <c r="AU178" s="460"/>
      <c r="AV178" s="460"/>
      <c r="AW178" s="460"/>
      <c r="AX178" s="460"/>
      <c r="AY178" s="460"/>
      <c r="AZ178" s="460"/>
      <c r="BA178" s="460"/>
      <c r="BB178" s="460"/>
      <c r="BC178" s="460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0"/>
      <c r="BY178" s="460"/>
      <c r="BZ178" s="460"/>
      <c r="CA178" s="460"/>
      <c r="CB178" s="460"/>
      <c r="CC178" s="460"/>
      <c r="CD178" s="460"/>
      <c r="CE178" s="460"/>
      <c r="CF178" s="460"/>
      <c r="CG178" s="460"/>
      <c r="CH178" s="460"/>
      <c r="CI178" s="460"/>
      <c r="CJ178" s="460"/>
      <c r="CK178" s="460"/>
    </row>
    <row r="179" spans="1:89" s="329" customFormat="1" ht="36" customHeight="1" x14ac:dyDescent="0.25">
      <c r="A179" s="329">
        <v>1</v>
      </c>
      <c r="B179" s="39">
        <f>SUBTOTAL(103,$A$16:A179)</f>
        <v>162</v>
      </c>
      <c r="C179" s="33" t="s">
        <v>1182</v>
      </c>
      <c r="D179" s="330">
        <v>1968</v>
      </c>
      <c r="E179" s="330"/>
      <c r="F179" s="331" t="s">
        <v>48</v>
      </c>
      <c r="G179" s="330">
        <v>5</v>
      </c>
      <c r="H179" s="330" t="s">
        <v>59</v>
      </c>
      <c r="I179" s="38">
        <v>3582.37</v>
      </c>
      <c r="J179" s="38">
        <v>3313</v>
      </c>
      <c r="K179" s="38">
        <v>3252.7</v>
      </c>
      <c r="L179" s="332">
        <v>144</v>
      </c>
      <c r="M179" s="330" t="s">
        <v>46</v>
      </c>
      <c r="N179" s="330" t="s">
        <v>50</v>
      </c>
      <c r="O179" s="333" t="s">
        <v>67</v>
      </c>
      <c r="P179" s="38">
        <v>2353234.23</v>
      </c>
      <c r="Q179" s="38">
        <v>0</v>
      </c>
      <c r="R179" s="38">
        <v>0</v>
      </c>
      <c r="S179" s="38">
        <f t="shared" si="17"/>
        <v>2353234.23</v>
      </c>
      <c r="T179" s="38">
        <f t="shared" si="15"/>
        <v>656.89312661729525</v>
      </c>
      <c r="U179" s="38">
        <v>3259.66</v>
      </c>
      <c r="V179" s="458">
        <f t="shared" si="16"/>
        <v>2602.7668733827045</v>
      </c>
      <c r="W179" s="458">
        <f t="shared" si="18"/>
        <v>686.08211882078069</v>
      </c>
      <c r="X179" s="458">
        <v>0</v>
      </c>
      <c r="Y179" s="459">
        <v>0</v>
      </c>
      <c r="Z179" s="459">
        <v>0</v>
      </c>
      <c r="AA179" s="459">
        <v>0</v>
      </c>
      <c r="AB179" s="459">
        <v>0</v>
      </c>
      <c r="AC179" s="459">
        <v>1</v>
      </c>
      <c r="AD179" s="458">
        <f>2457800*AC179/I179</f>
        <v>686.08211882078069</v>
      </c>
      <c r="AE179" s="459">
        <v>0</v>
      </c>
      <c r="AF179" s="458">
        <v>0</v>
      </c>
      <c r="AG179" s="459">
        <v>0</v>
      </c>
      <c r="AH179" s="458">
        <v>0</v>
      </c>
      <c r="AI179" s="459">
        <v>0</v>
      </c>
      <c r="AJ179" s="458">
        <v>0</v>
      </c>
      <c r="AK179" s="459">
        <v>0</v>
      </c>
      <c r="AL179" s="459">
        <v>0</v>
      </c>
      <c r="AM179" s="459">
        <v>0</v>
      </c>
      <c r="AN179" s="459"/>
      <c r="AO179" s="459">
        <v>0</v>
      </c>
      <c r="AP179" s="460"/>
      <c r="AQ179" s="460"/>
      <c r="AR179" s="460"/>
      <c r="AS179" s="460"/>
      <c r="AT179" s="460"/>
      <c r="AU179" s="460"/>
      <c r="AV179" s="460"/>
      <c r="AW179" s="460"/>
      <c r="AX179" s="460"/>
      <c r="AY179" s="460"/>
      <c r="AZ179" s="460"/>
      <c r="BA179" s="460"/>
      <c r="BB179" s="460"/>
      <c r="BC179" s="460"/>
      <c r="BD179" s="460"/>
      <c r="BE179" s="460"/>
      <c r="BF179" s="460"/>
      <c r="BG179" s="460"/>
      <c r="BH179" s="460"/>
      <c r="BI179" s="460"/>
      <c r="BJ179" s="460"/>
      <c r="BK179" s="460"/>
      <c r="BL179" s="460"/>
      <c r="BM179" s="460"/>
      <c r="BN179" s="460"/>
      <c r="BO179" s="460"/>
      <c r="BP179" s="460"/>
      <c r="BQ179" s="460"/>
      <c r="BR179" s="460"/>
      <c r="BS179" s="460"/>
      <c r="BT179" s="460"/>
      <c r="BU179" s="460"/>
      <c r="BV179" s="460"/>
      <c r="BW179" s="460"/>
      <c r="BX179" s="460"/>
      <c r="BY179" s="460"/>
      <c r="BZ179" s="460"/>
      <c r="CA179" s="460"/>
      <c r="CB179" s="460"/>
      <c r="CC179" s="460"/>
      <c r="CD179" s="460"/>
      <c r="CE179" s="460"/>
      <c r="CF179" s="460"/>
      <c r="CG179" s="460"/>
      <c r="CH179" s="460"/>
      <c r="CI179" s="460"/>
      <c r="CJ179" s="460"/>
      <c r="CK179" s="460"/>
    </row>
    <row r="180" spans="1:89" s="329" customFormat="1" ht="36" customHeight="1" x14ac:dyDescent="0.25">
      <c r="A180" s="329">
        <v>1</v>
      </c>
      <c r="B180" s="39">
        <f>SUBTOTAL(103,$A$16:A180)</f>
        <v>163</v>
      </c>
      <c r="C180" s="33" t="s">
        <v>1183</v>
      </c>
      <c r="D180" s="330">
        <v>1958</v>
      </c>
      <c r="E180" s="330"/>
      <c r="F180" s="331" t="s">
        <v>48</v>
      </c>
      <c r="G180" s="330">
        <v>4</v>
      </c>
      <c r="H180" s="330" t="s">
        <v>59</v>
      </c>
      <c r="I180" s="38">
        <v>5856.4</v>
      </c>
      <c r="J180" s="38">
        <v>3235.1</v>
      </c>
      <c r="K180" s="38">
        <v>2625</v>
      </c>
      <c r="L180" s="332">
        <v>86</v>
      </c>
      <c r="M180" s="330" t="s">
        <v>46</v>
      </c>
      <c r="N180" s="330" t="s">
        <v>50</v>
      </c>
      <c r="O180" s="333" t="s">
        <v>2003</v>
      </c>
      <c r="P180" s="38">
        <v>131828.92000000001</v>
      </c>
      <c r="Q180" s="38">
        <v>0</v>
      </c>
      <c r="R180" s="38">
        <v>0</v>
      </c>
      <c r="S180" s="38">
        <f t="shared" si="17"/>
        <v>131828.92000000001</v>
      </c>
      <c r="T180" s="38">
        <f t="shared" si="15"/>
        <v>22.510231541561371</v>
      </c>
      <c r="U180" s="38">
        <v>22.510231541561371</v>
      </c>
      <c r="V180" s="458">
        <f t="shared" si="16"/>
        <v>0</v>
      </c>
      <c r="W180" s="458">
        <f t="shared" si="18"/>
        <v>1678.7104705962709</v>
      </c>
      <c r="X180" s="458">
        <v>0</v>
      </c>
      <c r="Y180" s="459">
        <v>0</v>
      </c>
      <c r="Z180" s="459">
        <v>0</v>
      </c>
      <c r="AA180" s="459">
        <v>0</v>
      </c>
      <c r="AB180" s="459">
        <v>0</v>
      </c>
      <c r="AC180" s="459">
        <v>4</v>
      </c>
      <c r="AD180" s="458">
        <f>2457800*AC180/I180</f>
        <v>1678.7104705962709</v>
      </c>
      <c r="AE180" s="459">
        <v>0</v>
      </c>
      <c r="AF180" s="458">
        <v>0</v>
      </c>
      <c r="AG180" s="459">
        <v>0</v>
      </c>
      <c r="AH180" s="458">
        <v>0</v>
      </c>
      <c r="AI180" s="459">
        <v>0</v>
      </c>
      <c r="AJ180" s="458">
        <v>0</v>
      </c>
      <c r="AK180" s="459">
        <v>0</v>
      </c>
      <c r="AL180" s="459">
        <v>0</v>
      </c>
      <c r="AM180" s="459">
        <v>0</v>
      </c>
      <c r="AN180" s="459"/>
      <c r="AO180" s="459">
        <v>0</v>
      </c>
      <c r="AP180" s="460"/>
      <c r="AQ180" s="460"/>
      <c r="AR180" s="460"/>
      <c r="AS180" s="460"/>
      <c r="AT180" s="460"/>
      <c r="AU180" s="460"/>
      <c r="AV180" s="460"/>
      <c r="AW180" s="460"/>
      <c r="AX180" s="460"/>
      <c r="AY180" s="460"/>
      <c r="AZ180" s="460"/>
      <c r="BA180" s="460"/>
      <c r="BB180" s="460"/>
      <c r="BC180" s="460"/>
      <c r="BD180" s="460"/>
      <c r="BE180" s="460"/>
      <c r="BF180" s="460"/>
      <c r="BG180" s="460"/>
      <c r="BH180" s="460"/>
      <c r="BI180" s="460"/>
      <c r="BJ180" s="460"/>
      <c r="BK180" s="460"/>
      <c r="BL180" s="460"/>
      <c r="BM180" s="460"/>
      <c r="BN180" s="460"/>
      <c r="BO180" s="460"/>
      <c r="BP180" s="460"/>
      <c r="BQ180" s="460"/>
      <c r="BR180" s="460"/>
      <c r="BS180" s="460"/>
      <c r="BT180" s="460"/>
      <c r="BU180" s="460"/>
      <c r="BV180" s="460"/>
      <c r="BW180" s="460"/>
      <c r="BX180" s="460"/>
      <c r="BY180" s="460"/>
      <c r="BZ180" s="460"/>
      <c r="CA180" s="460"/>
      <c r="CB180" s="460"/>
      <c r="CC180" s="460"/>
      <c r="CD180" s="460"/>
      <c r="CE180" s="460"/>
      <c r="CF180" s="460"/>
      <c r="CG180" s="460"/>
      <c r="CH180" s="460"/>
      <c r="CI180" s="460"/>
      <c r="CJ180" s="460"/>
      <c r="CK180" s="460"/>
    </row>
    <row r="181" spans="1:89" s="329" customFormat="1" ht="36" customHeight="1" x14ac:dyDescent="0.25">
      <c r="A181" s="329">
        <v>1</v>
      </c>
      <c r="B181" s="39">
        <f>SUBTOTAL(103,$A$16:A181)</f>
        <v>164</v>
      </c>
      <c r="C181" s="33" t="s">
        <v>1184</v>
      </c>
      <c r="D181" s="330">
        <v>1968</v>
      </c>
      <c r="E181" s="330"/>
      <c r="F181" s="331" t="s">
        <v>48</v>
      </c>
      <c r="G181" s="330">
        <v>2</v>
      </c>
      <c r="H181" s="330" t="s">
        <v>56</v>
      </c>
      <c r="I181" s="38">
        <v>610.4</v>
      </c>
      <c r="J181" s="38">
        <v>567</v>
      </c>
      <c r="K181" s="38">
        <v>489.2</v>
      </c>
      <c r="L181" s="332">
        <v>29</v>
      </c>
      <c r="M181" s="330" t="s">
        <v>46</v>
      </c>
      <c r="N181" s="330" t="s">
        <v>50</v>
      </c>
      <c r="O181" s="333" t="s">
        <v>2003</v>
      </c>
      <c r="P181" s="38">
        <v>2609030.63</v>
      </c>
      <c r="Q181" s="38">
        <v>0</v>
      </c>
      <c r="R181" s="38">
        <v>0</v>
      </c>
      <c r="S181" s="38">
        <f t="shared" si="17"/>
        <v>2609030.63</v>
      </c>
      <c r="T181" s="38">
        <f t="shared" si="15"/>
        <v>4274.2965760157276</v>
      </c>
      <c r="U181" s="38">
        <v>6050.9700196592394</v>
      </c>
      <c r="V181" s="458">
        <f t="shared" si="16"/>
        <v>1776.6734436435117</v>
      </c>
      <c r="W181" s="458">
        <f t="shared" si="18"/>
        <v>3259.66</v>
      </c>
      <c r="X181" s="458">
        <v>0</v>
      </c>
      <c r="Y181" s="459">
        <v>0</v>
      </c>
      <c r="Z181" s="459">
        <v>3259.66</v>
      </c>
      <c r="AA181" s="459">
        <v>0</v>
      </c>
      <c r="AB181" s="459">
        <v>0</v>
      </c>
      <c r="AC181" s="459">
        <v>0</v>
      </c>
      <c r="AD181" s="459">
        <v>0</v>
      </c>
      <c r="AE181" s="459">
        <v>0</v>
      </c>
      <c r="AF181" s="458">
        <v>0</v>
      </c>
      <c r="AG181" s="459">
        <v>0</v>
      </c>
      <c r="AH181" s="458">
        <v>0</v>
      </c>
      <c r="AI181" s="459">
        <v>0</v>
      </c>
      <c r="AJ181" s="458">
        <v>0</v>
      </c>
      <c r="AK181" s="459">
        <v>0</v>
      </c>
      <c r="AL181" s="459">
        <v>0</v>
      </c>
      <c r="AM181" s="459">
        <v>0</v>
      </c>
      <c r="AN181" s="459"/>
      <c r="AO181" s="459">
        <v>0</v>
      </c>
      <c r="AP181" s="460"/>
      <c r="AQ181" s="460"/>
      <c r="AR181" s="460"/>
      <c r="AS181" s="460"/>
      <c r="AT181" s="460"/>
      <c r="AU181" s="460"/>
      <c r="AV181" s="460"/>
      <c r="AW181" s="460"/>
      <c r="AX181" s="460"/>
      <c r="AY181" s="460"/>
      <c r="AZ181" s="460"/>
      <c r="BA181" s="460"/>
      <c r="BB181" s="460"/>
      <c r="BC181" s="460"/>
      <c r="BD181" s="460"/>
      <c r="BE181" s="460"/>
      <c r="BF181" s="460"/>
      <c r="BG181" s="460"/>
      <c r="BH181" s="460"/>
      <c r="BI181" s="460"/>
      <c r="BJ181" s="460"/>
      <c r="BK181" s="460"/>
      <c r="BL181" s="460"/>
      <c r="BM181" s="460"/>
      <c r="BN181" s="460"/>
      <c r="BO181" s="460"/>
      <c r="BP181" s="460"/>
      <c r="BQ181" s="460"/>
      <c r="BR181" s="460"/>
      <c r="BS181" s="460"/>
      <c r="BT181" s="460"/>
      <c r="BU181" s="460"/>
      <c r="BV181" s="460"/>
      <c r="BW181" s="460"/>
      <c r="BX181" s="460"/>
      <c r="BY181" s="460"/>
      <c r="BZ181" s="460"/>
      <c r="CA181" s="460"/>
      <c r="CB181" s="460"/>
      <c r="CC181" s="460"/>
      <c r="CD181" s="460"/>
      <c r="CE181" s="460"/>
      <c r="CF181" s="460"/>
      <c r="CG181" s="460"/>
      <c r="CH181" s="460"/>
      <c r="CI181" s="460"/>
      <c r="CJ181" s="460"/>
      <c r="CK181" s="460"/>
    </row>
    <row r="182" spans="1:89" s="329" customFormat="1" ht="36" customHeight="1" x14ac:dyDescent="0.25">
      <c r="A182" s="329">
        <v>1</v>
      </c>
      <c r="B182" s="39">
        <f>SUBTOTAL(103,$A$16:A182)</f>
        <v>165</v>
      </c>
      <c r="C182" s="33" t="s">
        <v>1185</v>
      </c>
      <c r="D182" s="330">
        <v>1958</v>
      </c>
      <c r="E182" s="330"/>
      <c r="F182" s="331" t="s">
        <v>48</v>
      </c>
      <c r="G182" s="330">
        <v>2</v>
      </c>
      <c r="H182" s="330" t="s">
        <v>56</v>
      </c>
      <c r="I182" s="38">
        <v>822.2</v>
      </c>
      <c r="J182" s="38">
        <v>822.2</v>
      </c>
      <c r="K182" s="38">
        <v>822.2</v>
      </c>
      <c r="L182" s="332">
        <v>22</v>
      </c>
      <c r="M182" s="330" t="s">
        <v>46</v>
      </c>
      <c r="N182" s="330" t="s">
        <v>50</v>
      </c>
      <c r="O182" s="333" t="s">
        <v>2003</v>
      </c>
      <c r="P182" s="38">
        <v>3619449.67</v>
      </c>
      <c r="Q182" s="38">
        <v>0</v>
      </c>
      <c r="R182" s="38">
        <v>0</v>
      </c>
      <c r="S182" s="38">
        <f t="shared" si="17"/>
        <v>3619449.67</v>
      </c>
      <c r="T182" s="38">
        <f t="shared" si="15"/>
        <v>4402.1523595232302</v>
      </c>
      <c r="U182" s="38">
        <v>5063.2770007297486</v>
      </c>
      <c r="V182" s="458">
        <f t="shared" si="16"/>
        <v>661.12464120651839</v>
      </c>
      <c r="W182" s="458">
        <f>T182</f>
        <v>4402.1523595232302</v>
      </c>
      <c r="X182" s="458">
        <v>0</v>
      </c>
      <c r="Y182" s="459">
        <v>0</v>
      </c>
      <c r="Z182" s="459">
        <v>0</v>
      </c>
      <c r="AA182" s="459">
        <v>0</v>
      </c>
      <c r="AB182" s="459">
        <v>0</v>
      </c>
      <c r="AC182" s="459">
        <v>0</v>
      </c>
      <c r="AD182" s="459">
        <v>0</v>
      </c>
      <c r="AE182" s="459">
        <v>0</v>
      </c>
      <c r="AF182" s="458">
        <v>0</v>
      </c>
      <c r="AG182" s="459">
        <v>0</v>
      </c>
      <c r="AH182" s="458">
        <v>0</v>
      </c>
      <c r="AI182" s="459">
        <v>0</v>
      </c>
      <c r="AJ182" s="458">
        <v>0</v>
      </c>
      <c r="AK182" s="459">
        <v>0</v>
      </c>
      <c r="AL182" s="459">
        <v>0</v>
      </c>
      <c r="AM182" s="459">
        <v>0</v>
      </c>
      <c r="AN182" s="459"/>
      <c r="AO182" s="459">
        <v>0</v>
      </c>
      <c r="AP182" s="460"/>
      <c r="AQ182" s="460"/>
      <c r="AR182" s="460"/>
      <c r="AS182" s="460"/>
      <c r="AT182" s="460"/>
      <c r="AU182" s="460"/>
      <c r="AV182" s="460"/>
      <c r="AW182" s="460"/>
      <c r="AX182" s="460"/>
      <c r="AY182" s="460"/>
      <c r="AZ182" s="460"/>
      <c r="BA182" s="460"/>
      <c r="BB182" s="460"/>
      <c r="BC182" s="460"/>
      <c r="BD182" s="460"/>
      <c r="BE182" s="460"/>
      <c r="BF182" s="460"/>
      <c r="BG182" s="460"/>
      <c r="BH182" s="460"/>
      <c r="BI182" s="460"/>
      <c r="BJ182" s="460"/>
      <c r="BK182" s="460"/>
      <c r="BL182" s="460"/>
      <c r="BM182" s="460"/>
      <c r="BN182" s="460"/>
      <c r="BO182" s="460"/>
      <c r="BP182" s="460"/>
      <c r="BQ182" s="460"/>
      <c r="BR182" s="460"/>
      <c r="BS182" s="460"/>
      <c r="BT182" s="460"/>
      <c r="BU182" s="460"/>
      <c r="BV182" s="460"/>
      <c r="BW182" s="460"/>
      <c r="BX182" s="460"/>
      <c r="BY182" s="460"/>
      <c r="BZ182" s="460"/>
      <c r="CA182" s="460"/>
      <c r="CB182" s="460"/>
      <c r="CC182" s="460"/>
      <c r="CD182" s="460"/>
      <c r="CE182" s="460"/>
      <c r="CF182" s="460"/>
      <c r="CG182" s="460"/>
      <c r="CH182" s="460"/>
      <c r="CI182" s="460"/>
      <c r="CJ182" s="460"/>
      <c r="CK182" s="460"/>
    </row>
    <row r="183" spans="1:89" s="329" customFormat="1" ht="36" customHeight="1" x14ac:dyDescent="0.25">
      <c r="A183" s="329">
        <v>1</v>
      </c>
      <c r="B183" s="39">
        <f>SUBTOTAL(103,$A$16:A183)</f>
        <v>166</v>
      </c>
      <c r="C183" s="33" t="s">
        <v>1186</v>
      </c>
      <c r="D183" s="330">
        <v>1959</v>
      </c>
      <c r="E183" s="330"/>
      <c r="F183" s="331" t="s">
        <v>48</v>
      </c>
      <c r="G183" s="330">
        <v>2</v>
      </c>
      <c r="H183" s="330" t="s">
        <v>57</v>
      </c>
      <c r="I183" s="38">
        <v>310.3</v>
      </c>
      <c r="J183" s="38">
        <v>310.3</v>
      </c>
      <c r="K183" s="38">
        <v>310.3</v>
      </c>
      <c r="L183" s="332">
        <v>10</v>
      </c>
      <c r="M183" s="330" t="s">
        <v>46</v>
      </c>
      <c r="N183" s="330" t="s">
        <v>50</v>
      </c>
      <c r="O183" s="333" t="s">
        <v>2003</v>
      </c>
      <c r="P183" s="38">
        <v>1139819.0599999998</v>
      </c>
      <c r="Q183" s="38">
        <v>0</v>
      </c>
      <c r="R183" s="38">
        <v>0</v>
      </c>
      <c r="S183" s="38">
        <f t="shared" si="17"/>
        <v>1139819.0599999998</v>
      </c>
      <c r="T183" s="38">
        <f t="shared" si="15"/>
        <v>3673.2808894618106</v>
      </c>
      <c r="U183" s="38">
        <v>5240.563823396712</v>
      </c>
      <c r="V183" s="458">
        <f t="shared" si="16"/>
        <v>1567.2829339349014</v>
      </c>
      <c r="W183" s="458">
        <f t="shared" si="18"/>
        <v>11862.574605220754</v>
      </c>
      <c r="X183" s="458">
        <v>0</v>
      </c>
      <c r="Y183" s="459">
        <v>0</v>
      </c>
      <c r="Z183" s="459">
        <v>0</v>
      </c>
      <c r="AA183" s="459">
        <v>0</v>
      </c>
      <c r="AB183" s="459">
        <v>0</v>
      </c>
      <c r="AC183" s="459">
        <v>0</v>
      </c>
      <c r="AD183" s="459">
        <v>0</v>
      </c>
      <c r="AE183" s="459">
        <v>590</v>
      </c>
      <c r="AF183" s="458">
        <f t="shared" ref="AF183:AF191" si="19">6238.91*AE183/I183</f>
        <v>11862.574605220754</v>
      </c>
      <c r="AG183" s="459">
        <v>0</v>
      </c>
      <c r="AH183" s="458">
        <v>0</v>
      </c>
      <c r="AI183" s="459">
        <v>0</v>
      </c>
      <c r="AJ183" s="458">
        <v>0</v>
      </c>
      <c r="AK183" s="459">
        <v>0</v>
      </c>
      <c r="AL183" s="459">
        <v>0</v>
      </c>
      <c r="AM183" s="459">
        <v>0</v>
      </c>
      <c r="AN183" s="459"/>
      <c r="AO183" s="459">
        <v>0</v>
      </c>
      <c r="AP183" s="460"/>
      <c r="AQ183" s="460"/>
      <c r="AR183" s="460"/>
      <c r="AS183" s="460"/>
      <c r="AT183" s="460"/>
      <c r="AU183" s="460"/>
      <c r="AV183" s="460"/>
      <c r="AW183" s="460"/>
      <c r="AX183" s="460"/>
      <c r="AY183" s="460"/>
      <c r="AZ183" s="460"/>
      <c r="BA183" s="460"/>
      <c r="BB183" s="460"/>
      <c r="BC183" s="460"/>
      <c r="BD183" s="460"/>
      <c r="BE183" s="460"/>
      <c r="BF183" s="460"/>
      <c r="BG183" s="460"/>
      <c r="BH183" s="460"/>
      <c r="BI183" s="460"/>
      <c r="BJ183" s="460"/>
      <c r="BK183" s="460"/>
      <c r="BL183" s="460"/>
      <c r="BM183" s="460"/>
      <c r="BN183" s="460"/>
      <c r="BO183" s="460"/>
      <c r="BP183" s="460"/>
      <c r="BQ183" s="460"/>
      <c r="BR183" s="460"/>
      <c r="BS183" s="460"/>
      <c r="BT183" s="460"/>
      <c r="BU183" s="460"/>
      <c r="BV183" s="460"/>
      <c r="BW183" s="460"/>
      <c r="BX183" s="460"/>
      <c r="BY183" s="460"/>
      <c r="BZ183" s="460"/>
      <c r="CA183" s="460"/>
      <c r="CB183" s="460"/>
      <c r="CC183" s="460"/>
      <c r="CD183" s="460"/>
      <c r="CE183" s="460"/>
      <c r="CF183" s="460"/>
      <c r="CG183" s="460"/>
      <c r="CH183" s="460"/>
      <c r="CI183" s="460"/>
      <c r="CJ183" s="460"/>
      <c r="CK183" s="460"/>
    </row>
    <row r="184" spans="1:89" s="329" customFormat="1" ht="36" customHeight="1" x14ac:dyDescent="0.25">
      <c r="A184" s="329">
        <v>1</v>
      </c>
      <c r="B184" s="39">
        <f>SUBTOTAL(103,$A$16:A184)</f>
        <v>167</v>
      </c>
      <c r="C184" s="33" t="s">
        <v>1187</v>
      </c>
      <c r="D184" s="330">
        <v>1959</v>
      </c>
      <c r="E184" s="330"/>
      <c r="F184" s="331" t="s">
        <v>48</v>
      </c>
      <c r="G184" s="330">
        <v>2</v>
      </c>
      <c r="H184" s="330" t="s">
        <v>57</v>
      </c>
      <c r="I184" s="38">
        <v>287</v>
      </c>
      <c r="J184" s="38">
        <v>287</v>
      </c>
      <c r="K184" s="38">
        <v>287</v>
      </c>
      <c r="L184" s="332">
        <v>18</v>
      </c>
      <c r="M184" s="330" t="s">
        <v>46</v>
      </c>
      <c r="N184" s="330" t="s">
        <v>47</v>
      </c>
      <c r="O184" s="333" t="s">
        <v>49</v>
      </c>
      <c r="P184" s="38">
        <v>1338948.23</v>
      </c>
      <c r="Q184" s="38">
        <v>0</v>
      </c>
      <c r="R184" s="38">
        <v>0</v>
      </c>
      <c r="S184" s="38">
        <f t="shared" si="17"/>
        <v>1338948.23</v>
      </c>
      <c r="T184" s="38">
        <f t="shared" si="15"/>
        <v>4665.3248432055752</v>
      </c>
      <c r="U184" s="38">
        <v>5518.5647038327525</v>
      </c>
      <c r="V184" s="458">
        <f t="shared" si="16"/>
        <v>853.23986062717722</v>
      </c>
      <c r="W184" s="458">
        <f t="shared" si="18"/>
        <v>14456.010975609755</v>
      </c>
      <c r="X184" s="458">
        <v>0</v>
      </c>
      <c r="Y184" s="459">
        <v>0</v>
      </c>
      <c r="Z184" s="459">
        <v>0</v>
      </c>
      <c r="AA184" s="459">
        <v>0</v>
      </c>
      <c r="AB184" s="459">
        <v>0</v>
      </c>
      <c r="AC184" s="459">
        <v>0</v>
      </c>
      <c r="AD184" s="459">
        <v>0</v>
      </c>
      <c r="AE184" s="459">
        <v>665</v>
      </c>
      <c r="AF184" s="458">
        <f t="shared" si="19"/>
        <v>14456.010975609755</v>
      </c>
      <c r="AG184" s="459">
        <v>0</v>
      </c>
      <c r="AH184" s="458">
        <v>0</v>
      </c>
      <c r="AI184" s="459">
        <v>0</v>
      </c>
      <c r="AJ184" s="458">
        <v>0</v>
      </c>
      <c r="AK184" s="459">
        <v>0</v>
      </c>
      <c r="AL184" s="459">
        <v>0</v>
      </c>
      <c r="AM184" s="459">
        <v>0</v>
      </c>
      <c r="AN184" s="459"/>
      <c r="AO184" s="459">
        <v>0</v>
      </c>
      <c r="AP184" s="460"/>
      <c r="AQ184" s="460"/>
      <c r="AR184" s="460"/>
      <c r="AS184" s="460"/>
      <c r="AT184" s="460"/>
      <c r="AU184" s="460"/>
      <c r="AV184" s="460"/>
      <c r="AW184" s="460"/>
      <c r="AX184" s="460"/>
      <c r="AY184" s="460"/>
      <c r="AZ184" s="460"/>
      <c r="BA184" s="460"/>
      <c r="BB184" s="460"/>
      <c r="BC184" s="460"/>
      <c r="BD184" s="460"/>
      <c r="BE184" s="460"/>
      <c r="BF184" s="460"/>
      <c r="BG184" s="460"/>
      <c r="BH184" s="460"/>
      <c r="BI184" s="460"/>
      <c r="BJ184" s="460"/>
      <c r="BK184" s="460"/>
      <c r="BL184" s="460"/>
      <c r="BM184" s="460"/>
      <c r="BN184" s="460"/>
      <c r="BO184" s="460"/>
      <c r="BP184" s="460"/>
      <c r="BQ184" s="460"/>
      <c r="BR184" s="460"/>
      <c r="BS184" s="460"/>
      <c r="BT184" s="460"/>
      <c r="BU184" s="460"/>
      <c r="BV184" s="460"/>
      <c r="BW184" s="460"/>
      <c r="BX184" s="460"/>
      <c r="BY184" s="460"/>
      <c r="BZ184" s="460"/>
      <c r="CA184" s="460"/>
      <c r="CB184" s="460"/>
      <c r="CC184" s="460"/>
      <c r="CD184" s="460"/>
      <c r="CE184" s="460"/>
      <c r="CF184" s="460"/>
      <c r="CG184" s="460"/>
      <c r="CH184" s="460"/>
      <c r="CI184" s="460"/>
      <c r="CJ184" s="460"/>
      <c r="CK184" s="460"/>
    </row>
    <row r="185" spans="1:89" s="329" customFormat="1" ht="36" customHeight="1" x14ac:dyDescent="0.25">
      <c r="A185" s="329">
        <v>1</v>
      </c>
      <c r="B185" s="39">
        <f>SUBTOTAL(103,$A$16:A185)</f>
        <v>168</v>
      </c>
      <c r="C185" s="33" t="s">
        <v>1162</v>
      </c>
      <c r="D185" s="330">
        <v>1952</v>
      </c>
      <c r="E185" s="330"/>
      <c r="F185" s="331" t="s">
        <v>2004</v>
      </c>
      <c r="G185" s="330">
        <v>2</v>
      </c>
      <c r="H185" s="330" t="s">
        <v>56</v>
      </c>
      <c r="I185" s="38">
        <v>644.12</v>
      </c>
      <c r="J185" s="38">
        <v>644.12</v>
      </c>
      <c r="K185" s="38">
        <v>644.12</v>
      </c>
      <c r="L185" s="332">
        <v>31</v>
      </c>
      <c r="M185" s="330" t="s">
        <v>46</v>
      </c>
      <c r="N185" s="330" t="s">
        <v>50</v>
      </c>
      <c r="O185" s="333" t="s">
        <v>2005</v>
      </c>
      <c r="P185" s="38">
        <v>2343822.52</v>
      </c>
      <c r="Q185" s="38">
        <v>0</v>
      </c>
      <c r="R185" s="38">
        <v>0</v>
      </c>
      <c r="S185" s="38">
        <f t="shared" si="17"/>
        <v>2343822.52</v>
      </c>
      <c r="T185" s="38">
        <f t="shared" si="15"/>
        <v>3638.7979258523255</v>
      </c>
      <c r="U185" s="38">
        <v>7697.4329007017313</v>
      </c>
      <c r="V185" s="458">
        <f t="shared" si="16"/>
        <v>4058.6349748494058</v>
      </c>
      <c r="W185" s="458">
        <f t="shared" si="18"/>
        <v>2382.7421287958764</v>
      </c>
      <c r="X185" s="458">
        <v>0</v>
      </c>
      <c r="Y185" s="459">
        <v>0</v>
      </c>
      <c r="Z185" s="459">
        <v>0</v>
      </c>
      <c r="AA185" s="459">
        <v>0</v>
      </c>
      <c r="AB185" s="459">
        <v>0</v>
      </c>
      <c r="AC185" s="459">
        <v>0</v>
      </c>
      <c r="AD185" s="459">
        <v>0</v>
      </c>
      <c r="AE185" s="459">
        <v>246</v>
      </c>
      <c r="AF185" s="458">
        <f t="shared" si="19"/>
        <v>2382.7421287958764</v>
      </c>
      <c r="AG185" s="459">
        <v>0</v>
      </c>
      <c r="AH185" s="458">
        <v>0</v>
      </c>
      <c r="AI185" s="459">
        <v>0</v>
      </c>
      <c r="AJ185" s="458">
        <v>0</v>
      </c>
      <c r="AK185" s="459">
        <v>0</v>
      </c>
      <c r="AL185" s="459">
        <v>0</v>
      </c>
      <c r="AM185" s="459">
        <v>0</v>
      </c>
      <c r="AN185" s="459"/>
      <c r="AO185" s="459">
        <v>0</v>
      </c>
      <c r="AP185" s="460"/>
      <c r="AQ185" s="460"/>
      <c r="AR185" s="460"/>
      <c r="AS185" s="460"/>
      <c r="AT185" s="460"/>
      <c r="AU185" s="460"/>
      <c r="AV185" s="460"/>
      <c r="AW185" s="460"/>
      <c r="AX185" s="460"/>
      <c r="AY185" s="460"/>
      <c r="AZ185" s="460"/>
      <c r="BA185" s="460"/>
      <c r="BB185" s="460"/>
      <c r="BC185" s="460"/>
      <c r="BD185" s="460"/>
      <c r="BE185" s="460"/>
      <c r="BF185" s="460"/>
      <c r="BG185" s="460"/>
      <c r="BH185" s="460"/>
      <c r="BI185" s="460"/>
      <c r="BJ185" s="460"/>
      <c r="BK185" s="460"/>
      <c r="BL185" s="460"/>
      <c r="BM185" s="460"/>
      <c r="BN185" s="460"/>
      <c r="BO185" s="460"/>
      <c r="BP185" s="460"/>
      <c r="BQ185" s="460"/>
      <c r="BR185" s="460"/>
      <c r="BS185" s="460"/>
      <c r="BT185" s="460"/>
      <c r="BU185" s="460"/>
      <c r="BV185" s="460"/>
      <c r="BW185" s="460"/>
      <c r="BX185" s="460"/>
      <c r="BY185" s="460"/>
      <c r="BZ185" s="460"/>
      <c r="CA185" s="460"/>
      <c r="CB185" s="460"/>
      <c r="CC185" s="460"/>
      <c r="CD185" s="460"/>
      <c r="CE185" s="460"/>
      <c r="CF185" s="460"/>
      <c r="CG185" s="460"/>
      <c r="CH185" s="460"/>
      <c r="CI185" s="460"/>
      <c r="CJ185" s="460"/>
      <c r="CK185" s="460"/>
    </row>
    <row r="186" spans="1:89" s="329" customFormat="1" ht="36" customHeight="1" x14ac:dyDescent="0.25">
      <c r="A186" s="329">
        <v>1</v>
      </c>
      <c r="B186" s="39">
        <f>SUBTOTAL(103,$A$16:A186)</f>
        <v>169</v>
      </c>
      <c r="C186" s="33" t="s">
        <v>1188</v>
      </c>
      <c r="D186" s="330">
        <v>1968</v>
      </c>
      <c r="E186" s="330"/>
      <c r="F186" s="331" t="s">
        <v>60</v>
      </c>
      <c r="G186" s="330">
        <v>2</v>
      </c>
      <c r="H186" s="330" t="s">
        <v>56</v>
      </c>
      <c r="I186" s="38">
        <v>632.6</v>
      </c>
      <c r="J186" s="38">
        <v>632.6</v>
      </c>
      <c r="K186" s="38">
        <v>632.6</v>
      </c>
      <c r="L186" s="332">
        <v>23</v>
      </c>
      <c r="M186" s="330" t="s">
        <v>46</v>
      </c>
      <c r="N186" s="330" t="s">
        <v>50</v>
      </c>
      <c r="O186" s="333" t="s">
        <v>67</v>
      </c>
      <c r="P186" s="38">
        <v>3191227.59</v>
      </c>
      <c r="Q186" s="38">
        <v>0</v>
      </c>
      <c r="R186" s="38">
        <v>0</v>
      </c>
      <c r="S186" s="38">
        <f t="shared" si="17"/>
        <v>3191227.59</v>
      </c>
      <c r="T186" s="38">
        <f t="shared" si="15"/>
        <v>5044.6215460006315</v>
      </c>
      <c r="U186" s="38">
        <v>5044.6215460006315</v>
      </c>
      <c r="V186" s="458">
        <f t="shared" si="16"/>
        <v>0</v>
      </c>
      <c r="W186" s="458">
        <f t="shared" si="18"/>
        <v>2495.1695067973442</v>
      </c>
      <c r="X186" s="458">
        <v>0</v>
      </c>
      <c r="Y186" s="459">
        <v>0</v>
      </c>
      <c r="Z186" s="459">
        <v>0</v>
      </c>
      <c r="AA186" s="459">
        <v>0</v>
      </c>
      <c r="AB186" s="459">
        <v>0</v>
      </c>
      <c r="AC186" s="459">
        <v>0</v>
      </c>
      <c r="AD186" s="459">
        <v>0</v>
      </c>
      <c r="AE186" s="459">
        <v>253</v>
      </c>
      <c r="AF186" s="458">
        <f t="shared" si="19"/>
        <v>2495.1695067973442</v>
      </c>
      <c r="AG186" s="459">
        <v>0</v>
      </c>
      <c r="AH186" s="458">
        <v>0</v>
      </c>
      <c r="AI186" s="459">
        <v>0</v>
      </c>
      <c r="AJ186" s="458">
        <v>0</v>
      </c>
      <c r="AK186" s="459">
        <v>0</v>
      </c>
      <c r="AL186" s="459">
        <v>0</v>
      </c>
      <c r="AM186" s="459">
        <v>0</v>
      </c>
      <c r="AN186" s="459"/>
      <c r="AO186" s="459">
        <v>0</v>
      </c>
      <c r="AP186" s="460"/>
      <c r="AQ186" s="460"/>
      <c r="AR186" s="460"/>
      <c r="AS186" s="460"/>
      <c r="AT186" s="460"/>
      <c r="AU186" s="460"/>
      <c r="AV186" s="460"/>
      <c r="AW186" s="460"/>
      <c r="AX186" s="460"/>
      <c r="AY186" s="460"/>
      <c r="AZ186" s="460"/>
      <c r="BA186" s="460"/>
      <c r="BB186" s="460"/>
      <c r="BC186" s="460"/>
      <c r="BD186" s="460"/>
      <c r="BE186" s="460"/>
      <c r="BF186" s="460"/>
      <c r="BG186" s="460"/>
      <c r="BH186" s="460"/>
      <c r="BI186" s="460"/>
      <c r="BJ186" s="460"/>
      <c r="BK186" s="460"/>
      <c r="BL186" s="460"/>
      <c r="BM186" s="460"/>
      <c r="BN186" s="460"/>
      <c r="BO186" s="460"/>
      <c r="BP186" s="460"/>
      <c r="BQ186" s="460"/>
      <c r="BR186" s="460"/>
      <c r="BS186" s="460"/>
      <c r="BT186" s="460"/>
      <c r="BU186" s="460"/>
      <c r="BV186" s="460"/>
      <c r="BW186" s="460"/>
      <c r="BX186" s="460"/>
      <c r="BY186" s="460"/>
      <c r="BZ186" s="460"/>
      <c r="CA186" s="460"/>
      <c r="CB186" s="460"/>
      <c r="CC186" s="460"/>
      <c r="CD186" s="460"/>
      <c r="CE186" s="460"/>
      <c r="CF186" s="460"/>
      <c r="CG186" s="460"/>
      <c r="CH186" s="460"/>
      <c r="CI186" s="460"/>
      <c r="CJ186" s="460"/>
      <c r="CK186" s="460"/>
    </row>
    <row r="187" spans="1:89" s="329" customFormat="1" ht="36" customHeight="1" x14ac:dyDescent="0.25">
      <c r="A187" s="329">
        <v>1</v>
      </c>
      <c r="B187" s="39">
        <f>SUBTOTAL(103,$A$16:A187)</f>
        <v>170</v>
      </c>
      <c r="C187" s="33" t="s">
        <v>1189</v>
      </c>
      <c r="D187" s="330">
        <v>1941</v>
      </c>
      <c r="E187" s="330"/>
      <c r="F187" s="331" t="s">
        <v>48</v>
      </c>
      <c r="G187" s="330">
        <v>2</v>
      </c>
      <c r="H187" s="330" t="s">
        <v>56</v>
      </c>
      <c r="I187" s="38">
        <v>733.92</v>
      </c>
      <c r="J187" s="38">
        <v>662.9</v>
      </c>
      <c r="K187" s="38">
        <v>662.9</v>
      </c>
      <c r="L187" s="332">
        <v>22</v>
      </c>
      <c r="M187" s="330" t="s">
        <v>46</v>
      </c>
      <c r="N187" s="330" t="s">
        <v>47</v>
      </c>
      <c r="O187" s="333" t="s">
        <v>49</v>
      </c>
      <c r="P187" s="38">
        <v>3239524.45</v>
      </c>
      <c r="Q187" s="38">
        <v>0</v>
      </c>
      <c r="R187" s="38">
        <v>0</v>
      </c>
      <c r="S187" s="38">
        <f>P187-R187-Q187</f>
        <v>3239524.45</v>
      </c>
      <c r="T187" s="38">
        <f t="shared" si="15"/>
        <v>4414.0021391977334</v>
      </c>
      <c r="U187" s="38">
        <v>5373.7732995421848</v>
      </c>
      <c r="V187" s="458">
        <f t="shared" si="16"/>
        <v>959.77116034445135</v>
      </c>
      <c r="W187" s="458">
        <f t="shared" si="18"/>
        <v>6732.6366906474823</v>
      </c>
      <c r="X187" s="458">
        <v>0</v>
      </c>
      <c r="Y187" s="459">
        <v>0</v>
      </c>
      <c r="Z187" s="459">
        <v>0</v>
      </c>
      <c r="AA187" s="459">
        <v>0</v>
      </c>
      <c r="AB187" s="459">
        <v>0</v>
      </c>
      <c r="AC187" s="459">
        <v>0</v>
      </c>
      <c r="AD187" s="459">
        <v>0</v>
      </c>
      <c r="AE187" s="459">
        <v>792</v>
      </c>
      <c r="AF187" s="458">
        <f t="shared" si="19"/>
        <v>6732.6366906474823</v>
      </c>
      <c r="AG187" s="459">
        <v>0</v>
      </c>
      <c r="AH187" s="458">
        <v>0</v>
      </c>
      <c r="AI187" s="459">
        <v>0</v>
      </c>
      <c r="AJ187" s="458">
        <v>0</v>
      </c>
      <c r="AK187" s="459">
        <v>0</v>
      </c>
      <c r="AL187" s="459">
        <v>0</v>
      </c>
      <c r="AM187" s="459">
        <v>0</v>
      </c>
      <c r="AN187" s="459"/>
      <c r="AO187" s="459">
        <v>0</v>
      </c>
      <c r="AP187" s="460"/>
      <c r="AQ187" s="460"/>
      <c r="AR187" s="460"/>
      <c r="AS187" s="460"/>
      <c r="AT187" s="460"/>
      <c r="AU187" s="460"/>
      <c r="AV187" s="460"/>
      <c r="AW187" s="460"/>
      <c r="AX187" s="460"/>
      <c r="AY187" s="460"/>
      <c r="AZ187" s="460"/>
      <c r="BA187" s="460"/>
      <c r="BB187" s="460"/>
      <c r="BC187" s="460"/>
      <c r="BD187" s="460"/>
      <c r="BE187" s="460"/>
      <c r="BF187" s="460"/>
      <c r="BG187" s="460"/>
      <c r="BH187" s="460"/>
      <c r="BI187" s="460"/>
      <c r="BJ187" s="460"/>
      <c r="BK187" s="460"/>
      <c r="BL187" s="460"/>
      <c r="BM187" s="460"/>
      <c r="BN187" s="460"/>
      <c r="BO187" s="460"/>
      <c r="BP187" s="460"/>
      <c r="BQ187" s="460"/>
      <c r="BR187" s="460"/>
      <c r="BS187" s="460"/>
      <c r="BT187" s="460"/>
      <c r="BU187" s="460"/>
      <c r="BV187" s="460"/>
      <c r="BW187" s="460"/>
      <c r="BX187" s="460"/>
      <c r="BY187" s="460"/>
      <c r="BZ187" s="460"/>
      <c r="CA187" s="460"/>
      <c r="CB187" s="460"/>
      <c r="CC187" s="460"/>
      <c r="CD187" s="460"/>
      <c r="CE187" s="460"/>
      <c r="CF187" s="460"/>
      <c r="CG187" s="460"/>
      <c r="CH187" s="460"/>
      <c r="CI187" s="460"/>
      <c r="CJ187" s="460"/>
      <c r="CK187" s="460"/>
    </row>
    <row r="188" spans="1:89" s="329" customFormat="1" ht="36" customHeight="1" x14ac:dyDescent="0.25">
      <c r="A188" s="329">
        <v>1</v>
      </c>
      <c r="B188" s="39">
        <f>SUBTOTAL(103,$A$16:A188)</f>
        <v>171</v>
      </c>
      <c r="C188" s="33" t="s">
        <v>1190</v>
      </c>
      <c r="D188" s="330">
        <v>1986</v>
      </c>
      <c r="E188" s="330"/>
      <c r="F188" s="331" t="s">
        <v>63</v>
      </c>
      <c r="G188" s="330">
        <v>5</v>
      </c>
      <c r="H188" s="330" t="s">
        <v>59</v>
      </c>
      <c r="I188" s="38">
        <v>3450.6</v>
      </c>
      <c r="J188" s="38">
        <v>3118.5</v>
      </c>
      <c r="K188" s="38">
        <v>3118.5</v>
      </c>
      <c r="L188" s="332">
        <v>32</v>
      </c>
      <c r="M188" s="330" t="s">
        <v>46</v>
      </c>
      <c r="N188" s="330" t="s">
        <v>50</v>
      </c>
      <c r="O188" s="333" t="s">
        <v>2003</v>
      </c>
      <c r="P188" s="38">
        <v>2039264.59</v>
      </c>
      <c r="Q188" s="38">
        <v>0</v>
      </c>
      <c r="R188" s="38">
        <v>0</v>
      </c>
      <c r="S188" s="38">
        <f>P188-R188-Q188</f>
        <v>2039264.59</v>
      </c>
      <c r="T188" s="38">
        <f t="shared" si="15"/>
        <v>590.98840491508724</v>
      </c>
      <c r="U188" s="38">
        <v>1438.6499351417144</v>
      </c>
      <c r="V188" s="458">
        <f t="shared" si="16"/>
        <v>847.66153022662718</v>
      </c>
      <c r="W188" s="458">
        <f t="shared" si="18"/>
        <v>911.26489306207623</v>
      </c>
      <c r="X188" s="458">
        <v>0</v>
      </c>
      <c r="Y188" s="459">
        <v>0</v>
      </c>
      <c r="Z188" s="459">
        <v>0</v>
      </c>
      <c r="AA188" s="459">
        <v>0</v>
      </c>
      <c r="AB188" s="459">
        <v>0</v>
      </c>
      <c r="AC188" s="459">
        <v>0</v>
      </c>
      <c r="AD188" s="459">
        <v>0</v>
      </c>
      <c r="AE188" s="459">
        <v>504</v>
      </c>
      <c r="AF188" s="458">
        <f t="shared" si="19"/>
        <v>911.26489306207623</v>
      </c>
      <c r="AG188" s="459">
        <v>0</v>
      </c>
      <c r="AH188" s="458">
        <v>0</v>
      </c>
      <c r="AI188" s="459">
        <v>0</v>
      </c>
      <c r="AJ188" s="458">
        <v>0</v>
      </c>
      <c r="AK188" s="459">
        <v>0</v>
      </c>
      <c r="AL188" s="459">
        <v>0</v>
      </c>
      <c r="AM188" s="459">
        <v>0</v>
      </c>
      <c r="AN188" s="459"/>
      <c r="AO188" s="459">
        <v>0</v>
      </c>
      <c r="AP188" s="460"/>
      <c r="AQ188" s="460"/>
      <c r="AR188" s="460"/>
      <c r="AS188" s="460"/>
      <c r="AT188" s="460"/>
      <c r="AU188" s="460"/>
      <c r="AV188" s="460"/>
      <c r="AW188" s="460"/>
      <c r="AX188" s="460"/>
      <c r="AY188" s="460"/>
      <c r="AZ188" s="460"/>
      <c r="BA188" s="460"/>
      <c r="BB188" s="460"/>
      <c r="BC188" s="460"/>
      <c r="BD188" s="460"/>
      <c r="BE188" s="460"/>
      <c r="BF188" s="460"/>
      <c r="BG188" s="460"/>
      <c r="BH188" s="460"/>
      <c r="BI188" s="460"/>
      <c r="BJ188" s="460"/>
      <c r="BK188" s="460"/>
      <c r="BL188" s="460"/>
      <c r="BM188" s="460"/>
      <c r="BN188" s="460"/>
      <c r="BO188" s="460"/>
      <c r="BP188" s="460"/>
      <c r="BQ188" s="460"/>
      <c r="BR188" s="460"/>
      <c r="BS188" s="460"/>
      <c r="BT188" s="460"/>
      <c r="BU188" s="460"/>
      <c r="BV188" s="460"/>
      <c r="BW188" s="460"/>
      <c r="BX188" s="460"/>
      <c r="BY188" s="460"/>
      <c r="BZ188" s="460"/>
      <c r="CA188" s="460"/>
      <c r="CB188" s="460"/>
      <c r="CC188" s="460"/>
      <c r="CD188" s="460"/>
      <c r="CE188" s="460"/>
      <c r="CF188" s="460"/>
      <c r="CG188" s="460"/>
      <c r="CH188" s="460"/>
      <c r="CI188" s="460"/>
      <c r="CJ188" s="460"/>
      <c r="CK188" s="460"/>
    </row>
    <row r="189" spans="1:89" s="329" customFormat="1" ht="36" customHeight="1" x14ac:dyDescent="0.25">
      <c r="A189" s="329">
        <v>1</v>
      </c>
      <c r="B189" s="39">
        <f>SUBTOTAL(103,$A$16:A189)</f>
        <v>172</v>
      </c>
      <c r="C189" s="33" t="s">
        <v>923</v>
      </c>
      <c r="D189" s="330" t="s">
        <v>2006</v>
      </c>
      <c r="E189" s="330"/>
      <c r="F189" s="331" t="s">
        <v>48</v>
      </c>
      <c r="G189" s="330">
        <v>9</v>
      </c>
      <c r="H189" s="330" t="s">
        <v>57</v>
      </c>
      <c r="I189" s="38">
        <v>2760.5</v>
      </c>
      <c r="J189" s="38">
        <v>2760.5</v>
      </c>
      <c r="K189" s="38">
        <v>2760.5</v>
      </c>
      <c r="L189" s="332">
        <v>140</v>
      </c>
      <c r="M189" s="330" t="s">
        <v>46</v>
      </c>
      <c r="N189" s="330" t="s">
        <v>50</v>
      </c>
      <c r="O189" s="333" t="s">
        <v>1997</v>
      </c>
      <c r="P189" s="38">
        <v>2282153.6300000004</v>
      </c>
      <c r="Q189" s="38">
        <v>0</v>
      </c>
      <c r="R189" s="38">
        <v>0</v>
      </c>
      <c r="S189" s="38">
        <f>P189-R189-Q189</f>
        <v>2282153.6300000004</v>
      </c>
      <c r="T189" s="38">
        <f t="shared" si="15"/>
        <v>826.71748958522016</v>
      </c>
      <c r="U189" s="38">
        <v>890.3459518203224</v>
      </c>
      <c r="V189" s="458">
        <f t="shared" si="16"/>
        <v>63.628462235102234</v>
      </c>
      <c r="W189" s="458">
        <f t="shared" si="18"/>
        <v>1139.0728636116646</v>
      </c>
      <c r="X189" s="458">
        <v>0</v>
      </c>
      <c r="Y189" s="459">
        <v>0</v>
      </c>
      <c r="Z189" s="459">
        <v>0</v>
      </c>
      <c r="AA189" s="459">
        <v>0</v>
      </c>
      <c r="AB189" s="459">
        <v>0</v>
      </c>
      <c r="AC189" s="459">
        <v>0</v>
      </c>
      <c r="AD189" s="459">
        <v>0</v>
      </c>
      <c r="AE189" s="459">
        <v>504</v>
      </c>
      <c r="AF189" s="458">
        <f t="shared" si="19"/>
        <v>1139.0728636116646</v>
      </c>
      <c r="AG189" s="459">
        <v>0</v>
      </c>
      <c r="AH189" s="458">
        <v>0</v>
      </c>
      <c r="AI189" s="459">
        <v>0</v>
      </c>
      <c r="AJ189" s="458">
        <v>0</v>
      </c>
      <c r="AK189" s="459">
        <v>0</v>
      </c>
      <c r="AL189" s="459">
        <v>0</v>
      </c>
      <c r="AM189" s="459">
        <v>0</v>
      </c>
      <c r="AN189" s="459"/>
      <c r="AO189" s="459">
        <v>0</v>
      </c>
      <c r="AP189" s="460"/>
      <c r="AQ189" s="460"/>
      <c r="AR189" s="460"/>
      <c r="AS189" s="460"/>
      <c r="AT189" s="460"/>
      <c r="AU189" s="460"/>
      <c r="AV189" s="460"/>
      <c r="AW189" s="460"/>
      <c r="AX189" s="460"/>
      <c r="AY189" s="460"/>
      <c r="AZ189" s="460"/>
      <c r="BA189" s="460"/>
      <c r="BB189" s="460"/>
      <c r="BC189" s="460"/>
      <c r="BD189" s="460"/>
      <c r="BE189" s="460"/>
      <c r="BF189" s="460"/>
      <c r="BG189" s="460"/>
      <c r="BH189" s="460"/>
      <c r="BI189" s="460"/>
      <c r="BJ189" s="460"/>
      <c r="BK189" s="460"/>
      <c r="BL189" s="460"/>
      <c r="BM189" s="460"/>
      <c r="BN189" s="460"/>
      <c r="BO189" s="460"/>
      <c r="BP189" s="460"/>
      <c r="BQ189" s="460"/>
      <c r="BR189" s="460"/>
      <c r="BS189" s="460"/>
      <c r="BT189" s="460"/>
      <c r="BU189" s="460"/>
      <c r="BV189" s="460"/>
      <c r="BW189" s="460"/>
      <c r="BX189" s="460"/>
      <c r="BY189" s="460"/>
      <c r="BZ189" s="460"/>
      <c r="CA189" s="460"/>
      <c r="CB189" s="460"/>
      <c r="CC189" s="460"/>
      <c r="CD189" s="460"/>
      <c r="CE189" s="460"/>
      <c r="CF189" s="460"/>
      <c r="CG189" s="460"/>
      <c r="CH189" s="460"/>
      <c r="CI189" s="460"/>
      <c r="CJ189" s="460"/>
      <c r="CK189" s="460"/>
    </row>
    <row r="190" spans="1:89" s="329" customFormat="1" ht="36" customHeight="1" x14ac:dyDescent="0.25">
      <c r="A190" s="329">
        <v>1</v>
      </c>
      <c r="B190" s="39">
        <f>SUBTOTAL(103,$A$16:A190)</f>
        <v>173</v>
      </c>
      <c r="C190" s="33" t="s">
        <v>1191</v>
      </c>
      <c r="D190" s="330">
        <v>1994</v>
      </c>
      <c r="E190" s="330"/>
      <c r="F190" s="331" t="s">
        <v>60</v>
      </c>
      <c r="G190" s="330">
        <v>9</v>
      </c>
      <c r="H190" s="330" t="s">
        <v>56</v>
      </c>
      <c r="I190" s="334">
        <v>4306.3</v>
      </c>
      <c r="J190" s="38">
        <v>3866</v>
      </c>
      <c r="K190" s="38">
        <v>3866</v>
      </c>
      <c r="L190" s="332">
        <v>182</v>
      </c>
      <c r="M190" s="330" t="s">
        <v>46</v>
      </c>
      <c r="N190" s="330" t="s">
        <v>50</v>
      </c>
      <c r="O190" s="333" t="s">
        <v>65</v>
      </c>
      <c r="P190" s="38">
        <v>105635.39</v>
      </c>
      <c r="Q190" s="38">
        <v>0</v>
      </c>
      <c r="R190" s="38">
        <v>0</v>
      </c>
      <c r="S190" s="38">
        <f>P190-R190-Q190</f>
        <v>105635.39</v>
      </c>
      <c r="T190" s="38">
        <f t="shared" si="15"/>
        <v>24.530429835357499</v>
      </c>
      <c r="U190" s="38">
        <v>24.530429835357499</v>
      </c>
      <c r="V190" s="458">
        <f t="shared" si="16"/>
        <v>0</v>
      </c>
      <c r="W190" s="458">
        <f t="shared" si="18"/>
        <v>912.73559668392807</v>
      </c>
      <c r="X190" s="458">
        <v>0</v>
      </c>
      <c r="Y190" s="459">
        <v>0</v>
      </c>
      <c r="Z190" s="459">
        <v>0</v>
      </c>
      <c r="AA190" s="459">
        <v>0</v>
      </c>
      <c r="AB190" s="459">
        <v>0</v>
      </c>
      <c r="AC190" s="459">
        <v>0</v>
      </c>
      <c r="AD190" s="459">
        <v>0</v>
      </c>
      <c r="AE190" s="459">
        <v>630</v>
      </c>
      <c r="AF190" s="458">
        <f t="shared" si="19"/>
        <v>912.73559668392807</v>
      </c>
      <c r="AG190" s="459">
        <v>0</v>
      </c>
      <c r="AH190" s="458">
        <v>0</v>
      </c>
      <c r="AI190" s="459">
        <v>0</v>
      </c>
      <c r="AJ190" s="458">
        <v>0</v>
      </c>
      <c r="AK190" s="459">
        <v>0</v>
      </c>
      <c r="AL190" s="459">
        <v>0</v>
      </c>
      <c r="AM190" s="459">
        <v>0</v>
      </c>
      <c r="AN190" s="459"/>
      <c r="AO190" s="459">
        <v>0</v>
      </c>
      <c r="AP190" s="460"/>
      <c r="AQ190" s="460"/>
      <c r="AR190" s="460"/>
      <c r="AS190" s="460"/>
      <c r="AT190" s="460"/>
      <c r="AU190" s="460"/>
      <c r="AV190" s="460"/>
      <c r="AW190" s="460"/>
      <c r="AX190" s="460"/>
      <c r="AY190" s="460"/>
      <c r="AZ190" s="460"/>
      <c r="BA190" s="460"/>
      <c r="BB190" s="460"/>
      <c r="BC190" s="460"/>
      <c r="BD190" s="460"/>
      <c r="BE190" s="460"/>
      <c r="BF190" s="460"/>
      <c r="BG190" s="460"/>
      <c r="BH190" s="460"/>
      <c r="BI190" s="460"/>
      <c r="BJ190" s="460"/>
      <c r="BK190" s="460"/>
      <c r="BL190" s="460"/>
      <c r="BM190" s="460"/>
      <c r="BN190" s="460"/>
      <c r="BO190" s="460"/>
      <c r="BP190" s="460"/>
      <c r="BQ190" s="460"/>
      <c r="BR190" s="460"/>
      <c r="BS190" s="460"/>
      <c r="BT190" s="460"/>
      <c r="BU190" s="460"/>
      <c r="BV190" s="460"/>
      <c r="BW190" s="460"/>
      <c r="BX190" s="460"/>
      <c r="BY190" s="460"/>
      <c r="BZ190" s="460"/>
      <c r="CA190" s="460"/>
      <c r="CB190" s="460"/>
      <c r="CC190" s="460"/>
      <c r="CD190" s="460"/>
      <c r="CE190" s="460"/>
      <c r="CF190" s="460"/>
      <c r="CG190" s="460"/>
      <c r="CH190" s="460"/>
      <c r="CI190" s="460"/>
      <c r="CJ190" s="460"/>
      <c r="CK190" s="460"/>
    </row>
    <row r="191" spans="1:89" s="329" customFormat="1" ht="36" customHeight="1" x14ac:dyDescent="0.25">
      <c r="A191" s="329">
        <v>1</v>
      </c>
      <c r="B191" s="39">
        <f>SUBTOTAL(103,$A$16:A191)</f>
        <v>174</v>
      </c>
      <c r="C191" s="33" t="s">
        <v>1192</v>
      </c>
      <c r="D191" s="330">
        <v>1957</v>
      </c>
      <c r="E191" s="330"/>
      <c r="F191" s="331" t="s">
        <v>48</v>
      </c>
      <c r="G191" s="330">
        <v>2</v>
      </c>
      <c r="H191" s="330" t="s">
        <v>56</v>
      </c>
      <c r="I191" s="38">
        <v>706.7</v>
      </c>
      <c r="J191" s="38">
        <v>646.1</v>
      </c>
      <c r="K191" s="38">
        <v>646.1</v>
      </c>
      <c r="L191" s="332">
        <v>18</v>
      </c>
      <c r="M191" s="330" t="s">
        <v>46</v>
      </c>
      <c r="N191" s="330" t="s">
        <v>47</v>
      </c>
      <c r="O191" s="333" t="s">
        <v>49</v>
      </c>
      <c r="P191" s="38">
        <v>92719.18</v>
      </c>
      <c r="Q191" s="38">
        <v>0</v>
      </c>
      <c r="R191" s="38">
        <v>0</v>
      </c>
      <c r="S191" s="38">
        <f>P191-Q191-R191</f>
        <v>92719.18</v>
      </c>
      <c r="T191" s="38">
        <f t="shared" si="15"/>
        <v>131.20019810386302</v>
      </c>
      <c r="U191" s="38">
        <v>131.20019810386302</v>
      </c>
      <c r="V191" s="458">
        <f t="shared" si="16"/>
        <v>0</v>
      </c>
      <c r="W191" s="458">
        <f t="shared" si="18"/>
        <v>7000.6096671855103</v>
      </c>
      <c r="X191" s="458">
        <v>0</v>
      </c>
      <c r="Y191" s="459">
        <v>0</v>
      </c>
      <c r="Z191" s="459">
        <v>0</v>
      </c>
      <c r="AA191" s="459">
        <v>0</v>
      </c>
      <c r="AB191" s="459">
        <v>0</v>
      </c>
      <c r="AC191" s="459">
        <v>0</v>
      </c>
      <c r="AD191" s="459">
        <v>0</v>
      </c>
      <c r="AE191" s="459">
        <v>792.98</v>
      </c>
      <c r="AF191" s="458">
        <f t="shared" si="19"/>
        <v>7000.6096671855103</v>
      </c>
      <c r="AG191" s="459">
        <v>0</v>
      </c>
      <c r="AH191" s="458">
        <v>0</v>
      </c>
      <c r="AI191" s="459">
        <v>0</v>
      </c>
      <c r="AJ191" s="458">
        <v>0</v>
      </c>
      <c r="AK191" s="459">
        <v>0</v>
      </c>
      <c r="AL191" s="459">
        <v>0</v>
      </c>
      <c r="AM191" s="459">
        <v>0</v>
      </c>
      <c r="AN191" s="459"/>
      <c r="AO191" s="459">
        <v>0</v>
      </c>
      <c r="AP191" s="460"/>
      <c r="AQ191" s="460"/>
      <c r="AR191" s="460"/>
      <c r="AS191" s="460"/>
      <c r="AT191" s="460"/>
      <c r="AU191" s="460"/>
      <c r="AV191" s="460"/>
      <c r="AW191" s="460"/>
      <c r="AX191" s="460"/>
      <c r="AY191" s="460"/>
      <c r="AZ191" s="460"/>
      <c r="BA191" s="460"/>
      <c r="BB191" s="460"/>
      <c r="BC191" s="460"/>
      <c r="BD191" s="460"/>
      <c r="BE191" s="460"/>
      <c r="BF191" s="460"/>
      <c r="BG191" s="460"/>
      <c r="BH191" s="460"/>
      <c r="BI191" s="460"/>
      <c r="BJ191" s="460"/>
      <c r="BK191" s="460"/>
      <c r="BL191" s="460"/>
      <c r="BM191" s="460"/>
      <c r="BN191" s="460"/>
      <c r="BO191" s="460"/>
      <c r="BP191" s="460"/>
      <c r="BQ191" s="460"/>
      <c r="BR191" s="460"/>
      <c r="BS191" s="460"/>
      <c r="BT191" s="460"/>
      <c r="BU191" s="460"/>
      <c r="BV191" s="460"/>
      <c r="BW191" s="460"/>
      <c r="BX191" s="460"/>
      <c r="BY191" s="460"/>
      <c r="BZ191" s="460"/>
      <c r="CA191" s="460"/>
      <c r="CB191" s="460"/>
      <c r="CC191" s="460"/>
      <c r="CD191" s="460"/>
      <c r="CE191" s="460"/>
      <c r="CF191" s="460"/>
      <c r="CG191" s="460"/>
      <c r="CH191" s="460"/>
      <c r="CI191" s="460"/>
      <c r="CJ191" s="460"/>
      <c r="CK191" s="460"/>
    </row>
    <row r="192" spans="1:89" s="329" customFormat="1" ht="36" customHeight="1" x14ac:dyDescent="0.25">
      <c r="A192" s="329">
        <v>1</v>
      </c>
      <c r="B192" s="39">
        <f>SUBTOTAL(103,$A$16:A192)</f>
        <v>175</v>
      </c>
      <c r="C192" s="33" t="s">
        <v>1193</v>
      </c>
      <c r="D192" s="330">
        <v>1960</v>
      </c>
      <c r="E192" s="330"/>
      <c r="F192" s="331" t="s">
        <v>48</v>
      </c>
      <c r="G192" s="330">
        <v>2</v>
      </c>
      <c r="H192" s="330" t="s">
        <v>56</v>
      </c>
      <c r="I192" s="334">
        <v>582.70000000000005</v>
      </c>
      <c r="J192" s="334">
        <v>576.70000000000005</v>
      </c>
      <c r="K192" s="334">
        <v>576.70000000000005</v>
      </c>
      <c r="L192" s="332">
        <v>31</v>
      </c>
      <c r="M192" s="330" t="s">
        <v>46</v>
      </c>
      <c r="N192" s="330" t="s">
        <v>50</v>
      </c>
      <c r="O192" s="333" t="s">
        <v>65</v>
      </c>
      <c r="P192" s="38">
        <v>73434.98</v>
      </c>
      <c r="Q192" s="38">
        <v>0</v>
      </c>
      <c r="R192" s="38">
        <v>0</v>
      </c>
      <c r="S192" s="38">
        <f>P192-Q192-R192</f>
        <v>73434.98</v>
      </c>
      <c r="T192" s="38">
        <f t="shared" si="15"/>
        <v>126.02536468165435</v>
      </c>
      <c r="U192" s="38">
        <v>126.02536468165435</v>
      </c>
      <c r="V192" s="458">
        <f t="shared" si="16"/>
        <v>0</v>
      </c>
      <c r="W192" s="458">
        <f t="shared" si="18"/>
        <v>4217.9509181396943</v>
      </c>
      <c r="X192" s="458">
        <v>0</v>
      </c>
      <c r="Y192" s="459">
        <v>0</v>
      </c>
      <c r="Z192" s="459">
        <v>0</v>
      </c>
      <c r="AA192" s="459">
        <v>0</v>
      </c>
      <c r="AB192" s="459">
        <v>0</v>
      </c>
      <c r="AC192" s="459">
        <v>1</v>
      </c>
      <c r="AD192" s="458">
        <f>2457800*AC192/I192</f>
        <v>4217.9509181396943</v>
      </c>
      <c r="AE192" s="459">
        <v>0</v>
      </c>
      <c r="AF192" s="458">
        <v>0</v>
      </c>
      <c r="AG192" s="459">
        <v>0</v>
      </c>
      <c r="AH192" s="458">
        <v>0</v>
      </c>
      <c r="AI192" s="459">
        <v>0</v>
      </c>
      <c r="AJ192" s="458">
        <v>0</v>
      </c>
      <c r="AK192" s="459">
        <v>0</v>
      </c>
      <c r="AL192" s="459">
        <v>0</v>
      </c>
      <c r="AM192" s="459">
        <v>0</v>
      </c>
      <c r="AN192" s="459"/>
      <c r="AO192" s="459">
        <v>0</v>
      </c>
      <c r="AP192" s="460"/>
      <c r="AQ192" s="460"/>
      <c r="AR192" s="460"/>
      <c r="AS192" s="460"/>
      <c r="AT192" s="460"/>
      <c r="AU192" s="460"/>
      <c r="AV192" s="460"/>
      <c r="AW192" s="460"/>
      <c r="AX192" s="460"/>
      <c r="AY192" s="460"/>
      <c r="AZ192" s="460"/>
      <c r="BA192" s="460"/>
      <c r="BB192" s="460"/>
      <c r="BC192" s="460"/>
      <c r="BD192" s="460"/>
      <c r="BE192" s="460"/>
      <c r="BF192" s="460"/>
      <c r="BG192" s="460"/>
      <c r="BH192" s="460"/>
      <c r="BI192" s="460"/>
      <c r="BJ192" s="460"/>
      <c r="BK192" s="460"/>
      <c r="BL192" s="460"/>
      <c r="BM192" s="460"/>
      <c r="BN192" s="460"/>
      <c r="BO192" s="460"/>
      <c r="BP192" s="460"/>
      <c r="BQ192" s="460"/>
      <c r="BR192" s="460"/>
      <c r="BS192" s="460"/>
      <c r="BT192" s="460"/>
      <c r="BU192" s="460"/>
      <c r="BV192" s="460"/>
      <c r="BW192" s="460"/>
      <c r="BX192" s="460"/>
      <c r="BY192" s="460"/>
      <c r="BZ192" s="460"/>
      <c r="CA192" s="460"/>
      <c r="CB192" s="460"/>
      <c r="CC192" s="460"/>
      <c r="CD192" s="460"/>
      <c r="CE192" s="460"/>
      <c r="CF192" s="460"/>
      <c r="CG192" s="460"/>
      <c r="CH192" s="460"/>
      <c r="CI192" s="460"/>
      <c r="CJ192" s="460"/>
      <c r="CK192" s="460"/>
    </row>
    <row r="193" spans="1:89" s="329" customFormat="1" ht="36" customHeight="1" x14ac:dyDescent="0.25">
      <c r="A193" s="329">
        <v>1</v>
      </c>
      <c r="B193" s="39">
        <f>SUBTOTAL(103,$A$16:A193)</f>
        <v>176</v>
      </c>
      <c r="C193" s="33" t="s">
        <v>1194</v>
      </c>
      <c r="D193" s="330">
        <v>1960</v>
      </c>
      <c r="E193" s="330"/>
      <c r="F193" s="331" t="s">
        <v>48</v>
      </c>
      <c r="G193" s="330">
        <v>2</v>
      </c>
      <c r="H193" s="330" t="s">
        <v>56</v>
      </c>
      <c r="I193" s="38">
        <v>592.20000000000005</v>
      </c>
      <c r="J193" s="38">
        <v>550.70000000000005</v>
      </c>
      <c r="K193" s="38">
        <v>550.70000000000005</v>
      </c>
      <c r="L193" s="332">
        <v>37</v>
      </c>
      <c r="M193" s="330" t="s">
        <v>46</v>
      </c>
      <c r="N193" s="330" t="s">
        <v>50</v>
      </c>
      <c r="O193" s="333" t="s">
        <v>2000</v>
      </c>
      <c r="P193" s="38">
        <v>73079.5</v>
      </c>
      <c r="Q193" s="38">
        <v>0</v>
      </c>
      <c r="R193" s="38">
        <v>0</v>
      </c>
      <c r="S193" s="38">
        <f>P193-R193-Q193</f>
        <v>73079.5</v>
      </c>
      <c r="T193" s="38">
        <f t="shared" si="15"/>
        <v>123.40341100979398</v>
      </c>
      <c r="U193" s="38">
        <v>123.40341100979398</v>
      </c>
      <c r="V193" s="458">
        <f t="shared" si="16"/>
        <v>0</v>
      </c>
      <c r="W193" s="458">
        <f t="shared" si="18"/>
        <v>5309.7106382978718</v>
      </c>
      <c r="X193" s="458">
        <v>0</v>
      </c>
      <c r="Y193" s="459">
        <v>0</v>
      </c>
      <c r="Z193" s="459">
        <v>0</v>
      </c>
      <c r="AA193" s="459">
        <v>0</v>
      </c>
      <c r="AB193" s="459">
        <v>0</v>
      </c>
      <c r="AC193" s="459">
        <v>0</v>
      </c>
      <c r="AD193" s="459">
        <v>0</v>
      </c>
      <c r="AE193" s="459">
        <v>504</v>
      </c>
      <c r="AF193" s="458">
        <f>6238.91*AE193/I193</f>
        <v>5309.7106382978718</v>
      </c>
      <c r="AG193" s="459">
        <v>0</v>
      </c>
      <c r="AH193" s="458">
        <v>0</v>
      </c>
      <c r="AI193" s="459">
        <v>0</v>
      </c>
      <c r="AJ193" s="458">
        <v>0</v>
      </c>
      <c r="AK193" s="459">
        <v>0</v>
      </c>
      <c r="AL193" s="459">
        <v>0</v>
      </c>
      <c r="AM193" s="459">
        <v>0</v>
      </c>
      <c r="AN193" s="459"/>
      <c r="AO193" s="459">
        <v>0</v>
      </c>
      <c r="AP193" s="460"/>
      <c r="AQ193" s="460"/>
      <c r="AR193" s="460"/>
      <c r="AS193" s="460"/>
      <c r="AT193" s="460"/>
      <c r="AU193" s="460"/>
      <c r="AV193" s="460"/>
      <c r="AW193" s="460"/>
      <c r="AX193" s="460"/>
      <c r="AY193" s="460"/>
      <c r="AZ193" s="460"/>
      <c r="BA193" s="460"/>
      <c r="BB193" s="460"/>
      <c r="BC193" s="460"/>
      <c r="BD193" s="460"/>
      <c r="BE193" s="460"/>
      <c r="BF193" s="460"/>
      <c r="BG193" s="460"/>
      <c r="BH193" s="460"/>
      <c r="BI193" s="460"/>
      <c r="BJ193" s="460"/>
      <c r="BK193" s="460"/>
      <c r="BL193" s="460"/>
      <c r="BM193" s="460"/>
      <c r="BN193" s="460"/>
      <c r="BO193" s="460"/>
      <c r="BP193" s="460"/>
      <c r="BQ193" s="460"/>
      <c r="BR193" s="460"/>
      <c r="BS193" s="460"/>
      <c r="BT193" s="460"/>
      <c r="BU193" s="460"/>
      <c r="BV193" s="460"/>
      <c r="BW193" s="460"/>
      <c r="BX193" s="460"/>
      <c r="BY193" s="460"/>
      <c r="BZ193" s="460"/>
      <c r="CA193" s="460"/>
      <c r="CB193" s="460"/>
      <c r="CC193" s="460"/>
      <c r="CD193" s="460"/>
      <c r="CE193" s="460"/>
      <c r="CF193" s="460"/>
      <c r="CG193" s="460"/>
      <c r="CH193" s="460"/>
      <c r="CI193" s="460"/>
      <c r="CJ193" s="460"/>
      <c r="CK193" s="460"/>
    </row>
    <row r="194" spans="1:89" s="329" customFormat="1" ht="36" customHeight="1" x14ac:dyDescent="0.25">
      <c r="A194" s="329">
        <v>1</v>
      </c>
      <c r="B194" s="39">
        <f>SUBTOTAL(103,$A$16:A194)</f>
        <v>177</v>
      </c>
      <c r="C194" s="33" t="s">
        <v>1195</v>
      </c>
      <c r="D194" s="330">
        <v>1958</v>
      </c>
      <c r="E194" s="330"/>
      <c r="F194" s="331" t="s">
        <v>48</v>
      </c>
      <c r="G194" s="330">
        <v>2</v>
      </c>
      <c r="H194" s="330" t="s">
        <v>56</v>
      </c>
      <c r="I194" s="334">
        <v>653.29999999999995</v>
      </c>
      <c r="J194" s="38">
        <v>605.6</v>
      </c>
      <c r="K194" s="38">
        <v>605.6</v>
      </c>
      <c r="L194" s="332">
        <v>30</v>
      </c>
      <c r="M194" s="330" t="s">
        <v>46</v>
      </c>
      <c r="N194" s="330" t="s">
        <v>50</v>
      </c>
      <c r="O194" s="333" t="s">
        <v>66</v>
      </c>
      <c r="P194" s="38">
        <v>78212.149999999994</v>
      </c>
      <c r="Q194" s="38">
        <v>0</v>
      </c>
      <c r="R194" s="38">
        <v>0</v>
      </c>
      <c r="S194" s="38">
        <f>P194-R194-Q194</f>
        <v>78212.149999999994</v>
      </c>
      <c r="T194" s="38">
        <f t="shared" si="15"/>
        <v>119.71858258074391</v>
      </c>
      <c r="U194" s="38">
        <v>119.71858258074391</v>
      </c>
      <c r="V194" s="458">
        <f t="shared" si="16"/>
        <v>0</v>
      </c>
      <c r="W194" s="458">
        <f t="shared" si="18"/>
        <v>6016.3987448339203</v>
      </c>
      <c r="X194" s="458">
        <v>0</v>
      </c>
      <c r="Y194" s="459">
        <v>0</v>
      </c>
      <c r="Z194" s="459">
        <v>0</v>
      </c>
      <c r="AA194" s="459">
        <v>0</v>
      </c>
      <c r="AB194" s="459">
        <v>0</v>
      </c>
      <c r="AC194" s="459">
        <v>0</v>
      </c>
      <c r="AD194" s="459">
        <v>0</v>
      </c>
      <c r="AE194" s="459">
        <v>630</v>
      </c>
      <c r="AF194" s="458">
        <f>6238.91*AE194/I194</f>
        <v>6016.3987448339203</v>
      </c>
      <c r="AG194" s="459">
        <v>0</v>
      </c>
      <c r="AH194" s="458">
        <v>0</v>
      </c>
      <c r="AI194" s="459">
        <v>0</v>
      </c>
      <c r="AJ194" s="458">
        <v>0</v>
      </c>
      <c r="AK194" s="459">
        <v>0</v>
      </c>
      <c r="AL194" s="459">
        <v>0</v>
      </c>
      <c r="AM194" s="459">
        <v>0</v>
      </c>
      <c r="AN194" s="459"/>
      <c r="AO194" s="459">
        <v>0</v>
      </c>
      <c r="AP194" s="460"/>
      <c r="AQ194" s="460"/>
      <c r="AR194" s="460"/>
      <c r="AS194" s="460"/>
      <c r="AT194" s="460"/>
      <c r="AU194" s="460"/>
      <c r="AV194" s="460"/>
      <c r="AW194" s="460"/>
      <c r="AX194" s="460"/>
      <c r="AY194" s="460"/>
      <c r="AZ194" s="460"/>
      <c r="BA194" s="460"/>
      <c r="BB194" s="460"/>
      <c r="BC194" s="460"/>
      <c r="BD194" s="460"/>
      <c r="BE194" s="460"/>
      <c r="BF194" s="460"/>
      <c r="BG194" s="460"/>
      <c r="BH194" s="460"/>
      <c r="BI194" s="460"/>
      <c r="BJ194" s="460"/>
      <c r="BK194" s="460"/>
      <c r="BL194" s="460"/>
      <c r="BM194" s="460"/>
      <c r="BN194" s="460"/>
      <c r="BO194" s="460"/>
      <c r="BP194" s="460"/>
      <c r="BQ194" s="460"/>
      <c r="BR194" s="460"/>
      <c r="BS194" s="460"/>
      <c r="BT194" s="460"/>
      <c r="BU194" s="460"/>
      <c r="BV194" s="460"/>
      <c r="BW194" s="460"/>
      <c r="BX194" s="460"/>
      <c r="BY194" s="460"/>
      <c r="BZ194" s="460"/>
      <c r="CA194" s="460"/>
      <c r="CB194" s="460"/>
      <c r="CC194" s="460"/>
      <c r="CD194" s="460"/>
      <c r="CE194" s="460"/>
      <c r="CF194" s="460"/>
      <c r="CG194" s="460"/>
      <c r="CH194" s="460"/>
      <c r="CI194" s="460"/>
      <c r="CJ194" s="460"/>
      <c r="CK194" s="460"/>
    </row>
    <row r="195" spans="1:89" s="329" customFormat="1" ht="36" customHeight="1" x14ac:dyDescent="0.25">
      <c r="A195" s="329">
        <v>1</v>
      </c>
      <c r="B195" s="39">
        <f>SUBTOTAL(103,$A$16:A195)</f>
        <v>178</v>
      </c>
      <c r="C195" s="33" t="s">
        <v>1196</v>
      </c>
      <c r="D195" s="330">
        <v>1961</v>
      </c>
      <c r="E195" s="330"/>
      <c r="F195" s="331" t="s">
        <v>48</v>
      </c>
      <c r="G195" s="330">
        <v>2</v>
      </c>
      <c r="H195" s="330" t="s">
        <v>57</v>
      </c>
      <c r="I195" s="38">
        <v>291.64999999999998</v>
      </c>
      <c r="J195" s="38">
        <v>275.13</v>
      </c>
      <c r="K195" s="38">
        <v>275.13</v>
      </c>
      <c r="L195" s="332">
        <v>17</v>
      </c>
      <c r="M195" s="330" t="s">
        <v>46</v>
      </c>
      <c r="N195" s="330" t="s">
        <v>47</v>
      </c>
      <c r="O195" s="333" t="s">
        <v>49</v>
      </c>
      <c r="P195" s="38">
        <v>55647.31</v>
      </c>
      <c r="Q195" s="38">
        <v>0</v>
      </c>
      <c r="R195" s="38">
        <v>0</v>
      </c>
      <c r="S195" s="38">
        <f>P195-Q195-R195</f>
        <v>55647.31</v>
      </c>
      <c r="T195" s="38">
        <f t="shared" si="15"/>
        <v>190.8016800960055</v>
      </c>
      <c r="U195" s="38">
        <v>190.8016800960055</v>
      </c>
      <c r="V195" s="458">
        <f t="shared" si="16"/>
        <v>0</v>
      </c>
      <c r="W195" s="458">
        <f t="shared" si="18"/>
        <v>16963.246534544833</v>
      </c>
      <c r="X195" s="458">
        <v>0</v>
      </c>
      <c r="Y195" s="459">
        <v>0</v>
      </c>
      <c r="Z195" s="459">
        <v>0</v>
      </c>
      <c r="AA195" s="459">
        <v>0</v>
      </c>
      <c r="AB195" s="459">
        <v>0</v>
      </c>
      <c r="AC195" s="459">
        <v>0</v>
      </c>
      <c r="AD195" s="459">
        <v>0</v>
      </c>
      <c r="AE195" s="459">
        <v>792.98</v>
      </c>
      <c r="AF195" s="458">
        <f>6238.91*AE195/I195</f>
        <v>16963.246534544833</v>
      </c>
      <c r="AG195" s="459">
        <v>0</v>
      </c>
      <c r="AH195" s="458">
        <v>0</v>
      </c>
      <c r="AI195" s="459">
        <v>0</v>
      </c>
      <c r="AJ195" s="458">
        <v>0</v>
      </c>
      <c r="AK195" s="459">
        <v>0</v>
      </c>
      <c r="AL195" s="459">
        <v>0</v>
      </c>
      <c r="AM195" s="459">
        <v>0</v>
      </c>
      <c r="AN195" s="459"/>
      <c r="AO195" s="459">
        <v>0</v>
      </c>
      <c r="AP195" s="460"/>
      <c r="AQ195" s="460"/>
      <c r="AR195" s="460"/>
      <c r="AS195" s="460"/>
      <c r="AT195" s="460"/>
      <c r="AU195" s="460"/>
      <c r="AV195" s="460"/>
      <c r="AW195" s="460"/>
      <c r="AX195" s="460"/>
      <c r="AY195" s="460"/>
      <c r="AZ195" s="460"/>
      <c r="BA195" s="460"/>
      <c r="BB195" s="460"/>
      <c r="BC195" s="460"/>
      <c r="BD195" s="460"/>
      <c r="BE195" s="460"/>
      <c r="BF195" s="460"/>
      <c r="BG195" s="460"/>
      <c r="BH195" s="460"/>
      <c r="BI195" s="460"/>
      <c r="BJ195" s="460"/>
      <c r="BK195" s="460"/>
      <c r="BL195" s="460"/>
      <c r="BM195" s="460"/>
      <c r="BN195" s="460"/>
      <c r="BO195" s="460"/>
      <c r="BP195" s="460"/>
      <c r="BQ195" s="460"/>
      <c r="BR195" s="460"/>
      <c r="BS195" s="460"/>
      <c r="BT195" s="460"/>
      <c r="BU195" s="460"/>
      <c r="BV195" s="460"/>
      <c r="BW195" s="460"/>
      <c r="BX195" s="460"/>
      <c r="BY195" s="460"/>
      <c r="BZ195" s="460"/>
      <c r="CA195" s="460"/>
      <c r="CB195" s="460"/>
      <c r="CC195" s="460"/>
      <c r="CD195" s="460"/>
      <c r="CE195" s="460"/>
      <c r="CF195" s="460"/>
      <c r="CG195" s="460"/>
      <c r="CH195" s="460"/>
      <c r="CI195" s="460"/>
      <c r="CJ195" s="460"/>
      <c r="CK195" s="460"/>
    </row>
    <row r="196" spans="1:89" s="329" customFormat="1" ht="36" customHeight="1" x14ac:dyDescent="0.25">
      <c r="A196" s="329">
        <v>1</v>
      </c>
      <c r="B196" s="39">
        <f>SUBTOTAL(103,$A$16:A196)</f>
        <v>179</v>
      </c>
      <c r="C196" s="33" t="s">
        <v>1197</v>
      </c>
      <c r="D196" s="330">
        <v>1962</v>
      </c>
      <c r="E196" s="330"/>
      <c r="F196" s="331" t="s">
        <v>1990</v>
      </c>
      <c r="G196" s="330">
        <v>2</v>
      </c>
      <c r="H196" s="330" t="s">
        <v>56</v>
      </c>
      <c r="I196" s="334">
        <v>590.99</v>
      </c>
      <c r="J196" s="334">
        <v>550.29</v>
      </c>
      <c r="K196" s="334">
        <v>550.29</v>
      </c>
      <c r="L196" s="332">
        <v>18</v>
      </c>
      <c r="M196" s="330" t="s">
        <v>46</v>
      </c>
      <c r="N196" s="330" t="s">
        <v>50</v>
      </c>
      <c r="O196" s="333" t="s">
        <v>2000</v>
      </c>
      <c r="P196" s="38">
        <v>74945.88</v>
      </c>
      <c r="Q196" s="38">
        <v>0</v>
      </c>
      <c r="R196" s="38">
        <v>0</v>
      </c>
      <c r="S196" s="38">
        <f>P196-Q196-R196</f>
        <v>74945.88</v>
      </c>
      <c r="T196" s="38">
        <f t="shared" si="15"/>
        <v>126.81412545051525</v>
      </c>
      <c r="U196" s="38">
        <v>126.81412545051525</v>
      </c>
      <c r="V196" s="458">
        <f t="shared" si="16"/>
        <v>0</v>
      </c>
      <c r="W196" s="458">
        <f t="shared" si="18"/>
        <v>4158.7844125958136</v>
      </c>
      <c r="X196" s="458">
        <v>0</v>
      </c>
      <c r="Y196" s="459">
        <v>0</v>
      </c>
      <c r="Z196" s="459">
        <v>0</v>
      </c>
      <c r="AA196" s="459">
        <v>0</v>
      </c>
      <c r="AB196" s="459">
        <v>0</v>
      </c>
      <c r="AC196" s="459">
        <v>1</v>
      </c>
      <c r="AD196" s="458">
        <f>2457800*AC196/I196</f>
        <v>4158.7844125958136</v>
      </c>
      <c r="AE196" s="459">
        <v>0</v>
      </c>
      <c r="AF196" s="458">
        <v>0</v>
      </c>
      <c r="AG196" s="459">
        <v>0</v>
      </c>
      <c r="AH196" s="458">
        <v>0</v>
      </c>
      <c r="AI196" s="459">
        <v>0</v>
      </c>
      <c r="AJ196" s="458">
        <v>0</v>
      </c>
      <c r="AK196" s="459">
        <v>0</v>
      </c>
      <c r="AL196" s="459">
        <v>0</v>
      </c>
      <c r="AM196" s="459">
        <v>0</v>
      </c>
      <c r="AN196" s="459"/>
      <c r="AO196" s="459">
        <v>0</v>
      </c>
      <c r="AP196" s="460"/>
      <c r="AQ196" s="460"/>
      <c r="AR196" s="460"/>
      <c r="AS196" s="460"/>
      <c r="AT196" s="460"/>
      <c r="AU196" s="460"/>
      <c r="AV196" s="460"/>
      <c r="AW196" s="460"/>
      <c r="AX196" s="460"/>
      <c r="AY196" s="460"/>
      <c r="AZ196" s="460"/>
      <c r="BA196" s="460"/>
      <c r="BB196" s="460"/>
      <c r="BC196" s="460"/>
      <c r="BD196" s="460"/>
      <c r="BE196" s="460"/>
      <c r="BF196" s="460"/>
      <c r="BG196" s="460"/>
      <c r="BH196" s="460"/>
      <c r="BI196" s="460"/>
      <c r="BJ196" s="460"/>
      <c r="BK196" s="460"/>
      <c r="BL196" s="460"/>
      <c r="BM196" s="460"/>
      <c r="BN196" s="460"/>
      <c r="BO196" s="460"/>
      <c r="BP196" s="460"/>
      <c r="BQ196" s="460"/>
      <c r="BR196" s="460"/>
      <c r="BS196" s="460"/>
      <c r="BT196" s="460"/>
      <c r="BU196" s="460"/>
      <c r="BV196" s="460"/>
      <c r="BW196" s="460"/>
      <c r="BX196" s="460"/>
      <c r="BY196" s="460"/>
      <c r="BZ196" s="460"/>
      <c r="CA196" s="460"/>
      <c r="CB196" s="460"/>
      <c r="CC196" s="460"/>
      <c r="CD196" s="460"/>
      <c r="CE196" s="460"/>
      <c r="CF196" s="460"/>
      <c r="CG196" s="460"/>
      <c r="CH196" s="460"/>
      <c r="CI196" s="460"/>
      <c r="CJ196" s="460"/>
      <c r="CK196" s="460"/>
    </row>
    <row r="197" spans="1:89" s="329" customFormat="1" ht="36" customHeight="1" x14ac:dyDescent="0.25">
      <c r="B197" s="33" t="s">
        <v>91</v>
      </c>
      <c r="C197" s="462"/>
      <c r="D197" s="330" t="s">
        <v>131</v>
      </c>
      <c r="E197" s="330" t="s">
        <v>131</v>
      </c>
      <c r="F197" s="330" t="s">
        <v>131</v>
      </c>
      <c r="G197" s="330" t="s">
        <v>131</v>
      </c>
      <c r="H197" s="330" t="s">
        <v>131</v>
      </c>
      <c r="I197" s="334">
        <f>SUM(I198:I234)</f>
        <v>220850.80000000002</v>
      </c>
      <c r="J197" s="334">
        <f>SUM(J198:J234)</f>
        <v>187176.02000000002</v>
      </c>
      <c r="K197" s="334">
        <f>SUM(K198:K234)</f>
        <v>179514.53000000003</v>
      </c>
      <c r="L197" s="332">
        <f>SUM(L198:L234)</f>
        <v>7973</v>
      </c>
      <c r="M197" s="330" t="s">
        <v>131</v>
      </c>
      <c r="N197" s="330" t="s">
        <v>131</v>
      </c>
      <c r="O197" s="333" t="s">
        <v>131</v>
      </c>
      <c r="P197" s="334">
        <v>137725231.69</v>
      </c>
      <c r="Q197" s="334">
        <f>SUM(Q198:Q234)</f>
        <v>0</v>
      </c>
      <c r="R197" s="334">
        <f>SUM(R198:R234)</f>
        <v>0</v>
      </c>
      <c r="S197" s="334">
        <f>SUM(S198:S234)</f>
        <v>137725231.69</v>
      </c>
      <c r="T197" s="38">
        <f t="shared" si="15"/>
        <v>623.61210233333986</v>
      </c>
      <c r="U197" s="38">
        <f>MAX(U198:U234)</f>
        <v>9843.0602092050212</v>
      </c>
      <c r="V197" s="458">
        <f t="shared" si="16"/>
        <v>9219.4481068716814</v>
      </c>
      <c r="W197" s="458"/>
      <c r="X197" s="458"/>
      <c r="Y197" s="459"/>
      <c r="Z197" s="459"/>
      <c r="AA197" s="459"/>
      <c r="AB197" s="459"/>
      <c r="AC197" s="459"/>
      <c r="AD197" s="459"/>
      <c r="AE197" s="459"/>
      <c r="AF197" s="459"/>
      <c r="AG197" s="459"/>
      <c r="AH197" s="459"/>
      <c r="AI197" s="459"/>
      <c r="AJ197" s="459"/>
      <c r="AK197" s="459"/>
      <c r="AL197" s="459"/>
      <c r="AM197" s="459"/>
      <c r="AN197" s="459"/>
      <c r="AO197" s="459"/>
      <c r="AP197" s="460"/>
      <c r="AQ197" s="460"/>
      <c r="AR197" s="460"/>
      <c r="AS197" s="460"/>
      <c r="AT197" s="460"/>
      <c r="AU197" s="460"/>
      <c r="AV197" s="460"/>
      <c r="AW197" s="460"/>
      <c r="AX197" s="460"/>
      <c r="AY197" s="460"/>
      <c r="AZ197" s="460"/>
      <c r="BA197" s="460"/>
      <c r="BB197" s="460"/>
      <c r="BC197" s="460"/>
      <c r="BD197" s="460"/>
      <c r="BE197" s="460"/>
      <c r="BF197" s="460"/>
      <c r="BG197" s="460"/>
      <c r="BH197" s="460"/>
      <c r="BI197" s="460"/>
      <c r="BJ197" s="460"/>
      <c r="BK197" s="460"/>
      <c r="BL197" s="460"/>
      <c r="BM197" s="460"/>
      <c r="BN197" s="460"/>
      <c r="BO197" s="460"/>
      <c r="BP197" s="460"/>
      <c r="BQ197" s="460"/>
      <c r="BR197" s="460"/>
      <c r="BS197" s="460"/>
      <c r="BT197" s="460"/>
      <c r="BU197" s="460"/>
      <c r="BV197" s="460"/>
      <c r="BW197" s="460"/>
      <c r="BX197" s="460"/>
      <c r="BY197" s="460"/>
      <c r="BZ197" s="460"/>
      <c r="CA197" s="460"/>
      <c r="CB197" s="460"/>
      <c r="CC197" s="460"/>
      <c r="CD197" s="460"/>
      <c r="CE197" s="460"/>
      <c r="CF197" s="460"/>
      <c r="CG197" s="460"/>
      <c r="CH197" s="460"/>
      <c r="CI197" s="460"/>
      <c r="CJ197" s="460"/>
      <c r="CK197" s="460"/>
    </row>
    <row r="198" spans="1:89" s="329" customFormat="1" ht="36" customHeight="1" x14ac:dyDescent="0.25">
      <c r="A198" s="329">
        <v>1</v>
      </c>
      <c r="B198" s="39">
        <f>SUBTOTAL(103,$A$16:A198)</f>
        <v>180</v>
      </c>
      <c r="C198" s="33" t="s">
        <v>1198</v>
      </c>
      <c r="D198" s="330">
        <v>1960</v>
      </c>
      <c r="E198" s="330"/>
      <c r="F198" s="331" t="s">
        <v>48</v>
      </c>
      <c r="G198" s="330">
        <v>4</v>
      </c>
      <c r="H198" s="330" t="s">
        <v>61</v>
      </c>
      <c r="I198" s="38">
        <v>2116.5</v>
      </c>
      <c r="J198" s="38">
        <v>1931.2</v>
      </c>
      <c r="K198" s="38">
        <v>1680.5</v>
      </c>
      <c r="L198" s="332">
        <v>73</v>
      </c>
      <c r="M198" s="330" t="s">
        <v>46</v>
      </c>
      <c r="N198" s="330" t="s">
        <v>50</v>
      </c>
      <c r="O198" s="333" t="s">
        <v>2007</v>
      </c>
      <c r="P198" s="38">
        <v>149143.37</v>
      </c>
      <c r="Q198" s="38">
        <v>0</v>
      </c>
      <c r="R198" s="38">
        <v>0</v>
      </c>
      <c r="S198" s="38">
        <f t="shared" ref="S198:S226" si="20">P198-Q198-R198</f>
        <v>149143.37</v>
      </c>
      <c r="T198" s="38">
        <f t="shared" si="15"/>
        <v>70.46698322702575</v>
      </c>
      <c r="U198" s="38">
        <v>70.46698322702575</v>
      </c>
      <c r="V198" s="458">
        <f t="shared" si="16"/>
        <v>0</v>
      </c>
      <c r="W198" s="458">
        <f t="shared" ref="W198:W234" si="21">X198+Y198+Z198+AA198+AB198+AD198+AF198+AH198+AJ198+AL198+AN198+AO198</f>
        <v>4927.7666902905748</v>
      </c>
      <c r="X198" s="458">
        <v>0</v>
      </c>
      <c r="Y198" s="459">
        <v>0</v>
      </c>
      <c r="Z198" s="459">
        <v>0</v>
      </c>
      <c r="AA198" s="459">
        <v>0</v>
      </c>
      <c r="AB198" s="459">
        <v>0</v>
      </c>
      <c r="AC198" s="459">
        <v>0</v>
      </c>
      <c r="AD198" s="459">
        <v>0</v>
      </c>
      <c r="AE198" s="459">
        <v>0</v>
      </c>
      <c r="AF198" s="458">
        <v>0</v>
      </c>
      <c r="AG198" s="459">
        <v>0</v>
      </c>
      <c r="AH198" s="458">
        <v>0</v>
      </c>
      <c r="AI198" s="459">
        <v>1402</v>
      </c>
      <c r="AJ198" s="458">
        <f>7439.1*AI198/I198</f>
        <v>4927.7666902905748</v>
      </c>
      <c r="AK198" s="459">
        <v>0</v>
      </c>
      <c r="AL198" s="459">
        <v>0</v>
      </c>
      <c r="AM198" s="459">
        <v>0</v>
      </c>
      <c r="AN198" s="459"/>
      <c r="AO198" s="459">
        <v>0</v>
      </c>
      <c r="AP198" s="460"/>
      <c r="AQ198" s="460"/>
      <c r="AR198" s="460"/>
      <c r="AS198" s="460"/>
      <c r="AT198" s="460"/>
      <c r="AU198" s="460"/>
      <c r="AV198" s="460"/>
      <c r="AW198" s="460"/>
      <c r="AX198" s="460"/>
      <c r="AY198" s="460"/>
      <c r="AZ198" s="460"/>
      <c r="BA198" s="460"/>
      <c r="BB198" s="460"/>
      <c r="BC198" s="460"/>
      <c r="BD198" s="460"/>
      <c r="BE198" s="460"/>
      <c r="BF198" s="460"/>
      <c r="BG198" s="460"/>
      <c r="BH198" s="460"/>
      <c r="BI198" s="460"/>
      <c r="BJ198" s="460"/>
      <c r="BK198" s="460"/>
      <c r="BL198" s="460"/>
      <c r="BM198" s="460"/>
      <c r="BN198" s="460"/>
      <c r="BO198" s="460"/>
      <c r="BP198" s="460"/>
      <c r="BQ198" s="460"/>
      <c r="BR198" s="460"/>
      <c r="BS198" s="460"/>
      <c r="BT198" s="460"/>
      <c r="BU198" s="460"/>
      <c r="BV198" s="460"/>
      <c r="BW198" s="460"/>
      <c r="BX198" s="460"/>
      <c r="BY198" s="460"/>
      <c r="BZ198" s="460"/>
      <c r="CA198" s="460"/>
      <c r="CB198" s="460"/>
      <c r="CC198" s="460"/>
      <c r="CD198" s="460"/>
      <c r="CE198" s="460"/>
      <c r="CF198" s="460"/>
      <c r="CG198" s="460"/>
      <c r="CH198" s="460"/>
      <c r="CI198" s="460"/>
      <c r="CJ198" s="460"/>
      <c r="CK198" s="460"/>
    </row>
    <row r="199" spans="1:89" s="329" customFormat="1" ht="36" customHeight="1" x14ac:dyDescent="0.25">
      <c r="A199" s="329">
        <v>1</v>
      </c>
      <c r="B199" s="39">
        <f>SUBTOTAL(103,$A$16:A199)</f>
        <v>181</v>
      </c>
      <c r="C199" s="33" t="s">
        <v>1199</v>
      </c>
      <c r="D199" s="330">
        <v>1938</v>
      </c>
      <c r="E199" s="330"/>
      <c r="F199" s="331" t="s">
        <v>1990</v>
      </c>
      <c r="G199" s="330">
        <v>2</v>
      </c>
      <c r="H199" s="330" t="s">
        <v>56</v>
      </c>
      <c r="I199" s="38">
        <v>692.4</v>
      </c>
      <c r="J199" s="38">
        <v>692.4</v>
      </c>
      <c r="K199" s="38">
        <v>632.79999999999995</v>
      </c>
      <c r="L199" s="332">
        <v>23</v>
      </c>
      <c r="M199" s="330" t="s">
        <v>46</v>
      </c>
      <c r="N199" s="330" t="s">
        <v>47</v>
      </c>
      <c r="O199" s="333" t="s">
        <v>49</v>
      </c>
      <c r="P199" s="38">
        <v>2194413.6799999997</v>
      </c>
      <c r="Q199" s="38">
        <v>0</v>
      </c>
      <c r="R199" s="38">
        <v>0</v>
      </c>
      <c r="S199" s="38">
        <f t="shared" si="20"/>
        <v>2194413.6799999997</v>
      </c>
      <c r="T199" s="38">
        <f t="shared" si="15"/>
        <v>3169.2860774119004</v>
      </c>
      <c r="U199" s="38">
        <v>4885.6425047660305</v>
      </c>
      <c r="V199" s="458">
        <f t="shared" si="16"/>
        <v>1716.3564273541301</v>
      </c>
      <c r="W199" s="458">
        <f t="shared" si="21"/>
        <v>4869.0349461294045</v>
      </c>
      <c r="X199" s="458">
        <v>0</v>
      </c>
      <c r="Y199" s="459">
        <v>0</v>
      </c>
      <c r="Z199" s="459">
        <v>0</v>
      </c>
      <c r="AA199" s="459">
        <v>0</v>
      </c>
      <c r="AB199" s="459">
        <v>0</v>
      </c>
      <c r="AC199" s="459">
        <v>0</v>
      </c>
      <c r="AD199" s="459">
        <v>0</v>
      </c>
      <c r="AE199" s="459">
        <v>540.37</v>
      </c>
      <c r="AF199" s="458">
        <f>6238.91*AE199/I199</f>
        <v>4869.0349461294045</v>
      </c>
      <c r="AG199" s="459">
        <v>0</v>
      </c>
      <c r="AH199" s="458">
        <v>0</v>
      </c>
      <c r="AI199" s="459">
        <v>0</v>
      </c>
      <c r="AJ199" s="458">
        <v>0</v>
      </c>
      <c r="AK199" s="459">
        <v>0</v>
      </c>
      <c r="AL199" s="459">
        <v>0</v>
      </c>
      <c r="AM199" s="459">
        <v>0</v>
      </c>
      <c r="AN199" s="459"/>
      <c r="AO199" s="459">
        <v>0</v>
      </c>
      <c r="AP199" s="460"/>
      <c r="AQ199" s="460"/>
      <c r="AR199" s="460"/>
      <c r="AS199" s="460"/>
      <c r="AT199" s="460"/>
      <c r="AU199" s="460"/>
      <c r="AV199" s="460"/>
      <c r="AW199" s="460"/>
      <c r="AX199" s="460"/>
      <c r="AY199" s="460"/>
      <c r="AZ199" s="460"/>
      <c r="BA199" s="460"/>
      <c r="BB199" s="460"/>
      <c r="BC199" s="460"/>
      <c r="BD199" s="460"/>
      <c r="BE199" s="460"/>
      <c r="BF199" s="460"/>
      <c r="BG199" s="460"/>
      <c r="BH199" s="460"/>
      <c r="BI199" s="460"/>
      <c r="BJ199" s="460"/>
      <c r="BK199" s="460"/>
      <c r="BL199" s="460"/>
      <c r="BM199" s="460"/>
      <c r="BN199" s="460"/>
      <c r="BO199" s="460"/>
      <c r="BP199" s="460"/>
      <c r="BQ199" s="460"/>
      <c r="BR199" s="460"/>
      <c r="BS199" s="460"/>
      <c r="BT199" s="460"/>
      <c r="BU199" s="460"/>
      <c r="BV199" s="460"/>
      <c r="BW199" s="460"/>
      <c r="BX199" s="460"/>
      <c r="BY199" s="460"/>
      <c r="BZ199" s="460"/>
      <c r="CA199" s="460"/>
      <c r="CB199" s="460"/>
      <c r="CC199" s="460"/>
      <c r="CD199" s="460"/>
      <c r="CE199" s="460"/>
      <c r="CF199" s="460"/>
      <c r="CG199" s="460"/>
      <c r="CH199" s="460"/>
      <c r="CI199" s="460"/>
      <c r="CJ199" s="460"/>
      <c r="CK199" s="460"/>
    </row>
    <row r="200" spans="1:89" s="329" customFormat="1" ht="36" customHeight="1" x14ac:dyDescent="0.25">
      <c r="A200" s="329">
        <v>1</v>
      </c>
      <c r="B200" s="39">
        <f>SUBTOTAL(103,$A$16:A200)</f>
        <v>182</v>
      </c>
      <c r="C200" s="33" t="s">
        <v>1200</v>
      </c>
      <c r="D200" s="330">
        <v>1961</v>
      </c>
      <c r="E200" s="330"/>
      <c r="F200" s="331" t="s">
        <v>48</v>
      </c>
      <c r="G200" s="330">
        <v>2</v>
      </c>
      <c r="H200" s="330" t="s">
        <v>57</v>
      </c>
      <c r="I200" s="38">
        <v>296.39999999999998</v>
      </c>
      <c r="J200" s="38">
        <v>275.5</v>
      </c>
      <c r="K200" s="38">
        <v>275.5</v>
      </c>
      <c r="L200" s="332">
        <v>8</v>
      </c>
      <c r="M200" s="330" t="s">
        <v>46</v>
      </c>
      <c r="N200" s="330" t="s">
        <v>50</v>
      </c>
      <c r="O200" s="333" t="s">
        <v>2008</v>
      </c>
      <c r="P200" s="38">
        <v>62023.07</v>
      </c>
      <c r="Q200" s="38">
        <v>0</v>
      </c>
      <c r="R200" s="38">
        <v>0</v>
      </c>
      <c r="S200" s="38">
        <f t="shared" si="20"/>
        <v>62023.07</v>
      </c>
      <c r="T200" s="38">
        <f t="shared" si="15"/>
        <v>209.25462213225373</v>
      </c>
      <c r="U200" s="38">
        <v>209.25462213225373</v>
      </c>
      <c r="V200" s="458">
        <f t="shared" si="16"/>
        <v>0</v>
      </c>
      <c r="W200" s="458">
        <f t="shared" si="21"/>
        <v>5577.9728407557359</v>
      </c>
      <c r="X200" s="458">
        <v>0</v>
      </c>
      <c r="Y200" s="459">
        <v>0</v>
      </c>
      <c r="Z200" s="459">
        <v>0</v>
      </c>
      <c r="AA200" s="459">
        <v>0</v>
      </c>
      <c r="AB200" s="459">
        <v>0</v>
      </c>
      <c r="AC200" s="459">
        <v>0</v>
      </c>
      <c r="AD200" s="459">
        <v>0</v>
      </c>
      <c r="AE200" s="459">
        <v>265</v>
      </c>
      <c r="AF200" s="458">
        <f>6238.91*AE200/I200</f>
        <v>5577.9728407557359</v>
      </c>
      <c r="AG200" s="459">
        <v>0</v>
      </c>
      <c r="AH200" s="458">
        <v>0</v>
      </c>
      <c r="AI200" s="459">
        <v>0</v>
      </c>
      <c r="AJ200" s="458">
        <v>0</v>
      </c>
      <c r="AK200" s="459">
        <v>0</v>
      </c>
      <c r="AL200" s="459">
        <v>0</v>
      </c>
      <c r="AM200" s="459">
        <v>0</v>
      </c>
      <c r="AN200" s="459"/>
      <c r="AO200" s="459">
        <v>0</v>
      </c>
      <c r="AP200" s="460"/>
      <c r="AQ200" s="460"/>
      <c r="AR200" s="460"/>
      <c r="AS200" s="460"/>
      <c r="AT200" s="460"/>
      <c r="AU200" s="460"/>
      <c r="AV200" s="460"/>
      <c r="AW200" s="460"/>
      <c r="AX200" s="460"/>
      <c r="AY200" s="460"/>
      <c r="AZ200" s="460"/>
      <c r="BA200" s="460"/>
      <c r="BB200" s="460"/>
      <c r="BC200" s="460"/>
      <c r="BD200" s="460"/>
      <c r="BE200" s="460"/>
      <c r="BF200" s="460"/>
      <c r="BG200" s="460"/>
      <c r="BH200" s="460"/>
      <c r="BI200" s="460"/>
      <c r="BJ200" s="460"/>
      <c r="BK200" s="460"/>
      <c r="BL200" s="460"/>
      <c r="BM200" s="460"/>
      <c r="BN200" s="460"/>
      <c r="BO200" s="460"/>
      <c r="BP200" s="460"/>
      <c r="BQ200" s="460"/>
      <c r="BR200" s="460"/>
      <c r="BS200" s="460"/>
      <c r="BT200" s="460"/>
      <c r="BU200" s="460"/>
      <c r="BV200" s="460"/>
      <c r="BW200" s="460"/>
      <c r="BX200" s="460"/>
      <c r="BY200" s="460"/>
      <c r="BZ200" s="460"/>
      <c r="CA200" s="460"/>
      <c r="CB200" s="460"/>
      <c r="CC200" s="460"/>
      <c r="CD200" s="460"/>
      <c r="CE200" s="460"/>
      <c r="CF200" s="460"/>
      <c r="CG200" s="460"/>
      <c r="CH200" s="460"/>
      <c r="CI200" s="460"/>
      <c r="CJ200" s="460"/>
      <c r="CK200" s="460"/>
    </row>
    <row r="201" spans="1:89" s="329" customFormat="1" ht="36" customHeight="1" x14ac:dyDescent="0.25">
      <c r="A201" s="329">
        <v>1</v>
      </c>
      <c r="B201" s="39">
        <f>SUBTOTAL(103,$A$16:A201)</f>
        <v>183</v>
      </c>
      <c r="C201" s="33" t="s">
        <v>1201</v>
      </c>
      <c r="D201" s="330">
        <v>1988</v>
      </c>
      <c r="E201" s="330"/>
      <c r="F201" s="331" t="s">
        <v>63</v>
      </c>
      <c r="G201" s="330">
        <v>9</v>
      </c>
      <c r="H201" s="330" t="s">
        <v>61</v>
      </c>
      <c r="I201" s="38">
        <v>6561.4</v>
      </c>
      <c r="J201" s="38">
        <v>5844</v>
      </c>
      <c r="K201" s="38">
        <v>5844</v>
      </c>
      <c r="L201" s="332">
        <v>243</v>
      </c>
      <c r="M201" s="330" t="s">
        <v>46</v>
      </c>
      <c r="N201" s="330" t="s">
        <v>50</v>
      </c>
      <c r="O201" s="333" t="s">
        <v>2009</v>
      </c>
      <c r="P201" s="38">
        <v>4939980.5199999996</v>
      </c>
      <c r="Q201" s="38">
        <v>0</v>
      </c>
      <c r="R201" s="38">
        <v>0</v>
      </c>
      <c r="S201" s="38">
        <f t="shared" si="20"/>
        <v>4939980.5199999996</v>
      </c>
      <c r="T201" s="38">
        <f t="shared" si="15"/>
        <v>752.88513427012526</v>
      </c>
      <c r="U201" s="38">
        <v>1123.7540768738379</v>
      </c>
      <c r="V201" s="458">
        <f t="shared" si="16"/>
        <v>370.86894260371264</v>
      </c>
      <c r="W201" s="458">
        <f t="shared" si="21"/>
        <v>1123.7540768738379</v>
      </c>
      <c r="X201" s="458">
        <v>0</v>
      </c>
      <c r="Y201" s="459">
        <v>0</v>
      </c>
      <c r="Z201" s="459">
        <v>0</v>
      </c>
      <c r="AA201" s="459">
        <v>0</v>
      </c>
      <c r="AB201" s="459">
        <v>0</v>
      </c>
      <c r="AC201" s="459">
        <v>3</v>
      </c>
      <c r="AD201" s="458">
        <f>2457800*AC201/I201</f>
        <v>1123.7540768738379</v>
      </c>
      <c r="AE201" s="459">
        <v>0</v>
      </c>
      <c r="AF201" s="458">
        <v>0</v>
      </c>
      <c r="AG201" s="459">
        <v>0</v>
      </c>
      <c r="AH201" s="458">
        <v>0</v>
      </c>
      <c r="AI201" s="459">
        <v>0</v>
      </c>
      <c r="AJ201" s="458">
        <v>0</v>
      </c>
      <c r="AK201" s="459">
        <v>0</v>
      </c>
      <c r="AL201" s="459">
        <v>0</v>
      </c>
      <c r="AM201" s="459">
        <v>0</v>
      </c>
      <c r="AN201" s="459"/>
      <c r="AO201" s="459">
        <v>0</v>
      </c>
      <c r="AP201" s="460"/>
      <c r="AQ201" s="460"/>
      <c r="AR201" s="460"/>
      <c r="AS201" s="460"/>
      <c r="AT201" s="460"/>
      <c r="AU201" s="460"/>
      <c r="AV201" s="460"/>
      <c r="AW201" s="460"/>
      <c r="AX201" s="460"/>
      <c r="AY201" s="460"/>
      <c r="AZ201" s="460"/>
      <c r="BA201" s="460"/>
      <c r="BB201" s="460"/>
      <c r="BC201" s="460"/>
      <c r="BD201" s="460"/>
      <c r="BE201" s="460"/>
      <c r="BF201" s="460"/>
      <c r="BG201" s="460"/>
      <c r="BH201" s="460"/>
      <c r="BI201" s="460"/>
      <c r="BJ201" s="460"/>
      <c r="BK201" s="460"/>
      <c r="BL201" s="460"/>
      <c r="BM201" s="460"/>
      <c r="BN201" s="460"/>
      <c r="BO201" s="460"/>
      <c r="BP201" s="460"/>
      <c r="BQ201" s="460"/>
      <c r="BR201" s="460"/>
      <c r="BS201" s="460"/>
      <c r="BT201" s="460"/>
      <c r="BU201" s="460"/>
      <c r="BV201" s="460"/>
      <c r="BW201" s="460"/>
      <c r="BX201" s="460"/>
      <c r="BY201" s="460"/>
      <c r="BZ201" s="460"/>
      <c r="CA201" s="460"/>
      <c r="CB201" s="460"/>
      <c r="CC201" s="460"/>
      <c r="CD201" s="460"/>
      <c r="CE201" s="460"/>
      <c r="CF201" s="460"/>
      <c r="CG201" s="460"/>
      <c r="CH201" s="460"/>
      <c r="CI201" s="460"/>
      <c r="CJ201" s="460"/>
      <c r="CK201" s="460"/>
    </row>
    <row r="202" spans="1:89" s="329" customFormat="1" ht="36" customHeight="1" x14ac:dyDescent="0.25">
      <c r="A202" s="329">
        <v>1</v>
      </c>
      <c r="B202" s="39">
        <f>SUBTOTAL(103,$A$16:A202)</f>
        <v>184</v>
      </c>
      <c r="C202" s="33" t="s">
        <v>1202</v>
      </c>
      <c r="D202" s="330">
        <v>1988</v>
      </c>
      <c r="E202" s="330"/>
      <c r="F202" s="331" t="s">
        <v>48</v>
      </c>
      <c r="G202" s="330">
        <v>9</v>
      </c>
      <c r="H202" s="330" t="s">
        <v>59</v>
      </c>
      <c r="I202" s="38">
        <v>9256.7000000000007</v>
      </c>
      <c r="J202" s="38">
        <v>8471</v>
      </c>
      <c r="K202" s="38">
        <v>8471</v>
      </c>
      <c r="L202" s="332">
        <v>378</v>
      </c>
      <c r="M202" s="330" t="s">
        <v>46</v>
      </c>
      <c r="N202" s="330" t="s">
        <v>50</v>
      </c>
      <c r="O202" s="333" t="s">
        <v>2008</v>
      </c>
      <c r="P202" s="38">
        <v>6608023.2199999997</v>
      </c>
      <c r="Q202" s="38">
        <v>0</v>
      </c>
      <c r="R202" s="38">
        <v>0</v>
      </c>
      <c r="S202" s="38">
        <f t="shared" si="20"/>
        <v>6608023.2199999997</v>
      </c>
      <c r="T202" s="38">
        <f t="shared" si="15"/>
        <v>713.8638197197705</v>
      </c>
      <c r="U202" s="38">
        <v>1062.0631542558363</v>
      </c>
      <c r="V202" s="458">
        <f t="shared" si="16"/>
        <v>348.19933453606575</v>
      </c>
      <c r="W202" s="458">
        <f t="shared" si="21"/>
        <v>1062.0631542558363</v>
      </c>
      <c r="X202" s="458">
        <v>0</v>
      </c>
      <c r="Y202" s="459">
        <v>0</v>
      </c>
      <c r="Z202" s="459">
        <v>0</v>
      </c>
      <c r="AA202" s="459">
        <v>0</v>
      </c>
      <c r="AB202" s="459">
        <v>0</v>
      </c>
      <c r="AC202" s="459">
        <v>4</v>
      </c>
      <c r="AD202" s="458">
        <f>2457800*AC202/I202</f>
        <v>1062.0631542558363</v>
      </c>
      <c r="AE202" s="459">
        <v>0</v>
      </c>
      <c r="AF202" s="458">
        <v>0</v>
      </c>
      <c r="AG202" s="459">
        <v>0</v>
      </c>
      <c r="AH202" s="458">
        <v>0</v>
      </c>
      <c r="AI202" s="459">
        <v>0</v>
      </c>
      <c r="AJ202" s="458">
        <v>0</v>
      </c>
      <c r="AK202" s="459">
        <v>0</v>
      </c>
      <c r="AL202" s="459">
        <v>0</v>
      </c>
      <c r="AM202" s="459">
        <v>0</v>
      </c>
      <c r="AN202" s="459"/>
      <c r="AO202" s="459">
        <v>0</v>
      </c>
      <c r="AP202" s="460"/>
      <c r="AQ202" s="460"/>
      <c r="AR202" s="460"/>
      <c r="AS202" s="460"/>
      <c r="AT202" s="460"/>
      <c r="AU202" s="460"/>
      <c r="AV202" s="460"/>
      <c r="AW202" s="460"/>
      <c r="AX202" s="460"/>
      <c r="AY202" s="460"/>
      <c r="AZ202" s="460"/>
      <c r="BA202" s="460"/>
      <c r="BB202" s="460"/>
      <c r="BC202" s="460"/>
      <c r="BD202" s="460"/>
      <c r="BE202" s="460"/>
      <c r="BF202" s="460"/>
      <c r="BG202" s="460"/>
      <c r="BH202" s="460"/>
      <c r="BI202" s="460"/>
      <c r="BJ202" s="460"/>
      <c r="BK202" s="460"/>
      <c r="BL202" s="460"/>
      <c r="BM202" s="460"/>
      <c r="BN202" s="460"/>
      <c r="BO202" s="460"/>
      <c r="BP202" s="460"/>
      <c r="BQ202" s="460"/>
      <c r="BR202" s="460"/>
      <c r="BS202" s="460"/>
      <c r="BT202" s="460"/>
      <c r="BU202" s="460"/>
      <c r="BV202" s="460"/>
      <c r="BW202" s="460"/>
      <c r="BX202" s="460"/>
      <c r="BY202" s="460"/>
      <c r="BZ202" s="460"/>
      <c r="CA202" s="460"/>
      <c r="CB202" s="460"/>
      <c r="CC202" s="460"/>
      <c r="CD202" s="460"/>
      <c r="CE202" s="460"/>
      <c r="CF202" s="460"/>
      <c r="CG202" s="460"/>
      <c r="CH202" s="460"/>
      <c r="CI202" s="460"/>
      <c r="CJ202" s="460"/>
      <c r="CK202" s="460"/>
    </row>
    <row r="203" spans="1:89" s="329" customFormat="1" ht="36" customHeight="1" x14ac:dyDescent="0.25">
      <c r="A203" s="329">
        <v>1</v>
      </c>
      <c r="B203" s="39">
        <f>SUBTOTAL(103,$A$16:A203)</f>
        <v>185</v>
      </c>
      <c r="C203" s="33" t="s">
        <v>1203</v>
      </c>
      <c r="D203" s="330">
        <v>1984</v>
      </c>
      <c r="E203" s="330"/>
      <c r="F203" s="331" t="s">
        <v>63</v>
      </c>
      <c r="G203" s="330">
        <v>9</v>
      </c>
      <c r="H203" s="330" t="s">
        <v>75</v>
      </c>
      <c r="I203" s="38">
        <v>12333.3</v>
      </c>
      <c r="J203" s="38">
        <v>9669.2000000000007</v>
      </c>
      <c r="K203" s="38">
        <v>9669.2000000000007</v>
      </c>
      <c r="L203" s="332">
        <v>396</v>
      </c>
      <c r="M203" s="330" t="s">
        <v>46</v>
      </c>
      <c r="N203" s="330" t="s">
        <v>50</v>
      </c>
      <c r="O203" s="333" t="s">
        <v>2010</v>
      </c>
      <c r="P203" s="38">
        <v>8162096.2000000002</v>
      </c>
      <c r="Q203" s="38">
        <v>0</v>
      </c>
      <c r="R203" s="38">
        <v>0</v>
      </c>
      <c r="S203" s="38">
        <f t="shared" si="20"/>
        <v>8162096.2000000002</v>
      </c>
      <c r="T203" s="38">
        <f t="shared" si="15"/>
        <v>661.79337241452015</v>
      </c>
      <c r="U203" s="38">
        <v>996.408098400266</v>
      </c>
      <c r="V203" s="458">
        <f t="shared" si="16"/>
        <v>334.61472598574585</v>
      </c>
      <c r="W203" s="458">
        <f t="shared" si="21"/>
        <v>996.408098400266</v>
      </c>
      <c r="X203" s="458">
        <v>0</v>
      </c>
      <c r="Y203" s="459">
        <v>0</v>
      </c>
      <c r="Z203" s="459">
        <v>0</v>
      </c>
      <c r="AA203" s="459">
        <v>0</v>
      </c>
      <c r="AB203" s="459">
        <v>0</v>
      </c>
      <c r="AC203" s="459">
        <v>5</v>
      </c>
      <c r="AD203" s="458">
        <f>2457800*AC203/I203</f>
        <v>996.408098400266</v>
      </c>
      <c r="AE203" s="459">
        <v>0</v>
      </c>
      <c r="AF203" s="458">
        <v>0</v>
      </c>
      <c r="AG203" s="459">
        <v>0</v>
      </c>
      <c r="AH203" s="458">
        <v>0</v>
      </c>
      <c r="AI203" s="459">
        <v>0</v>
      </c>
      <c r="AJ203" s="458">
        <v>0</v>
      </c>
      <c r="AK203" s="459">
        <v>0</v>
      </c>
      <c r="AL203" s="459">
        <v>0</v>
      </c>
      <c r="AM203" s="459">
        <v>0</v>
      </c>
      <c r="AN203" s="459"/>
      <c r="AO203" s="459">
        <v>0</v>
      </c>
      <c r="AP203" s="460"/>
      <c r="AQ203" s="460"/>
      <c r="AR203" s="460"/>
      <c r="AS203" s="460"/>
      <c r="AT203" s="460"/>
      <c r="AU203" s="460"/>
      <c r="AV203" s="460"/>
      <c r="AW203" s="460"/>
      <c r="AX203" s="460"/>
      <c r="AY203" s="460"/>
      <c r="AZ203" s="460"/>
      <c r="BA203" s="460"/>
      <c r="BB203" s="460"/>
      <c r="BC203" s="460"/>
      <c r="BD203" s="460"/>
      <c r="BE203" s="460"/>
      <c r="BF203" s="460"/>
      <c r="BG203" s="460"/>
      <c r="BH203" s="460"/>
      <c r="BI203" s="460"/>
      <c r="BJ203" s="460"/>
      <c r="BK203" s="460"/>
      <c r="BL203" s="460"/>
      <c r="BM203" s="460"/>
      <c r="BN203" s="460"/>
      <c r="BO203" s="460"/>
      <c r="BP203" s="460"/>
      <c r="BQ203" s="460"/>
      <c r="BR203" s="460"/>
      <c r="BS203" s="460"/>
      <c r="BT203" s="460"/>
      <c r="BU203" s="460"/>
      <c r="BV203" s="460"/>
      <c r="BW203" s="460"/>
      <c r="BX203" s="460"/>
      <c r="BY203" s="460"/>
      <c r="BZ203" s="460"/>
      <c r="CA203" s="460"/>
      <c r="CB203" s="460"/>
      <c r="CC203" s="460"/>
      <c r="CD203" s="460"/>
      <c r="CE203" s="460"/>
      <c r="CF203" s="460"/>
      <c r="CG203" s="460"/>
      <c r="CH203" s="460"/>
      <c r="CI203" s="460"/>
      <c r="CJ203" s="460"/>
      <c r="CK203" s="460"/>
    </row>
    <row r="204" spans="1:89" s="329" customFormat="1" ht="36" customHeight="1" x14ac:dyDescent="0.25">
      <c r="A204" s="329">
        <v>1</v>
      </c>
      <c r="B204" s="39">
        <f>SUBTOTAL(103,$A$16:A204)</f>
        <v>186</v>
      </c>
      <c r="C204" s="33" t="s">
        <v>1204</v>
      </c>
      <c r="D204" s="330">
        <v>1987</v>
      </c>
      <c r="E204" s="330"/>
      <c r="F204" s="331" t="s">
        <v>63</v>
      </c>
      <c r="G204" s="330">
        <v>9</v>
      </c>
      <c r="H204" s="330" t="s">
        <v>75</v>
      </c>
      <c r="I204" s="38">
        <v>12462.6</v>
      </c>
      <c r="J204" s="38">
        <v>9746.7999999999993</v>
      </c>
      <c r="K204" s="38">
        <v>9746.7999999999993</v>
      </c>
      <c r="L204" s="332">
        <v>398</v>
      </c>
      <c r="M204" s="330" t="s">
        <v>46</v>
      </c>
      <c r="N204" s="330" t="s">
        <v>50</v>
      </c>
      <c r="O204" s="333" t="s">
        <v>2010</v>
      </c>
      <c r="P204" s="38">
        <v>7899262.5999999996</v>
      </c>
      <c r="Q204" s="38">
        <v>0</v>
      </c>
      <c r="R204" s="38">
        <v>0</v>
      </c>
      <c r="S204" s="38">
        <f t="shared" si="20"/>
        <v>7899262.5999999996</v>
      </c>
      <c r="T204" s="38">
        <f t="shared" si="15"/>
        <v>633.83744964935079</v>
      </c>
      <c r="U204" s="38">
        <v>986.07032240463468</v>
      </c>
      <c r="V204" s="458">
        <f t="shared" si="16"/>
        <v>352.23287275528389</v>
      </c>
      <c r="W204" s="458">
        <f t="shared" si="21"/>
        <v>986.07032240463468</v>
      </c>
      <c r="X204" s="458">
        <v>0</v>
      </c>
      <c r="Y204" s="459">
        <v>0</v>
      </c>
      <c r="Z204" s="459">
        <v>0</v>
      </c>
      <c r="AA204" s="459">
        <v>0</v>
      </c>
      <c r="AB204" s="459">
        <v>0</v>
      </c>
      <c r="AC204" s="459">
        <v>5</v>
      </c>
      <c r="AD204" s="458">
        <f>2457800*AC204/I204</f>
        <v>986.07032240463468</v>
      </c>
      <c r="AE204" s="459">
        <v>0</v>
      </c>
      <c r="AF204" s="458">
        <v>0</v>
      </c>
      <c r="AG204" s="459">
        <v>0</v>
      </c>
      <c r="AH204" s="458">
        <v>0</v>
      </c>
      <c r="AI204" s="459">
        <v>0</v>
      </c>
      <c r="AJ204" s="458">
        <v>0</v>
      </c>
      <c r="AK204" s="459">
        <v>0</v>
      </c>
      <c r="AL204" s="459">
        <v>0</v>
      </c>
      <c r="AM204" s="459">
        <v>0</v>
      </c>
      <c r="AN204" s="459"/>
      <c r="AO204" s="459">
        <v>0</v>
      </c>
      <c r="AP204" s="460"/>
      <c r="AQ204" s="460"/>
      <c r="AR204" s="460"/>
      <c r="AS204" s="460"/>
      <c r="AT204" s="460"/>
      <c r="AU204" s="460"/>
      <c r="AV204" s="460"/>
      <c r="AW204" s="460"/>
      <c r="AX204" s="460"/>
      <c r="AY204" s="460"/>
      <c r="AZ204" s="460"/>
      <c r="BA204" s="460"/>
      <c r="BB204" s="460"/>
      <c r="BC204" s="460"/>
      <c r="BD204" s="460"/>
      <c r="BE204" s="460"/>
      <c r="BF204" s="460"/>
      <c r="BG204" s="460"/>
      <c r="BH204" s="460"/>
      <c r="BI204" s="460"/>
      <c r="BJ204" s="460"/>
      <c r="BK204" s="460"/>
      <c r="BL204" s="460"/>
      <c r="BM204" s="460"/>
      <c r="BN204" s="460"/>
      <c r="BO204" s="460"/>
      <c r="BP204" s="460"/>
      <c r="BQ204" s="460"/>
      <c r="BR204" s="460"/>
      <c r="BS204" s="460"/>
      <c r="BT204" s="460"/>
      <c r="BU204" s="460"/>
      <c r="BV204" s="460"/>
      <c r="BW204" s="460"/>
      <c r="BX204" s="460"/>
      <c r="BY204" s="460"/>
      <c r="BZ204" s="460"/>
      <c r="CA204" s="460"/>
      <c r="CB204" s="460"/>
      <c r="CC204" s="460"/>
      <c r="CD204" s="460"/>
      <c r="CE204" s="460"/>
      <c r="CF204" s="460"/>
      <c r="CG204" s="460"/>
      <c r="CH204" s="460"/>
      <c r="CI204" s="460"/>
      <c r="CJ204" s="460"/>
      <c r="CK204" s="460"/>
    </row>
    <row r="205" spans="1:89" s="329" customFormat="1" ht="36" customHeight="1" x14ac:dyDescent="0.25">
      <c r="A205" s="329">
        <v>1</v>
      </c>
      <c r="B205" s="39">
        <f>SUBTOTAL(103,$A$16:A205)</f>
        <v>187</v>
      </c>
      <c r="C205" s="33" t="s">
        <v>1205</v>
      </c>
      <c r="D205" s="330">
        <v>1937</v>
      </c>
      <c r="E205" s="330"/>
      <c r="F205" s="331" t="s">
        <v>48</v>
      </c>
      <c r="G205" s="330">
        <v>3</v>
      </c>
      <c r="H205" s="330" t="s">
        <v>59</v>
      </c>
      <c r="I205" s="38">
        <v>2718</v>
      </c>
      <c r="J205" s="38">
        <v>2039</v>
      </c>
      <c r="K205" s="38">
        <v>2039</v>
      </c>
      <c r="L205" s="332">
        <v>62</v>
      </c>
      <c r="M205" s="330" t="s">
        <v>46</v>
      </c>
      <c r="N205" s="330" t="s">
        <v>50</v>
      </c>
      <c r="O205" s="333" t="s">
        <v>2011</v>
      </c>
      <c r="P205" s="38">
        <v>249196.36</v>
      </c>
      <c r="Q205" s="38">
        <v>0</v>
      </c>
      <c r="R205" s="38">
        <v>0</v>
      </c>
      <c r="S205" s="38">
        <f t="shared" si="20"/>
        <v>249196.36</v>
      </c>
      <c r="T205" s="38">
        <f t="shared" ref="T205:T269" si="22">P205/I205</f>
        <v>91.683723325974981</v>
      </c>
      <c r="U205" s="38">
        <v>91.683723325974981</v>
      </c>
      <c r="V205" s="458">
        <f t="shared" si="16"/>
        <v>0</v>
      </c>
      <c r="W205" s="458">
        <f t="shared" si="21"/>
        <v>4341.5</v>
      </c>
      <c r="X205" s="458">
        <v>101.55</v>
      </c>
      <c r="Y205" s="459">
        <v>0</v>
      </c>
      <c r="Z205" s="459">
        <v>3259.66</v>
      </c>
      <c r="AA205" s="459">
        <v>184.98</v>
      </c>
      <c r="AB205" s="459">
        <v>795.31</v>
      </c>
      <c r="AC205" s="459">
        <v>0</v>
      </c>
      <c r="AD205" s="459">
        <v>0</v>
      </c>
      <c r="AE205" s="459">
        <v>0</v>
      </c>
      <c r="AF205" s="458">
        <v>0</v>
      </c>
      <c r="AG205" s="459">
        <v>0</v>
      </c>
      <c r="AH205" s="458">
        <v>0</v>
      </c>
      <c r="AI205" s="459">
        <v>0</v>
      </c>
      <c r="AJ205" s="458">
        <v>0</v>
      </c>
      <c r="AK205" s="459">
        <v>0</v>
      </c>
      <c r="AL205" s="459">
        <v>0</v>
      </c>
      <c r="AM205" s="459">
        <v>0</v>
      </c>
      <c r="AN205" s="459"/>
      <c r="AO205" s="459">
        <v>0</v>
      </c>
      <c r="AP205" s="460"/>
      <c r="AQ205" s="460"/>
      <c r="AR205" s="460"/>
      <c r="AS205" s="460"/>
      <c r="AT205" s="460"/>
      <c r="AU205" s="460"/>
      <c r="AV205" s="460"/>
      <c r="AW205" s="460"/>
      <c r="AX205" s="460"/>
      <c r="AY205" s="460"/>
      <c r="AZ205" s="460"/>
      <c r="BA205" s="460"/>
      <c r="BB205" s="460"/>
      <c r="BC205" s="460"/>
      <c r="BD205" s="460"/>
      <c r="BE205" s="460"/>
      <c r="BF205" s="460"/>
      <c r="BG205" s="460"/>
      <c r="BH205" s="460"/>
      <c r="BI205" s="460"/>
      <c r="BJ205" s="460"/>
      <c r="BK205" s="460"/>
      <c r="BL205" s="460"/>
      <c r="BM205" s="460"/>
      <c r="BN205" s="460"/>
      <c r="BO205" s="460"/>
      <c r="BP205" s="460"/>
      <c r="BQ205" s="460"/>
      <c r="BR205" s="460"/>
      <c r="BS205" s="460"/>
      <c r="BT205" s="460"/>
      <c r="BU205" s="460"/>
      <c r="BV205" s="460"/>
      <c r="BW205" s="460"/>
      <c r="BX205" s="460"/>
      <c r="BY205" s="460"/>
      <c r="BZ205" s="460"/>
      <c r="CA205" s="460"/>
      <c r="CB205" s="460"/>
      <c r="CC205" s="460"/>
      <c r="CD205" s="460"/>
      <c r="CE205" s="460"/>
      <c r="CF205" s="460"/>
      <c r="CG205" s="460"/>
      <c r="CH205" s="460"/>
      <c r="CI205" s="460"/>
      <c r="CJ205" s="460"/>
      <c r="CK205" s="460"/>
    </row>
    <row r="206" spans="1:89" s="329" customFormat="1" ht="36" customHeight="1" x14ac:dyDescent="0.25">
      <c r="A206" s="329">
        <v>1</v>
      </c>
      <c r="B206" s="39">
        <f>SUBTOTAL(103,$A$16:A206)</f>
        <v>188</v>
      </c>
      <c r="C206" s="33" t="s">
        <v>1206</v>
      </c>
      <c r="D206" s="330">
        <v>1958</v>
      </c>
      <c r="E206" s="330"/>
      <c r="F206" s="331" t="s">
        <v>48</v>
      </c>
      <c r="G206" s="330">
        <v>2</v>
      </c>
      <c r="H206" s="330" t="s">
        <v>56</v>
      </c>
      <c r="I206" s="38">
        <v>478.27</v>
      </c>
      <c r="J206" s="38">
        <v>446.77</v>
      </c>
      <c r="K206" s="38">
        <v>446.77</v>
      </c>
      <c r="L206" s="332">
        <v>20</v>
      </c>
      <c r="M206" s="330" t="s">
        <v>46</v>
      </c>
      <c r="N206" s="330" t="s">
        <v>47</v>
      </c>
      <c r="O206" s="333" t="s">
        <v>49</v>
      </c>
      <c r="P206" s="38">
        <v>1703879.76</v>
      </c>
      <c r="Q206" s="38">
        <v>0</v>
      </c>
      <c r="R206" s="38">
        <v>0</v>
      </c>
      <c r="S206" s="38">
        <f t="shared" si="20"/>
        <v>1703879.76</v>
      </c>
      <c r="T206" s="38">
        <f t="shared" si="22"/>
        <v>3562.5896669245408</v>
      </c>
      <c r="U206" s="38">
        <v>8835.2358500428636</v>
      </c>
      <c r="V206" s="458">
        <f t="shared" si="16"/>
        <v>5272.6461831183224</v>
      </c>
      <c r="W206" s="458">
        <f t="shared" si="21"/>
        <v>8805.2026052229921</v>
      </c>
      <c r="X206" s="458">
        <v>0</v>
      </c>
      <c r="Y206" s="459">
        <v>0</v>
      </c>
      <c r="Z206" s="459">
        <v>0</v>
      </c>
      <c r="AA206" s="459">
        <v>0</v>
      </c>
      <c r="AB206" s="459">
        <v>0</v>
      </c>
      <c r="AC206" s="459">
        <v>0</v>
      </c>
      <c r="AD206" s="459">
        <v>0</v>
      </c>
      <c r="AE206" s="459">
        <v>675</v>
      </c>
      <c r="AF206" s="458">
        <f>6238.91*AE206/I206</f>
        <v>8805.2026052229921</v>
      </c>
      <c r="AG206" s="459">
        <v>0</v>
      </c>
      <c r="AH206" s="458">
        <v>0</v>
      </c>
      <c r="AI206" s="459">
        <v>0</v>
      </c>
      <c r="AJ206" s="458">
        <v>0</v>
      </c>
      <c r="AK206" s="459">
        <v>0</v>
      </c>
      <c r="AL206" s="459">
        <v>0</v>
      </c>
      <c r="AM206" s="459">
        <v>0</v>
      </c>
      <c r="AN206" s="459"/>
      <c r="AO206" s="459">
        <v>0</v>
      </c>
      <c r="AP206" s="460"/>
      <c r="AQ206" s="460"/>
      <c r="AR206" s="460"/>
      <c r="AS206" s="460"/>
      <c r="AT206" s="460"/>
      <c r="AU206" s="460"/>
      <c r="AV206" s="460"/>
      <c r="AW206" s="460"/>
      <c r="AX206" s="460"/>
      <c r="AY206" s="460"/>
      <c r="AZ206" s="460"/>
      <c r="BA206" s="460"/>
      <c r="BB206" s="460"/>
      <c r="BC206" s="460"/>
      <c r="BD206" s="460"/>
      <c r="BE206" s="460"/>
      <c r="BF206" s="460"/>
      <c r="BG206" s="460"/>
      <c r="BH206" s="460"/>
      <c r="BI206" s="460"/>
      <c r="BJ206" s="460"/>
      <c r="BK206" s="460"/>
      <c r="BL206" s="460"/>
      <c r="BM206" s="460"/>
      <c r="BN206" s="460"/>
      <c r="BO206" s="460"/>
      <c r="BP206" s="460"/>
      <c r="BQ206" s="460"/>
      <c r="BR206" s="460"/>
      <c r="BS206" s="460"/>
      <c r="BT206" s="460"/>
      <c r="BU206" s="460"/>
      <c r="BV206" s="460"/>
      <c r="BW206" s="460"/>
      <c r="BX206" s="460"/>
      <c r="BY206" s="460"/>
      <c r="BZ206" s="460"/>
      <c r="CA206" s="460"/>
      <c r="CB206" s="460"/>
      <c r="CC206" s="460"/>
      <c r="CD206" s="460"/>
      <c r="CE206" s="460"/>
      <c r="CF206" s="460"/>
      <c r="CG206" s="460"/>
      <c r="CH206" s="460"/>
      <c r="CI206" s="460"/>
      <c r="CJ206" s="460"/>
      <c r="CK206" s="460"/>
    </row>
    <row r="207" spans="1:89" s="329" customFormat="1" ht="36" customHeight="1" x14ac:dyDescent="0.25">
      <c r="A207" s="329">
        <v>1</v>
      </c>
      <c r="B207" s="39">
        <f>SUBTOTAL(103,$A$16:A207)</f>
        <v>189</v>
      </c>
      <c r="C207" s="33" t="s">
        <v>944</v>
      </c>
      <c r="D207" s="330">
        <v>1962</v>
      </c>
      <c r="E207" s="330"/>
      <c r="F207" s="331" t="s">
        <v>48</v>
      </c>
      <c r="G207" s="330">
        <v>6</v>
      </c>
      <c r="H207" s="330" t="s">
        <v>75</v>
      </c>
      <c r="I207" s="38">
        <v>5489.1</v>
      </c>
      <c r="J207" s="38">
        <v>4500.5</v>
      </c>
      <c r="K207" s="38">
        <v>4154.3</v>
      </c>
      <c r="L207" s="332">
        <v>130</v>
      </c>
      <c r="M207" s="330" t="s">
        <v>46</v>
      </c>
      <c r="N207" s="330" t="s">
        <v>50</v>
      </c>
      <c r="O207" s="333" t="s">
        <v>94</v>
      </c>
      <c r="P207" s="38">
        <v>114842.89</v>
      </c>
      <c r="Q207" s="38">
        <v>0</v>
      </c>
      <c r="R207" s="38">
        <v>0</v>
      </c>
      <c r="S207" s="38">
        <f t="shared" si="20"/>
        <v>114842.89</v>
      </c>
      <c r="T207" s="38">
        <f t="shared" si="22"/>
        <v>20.921989032810476</v>
      </c>
      <c r="U207" s="38">
        <v>20.921989032810476</v>
      </c>
      <c r="V207" s="458">
        <f t="shared" si="16"/>
        <v>0</v>
      </c>
      <c r="W207" s="458">
        <f>T207</f>
        <v>20.921989032810476</v>
      </c>
      <c r="X207" s="458">
        <v>0</v>
      </c>
      <c r="Y207" s="459">
        <v>0</v>
      </c>
      <c r="Z207" s="459">
        <v>0</v>
      </c>
      <c r="AA207" s="459">
        <v>0</v>
      </c>
      <c r="AB207" s="459">
        <v>0</v>
      </c>
      <c r="AC207" s="459">
        <v>0</v>
      </c>
      <c r="AD207" s="459">
        <v>0</v>
      </c>
      <c r="AE207" s="459">
        <v>0</v>
      </c>
      <c r="AF207" s="458">
        <v>0</v>
      </c>
      <c r="AG207" s="459">
        <v>0</v>
      </c>
      <c r="AH207" s="458">
        <v>0</v>
      </c>
      <c r="AI207" s="459">
        <v>0</v>
      </c>
      <c r="AJ207" s="458">
        <v>0</v>
      </c>
      <c r="AK207" s="459">
        <v>0</v>
      </c>
      <c r="AL207" s="459">
        <v>0</v>
      </c>
      <c r="AM207" s="459">
        <v>0</v>
      </c>
      <c r="AN207" s="459"/>
      <c r="AO207" s="459">
        <v>0</v>
      </c>
      <c r="AP207" s="460"/>
      <c r="AQ207" s="460"/>
      <c r="AR207" s="460"/>
      <c r="AS207" s="460"/>
      <c r="AT207" s="460"/>
      <c r="AU207" s="460"/>
      <c r="AV207" s="460"/>
      <c r="AW207" s="460"/>
      <c r="AX207" s="460"/>
      <c r="AY207" s="460"/>
      <c r="AZ207" s="460"/>
      <c r="BA207" s="460"/>
      <c r="BB207" s="460"/>
      <c r="BC207" s="460"/>
      <c r="BD207" s="460"/>
      <c r="BE207" s="460"/>
      <c r="BF207" s="460"/>
      <c r="BG207" s="460"/>
      <c r="BH207" s="460"/>
      <c r="BI207" s="460"/>
      <c r="BJ207" s="460"/>
      <c r="BK207" s="460"/>
      <c r="BL207" s="460"/>
      <c r="BM207" s="460"/>
      <c r="BN207" s="460"/>
      <c r="BO207" s="460"/>
      <c r="BP207" s="460"/>
      <c r="BQ207" s="460"/>
      <c r="BR207" s="460"/>
      <c r="BS207" s="460"/>
      <c r="BT207" s="460"/>
      <c r="BU207" s="460"/>
      <c r="BV207" s="460"/>
      <c r="BW207" s="460"/>
      <c r="BX207" s="460"/>
      <c r="BY207" s="460"/>
      <c r="BZ207" s="460"/>
      <c r="CA207" s="460"/>
      <c r="CB207" s="460"/>
      <c r="CC207" s="460"/>
      <c r="CD207" s="460"/>
      <c r="CE207" s="460"/>
      <c r="CF207" s="460"/>
      <c r="CG207" s="460"/>
      <c r="CH207" s="460"/>
      <c r="CI207" s="460"/>
      <c r="CJ207" s="460"/>
      <c r="CK207" s="460"/>
    </row>
    <row r="208" spans="1:89" s="329" customFormat="1" ht="36" customHeight="1" x14ac:dyDescent="0.25">
      <c r="A208" s="329">
        <v>1</v>
      </c>
      <c r="B208" s="39">
        <f>SUBTOTAL(103,$A$16:A208)</f>
        <v>190</v>
      </c>
      <c r="C208" s="33" t="s">
        <v>1207</v>
      </c>
      <c r="D208" s="330">
        <v>1962</v>
      </c>
      <c r="E208" s="330"/>
      <c r="F208" s="331" t="s">
        <v>48</v>
      </c>
      <c r="G208" s="330">
        <v>4</v>
      </c>
      <c r="H208" s="330" t="s">
        <v>61</v>
      </c>
      <c r="I208" s="38">
        <v>2946.2</v>
      </c>
      <c r="J208" s="38">
        <v>1967.3</v>
      </c>
      <c r="K208" s="38">
        <v>1810.2</v>
      </c>
      <c r="L208" s="332">
        <v>95</v>
      </c>
      <c r="M208" s="330" t="s">
        <v>46</v>
      </c>
      <c r="N208" s="330" t="s">
        <v>50</v>
      </c>
      <c r="O208" s="333" t="s">
        <v>2009</v>
      </c>
      <c r="P208" s="38">
        <v>136497.56</v>
      </c>
      <c r="Q208" s="38">
        <v>0</v>
      </c>
      <c r="R208" s="38">
        <v>0</v>
      </c>
      <c r="S208" s="38">
        <f t="shared" si="20"/>
        <v>136497.56</v>
      </c>
      <c r="T208" s="38">
        <f t="shared" si="22"/>
        <v>46.330038693910801</v>
      </c>
      <c r="U208" s="38">
        <v>46.330038693910801</v>
      </c>
      <c r="V208" s="458">
        <f t="shared" si="16"/>
        <v>0</v>
      </c>
      <c r="W208" s="458">
        <f t="shared" si="21"/>
        <v>2287.0215192451292</v>
      </c>
      <c r="X208" s="458">
        <v>0</v>
      </c>
      <c r="Y208" s="459">
        <v>0</v>
      </c>
      <c r="Z208" s="459">
        <v>0</v>
      </c>
      <c r="AA208" s="459">
        <v>0</v>
      </c>
      <c r="AB208" s="459">
        <v>0</v>
      </c>
      <c r="AC208" s="459">
        <v>0</v>
      </c>
      <c r="AD208" s="459">
        <v>0</v>
      </c>
      <c r="AE208" s="459">
        <v>1080</v>
      </c>
      <c r="AF208" s="458">
        <f>6238.91*AE208/I208</f>
        <v>2287.0215192451292</v>
      </c>
      <c r="AG208" s="459">
        <v>0</v>
      </c>
      <c r="AH208" s="458">
        <v>0</v>
      </c>
      <c r="AI208" s="459">
        <v>0</v>
      </c>
      <c r="AJ208" s="458">
        <v>0</v>
      </c>
      <c r="AK208" s="459">
        <v>0</v>
      </c>
      <c r="AL208" s="459">
        <v>0</v>
      </c>
      <c r="AM208" s="459">
        <v>0</v>
      </c>
      <c r="AN208" s="459"/>
      <c r="AO208" s="459">
        <v>0</v>
      </c>
      <c r="AP208" s="460"/>
      <c r="AQ208" s="460"/>
      <c r="AR208" s="460"/>
      <c r="AS208" s="460"/>
      <c r="AT208" s="460"/>
      <c r="AU208" s="460"/>
      <c r="AV208" s="460"/>
      <c r="AW208" s="460"/>
      <c r="AX208" s="460"/>
      <c r="AY208" s="460"/>
      <c r="AZ208" s="460"/>
      <c r="BA208" s="460"/>
      <c r="BB208" s="460"/>
      <c r="BC208" s="460"/>
      <c r="BD208" s="460"/>
      <c r="BE208" s="460"/>
      <c r="BF208" s="460"/>
      <c r="BG208" s="460"/>
      <c r="BH208" s="460"/>
      <c r="BI208" s="460"/>
      <c r="BJ208" s="460"/>
      <c r="BK208" s="460"/>
      <c r="BL208" s="460"/>
      <c r="BM208" s="460"/>
      <c r="BN208" s="460"/>
      <c r="BO208" s="460"/>
      <c r="BP208" s="460"/>
      <c r="BQ208" s="460"/>
      <c r="BR208" s="460"/>
      <c r="BS208" s="460"/>
      <c r="BT208" s="460"/>
      <c r="BU208" s="460"/>
      <c r="BV208" s="460"/>
      <c r="BW208" s="460"/>
      <c r="BX208" s="460"/>
      <c r="BY208" s="460"/>
      <c r="BZ208" s="460"/>
      <c r="CA208" s="460"/>
      <c r="CB208" s="460"/>
      <c r="CC208" s="460"/>
      <c r="CD208" s="460"/>
      <c r="CE208" s="460"/>
      <c r="CF208" s="460"/>
      <c r="CG208" s="460"/>
      <c r="CH208" s="460"/>
      <c r="CI208" s="460"/>
      <c r="CJ208" s="460"/>
      <c r="CK208" s="460"/>
    </row>
    <row r="209" spans="1:89" s="329" customFormat="1" ht="36" customHeight="1" x14ac:dyDescent="0.25">
      <c r="A209" s="329">
        <v>1</v>
      </c>
      <c r="B209" s="39">
        <f>SUBTOTAL(103,$A$16:A209)</f>
        <v>191</v>
      </c>
      <c r="C209" s="33" t="s">
        <v>1208</v>
      </c>
      <c r="D209" s="330">
        <v>1954</v>
      </c>
      <c r="E209" s="330"/>
      <c r="F209" s="331" t="s">
        <v>48</v>
      </c>
      <c r="G209" s="330">
        <v>2</v>
      </c>
      <c r="H209" s="330" t="s">
        <v>57</v>
      </c>
      <c r="I209" s="38">
        <v>777.3</v>
      </c>
      <c r="J209" s="38">
        <v>475.5</v>
      </c>
      <c r="K209" s="38">
        <v>475.5</v>
      </c>
      <c r="L209" s="332">
        <v>37</v>
      </c>
      <c r="M209" s="330" t="s">
        <v>46</v>
      </c>
      <c r="N209" s="330" t="s">
        <v>50</v>
      </c>
      <c r="O209" s="333" t="s">
        <v>2012</v>
      </c>
      <c r="P209" s="38">
        <v>3517276.18</v>
      </c>
      <c r="Q209" s="38">
        <v>0</v>
      </c>
      <c r="R209" s="38">
        <v>0</v>
      </c>
      <c r="S209" s="38">
        <f t="shared" si="20"/>
        <v>3517276.18</v>
      </c>
      <c r="T209" s="38">
        <f t="shared" si="22"/>
        <v>4524.991869291136</v>
      </c>
      <c r="U209" s="38">
        <v>7806.2219297568508</v>
      </c>
      <c r="V209" s="458">
        <f t="shared" ref="V209:V272" si="23">U209-T209</f>
        <v>3281.2300604657148</v>
      </c>
      <c r="W209" s="458">
        <f t="shared" si="21"/>
        <v>11838.814784510487</v>
      </c>
      <c r="X209" s="458">
        <v>0</v>
      </c>
      <c r="Y209" s="459">
        <v>0</v>
      </c>
      <c r="Z209" s="459">
        <v>0</v>
      </c>
      <c r="AA209" s="459">
        <v>0</v>
      </c>
      <c r="AB209" s="459">
        <v>795.31</v>
      </c>
      <c r="AC209" s="459">
        <v>0</v>
      </c>
      <c r="AD209" s="459">
        <v>0</v>
      </c>
      <c r="AE209" s="459">
        <v>1375.9</v>
      </c>
      <c r="AF209" s="458">
        <f>6238.91*AE209/I209</f>
        <v>11043.504784510487</v>
      </c>
      <c r="AG209" s="459">
        <v>0</v>
      </c>
      <c r="AH209" s="458">
        <v>0</v>
      </c>
      <c r="AI209" s="459">
        <v>0</v>
      </c>
      <c r="AJ209" s="458">
        <v>0</v>
      </c>
      <c r="AK209" s="459">
        <v>0</v>
      </c>
      <c r="AL209" s="459">
        <v>0</v>
      </c>
      <c r="AM209" s="459">
        <v>0</v>
      </c>
      <c r="AN209" s="459"/>
      <c r="AO209" s="459">
        <v>0</v>
      </c>
      <c r="AP209" s="460"/>
      <c r="AQ209" s="460"/>
      <c r="AR209" s="460"/>
      <c r="AS209" s="460"/>
      <c r="AT209" s="460"/>
      <c r="AU209" s="460"/>
      <c r="AV209" s="460"/>
      <c r="AW209" s="460"/>
      <c r="AX209" s="460"/>
      <c r="AY209" s="460"/>
      <c r="AZ209" s="460"/>
      <c r="BA209" s="460"/>
      <c r="BB209" s="460"/>
      <c r="BC209" s="460"/>
      <c r="BD209" s="460"/>
      <c r="BE209" s="460"/>
      <c r="BF209" s="460"/>
      <c r="BG209" s="460"/>
      <c r="BH209" s="460"/>
      <c r="BI209" s="460"/>
      <c r="BJ209" s="460"/>
      <c r="BK209" s="460"/>
      <c r="BL209" s="460"/>
      <c r="BM209" s="460"/>
      <c r="BN209" s="460"/>
      <c r="BO209" s="460"/>
      <c r="BP209" s="460"/>
      <c r="BQ209" s="460"/>
      <c r="BR209" s="460"/>
      <c r="BS209" s="460"/>
      <c r="BT209" s="460"/>
      <c r="BU209" s="460"/>
      <c r="BV209" s="460"/>
      <c r="BW209" s="460"/>
      <c r="BX209" s="460"/>
      <c r="BY209" s="460"/>
      <c r="BZ209" s="460"/>
      <c r="CA209" s="460"/>
      <c r="CB209" s="460"/>
      <c r="CC209" s="460"/>
      <c r="CD209" s="460"/>
      <c r="CE209" s="460"/>
      <c r="CF209" s="460"/>
      <c r="CG209" s="460"/>
      <c r="CH209" s="460"/>
      <c r="CI209" s="460"/>
      <c r="CJ209" s="460"/>
      <c r="CK209" s="460"/>
    </row>
    <row r="210" spans="1:89" s="329" customFormat="1" ht="36" customHeight="1" x14ac:dyDescent="0.25">
      <c r="A210" s="329">
        <v>1</v>
      </c>
      <c r="B210" s="39">
        <f>SUBTOTAL(103,$A$16:A210)</f>
        <v>192</v>
      </c>
      <c r="C210" s="33" t="s">
        <v>1209</v>
      </c>
      <c r="D210" s="330">
        <v>1937</v>
      </c>
      <c r="E210" s="330"/>
      <c r="F210" s="331" t="s">
        <v>48</v>
      </c>
      <c r="G210" s="330" t="s">
        <v>59</v>
      </c>
      <c r="H210" s="330" t="s">
        <v>59</v>
      </c>
      <c r="I210" s="38">
        <v>2626</v>
      </c>
      <c r="J210" s="38">
        <v>2536</v>
      </c>
      <c r="K210" s="38">
        <v>2536</v>
      </c>
      <c r="L210" s="332">
        <v>96</v>
      </c>
      <c r="M210" s="330" t="s">
        <v>46</v>
      </c>
      <c r="N210" s="330" t="s">
        <v>50</v>
      </c>
      <c r="O210" s="333" t="s">
        <v>95</v>
      </c>
      <c r="P210" s="38">
        <v>581865.37</v>
      </c>
      <c r="Q210" s="38">
        <v>0</v>
      </c>
      <c r="R210" s="38">
        <v>0</v>
      </c>
      <c r="S210" s="38">
        <f t="shared" si="20"/>
        <v>581865.37</v>
      </c>
      <c r="T210" s="38">
        <f t="shared" si="22"/>
        <v>221.57858720487434</v>
      </c>
      <c r="U210" s="38">
        <v>810.46</v>
      </c>
      <c r="V210" s="458">
        <f t="shared" si="23"/>
        <v>588.8814127951257</v>
      </c>
      <c r="W210" s="458">
        <f t="shared" si="21"/>
        <v>2310.653581873572</v>
      </c>
      <c r="X210" s="458">
        <v>0</v>
      </c>
      <c r="Y210" s="459">
        <v>0</v>
      </c>
      <c r="Z210" s="459">
        <v>0</v>
      </c>
      <c r="AA210" s="459">
        <v>0</v>
      </c>
      <c r="AB210" s="459">
        <v>0</v>
      </c>
      <c r="AC210" s="459">
        <v>0</v>
      </c>
      <c r="AD210" s="459">
        <v>0</v>
      </c>
      <c r="AE210" s="459">
        <v>0</v>
      </c>
      <c r="AF210" s="458">
        <v>0</v>
      </c>
      <c r="AG210" s="459">
        <v>0</v>
      </c>
      <c r="AH210" s="458">
        <v>0</v>
      </c>
      <c r="AI210" s="459">
        <v>815.66</v>
      </c>
      <c r="AJ210" s="458">
        <f>7439.1*AI210/I210</f>
        <v>2310.653581873572</v>
      </c>
      <c r="AK210" s="459">
        <v>0</v>
      </c>
      <c r="AL210" s="459">
        <v>0</v>
      </c>
      <c r="AM210" s="459">
        <v>0</v>
      </c>
      <c r="AN210" s="459"/>
      <c r="AO210" s="459">
        <v>0</v>
      </c>
      <c r="AP210" s="460"/>
      <c r="AQ210" s="460"/>
      <c r="AR210" s="460"/>
      <c r="AS210" s="460"/>
      <c r="AT210" s="460"/>
      <c r="AU210" s="460"/>
      <c r="AV210" s="460"/>
      <c r="AW210" s="460"/>
      <c r="AX210" s="460"/>
      <c r="AY210" s="460"/>
      <c r="AZ210" s="460"/>
      <c r="BA210" s="460"/>
      <c r="BB210" s="460"/>
      <c r="BC210" s="460"/>
      <c r="BD210" s="460"/>
      <c r="BE210" s="460"/>
      <c r="BF210" s="460"/>
      <c r="BG210" s="460"/>
      <c r="BH210" s="460"/>
      <c r="BI210" s="460"/>
      <c r="BJ210" s="460"/>
      <c r="BK210" s="460"/>
      <c r="BL210" s="460"/>
      <c r="BM210" s="460"/>
      <c r="BN210" s="460"/>
      <c r="BO210" s="460"/>
      <c r="BP210" s="460"/>
      <c r="BQ210" s="460"/>
      <c r="BR210" s="460"/>
      <c r="BS210" s="460"/>
      <c r="BT210" s="460"/>
      <c r="BU210" s="460"/>
      <c r="BV210" s="460"/>
      <c r="BW210" s="460"/>
      <c r="BX210" s="460"/>
      <c r="BY210" s="460"/>
      <c r="BZ210" s="460"/>
      <c r="CA210" s="460"/>
      <c r="CB210" s="460"/>
      <c r="CC210" s="460"/>
      <c r="CD210" s="460"/>
      <c r="CE210" s="460"/>
      <c r="CF210" s="460"/>
      <c r="CG210" s="460"/>
      <c r="CH210" s="460"/>
      <c r="CI210" s="460"/>
      <c r="CJ210" s="460"/>
      <c r="CK210" s="460"/>
    </row>
    <row r="211" spans="1:89" s="329" customFormat="1" ht="36" customHeight="1" x14ac:dyDescent="0.25">
      <c r="A211" s="329">
        <v>1</v>
      </c>
      <c r="B211" s="39">
        <f>SUBTOTAL(103,$A$16:A211)</f>
        <v>193</v>
      </c>
      <c r="C211" s="33" t="s">
        <v>999</v>
      </c>
      <c r="D211" s="330">
        <v>1934</v>
      </c>
      <c r="E211" s="330"/>
      <c r="F211" s="331" t="s">
        <v>48</v>
      </c>
      <c r="G211" s="330">
        <v>4</v>
      </c>
      <c r="H211" s="330" t="s">
        <v>1969</v>
      </c>
      <c r="I211" s="38">
        <v>3106.06</v>
      </c>
      <c r="J211" s="38">
        <v>3106.06</v>
      </c>
      <c r="K211" s="38">
        <v>3042.06</v>
      </c>
      <c r="L211" s="332">
        <v>138</v>
      </c>
      <c r="M211" s="330" t="s">
        <v>46</v>
      </c>
      <c r="N211" s="330" t="s">
        <v>50</v>
      </c>
      <c r="O211" s="333" t="s">
        <v>2013</v>
      </c>
      <c r="P211" s="38">
        <v>5597667.4300000006</v>
      </c>
      <c r="Q211" s="38">
        <v>0</v>
      </c>
      <c r="R211" s="38">
        <v>0</v>
      </c>
      <c r="S211" s="38">
        <f t="shared" si="20"/>
        <v>5597667.4300000006</v>
      </c>
      <c r="T211" s="38">
        <f t="shared" si="22"/>
        <v>1802.1762071563332</v>
      </c>
      <c r="U211" s="38">
        <v>2431.1076997224777</v>
      </c>
      <c r="V211" s="458">
        <f t="shared" si="23"/>
        <v>628.93149256614447</v>
      </c>
      <c r="W211" s="458">
        <f t="shared" si="21"/>
        <v>795.31</v>
      </c>
      <c r="X211" s="458">
        <v>0</v>
      </c>
      <c r="Y211" s="459">
        <v>0</v>
      </c>
      <c r="Z211" s="459">
        <v>0</v>
      </c>
      <c r="AA211" s="459">
        <v>0</v>
      </c>
      <c r="AB211" s="459">
        <v>795.31</v>
      </c>
      <c r="AC211" s="459">
        <v>0</v>
      </c>
      <c r="AD211" s="459">
        <v>0</v>
      </c>
      <c r="AE211" s="459">
        <v>0</v>
      </c>
      <c r="AF211" s="458">
        <v>0</v>
      </c>
      <c r="AG211" s="459">
        <v>0</v>
      </c>
      <c r="AH211" s="458">
        <v>0</v>
      </c>
      <c r="AI211" s="459">
        <v>0</v>
      </c>
      <c r="AJ211" s="458">
        <v>0</v>
      </c>
      <c r="AK211" s="459">
        <v>0</v>
      </c>
      <c r="AL211" s="459">
        <v>0</v>
      </c>
      <c r="AM211" s="459">
        <v>0</v>
      </c>
      <c r="AN211" s="459"/>
      <c r="AO211" s="459">
        <v>0</v>
      </c>
      <c r="AP211" s="460"/>
      <c r="AQ211" s="460"/>
      <c r="AR211" s="460"/>
      <c r="AS211" s="460"/>
      <c r="AT211" s="460"/>
      <c r="AU211" s="460"/>
      <c r="AV211" s="460"/>
      <c r="AW211" s="460"/>
      <c r="AX211" s="460"/>
      <c r="AY211" s="460"/>
      <c r="AZ211" s="460"/>
      <c r="BA211" s="460"/>
      <c r="BB211" s="460"/>
      <c r="BC211" s="460"/>
      <c r="BD211" s="460"/>
      <c r="BE211" s="460"/>
      <c r="BF211" s="460"/>
      <c r="BG211" s="460"/>
      <c r="BH211" s="460"/>
      <c r="BI211" s="460"/>
      <c r="BJ211" s="460"/>
      <c r="BK211" s="460"/>
      <c r="BL211" s="460"/>
      <c r="BM211" s="460"/>
      <c r="BN211" s="460"/>
      <c r="BO211" s="460"/>
      <c r="BP211" s="460"/>
      <c r="BQ211" s="460"/>
      <c r="BR211" s="460"/>
      <c r="BS211" s="460"/>
      <c r="BT211" s="460"/>
      <c r="BU211" s="460"/>
      <c r="BV211" s="460"/>
      <c r="BW211" s="460"/>
      <c r="BX211" s="460"/>
      <c r="BY211" s="460"/>
      <c r="BZ211" s="460"/>
      <c r="CA211" s="460"/>
      <c r="CB211" s="460"/>
      <c r="CC211" s="460"/>
      <c r="CD211" s="460"/>
      <c r="CE211" s="460"/>
      <c r="CF211" s="460"/>
      <c r="CG211" s="460"/>
      <c r="CH211" s="460"/>
      <c r="CI211" s="460"/>
      <c r="CJ211" s="460"/>
      <c r="CK211" s="460"/>
    </row>
    <row r="212" spans="1:89" s="329" customFormat="1" ht="36" customHeight="1" x14ac:dyDescent="0.25">
      <c r="A212" s="329">
        <v>1</v>
      </c>
      <c r="B212" s="39">
        <f>SUBTOTAL(103,$A$16:A212)</f>
        <v>194</v>
      </c>
      <c r="C212" s="33" t="s">
        <v>1000</v>
      </c>
      <c r="D212" s="330">
        <v>1981</v>
      </c>
      <c r="E212" s="330"/>
      <c r="F212" s="331" t="s">
        <v>63</v>
      </c>
      <c r="G212" s="330">
        <v>5</v>
      </c>
      <c r="H212" s="330" t="s">
        <v>1969</v>
      </c>
      <c r="I212" s="38">
        <v>6247.1</v>
      </c>
      <c r="J212" s="38">
        <v>4719.7</v>
      </c>
      <c r="K212" s="38">
        <v>4641.3999999999996</v>
      </c>
      <c r="L212" s="332">
        <v>189</v>
      </c>
      <c r="M212" s="330" t="s">
        <v>46</v>
      </c>
      <c r="N212" s="330" t="s">
        <v>50</v>
      </c>
      <c r="O212" s="333" t="s">
        <v>2014</v>
      </c>
      <c r="P212" s="38">
        <v>3797251.5799999996</v>
      </c>
      <c r="Q212" s="38">
        <v>0</v>
      </c>
      <c r="R212" s="38">
        <v>0</v>
      </c>
      <c r="S212" s="38">
        <f t="shared" si="20"/>
        <v>3797251.5799999996</v>
      </c>
      <c r="T212" s="38">
        <f t="shared" si="22"/>
        <v>607.84229162331314</v>
      </c>
      <c r="U212" s="38">
        <v>1114.2298444078051</v>
      </c>
      <c r="V212" s="458">
        <f t="shared" si="23"/>
        <v>506.38755278449196</v>
      </c>
      <c r="W212" s="458">
        <f t="shared" si="21"/>
        <v>1204.6386355588993</v>
      </c>
      <c r="X212" s="458">
        <v>0</v>
      </c>
      <c r="Y212" s="459">
        <v>0</v>
      </c>
      <c r="Z212" s="459">
        <v>0</v>
      </c>
      <c r="AA212" s="459">
        <v>0</v>
      </c>
      <c r="AB212" s="459">
        <v>0</v>
      </c>
      <c r="AC212" s="459">
        <v>0</v>
      </c>
      <c r="AD212" s="459">
        <v>0</v>
      </c>
      <c r="AE212" s="459">
        <v>1206.22</v>
      </c>
      <c r="AF212" s="458">
        <f>6238.91*AE212/I212</f>
        <v>1204.6386355588993</v>
      </c>
      <c r="AG212" s="459">
        <v>0</v>
      </c>
      <c r="AH212" s="458">
        <v>0</v>
      </c>
      <c r="AI212" s="459">
        <v>0</v>
      </c>
      <c r="AJ212" s="458">
        <v>0</v>
      </c>
      <c r="AK212" s="459">
        <v>0</v>
      </c>
      <c r="AL212" s="459">
        <v>0</v>
      </c>
      <c r="AM212" s="459">
        <v>0</v>
      </c>
      <c r="AN212" s="459"/>
      <c r="AO212" s="459">
        <v>0</v>
      </c>
      <c r="AP212" s="460"/>
      <c r="AQ212" s="460"/>
      <c r="AR212" s="460"/>
      <c r="AS212" s="460"/>
      <c r="AT212" s="460"/>
      <c r="AU212" s="460"/>
      <c r="AV212" s="460"/>
      <c r="AW212" s="460"/>
      <c r="AX212" s="460"/>
      <c r="AY212" s="460"/>
      <c r="AZ212" s="460"/>
      <c r="BA212" s="460"/>
      <c r="BB212" s="460"/>
      <c r="BC212" s="460"/>
      <c r="BD212" s="460"/>
      <c r="BE212" s="460"/>
      <c r="BF212" s="460"/>
      <c r="BG212" s="460"/>
      <c r="BH212" s="460"/>
      <c r="BI212" s="460"/>
      <c r="BJ212" s="460"/>
      <c r="BK212" s="460"/>
      <c r="BL212" s="460"/>
      <c r="BM212" s="460"/>
      <c r="BN212" s="460"/>
      <c r="BO212" s="460"/>
      <c r="BP212" s="460"/>
      <c r="BQ212" s="460"/>
      <c r="BR212" s="460"/>
      <c r="BS212" s="460"/>
      <c r="BT212" s="460"/>
      <c r="BU212" s="460"/>
      <c r="BV212" s="460"/>
      <c r="BW212" s="460"/>
      <c r="BX212" s="460"/>
      <c r="BY212" s="460"/>
      <c r="BZ212" s="460"/>
      <c r="CA212" s="460"/>
      <c r="CB212" s="460"/>
      <c r="CC212" s="460"/>
      <c r="CD212" s="460"/>
      <c r="CE212" s="460"/>
      <c r="CF212" s="460"/>
      <c r="CG212" s="460"/>
      <c r="CH212" s="460"/>
      <c r="CI212" s="460"/>
      <c r="CJ212" s="460"/>
      <c r="CK212" s="460"/>
    </row>
    <row r="213" spans="1:89" s="329" customFormat="1" ht="36" customHeight="1" x14ac:dyDescent="0.25">
      <c r="A213" s="329">
        <v>1</v>
      </c>
      <c r="B213" s="39">
        <f>SUBTOTAL(103,$A$16:A213)</f>
        <v>195</v>
      </c>
      <c r="C213" s="33" t="s">
        <v>1210</v>
      </c>
      <c r="D213" s="330" t="s">
        <v>1989</v>
      </c>
      <c r="E213" s="330"/>
      <c r="F213" s="331" t="s">
        <v>48</v>
      </c>
      <c r="G213" s="330" t="s">
        <v>56</v>
      </c>
      <c r="H213" s="330" t="s">
        <v>57</v>
      </c>
      <c r="I213" s="38">
        <v>286.8</v>
      </c>
      <c r="J213" s="38">
        <v>286.8</v>
      </c>
      <c r="K213" s="38">
        <v>286.8</v>
      </c>
      <c r="L213" s="332">
        <v>9</v>
      </c>
      <c r="M213" s="330" t="s">
        <v>46</v>
      </c>
      <c r="N213" s="330" t="s">
        <v>47</v>
      </c>
      <c r="O213" s="333" t="s">
        <v>49</v>
      </c>
      <c r="P213" s="38">
        <v>1338677.8699999999</v>
      </c>
      <c r="Q213" s="38">
        <v>0</v>
      </c>
      <c r="R213" s="38">
        <v>0</v>
      </c>
      <c r="S213" s="38">
        <f t="shared" si="20"/>
        <v>1338677.8699999999</v>
      </c>
      <c r="T213" s="38">
        <f t="shared" si="22"/>
        <v>4667.6355299860525</v>
      </c>
      <c r="U213" s="38">
        <v>9843.0602092050212</v>
      </c>
      <c r="V213" s="458">
        <f t="shared" si="23"/>
        <v>5175.4246792189688</v>
      </c>
      <c r="W213" s="458">
        <f t="shared" si="21"/>
        <v>980.29</v>
      </c>
      <c r="X213" s="458">
        <v>0</v>
      </c>
      <c r="Y213" s="459">
        <v>0</v>
      </c>
      <c r="Z213" s="459">
        <v>0</v>
      </c>
      <c r="AA213" s="459">
        <v>184.98</v>
      </c>
      <c r="AB213" s="459">
        <v>795.31</v>
      </c>
      <c r="AC213" s="459">
        <v>0</v>
      </c>
      <c r="AD213" s="459">
        <v>0</v>
      </c>
      <c r="AE213" s="459">
        <v>0</v>
      </c>
      <c r="AF213" s="458">
        <v>0</v>
      </c>
      <c r="AG213" s="459">
        <v>0</v>
      </c>
      <c r="AH213" s="458">
        <v>0</v>
      </c>
      <c r="AI213" s="459">
        <v>0</v>
      </c>
      <c r="AJ213" s="458">
        <v>0</v>
      </c>
      <c r="AK213" s="459">
        <v>0</v>
      </c>
      <c r="AL213" s="459">
        <v>0</v>
      </c>
      <c r="AM213" s="459">
        <v>0</v>
      </c>
      <c r="AN213" s="459"/>
      <c r="AO213" s="459">
        <v>0</v>
      </c>
      <c r="AP213" s="460"/>
      <c r="AQ213" s="460"/>
      <c r="AR213" s="460"/>
      <c r="AS213" s="460"/>
      <c r="AT213" s="460"/>
      <c r="AU213" s="460"/>
      <c r="AV213" s="460"/>
      <c r="AW213" s="460"/>
      <c r="AX213" s="460"/>
      <c r="AY213" s="460"/>
      <c r="AZ213" s="460"/>
      <c r="BA213" s="460"/>
      <c r="BB213" s="460"/>
      <c r="BC213" s="460"/>
      <c r="BD213" s="460"/>
      <c r="BE213" s="460"/>
      <c r="BF213" s="460"/>
      <c r="BG213" s="460"/>
      <c r="BH213" s="460"/>
      <c r="BI213" s="460"/>
      <c r="BJ213" s="460"/>
      <c r="BK213" s="460"/>
      <c r="BL213" s="460"/>
      <c r="BM213" s="460"/>
      <c r="BN213" s="460"/>
      <c r="BO213" s="460"/>
      <c r="BP213" s="460"/>
      <c r="BQ213" s="460"/>
      <c r="BR213" s="460"/>
      <c r="BS213" s="460"/>
      <c r="BT213" s="460"/>
      <c r="BU213" s="460"/>
      <c r="BV213" s="460"/>
      <c r="BW213" s="460"/>
      <c r="BX213" s="460"/>
      <c r="BY213" s="460"/>
      <c r="BZ213" s="460"/>
      <c r="CA213" s="460"/>
      <c r="CB213" s="460"/>
      <c r="CC213" s="460"/>
      <c r="CD213" s="460"/>
      <c r="CE213" s="460"/>
      <c r="CF213" s="460"/>
      <c r="CG213" s="460"/>
      <c r="CH213" s="460"/>
      <c r="CI213" s="460"/>
      <c r="CJ213" s="460"/>
      <c r="CK213" s="460"/>
    </row>
    <row r="214" spans="1:89" s="329" customFormat="1" ht="36" customHeight="1" x14ac:dyDescent="0.25">
      <c r="A214" s="329">
        <v>1</v>
      </c>
      <c r="B214" s="39">
        <f>SUBTOTAL(103,$A$16:A214)</f>
        <v>196</v>
      </c>
      <c r="C214" s="33" t="s">
        <v>1211</v>
      </c>
      <c r="D214" s="330">
        <v>1979</v>
      </c>
      <c r="E214" s="330"/>
      <c r="F214" s="331" t="s">
        <v>48</v>
      </c>
      <c r="G214" s="330">
        <v>9</v>
      </c>
      <c r="H214" s="330" t="s">
        <v>2015</v>
      </c>
      <c r="I214" s="38">
        <v>21489.200000000001</v>
      </c>
      <c r="J214" s="38">
        <v>21489.200000000001</v>
      </c>
      <c r="K214" s="38">
        <v>21320.3</v>
      </c>
      <c r="L214" s="332">
        <v>1110</v>
      </c>
      <c r="M214" s="330" t="s">
        <v>46</v>
      </c>
      <c r="N214" s="330" t="s">
        <v>50</v>
      </c>
      <c r="O214" s="333" t="s">
        <v>2009</v>
      </c>
      <c r="P214" s="38">
        <v>4355063.8499999996</v>
      </c>
      <c r="Q214" s="38">
        <v>0</v>
      </c>
      <c r="R214" s="38">
        <v>0</v>
      </c>
      <c r="S214" s="38">
        <f t="shared" si="20"/>
        <v>4355063.8499999996</v>
      </c>
      <c r="T214" s="38">
        <f t="shared" si="22"/>
        <v>202.66291206745711</v>
      </c>
      <c r="U214" s="38">
        <v>343.12119576345327</v>
      </c>
      <c r="V214" s="458">
        <f t="shared" si="23"/>
        <v>140.45828369599616</v>
      </c>
      <c r="W214" s="458">
        <f t="shared" si="21"/>
        <v>322.81536906911379</v>
      </c>
      <c r="X214" s="458">
        <v>0</v>
      </c>
      <c r="Y214" s="459">
        <v>0</v>
      </c>
      <c r="Z214" s="459">
        <v>0</v>
      </c>
      <c r="AA214" s="459">
        <v>0</v>
      </c>
      <c r="AB214" s="459">
        <v>0</v>
      </c>
      <c r="AC214" s="459">
        <v>0</v>
      </c>
      <c r="AD214" s="459">
        <v>0</v>
      </c>
      <c r="AE214" s="459">
        <v>1111.9000000000001</v>
      </c>
      <c r="AF214" s="458">
        <f>6238.91*AE214/I214</f>
        <v>322.81536906911379</v>
      </c>
      <c r="AG214" s="459">
        <v>0</v>
      </c>
      <c r="AH214" s="458">
        <v>0</v>
      </c>
      <c r="AI214" s="459">
        <v>0</v>
      </c>
      <c r="AJ214" s="458">
        <v>0</v>
      </c>
      <c r="AK214" s="459">
        <v>0</v>
      </c>
      <c r="AL214" s="459">
        <v>0</v>
      </c>
      <c r="AM214" s="459">
        <v>0</v>
      </c>
      <c r="AN214" s="459"/>
      <c r="AO214" s="459">
        <v>0</v>
      </c>
      <c r="AP214" s="460"/>
      <c r="AQ214" s="460"/>
      <c r="AR214" s="460"/>
      <c r="AS214" s="460"/>
      <c r="AT214" s="460"/>
      <c r="AU214" s="460"/>
      <c r="AV214" s="460"/>
      <c r="AW214" s="460"/>
      <c r="AX214" s="460"/>
      <c r="AY214" s="460"/>
      <c r="AZ214" s="460"/>
      <c r="BA214" s="460"/>
      <c r="BB214" s="460"/>
      <c r="BC214" s="460"/>
      <c r="BD214" s="460"/>
      <c r="BE214" s="460"/>
      <c r="BF214" s="460"/>
      <c r="BG214" s="460"/>
      <c r="BH214" s="460"/>
      <c r="BI214" s="460"/>
      <c r="BJ214" s="460"/>
      <c r="BK214" s="460"/>
      <c r="BL214" s="460"/>
      <c r="BM214" s="460"/>
      <c r="BN214" s="460"/>
      <c r="BO214" s="460"/>
      <c r="BP214" s="460"/>
      <c r="BQ214" s="460"/>
      <c r="BR214" s="460"/>
      <c r="BS214" s="460"/>
      <c r="BT214" s="460"/>
      <c r="BU214" s="460"/>
      <c r="BV214" s="460"/>
      <c r="BW214" s="460"/>
      <c r="BX214" s="460"/>
      <c r="BY214" s="460"/>
      <c r="BZ214" s="460"/>
      <c r="CA214" s="460"/>
      <c r="CB214" s="460"/>
      <c r="CC214" s="460"/>
      <c r="CD214" s="460"/>
      <c r="CE214" s="460"/>
      <c r="CF214" s="460"/>
      <c r="CG214" s="460"/>
      <c r="CH214" s="460"/>
      <c r="CI214" s="460"/>
      <c r="CJ214" s="460"/>
      <c r="CK214" s="460"/>
    </row>
    <row r="215" spans="1:89" s="329" customFormat="1" ht="36" customHeight="1" x14ac:dyDescent="0.25">
      <c r="A215" s="329">
        <v>1</v>
      </c>
      <c r="B215" s="39">
        <f>SUBTOTAL(103,$A$16:A215)</f>
        <v>197</v>
      </c>
      <c r="C215" s="33" t="s">
        <v>1212</v>
      </c>
      <c r="D215" s="330">
        <v>1949</v>
      </c>
      <c r="E215" s="330"/>
      <c r="F215" s="331" t="s">
        <v>48</v>
      </c>
      <c r="G215" s="330">
        <v>2</v>
      </c>
      <c r="H215" s="330" t="s">
        <v>57</v>
      </c>
      <c r="I215" s="38">
        <v>402.7</v>
      </c>
      <c r="J215" s="38">
        <v>402.7</v>
      </c>
      <c r="K215" s="38">
        <v>402.7</v>
      </c>
      <c r="L215" s="332">
        <v>20</v>
      </c>
      <c r="M215" s="330" t="s">
        <v>46</v>
      </c>
      <c r="N215" s="330" t="s">
        <v>50</v>
      </c>
      <c r="O215" s="333" t="s">
        <v>2012</v>
      </c>
      <c r="P215" s="38">
        <v>1700754.66</v>
      </c>
      <c r="Q215" s="38">
        <v>0</v>
      </c>
      <c r="R215" s="38">
        <v>0</v>
      </c>
      <c r="S215" s="38">
        <f t="shared" si="20"/>
        <v>1700754.66</v>
      </c>
      <c r="T215" s="38">
        <f t="shared" si="22"/>
        <v>4223.3788428110256</v>
      </c>
      <c r="U215" s="38">
        <v>9303.7703600695313</v>
      </c>
      <c r="V215" s="458">
        <f t="shared" si="23"/>
        <v>5080.3915172585057</v>
      </c>
      <c r="W215" s="458">
        <f t="shared" si="21"/>
        <v>7010.1556195679168</v>
      </c>
      <c r="X215" s="458">
        <v>0</v>
      </c>
      <c r="Y215" s="459">
        <v>0</v>
      </c>
      <c r="Z215" s="459">
        <v>0</v>
      </c>
      <c r="AA215" s="459">
        <v>0</v>
      </c>
      <c r="AB215" s="459">
        <v>0</v>
      </c>
      <c r="AC215" s="459">
        <v>0</v>
      </c>
      <c r="AD215" s="459">
        <v>0</v>
      </c>
      <c r="AE215" s="459">
        <v>0</v>
      </c>
      <c r="AF215" s="458">
        <v>0</v>
      </c>
      <c r="AG215" s="459">
        <v>0</v>
      </c>
      <c r="AH215" s="458">
        <v>0</v>
      </c>
      <c r="AI215" s="459">
        <v>379.48</v>
      </c>
      <c r="AJ215" s="458">
        <f>7439.1*AI215/I215</f>
        <v>7010.1556195679168</v>
      </c>
      <c r="AK215" s="459">
        <v>0</v>
      </c>
      <c r="AL215" s="459">
        <v>0</v>
      </c>
      <c r="AM215" s="459">
        <v>0</v>
      </c>
      <c r="AN215" s="459"/>
      <c r="AO215" s="459">
        <v>0</v>
      </c>
      <c r="AP215" s="460"/>
      <c r="AQ215" s="460"/>
      <c r="AR215" s="460"/>
      <c r="AS215" s="460"/>
      <c r="AT215" s="460"/>
      <c r="AU215" s="460"/>
      <c r="AV215" s="460"/>
      <c r="AW215" s="460"/>
      <c r="AX215" s="460"/>
      <c r="AY215" s="460"/>
      <c r="AZ215" s="460"/>
      <c r="BA215" s="460"/>
      <c r="BB215" s="460"/>
      <c r="BC215" s="460"/>
      <c r="BD215" s="460"/>
      <c r="BE215" s="460"/>
      <c r="BF215" s="460"/>
      <c r="BG215" s="460"/>
      <c r="BH215" s="460"/>
      <c r="BI215" s="460"/>
      <c r="BJ215" s="460"/>
      <c r="BK215" s="460"/>
      <c r="BL215" s="460"/>
      <c r="BM215" s="460"/>
      <c r="BN215" s="460"/>
      <c r="BO215" s="460"/>
      <c r="BP215" s="460"/>
      <c r="BQ215" s="460"/>
      <c r="BR215" s="460"/>
      <c r="BS215" s="460"/>
      <c r="BT215" s="460"/>
      <c r="BU215" s="460"/>
      <c r="BV215" s="460"/>
      <c r="BW215" s="460"/>
      <c r="BX215" s="460"/>
      <c r="BY215" s="460"/>
      <c r="BZ215" s="460"/>
      <c r="CA215" s="460"/>
      <c r="CB215" s="460"/>
      <c r="CC215" s="460"/>
      <c r="CD215" s="460"/>
      <c r="CE215" s="460"/>
      <c r="CF215" s="460"/>
      <c r="CG215" s="460"/>
      <c r="CH215" s="460"/>
      <c r="CI215" s="460"/>
      <c r="CJ215" s="460"/>
      <c r="CK215" s="460"/>
    </row>
    <row r="216" spans="1:89" s="329" customFormat="1" ht="36" customHeight="1" x14ac:dyDescent="0.25">
      <c r="A216" s="329">
        <v>1</v>
      </c>
      <c r="B216" s="39">
        <f>SUBTOTAL(103,$A$16:A216)</f>
        <v>198</v>
      </c>
      <c r="C216" s="33" t="s">
        <v>1213</v>
      </c>
      <c r="D216" s="330">
        <v>1958</v>
      </c>
      <c r="E216" s="330"/>
      <c r="F216" s="331" t="s">
        <v>48</v>
      </c>
      <c r="G216" s="330">
        <v>2</v>
      </c>
      <c r="H216" s="330" t="s">
        <v>57</v>
      </c>
      <c r="I216" s="38">
        <v>294.39999999999998</v>
      </c>
      <c r="J216" s="38">
        <v>294.39999999999998</v>
      </c>
      <c r="K216" s="38">
        <v>294.39999999999998</v>
      </c>
      <c r="L216" s="332">
        <v>10</v>
      </c>
      <c r="M216" s="330" t="s">
        <v>46</v>
      </c>
      <c r="N216" s="330" t="s">
        <v>50</v>
      </c>
      <c r="O216" s="333" t="s">
        <v>2012</v>
      </c>
      <c r="P216" s="38">
        <v>1561052.04</v>
      </c>
      <c r="Q216" s="38">
        <v>0</v>
      </c>
      <c r="R216" s="38">
        <v>0</v>
      </c>
      <c r="S216" s="38">
        <f t="shared" si="20"/>
        <v>1561052.04</v>
      </c>
      <c r="T216" s="38">
        <f t="shared" si="22"/>
        <v>5302.4865489130443</v>
      </c>
      <c r="U216" s="38">
        <v>9517.7017866847855</v>
      </c>
      <c r="V216" s="458">
        <f t="shared" si="23"/>
        <v>4215.2152377717412</v>
      </c>
      <c r="W216" s="458">
        <f t="shared" si="21"/>
        <v>25045.516304347828</v>
      </c>
      <c r="X216" s="458">
        <v>0</v>
      </c>
      <c r="Y216" s="459">
        <v>0</v>
      </c>
      <c r="Z216" s="459">
        <v>0</v>
      </c>
      <c r="AA216" s="459">
        <v>0</v>
      </c>
      <c r="AB216" s="459">
        <v>0</v>
      </c>
      <c r="AC216" s="459">
        <v>3</v>
      </c>
      <c r="AD216" s="458">
        <f>2457800*AC216/I216</f>
        <v>25045.516304347828</v>
      </c>
      <c r="AE216" s="459">
        <v>0</v>
      </c>
      <c r="AF216" s="458">
        <v>0</v>
      </c>
      <c r="AG216" s="459">
        <v>0</v>
      </c>
      <c r="AH216" s="458">
        <v>0</v>
      </c>
      <c r="AI216" s="459">
        <v>0</v>
      </c>
      <c r="AJ216" s="458">
        <v>0</v>
      </c>
      <c r="AK216" s="459">
        <v>0</v>
      </c>
      <c r="AL216" s="459">
        <v>0</v>
      </c>
      <c r="AM216" s="459">
        <v>0</v>
      </c>
      <c r="AN216" s="459"/>
      <c r="AO216" s="459">
        <v>0</v>
      </c>
      <c r="AP216" s="460"/>
      <c r="AQ216" s="460"/>
      <c r="AR216" s="460"/>
      <c r="AS216" s="460"/>
      <c r="AT216" s="460"/>
      <c r="AU216" s="460"/>
      <c r="AV216" s="460"/>
      <c r="AW216" s="460"/>
      <c r="AX216" s="460"/>
      <c r="AY216" s="460"/>
      <c r="AZ216" s="460"/>
      <c r="BA216" s="460"/>
      <c r="BB216" s="460"/>
      <c r="BC216" s="460"/>
      <c r="BD216" s="460"/>
      <c r="BE216" s="460"/>
      <c r="BF216" s="460"/>
      <c r="BG216" s="460"/>
      <c r="BH216" s="460"/>
      <c r="BI216" s="460"/>
      <c r="BJ216" s="460"/>
      <c r="BK216" s="460"/>
      <c r="BL216" s="460"/>
      <c r="BM216" s="460"/>
      <c r="BN216" s="460"/>
      <c r="BO216" s="460"/>
      <c r="BP216" s="460"/>
      <c r="BQ216" s="460"/>
      <c r="BR216" s="460"/>
      <c r="BS216" s="460"/>
      <c r="BT216" s="460"/>
      <c r="BU216" s="460"/>
      <c r="BV216" s="460"/>
      <c r="BW216" s="460"/>
      <c r="BX216" s="460"/>
      <c r="BY216" s="460"/>
      <c r="BZ216" s="460"/>
      <c r="CA216" s="460"/>
      <c r="CB216" s="460"/>
      <c r="CC216" s="460"/>
      <c r="CD216" s="460"/>
      <c r="CE216" s="460"/>
      <c r="CF216" s="460"/>
      <c r="CG216" s="460"/>
      <c r="CH216" s="460"/>
      <c r="CI216" s="460"/>
      <c r="CJ216" s="460"/>
      <c r="CK216" s="460"/>
    </row>
    <row r="217" spans="1:89" s="329" customFormat="1" ht="36" customHeight="1" x14ac:dyDescent="0.25">
      <c r="A217" s="329">
        <v>1</v>
      </c>
      <c r="B217" s="39">
        <f>SUBTOTAL(103,$A$16:A217)</f>
        <v>199</v>
      </c>
      <c r="C217" s="33" t="s">
        <v>1214</v>
      </c>
      <c r="D217" s="330">
        <v>1993</v>
      </c>
      <c r="E217" s="330"/>
      <c r="F217" s="331" t="s">
        <v>63</v>
      </c>
      <c r="G217" s="330">
        <v>9</v>
      </c>
      <c r="H217" s="330" t="s">
        <v>59</v>
      </c>
      <c r="I217" s="38">
        <v>10873.5</v>
      </c>
      <c r="J217" s="38">
        <v>7723.2</v>
      </c>
      <c r="K217" s="38">
        <v>7661.3</v>
      </c>
      <c r="L217" s="332">
        <v>328</v>
      </c>
      <c r="M217" s="330" t="s">
        <v>46</v>
      </c>
      <c r="N217" s="330" t="s">
        <v>50</v>
      </c>
      <c r="O217" s="333" t="s">
        <v>2016</v>
      </c>
      <c r="P217" s="38">
        <v>6356844.0800000001</v>
      </c>
      <c r="Q217" s="38">
        <v>0</v>
      </c>
      <c r="R217" s="38">
        <v>0</v>
      </c>
      <c r="S217" s="38">
        <f t="shared" si="20"/>
        <v>6356844.0800000001</v>
      </c>
      <c r="T217" s="38">
        <f t="shared" si="22"/>
        <v>584.61802363544393</v>
      </c>
      <c r="U217" s="38">
        <v>904.14310019772847</v>
      </c>
      <c r="V217" s="458">
        <f t="shared" si="23"/>
        <v>319.52507656228454</v>
      </c>
      <c r="W217" s="458">
        <f t="shared" si="21"/>
        <v>344.56507325148294</v>
      </c>
      <c r="X217" s="458">
        <v>0</v>
      </c>
      <c r="Y217" s="459">
        <v>0</v>
      </c>
      <c r="Z217" s="459">
        <v>0</v>
      </c>
      <c r="AA217" s="459">
        <v>0</v>
      </c>
      <c r="AB217" s="459">
        <v>0</v>
      </c>
      <c r="AC217" s="459">
        <v>0</v>
      </c>
      <c r="AD217" s="459">
        <v>0</v>
      </c>
      <c r="AE217" s="459">
        <v>0</v>
      </c>
      <c r="AF217" s="458">
        <v>0</v>
      </c>
      <c r="AG217" s="459">
        <v>0</v>
      </c>
      <c r="AH217" s="458">
        <v>0</v>
      </c>
      <c r="AI217" s="459">
        <v>503.64</v>
      </c>
      <c r="AJ217" s="458">
        <f>7439.1*AI217/I217</f>
        <v>344.56507325148294</v>
      </c>
      <c r="AK217" s="459">
        <v>0</v>
      </c>
      <c r="AL217" s="459">
        <v>0</v>
      </c>
      <c r="AM217" s="459">
        <v>0</v>
      </c>
      <c r="AN217" s="459"/>
      <c r="AO217" s="459">
        <v>0</v>
      </c>
      <c r="AP217" s="460"/>
      <c r="AQ217" s="460"/>
      <c r="AR217" s="460"/>
      <c r="AS217" s="460"/>
      <c r="AT217" s="460"/>
      <c r="AU217" s="460"/>
      <c r="AV217" s="460"/>
      <c r="AW217" s="460"/>
      <c r="AX217" s="460"/>
      <c r="AY217" s="460"/>
      <c r="AZ217" s="460"/>
      <c r="BA217" s="460"/>
      <c r="BB217" s="460"/>
      <c r="BC217" s="460"/>
      <c r="BD217" s="460"/>
      <c r="BE217" s="460"/>
      <c r="BF217" s="460"/>
      <c r="BG217" s="460"/>
      <c r="BH217" s="460"/>
      <c r="BI217" s="460"/>
      <c r="BJ217" s="460"/>
      <c r="BK217" s="460"/>
      <c r="BL217" s="460"/>
      <c r="BM217" s="460"/>
      <c r="BN217" s="460"/>
      <c r="BO217" s="460"/>
      <c r="BP217" s="460"/>
      <c r="BQ217" s="460"/>
      <c r="BR217" s="460"/>
      <c r="BS217" s="460"/>
      <c r="BT217" s="460"/>
      <c r="BU217" s="460"/>
      <c r="BV217" s="460"/>
      <c r="BW217" s="460"/>
      <c r="BX217" s="460"/>
      <c r="BY217" s="460"/>
      <c r="BZ217" s="460"/>
      <c r="CA217" s="460"/>
      <c r="CB217" s="460"/>
      <c r="CC217" s="460"/>
      <c r="CD217" s="460"/>
      <c r="CE217" s="460"/>
      <c r="CF217" s="460"/>
      <c r="CG217" s="460"/>
      <c r="CH217" s="460"/>
      <c r="CI217" s="460"/>
      <c r="CJ217" s="460"/>
      <c r="CK217" s="460"/>
    </row>
    <row r="218" spans="1:89" s="329" customFormat="1" ht="36" customHeight="1" x14ac:dyDescent="0.25">
      <c r="A218" s="329">
        <v>1</v>
      </c>
      <c r="B218" s="39">
        <f>SUBTOTAL(103,$A$16:A218)</f>
        <v>200</v>
      </c>
      <c r="C218" s="33" t="s">
        <v>1215</v>
      </c>
      <c r="D218" s="330">
        <v>1931</v>
      </c>
      <c r="E218" s="330"/>
      <c r="F218" s="331" t="s">
        <v>48</v>
      </c>
      <c r="G218" s="330">
        <v>4</v>
      </c>
      <c r="H218" s="330" t="s">
        <v>1969</v>
      </c>
      <c r="I218" s="38">
        <v>4408.1000000000004</v>
      </c>
      <c r="J218" s="38">
        <v>4408.1000000000004</v>
      </c>
      <c r="K218" s="38">
        <v>2703.21</v>
      </c>
      <c r="L218" s="332">
        <v>109</v>
      </c>
      <c r="M218" s="330" t="s">
        <v>46</v>
      </c>
      <c r="N218" s="330" t="s">
        <v>50</v>
      </c>
      <c r="O218" s="333" t="s">
        <v>243</v>
      </c>
      <c r="P218" s="38">
        <v>172775.04000000001</v>
      </c>
      <c r="Q218" s="38">
        <v>0</v>
      </c>
      <c r="R218" s="38">
        <v>0</v>
      </c>
      <c r="S218" s="38">
        <f t="shared" si="20"/>
        <v>172775.04000000001</v>
      </c>
      <c r="T218" s="38">
        <f t="shared" si="22"/>
        <v>39.19490029718019</v>
      </c>
      <c r="U218" s="38">
        <v>39.19490029718019</v>
      </c>
      <c r="V218" s="458">
        <f t="shared" si="23"/>
        <v>0</v>
      </c>
      <c r="W218" s="458">
        <f t="shared" si="21"/>
        <v>690.10938113926636</v>
      </c>
      <c r="X218" s="458">
        <v>0</v>
      </c>
      <c r="Y218" s="459">
        <v>0</v>
      </c>
      <c r="Z218" s="459">
        <v>0</v>
      </c>
      <c r="AA218" s="459">
        <v>0</v>
      </c>
      <c r="AB218" s="459">
        <v>0</v>
      </c>
      <c r="AC218" s="459">
        <v>0</v>
      </c>
      <c r="AD218" s="459">
        <v>0</v>
      </c>
      <c r="AE218" s="459">
        <v>0</v>
      </c>
      <c r="AF218" s="458">
        <v>0</v>
      </c>
      <c r="AG218" s="459">
        <v>0</v>
      </c>
      <c r="AH218" s="458">
        <v>0</v>
      </c>
      <c r="AI218" s="459">
        <v>408.93</v>
      </c>
      <c r="AJ218" s="458">
        <f>7439.1*AI218/I218</f>
        <v>690.10938113926636</v>
      </c>
      <c r="AK218" s="459">
        <v>0</v>
      </c>
      <c r="AL218" s="459">
        <v>0</v>
      </c>
      <c r="AM218" s="459">
        <v>0</v>
      </c>
      <c r="AN218" s="459"/>
      <c r="AO218" s="459">
        <v>0</v>
      </c>
      <c r="AP218" s="460"/>
      <c r="AQ218" s="460"/>
      <c r="AR218" s="460"/>
      <c r="AS218" s="460"/>
      <c r="AT218" s="460"/>
      <c r="AU218" s="460"/>
      <c r="AV218" s="460"/>
      <c r="AW218" s="460"/>
      <c r="AX218" s="460"/>
      <c r="AY218" s="460"/>
      <c r="AZ218" s="460"/>
      <c r="BA218" s="460"/>
      <c r="BB218" s="460"/>
      <c r="BC218" s="460"/>
      <c r="BD218" s="460"/>
      <c r="BE218" s="460"/>
      <c r="BF218" s="460"/>
      <c r="BG218" s="460"/>
      <c r="BH218" s="460"/>
      <c r="BI218" s="460"/>
      <c r="BJ218" s="460"/>
      <c r="BK218" s="460"/>
      <c r="BL218" s="460"/>
      <c r="BM218" s="460"/>
      <c r="BN218" s="460"/>
      <c r="BO218" s="460"/>
      <c r="BP218" s="460"/>
      <c r="BQ218" s="460"/>
      <c r="BR218" s="460"/>
      <c r="BS218" s="460"/>
      <c r="BT218" s="460"/>
      <c r="BU218" s="460"/>
      <c r="BV218" s="460"/>
      <c r="BW218" s="460"/>
      <c r="BX218" s="460"/>
      <c r="BY218" s="460"/>
      <c r="BZ218" s="460"/>
      <c r="CA218" s="460"/>
      <c r="CB218" s="460"/>
      <c r="CC218" s="460"/>
      <c r="CD218" s="460"/>
      <c r="CE218" s="460"/>
      <c r="CF218" s="460"/>
      <c r="CG218" s="460"/>
      <c r="CH218" s="460"/>
      <c r="CI218" s="460"/>
      <c r="CJ218" s="460"/>
      <c r="CK218" s="460"/>
    </row>
    <row r="219" spans="1:89" s="329" customFormat="1" ht="36" customHeight="1" x14ac:dyDescent="0.25">
      <c r="A219" s="329">
        <v>1</v>
      </c>
      <c r="B219" s="39">
        <f>SUBTOTAL(103,$A$16:A219)</f>
        <v>201</v>
      </c>
      <c r="C219" s="33" t="s">
        <v>1216</v>
      </c>
      <c r="D219" s="330">
        <v>1986</v>
      </c>
      <c r="E219" s="330"/>
      <c r="F219" s="331" t="s">
        <v>48</v>
      </c>
      <c r="G219" s="330">
        <v>9</v>
      </c>
      <c r="H219" s="330" t="s">
        <v>1965</v>
      </c>
      <c r="I219" s="38">
        <v>22008.74</v>
      </c>
      <c r="J219" s="38">
        <v>20090.2</v>
      </c>
      <c r="K219" s="38">
        <v>16765.8</v>
      </c>
      <c r="L219" s="332">
        <v>668</v>
      </c>
      <c r="M219" s="330" t="s">
        <v>46</v>
      </c>
      <c r="N219" s="330" t="s">
        <v>71</v>
      </c>
      <c r="O219" s="333" t="s">
        <v>2017</v>
      </c>
      <c r="P219" s="38">
        <v>13083489.59</v>
      </c>
      <c r="Q219" s="38">
        <v>0</v>
      </c>
      <c r="R219" s="38">
        <v>0</v>
      </c>
      <c r="S219" s="38">
        <f t="shared" si="20"/>
        <v>13083489.59</v>
      </c>
      <c r="T219" s="38">
        <f t="shared" si="22"/>
        <v>594.46790638628102</v>
      </c>
      <c r="U219" s="38">
        <v>1005.0643517075488</v>
      </c>
      <c r="V219" s="458">
        <f t="shared" si="23"/>
        <v>410.59644532126777</v>
      </c>
      <c r="W219" s="458">
        <f t="shared" si="21"/>
        <v>446.69526742557724</v>
      </c>
      <c r="X219" s="458">
        <v>0</v>
      </c>
      <c r="Y219" s="459">
        <v>0</v>
      </c>
      <c r="Z219" s="459">
        <v>0</v>
      </c>
      <c r="AA219" s="459">
        <v>0</v>
      </c>
      <c r="AB219" s="459">
        <v>0</v>
      </c>
      <c r="AC219" s="459">
        <v>4</v>
      </c>
      <c r="AD219" s="458">
        <f>2457800*AC219/I219</f>
        <v>446.69526742557724</v>
      </c>
      <c r="AE219" s="459">
        <v>0</v>
      </c>
      <c r="AF219" s="458">
        <v>0</v>
      </c>
      <c r="AG219" s="459">
        <v>0</v>
      </c>
      <c r="AH219" s="458">
        <v>0</v>
      </c>
      <c r="AI219" s="459">
        <v>0</v>
      </c>
      <c r="AJ219" s="458">
        <v>0</v>
      </c>
      <c r="AK219" s="459">
        <v>0</v>
      </c>
      <c r="AL219" s="459">
        <v>0</v>
      </c>
      <c r="AM219" s="459">
        <v>0</v>
      </c>
      <c r="AN219" s="459"/>
      <c r="AO219" s="459">
        <v>0</v>
      </c>
      <c r="AP219" s="460"/>
      <c r="AQ219" s="460"/>
      <c r="AR219" s="460"/>
      <c r="AS219" s="460"/>
      <c r="AT219" s="460"/>
      <c r="AU219" s="460"/>
      <c r="AV219" s="460"/>
      <c r="AW219" s="460"/>
      <c r="AX219" s="460"/>
      <c r="AY219" s="460"/>
      <c r="AZ219" s="460"/>
      <c r="BA219" s="460"/>
      <c r="BB219" s="460"/>
      <c r="BC219" s="460"/>
      <c r="BD219" s="460"/>
      <c r="BE219" s="460"/>
      <c r="BF219" s="460"/>
      <c r="BG219" s="460"/>
      <c r="BH219" s="460"/>
      <c r="BI219" s="460"/>
      <c r="BJ219" s="460"/>
      <c r="BK219" s="460"/>
      <c r="BL219" s="460"/>
      <c r="BM219" s="460"/>
      <c r="BN219" s="460"/>
      <c r="BO219" s="460"/>
      <c r="BP219" s="460"/>
      <c r="BQ219" s="460"/>
      <c r="BR219" s="460"/>
      <c r="BS219" s="460"/>
      <c r="BT219" s="460"/>
      <c r="BU219" s="460"/>
      <c r="BV219" s="460"/>
      <c r="BW219" s="460"/>
      <c r="BX219" s="460"/>
      <c r="BY219" s="460"/>
      <c r="BZ219" s="460"/>
      <c r="CA219" s="460"/>
      <c r="CB219" s="460"/>
      <c r="CC219" s="460"/>
      <c r="CD219" s="460"/>
      <c r="CE219" s="460"/>
      <c r="CF219" s="460"/>
      <c r="CG219" s="460"/>
      <c r="CH219" s="460"/>
      <c r="CI219" s="460"/>
      <c r="CJ219" s="460"/>
      <c r="CK219" s="460"/>
    </row>
    <row r="220" spans="1:89" s="329" customFormat="1" ht="36" customHeight="1" x14ac:dyDescent="0.25">
      <c r="A220" s="329">
        <v>1</v>
      </c>
      <c r="B220" s="39">
        <f>SUBTOTAL(103,$A$16:A220)</f>
        <v>202</v>
      </c>
      <c r="C220" s="33" t="s">
        <v>1217</v>
      </c>
      <c r="D220" s="330">
        <v>1986</v>
      </c>
      <c r="E220" s="330"/>
      <c r="F220" s="331" t="s">
        <v>63</v>
      </c>
      <c r="G220" s="330">
        <v>9</v>
      </c>
      <c r="H220" s="330" t="s">
        <v>61</v>
      </c>
      <c r="I220" s="38">
        <v>5847.8</v>
      </c>
      <c r="J220" s="38">
        <v>5847.8</v>
      </c>
      <c r="K220" s="38">
        <v>5847.8</v>
      </c>
      <c r="L220" s="332">
        <v>220</v>
      </c>
      <c r="M220" s="330" t="s">
        <v>46</v>
      </c>
      <c r="N220" s="330" t="s">
        <v>50</v>
      </c>
      <c r="O220" s="333" t="s">
        <v>252</v>
      </c>
      <c r="P220" s="38">
        <v>5478127.7400000002</v>
      </c>
      <c r="Q220" s="38">
        <v>0</v>
      </c>
      <c r="R220" s="38">
        <v>0</v>
      </c>
      <c r="S220" s="38">
        <f t="shared" si="20"/>
        <v>5478127.7400000002</v>
      </c>
      <c r="T220" s="38">
        <f t="shared" si="22"/>
        <v>936.78438729094705</v>
      </c>
      <c r="U220" s="38">
        <v>1260.8844351722014</v>
      </c>
      <c r="V220" s="458">
        <f t="shared" si="23"/>
        <v>324.10004788125434</v>
      </c>
      <c r="W220" s="458">
        <f t="shared" si="21"/>
        <v>1652.3754948698656</v>
      </c>
      <c r="X220" s="458">
        <v>0</v>
      </c>
      <c r="Y220" s="459">
        <v>0</v>
      </c>
      <c r="Z220" s="459">
        <v>0</v>
      </c>
      <c r="AA220" s="459">
        <v>0</v>
      </c>
      <c r="AB220" s="459">
        <v>0</v>
      </c>
      <c r="AC220" s="459">
        <v>0</v>
      </c>
      <c r="AD220" s="459">
        <v>0</v>
      </c>
      <c r="AE220" s="459">
        <v>1548.79</v>
      </c>
      <c r="AF220" s="458">
        <f>6238.91*AE220/I220</f>
        <v>1652.3754948698656</v>
      </c>
      <c r="AG220" s="459">
        <v>0</v>
      </c>
      <c r="AH220" s="458">
        <v>0</v>
      </c>
      <c r="AI220" s="459">
        <v>0</v>
      </c>
      <c r="AJ220" s="458">
        <v>0</v>
      </c>
      <c r="AK220" s="459">
        <v>0</v>
      </c>
      <c r="AL220" s="459">
        <v>0</v>
      </c>
      <c r="AM220" s="459">
        <v>0</v>
      </c>
      <c r="AN220" s="459"/>
      <c r="AO220" s="459">
        <v>0</v>
      </c>
      <c r="AP220" s="460"/>
      <c r="AQ220" s="460"/>
      <c r="AR220" s="460"/>
      <c r="AS220" s="460"/>
      <c r="AT220" s="460"/>
      <c r="AU220" s="460"/>
      <c r="AV220" s="460"/>
      <c r="AW220" s="460"/>
      <c r="AX220" s="460"/>
      <c r="AY220" s="460"/>
      <c r="AZ220" s="460"/>
      <c r="BA220" s="460"/>
      <c r="BB220" s="460"/>
      <c r="BC220" s="460"/>
      <c r="BD220" s="460"/>
      <c r="BE220" s="460"/>
      <c r="BF220" s="460"/>
      <c r="BG220" s="460"/>
      <c r="BH220" s="460"/>
      <c r="BI220" s="460"/>
      <c r="BJ220" s="460"/>
      <c r="BK220" s="460"/>
      <c r="BL220" s="460"/>
      <c r="BM220" s="460"/>
      <c r="BN220" s="460"/>
      <c r="BO220" s="460"/>
      <c r="BP220" s="460"/>
      <c r="BQ220" s="460"/>
      <c r="BR220" s="460"/>
      <c r="BS220" s="460"/>
      <c r="BT220" s="460"/>
      <c r="BU220" s="460"/>
      <c r="BV220" s="460"/>
      <c r="BW220" s="460"/>
      <c r="BX220" s="460"/>
      <c r="BY220" s="460"/>
      <c r="BZ220" s="460"/>
      <c r="CA220" s="460"/>
      <c r="CB220" s="460"/>
      <c r="CC220" s="460"/>
      <c r="CD220" s="460"/>
      <c r="CE220" s="460"/>
      <c r="CF220" s="460"/>
      <c r="CG220" s="460"/>
      <c r="CH220" s="460"/>
      <c r="CI220" s="460"/>
      <c r="CJ220" s="460"/>
      <c r="CK220" s="460"/>
    </row>
    <row r="221" spans="1:89" s="329" customFormat="1" ht="36" customHeight="1" x14ac:dyDescent="0.25">
      <c r="A221" s="329">
        <v>1</v>
      </c>
      <c r="B221" s="39">
        <f>SUBTOTAL(103,$A$16:A221)</f>
        <v>203</v>
      </c>
      <c r="C221" s="33" t="s">
        <v>1218</v>
      </c>
      <c r="D221" s="330">
        <v>1986</v>
      </c>
      <c r="E221" s="330"/>
      <c r="F221" s="331" t="s">
        <v>63</v>
      </c>
      <c r="G221" s="330">
        <v>9</v>
      </c>
      <c r="H221" s="330" t="s">
        <v>59</v>
      </c>
      <c r="I221" s="38">
        <v>8861.6</v>
      </c>
      <c r="J221" s="38">
        <v>7954.2</v>
      </c>
      <c r="K221" s="38">
        <v>7894.7</v>
      </c>
      <c r="L221" s="332">
        <v>295</v>
      </c>
      <c r="M221" s="330" t="s">
        <v>46</v>
      </c>
      <c r="N221" s="330" t="s">
        <v>2018</v>
      </c>
      <c r="O221" s="333" t="s">
        <v>2019</v>
      </c>
      <c r="P221" s="38">
        <v>7310851.2000000002</v>
      </c>
      <c r="Q221" s="38">
        <v>0</v>
      </c>
      <c r="R221" s="38">
        <v>0</v>
      </c>
      <c r="S221" s="38">
        <f t="shared" si="20"/>
        <v>7310851.2000000002</v>
      </c>
      <c r="T221" s="38">
        <f t="shared" si="22"/>
        <v>825.00352080888331</v>
      </c>
      <c r="U221" s="38">
        <v>1109.4159068339802</v>
      </c>
      <c r="V221" s="458">
        <f t="shared" si="23"/>
        <v>284.41238602509691</v>
      </c>
      <c r="W221" s="458">
        <f t="shared" si="21"/>
        <v>2496.1857903764558</v>
      </c>
      <c r="X221" s="458">
        <v>0</v>
      </c>
      <c r="Y221" s="459">
        <v>0</v>
      </c>
      <c r="Z221" s="459">
        <v>0</v>
      </c>
      <c r="AA221" s="459">
        <v>0</v>
      </c>
      <c r="AB221" s="459">
        <v>0</v>
      </c>
      <c r="AC221" s="459">
        <v>9</v>
      </c>
      <c r="AD221" s="458">
        <f t="shared" ref="AD221:AD229" si="24">2457800*AC221/I221</f>
        <v>2496.1857903764558</v>
      </c>
      <c r="AE221" s="459">
        <v>0</v>
      </c>
      <c r="AF221" s="458">
        <v>0</v>
      </c>
      <c r="AG221" s="459">
        <v>0</v>
      </c>
      <c r="AH221" s="458">
        <v>0</v>
      </c>
      <c r="AI221" s="459">
        <v>0</v>
      </c>
      <c r="AJ221" s="458">
        <v>0</v>
      </c>
      <c r="AK221" s="459">
        <v>0</v>
      </c>
      <c r="AL221" s="459">
        <v>0</v>
      </c>
      <c r="AM221" s="459">
        <v>0</v>
      </c>
      <c r="AN221" s="459"/>
      <c r="AO221" s="459">
        <v>0</v>
      </c>
      <c r="AP221" s="460"/>
      <c r="AQ221" s="460"/>
      <c r="AR221" s="460"/>
      <c r="AS221" s="460"/>
      <c r="AT221" s="460"/>
      <c r="AU221" s="460"/>
      <c r="AV221" s="460"/>
      <c r="AW221" s="460"/>
      <c r="AX221" s="460"/>
      <c r="AY221" s="460"/>
      <c r="AZ221" s="460"/>
      <c r="BA221" s="460"/>
      <c r="BB221" s="460"/>
      <c r="BC221" s="460"/>
      <c r="BD221" s="460"/>
      <c r="BE221" s="460"/>
      <c r="BF221" s="460"/>
      <c r="BG221" s="460"/>
      <c r="BH221" s="460"/>
      <c r="BI221" s="460"/>
      <c r="BJ221" s="460"/>
      <c r="BK221" s="460"/>
      <c r="BL221" s="460"/>
      <c r="BM221" s="460"/>
      <c r="BN221" s="460"/>
      <c r="BO221" s="460"/>
      <c r="BP221" s="460"/>
      <c r="BQ221" s="460"/>
      <c r="BR221" s="460"/>
      <c r="BS221" s="460"/>
      <c r="BT221" s="460"/>
      <c r="BU221" s="460"/>
      <c r="BV221" s="460"/>
      <c r="BW221" s="460"/>
      <c r="BX221" s="460"/>
      <c r="BY221" s="460"/>
      <c r="BZ221" s="460"/>
      <c r="CA221" s="460"/>
      <c r="CB221" s="460"/>
      <c r="CC221" s="460"/>
      <c r="CD221" s="460"/>
      <c r="CE221" s="460"/>
      <c r="CF221" s="460"/>
      <c r="CG221" s="460"/>
      <c r="CH221" s="460"/>
      <c r="CI221" s="460"/>
      <c r="CJ221" s="460"/>
      <c r="CK221" s="460"/>
    </row>
    <row r="222" spans="1:89" s="329" customFormat="1" ht="36" customHeight="1" x14ac:dyDescent="0.25">
      <c r="A222" s="329">
        <v>1</v>
      </c>
      <c r="B222" s="39">
        <f>SUBTOTAL(103,$A$16:A222)</f>
        <v>204</v>
      </c>
      <c r="C222" s="33" t="s">
        <v>1219</v>
      </c>
      <c r="D222" s="330">
        <v>1988</v>
      </c>
      <c r="E222" s="330"/>
      <c r="F222" s="331" t="s">
        <v>63</v>
      </c>
      <c r="G222" s="330">
        <v>9</v>
      </c>
      <c r="H222" s="330" t="s">
        <v>61</v>
      </c>
      <c r="I222" s="38">
        <v>8029.8</v>
      </c>
      <c r="J222" s="38">
        <v>5819.3</v>
      </c>
      <c r="K222" s="38">
        <v>5819.3</v>
      </c>
      <c r="L222" s="332">
        <v>281</v>
      </c>
      <c r="M222" s="330" t="s">
        <v>46</v>
      </c>
      <c r="N222" s="330" t="s">
        <v>50</v>
      </c>
      <c r="O222" s="333" t="s">
        <v>2020</v>
      </c>
      <c r="P222" s="38">
        <v>5327196</v>
      </c>
      <c r="Q222" s="38">
        <v>0</v>
      </c>
      <c r="R222" s="38">
        <v>0</v>
      </c>
      <c r="S222" s="38">
        <f t="shared" si="20"/>
        <v>5327196</v>
      </c>
      <c r="T222" s="38">
        <f t="shared" si="22"/>
        <v>663.42822984383167</v>
      </c>
      <c r="U222" s="38">
        <v>918.25450198012402</v>
      </c>
      <c r="V222" s="458">
        <f t="shared" si="23"/>
        <v>254.82627213629235</v>
      </c>
      <c r="W222" s="458">
        <f t="shared" si="21"/>
        <v>918.25450198012402</v>
      </c>
      <c r="X222" s="458">
        <v>0</v>
      </c>
      <c r="Y222" s="459">
        <v>0</v>
      </c>
      <c r="Z222" s="459">
        <v>0</v>
      </c>
      <c r="AA222" s="459">
        <v>0</v>
      </c>
      <c r="AB222" s="459">
        <v>0</v>
      </c>
      <c r="AC222" s="459">
        <v>3</v>
      </c>
      <c r="AD222" s="458">
        <f t="shared" si="24"/>
        <v>918.25450198012402</v>
      </c>
      <c r="AE222" s="459">
        <v>0</v>
      </c>
      <c r="AF222" s="458">
        <v>0</v>
      </c>
      <c r="AG222" s="459">
        <v>0</v>
      </c>
      <c r="AH222" s="458">
        <v>0</v>
      </c>
      <c r="AI222" s="459">
        <v>0</v>
      </c>
      <c r="AJ222" s="458">
        <v>0</v>
      </c>
      <c r="AK222" s="459">
        <v>0</v>
      </c>
      <c r="AL222" s="459">
        <v>0</v>
      </c>
      <c r="AM222" s="459">
        <v>0</v>
      </c>
      <c r="AN222" s="459"/>
      <c r="AO222" s="459">
        <v>0</v>
      </c>
      <c r="AP222" s="460"/>
      <c r="AQ222" s="460"/>
      <c r="AR222" s="460"/>
      <c r="AS222" s="460"/>
      <c r="AT222" s="460"/>
      <c r="AU222" s="460"/>
      <c r="AV222" s="460"/>
      <c r="AW222" s="460"/>
      <c r="AX222" s="460"/>
      <c r="AY222" s="460"/>
      <c r="AZ222" s="460"/>
      <c r="BA222" s="460"/>
      <c r="BB222" s="460"/>
      <c r="BC222" s="460"/>
      <c r="BD222" s="460"/>
      <c r="BE222" s="460"/>
      <c r="BF222" s="460"/>
      <c r="BG222" s="460"/>
      <c r="BH222" s="460"/>
      <c r="BI222" s="460"/>
      <c r="BJ222" s="460"/>
      <c r="BK222" s="460"/>
      <c r="BL222" s="460"/>
      <c r="BM222" s="460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0"/>
      <c r="BY222" s="460"/>
      <c r="BZ222" s="460"/>
      <c r="CA222" s="460"/>
      <c r="CB222" s="460"/>
      <c r="CC222" s="460"/>
      <c r="CD222" s="460"/>
      <c r="CE222" s="460"/>
      <c r="CF222" s="460"/>
      <c r="CG222" s="460"/>
      <c r="CH222" s="460"/>
      <c r="CI222" s="460"/>
      <c r="CJ222" s="460"/>
      <c r="CK222" s="460"/>
    </row>
    <row r="223" spans="1:89" s="329" customFormat="1" ht="36" customHeight="1" x14ac:dyDescent="0.25">
      <c r="A223" s="329">
        <v>1</v>
      </c>
      <c r="B223" s="39">
        <f>SUBTOTAL(103,$A$16:A223)</f>
        <v>205</v>
      </c>
      <c r="C223" s="33" t="s">
        <v>1220</v>
      </c>
      <c r="D223" s="330">
        <v>1986</v>
      </c>
      <c r="E223" s="330"/>
      <c r="F223" s="331" t="s">
        <v>63</v>
      </c>
      <c r="G223" s="330">
        <v>9</v>
      </c>
      <c r="H223" s="330" t="s">
        <v>59</v>
      </c>
      <c r="I223" s="38">
        <v>8130.5</v>
      </c>
      <c r="J223" s="38">
        <v>7378.4</v>
      </c>
      <c r="K223" s="38">
        <v>6959.7</v>
      </c>
      <c r="L223" s="332">
        <v>323</v>
      </c>
      <c r="M223" s="330" t="s">
        <v>46</v>
      </c>
      <c r="N223" s="330" t="s">
        <v>50</v>
      </c>
      <c r="O223" s="333" t="s">
        <v>2008</v>
      </c>
      <c r="P223" s="38">
        <v>7367915.9199999999</v>
      </c>
      <c r="Q223" s="38">
        <v>0</v>
      </c>
      <c r="R223" s="38">
        <v>0</v>
      </c>
      <c r="S223" s="38">
        <f t="shared" si="20"/>
        <v>7367915.9199999999</v>
      </c>
      <c r="T223" s="38">
        <f t="shared" si="22"/>
        <v>906.20698850009228</v>
      </c>
      <c r="U223" s="38">
        <v>1209.1753274706352</v>
      </c>
      <c r="V223" s="458">
        <f t="shared" si="23"/>
        <v>302.96833897054296</v>
      </c>
      <c r="W223" s="458">
        <f t="shared" si="21"/>
        <v>1209.1753274706352</v>
      </c>
      <c r="X223" s="458">
        <v>0</v>
      </c>
      <c r="Y223" s="459">
        <v>0</v>
      </c>
      <c r="Z223" s="459">
        <v>0</v>
      </c>
      <c r="AA223" s="459">
        <v>0</v>
      </c>
      <c r="AB223" s="459">
        <v>0</v>
      </c>
      <c r="AC223" s="459">
        <v>4</v>
      </c>
      <c r="AD223" s="458">
        <f t="shared" si="24"/>
        <v>1209.1753274706352</v>
      </c>
      <c r="AE223" s="459">
        <v>0</v>
      </c>
      <c r="AF223" s="458">
        <v>0</v>
      </c>
      <c r="AG223" s="459">
        <v>0</v>
      </c>
      <c r="AH223" s="458">
        <v>0</v>
      </c>
      <c r="AI223" s="459">
        <v>0</v>
      </c>
      <c r="AJ223" s="458">
        <v>0</v>
      </c>
      <c r="AK223" s="459">
        <v>0</v>
      </c>
      <c r="AL223" s="459">
        <v>0</v>
      </c>
      <c r="AM223" s="459">
        <v>0</v>
      </c>
      <c r="AN223" s="459"/>
      <c r="AO223" s="459">
        <v>0</v>
      </c>
      <c r="AP223" s="460"/>
      <c r="AQ223" s="460"/>
      <c r="AR223" s="460"/>
      <c r="AS223" s="460"/>
      <c r="AT223" s="460"/>
      <c r="AU223" s="460"/>
      <c r="AV223" s="460"/>
      <c r="AW223" s="460"/>
      <c r="AX223" s="460"/>
      <c r="AY223" s="460"/>
      <c r="AZ223" s="460"/>
      <c r="BA223" s="460"/>
      <c r="BB223" s="460"/>
      <c r="BC223" s="460"/>
      <c r="BD223" s="460"/>
      <c r="BE223" s="460"/>
      <c r="BF223" s="460"/>
      <c r="BG223" s="460"/>
      <c r="BH223" s="460"/>
      <c r="BI223" s="460"/>
      <c r="BJ223" s="460"/>
      <c r="BK223" s="460"/>
      <c r="BL223" s="460"/>
      <c r="BM223" s="460"/>
      <c r="BN223" s="460"/>
      <c r="BO223" s="460"/>
      <c r="BP223" s="460"/>
      <c r="BQ223" s="460"/>
      <c r="BR223" s="460"/>
      <c r="BS223" s="460"/>
      <c r="BT223" s="460"/>
      <c r="BU223" s="460"/>
      <c r="BV223" s="460"/>
      <c r="BW223" s="460"/>
      <c r="BX223" s="460"/>
      <c r="BY223" s="460"/>
      <c r="BZ223" s="460"/>
      <c r="CA223" s="460"/>
      <c r="CB223" s="460"/>
      <c r="CC223" s="460"/>
      <c r="CD223" s="460"/>
      <c r="CE223" s="460"/>
      <c r="CF223" s="460"/>
      <c r="CG223" s="460"/>
      <c r="CH223" s="460"/>
      <c r="CI223" s="460"/>
      <c r="CJ223" s="460"/>
      <c r="CK223" s="460"/>
    </row>
    <row r="224" spans="1:89" s="329" customFormat="1" ht="36" customHeight="1" x14ac:dyDescent="0.25">
      <c r="A224" s="329">
        <v>1</v>
      </c>
      <c r="B224" s="39">
        <f>SUBTOTAL(103,$A$16:A224)</f>
        <v>206</v>
      </c>
      <c r="C224" s="33" t="s">
        <v>1221</v>
      </c>
      <c r="D224" s="330">
        <v>1987</v>
      </c>
      <c r="E224" s="330"/>
      <c r="F224" s="331" t="s">
        <v>48</v>
      </c>
      <c r="G224" s="330">
        <v>9</v>
      </c>
      <c r="H224" s="330" t="s">
        <v>61</v>
      </c>
      <c r="I224" s="38">
        <v>7146.1</v>
      </c>
      <c r="J224" s="38">
        <v>3870.6</v>
      </c>
      <c r="K224" s="38">
        <v>3226.3</v>
      </c>
      <c r="L224" s="332">
        <v>206</v>
      </c>
      <c r="M224" s="330" t="s">
        <v>46</v>
      </c>
      <c r="N224" s="330" t="s">
        <v>50</v>
      </c>
      <c r="O224" s="333" t="s">
        <v>2011</v>
      </c>
      <c r="P224" s="38">
        <v>5462413.6200000001</v>
      </c>
      <c r="Q224" s="38">
        <v>0</v>
      </c>
      <c r="R224" s="38">
        <v>0</v>
      </c>
      <c r="S224" s="38">
        <f t="shared" si="20"/>
        <v>5462413.6200000001</v>
      </c>
      <c r="T224" s="38">
        <f t="shared" si="22"/>
        <v>764.39087334350199</v>
      </c>
      <c r="U224" s="38">
        <v>1031.8075593680469</v>
      </c>
      <c r="V224" s="458">
        <f t="shared" si="23"/>
        <v>267.4166860245449</v>
      </c>
      <c r="W224" s="458">
        <f t="shared" si="21"/>
        <v>1031.8075593680469</v>
      </c>
      <c r="X224" s="458">
        <v>0</v>
      </c>
      <c r="Y224" s="459">
        <v>0</v>
      </c>
      <c r="Z224" s="459">
        <v>0</v>
      </c>
      <c r="AA224" s="459">
        <v>0</v>
      </c>
      <c r="AB224" s="459">
        <v>0</v>
      </c>
      <c r="AC224" s="459">
        <v>3</v>
      </c>
      <c r="AD224" s="458">
        <f t="shared" si="24"/>
        <v>1031.8075593680469</v>
      </c>
      <c r="AE224" s="459">
        <v>0</v>
      </c>
      <c r="AF224" s="458">
        <v>0</v>
      </c>
      <c r="AG224" s="459">
        <v>0</v>
      </c>
      <c r="AH224" s="458">
        <v>0</v>
      </c>
      <c r="AI224" s="459">
        <v>0</v>
      </c>
      <c r="AJ224" s="458">
        <v>0</v>
      </c>
      <c r="AK224" s="459">
        <v>0</v>
      </c>
      <c r="AL224" s="459">
        <v>0</v>
      </c>
      <c r="AM224" s="459">
        <v>0</v>
      </c>
      <c r="AN224" s="459"/>
      <c r="AO224" s="459">
        <v>0</v>
      </c>
      <c r="AP224" s="460"/>
      <c r="AQ224" s="460"/>
      <c r="AR224" s="460"/>
      <c r="AS224" s="460"/>
      <c r="AT224" s="460"/>
      <c r="AU224" s="460"/>
      <c r="AV224" s="460"/>
      <c r="AW224" s="460"/>
      <c r="AX224" s="460"/>
      <c r="AY224" s="460"/>
      <c r="AZ224" s="460"/>
      <c r="BA224" s="460"/>
      <c r="BB224" s="460"/>
      <c r="BC224" s="460"/>
      <c r="BD224" s="460"/>
      <c r="BE224" s="460"/>
      <c r="BF224" s="460"/>
      <c r="BG224" s="460"/>
      <c r="BH224" s="460"/>
      <c r="BI224" s="460"/>
      <c r="BJ224" s="460"/>
      <c r="BK224" s="460"/>
      <c r="BL224" s="460"/>
      <c r="BM224" s="460"/>
      <c r="BN224" s="460"/>
      <c r="BO224" s="460"/>
      <c r="BP224" s="460"/>
      <c r="BQ224" s="460"/>
      <c r="BR224" s="460"/>
      <c r="BS224" s="460"/>
      <c r="BT224" s="460"/>
      <c r="BU224" s="460"/>
      <c r="BV224" s="460"/>
      <c r="BW224" s="460"/>
      <c r="BX224" s="460"/>
      <c r="BY224" s="460"/>
      <c r="BZ224" s="460"/>
      <c r="CA224" s="460"/>
      <c r="CB224" s="460"/>
      <c r="CC224" s="460"/>
      <c r="CD224" s="460"/>
      <c r="CE224" s="460"/>
      <c r="CF224" s="460"/>
      <c r="CG224" s="460"/>
      <c r="CH224" s="460"/>
      <c r="CI224" s="460"/>
      <c r="CJ224" s="460"/>
      <c r="CK224" s="460"/>
    </row>
    <row r="225" spans="1:89" s="329" customFormat="1" ht="36" customHeight="1" x14ac:dyDescent="0.25">
      <c r="A225" s="329">
        <v>1</v>
      </c>
      <c r="B225" s="39">
        <f>SUBTOTAL(103,$A$16:A225)</f>
        <v>207</v>
      </c>
      <c r="C225" s="33" t="s">
        <v>1222</v>
      </c>
      <c r="D225" s="330">
        <v>1986</v>
      </c>
      <c r="E225" s="330"/>
      <c r="F225" s="331" t="s">
        <v>48</v>
      </c>
      <c r="G225" s="330">
        <v>9</v>
      </c>
      <c r="H225" s="330" t="s">
        <v>57</v>
      </c>
      <c r="I225" s="38">
        <v>3555.69</v>
      </c>
      <c r="J225" s="38">
        <v>3555.69</v>
      </c>
      <c r="K225" s="38">
        <v>3353.49</v>
      </c>
      <c r="L225" s="332">
        <v>294</v>
      </c>
      <c r="M225" s="330" t="s">
        <v>46</v>
      </c>
      <c r="N225" s="330" t="s">
        <v>50</v>
      </c>
      <c r="O225" s="333" t="s">
        <v>252</v>
      </c>
      <c r="P225" s="38">
        <v>1452147.29</v>
      </c>
      <c r="Q225" s="38">
        <v>0</v>
      </c>
      <c r="R225" s="38">
        <v>0</v>
      </c>
      <c r="S225" s="38">
        <f t="shared" si="20"/>
        <v>1452147.29</v>
      </c>
      <c r="T225" s="38">
        <f t="shared" si="22"/>
        <v>408.40098265034356</v>
      </c>
      <c r="U225" s="38">
        <v>691.23011286135738</v>
      </c>
      <c r="V225" s="458">
        <f t="shared" si="23"/>
        <v>282.82913021101382</v>
      </c>
      <c r="W225" s="458">
        <f t="shared" si="21"/>
        <v>2764.9204514454295</v>
      </c>
      <c r="X225" s="458">
        <v>0</v>
      </c>
      <c r="Y225" s="459">
        <v>0</v>
      </c>
      <c r="Z225" s="459">
        <v>0</v>
      </c>
      <c r="AA225" s="459">
        <v>0</v>
      </c>
      <c r="AB225" s="459">
        <v>0</v>
      </c>
      <c r="AC225" s="459">
        <v>4</v>
      </c>
      <c r="AD225" s="458">
        <f t="shared" si="24"/>
        <v>2764.9204514454295</v>
      </c>
      <c r="AE225" s="459">
        <v>0</v>
      </c>
      <c r="AF225" s="458">
        <v>0</v>
      </c>
      <c r="AG225" s="459">
        <v>0</v>
      </c>
      <c r="AH225" s="458">
        <v>0</v>
      </c>
      <c r="AI225" s="459">
        <v>0</v>
      </c>
      <c r="AJ225" s="458">
        <v>0</v>
      </c>
      <c r="AK225" s="459">
        <v>0</v>
      </c>
      <c r="AL225" s="459">
        <v>0</v>
      </c>
      <c r="AM225" s="459">
        <v>0</v>
      </c>
      <c r="AN225" s="459"/>
      <c r="AO225" s="459">
        <v>0</v>
      </c>
      <c r="AP225" s="460"/>
      <c r="AQ225" s="460"/>
      <c r="AR225" s="460"/>
      <c r="AS225" s="460"/>
      <c r="AT225" s="460"/>
      <c r="AU225" s="460"/>
      <c r="AV225" s="460"/>
      <c r="AW225" s="460"/>
      <c r="AX225" s="460"/>
      <c r="AY225" s="460"/>
      <c r="AZ225" s="460"/>
      <c r="BA225" s="460"/>
      <c r="BB225" s="460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0"/>
      <c r="BM225" s="460"/>
      <c r="BN225" s="460"/>
      <c r="BO225" s="460"/>
      <c r="BP225" s="460"/>
      <c r="BQ225" s="460"/>
      <c r="BR225" s="460"/>
      <c r="BS225" s="460"/>
      <c r="BT225" s="460"/>
      <c r="BU225" s="460"/>
      <c r="BV225" s="460"/>
      <c r="BW225" s="460"/>
      <c r="BX225" s="460"/>
      <c r="BY225" s="460"/>
      <c r="BZ225" s="460"/>
      <c r="CA225" s="460"/>
      <c r="CB225" s="460"/>
      <c r="CC225" s="460"/>
      <c r="CD225" s="460"/>
      <c r="CE225" s="460"/>
      <c r="CF225" s="460"/>
      <c r="CG225" s="460"/>
      <c r="CH225" s="460"/>
      <c r="CI225" s="460"/>
      <c r="CJ225" s="460"/>
      <c r="CK225" s="460"/>
    </row>
    <row r="226" spans="1:89" s="329" customFormat="1" ht="36" customHeight="1" x14ac:dyDescent="0.25">
      <c r="A226" s="329">
        <v>1</v>
      </c>
      <c r="B226" s="39">
        <f>SUBTOTAL(103,$A$16:A226)</f>
        <v>208</v>
      </c>
      <c r="C226" s="33" t="s">
        <v>1223</v>
      </c>
      <c r="D226" s="330">
        <v>1984</v>
      </c>
      <c r="E226" s="330"/>
      <c r="F226" s="331" t="s">
        <v>63</v>
      </c>
      <c r="G226" s="330">
        <v>9</v>
      </c>
      <c r="H226" s="330" t="s">
        <v>56</v>
      </c>
      <c r="I226" s="38">
        <v>3925.2</v>
      </c>
      <c r="J226" s="38">
        <v>3897.5</v>
      </c>
      <c r="K226" s="38">
        <v>3897.5</v>
      </c>
      <c r="L226" s="332">
        <v>156</v>
      </c>
      <c r="M226" s="330" t="s">
        <v>46</v>
      </c>
      <c r="N226" s="330" t="s">
        <v>50</v>
      </c>
      <c r="O226" s="333" t="s">
        <v>252</v>
      </c>
      <c r="P226" s="38">
        <v>2915220.6</v>
      </c>
      <c r="Q226" s="38">
        <v>0</v>
      </c>
      <c r="R226" s="38">
        <v>0</v>
      </c>
      <c r="S226" s="38">
        <f t="shared" si="20"/>
        <v>2915220.6</v>
      </c>
      <c r="T226" s="38">
        <f t="shared" si="22"/>
        <v>742.69351880158979</v>
      </c>
      <c r="U226" s="38">
        <v>1252.3183532049322</v>
      </c>
      <c r="V226" s="458">
        <f t="shared" si="23"/>
        <v>509.62483440334245</v>
      </c>
      <c r="W226" s="458">
        <f t="shared" si="21"/>
        <v>1878.4775298073985</v>
      </c>
      <c r="X226" s="458">
        <v>0</v>
      </c>
      <c r="Y226" s="459">
        <v>0</v>
      </c>
      <c r="Z226" s="459">
        <v>0</v>
      </c>
      <c r="AA226" s="459">
        <v>0</v>
      </c>
      <c r="AB226" s="459">
        <v>0</v>
      </c>
      <c r="AC226" s="459">
        <v>3</v>
      </c>
      <c r="AD226" s="458">
        <f t="shared" si="24"/>
        <v>1878.4775298073985</v>
      </c>
      <c r="AE226" s="459">
        <v>0</v>
      </c>
      <c r="AF226" s="458">
        <v>0</v>
      </c>
      <c r="AG226" s="459">
        <v>0</v>
      </c>
      <c r="AH226" s="458">
        <v>0</v>
      </c>
      <c r="AI226" s="459">
        <v>0</v>
      </c>
      <c r="AJ226" s="458">
        <v>0</v>
      </c>
      <c r="AK226" s="459">
        <v>0</v>
      </c>
      <c r="AL226" s="459">
        <v>0</v>
      </c>
      <c r="AM226" s="459">
        <v>0</v>
      </c>
      <c r="AN226" s="459"/>
      <c r="AO226" s="459">
        <v>0</v>
      </c>
      <c r="AP226" s="460"/>
      <c r="AQ226" s="460"/>
      <c r="AR226" s="460"/>
      <c r="AS226" s="460"/>
      <c r="AT226" s="460"/>
      <c r="AU226" s="460"/>
      <c r="AV226" s="460"/>
      <c r="AW226" s="460"/>
      <c r="AX226" s="460"/>
      <c r="AY226" s="460"/>
      <c r="AZ226" s="460"/>
      <c r="BA226" s="460"/>
      <c r="BB226" s="460"/>
      <c r="BC226" s="460"/>
      <c r="BD226" s="460"/>
      <c r="BE226" s="460"/>
      <c r="BF226" s="460"/>
      <c r="BG226" s="460"/>
      <c r="BH226" s="460"/>
      <c r="BI226" s="460"/>
      <c r="BJ226" s="460"/>
      <c r="BK226" s="460"/>
      <c r="BL226" s="460"/>
      <c r="BM226" s="460"/>
      <c r="BN226" s="460"/>
      <c r="BO226" s="460"/>
      <c r="BP226" s="460"/>
      <c r="BQ226" s="460"/>
      <c r="BR226" s="460"/>
      <c r="BS226" s="460"/>
      <c r="BT226" s="460"/>
      <c r="BU226" s="460"/>
      <c r="BV226" s="460"/>
      <c r="BW226" s="460"/>
      <c r="BX226" s="460"/>
      <c r="BY226" s="460"/>
      <c r="BZ226" s="460"/>
      <c r="CA226" s="460"/>
      <c r="CB226" s="460"/>
      <c r="CC226" s="460"/>
      <c r="CD226" s="460"/>
      <c r="CE226" s="460"/>
      <c r="CF226" s="460"/>
      <c r="CG226" s="460"/>
      <c r="CH226" s="460"/>
      <c r="CI226" s="460"/>
      <c r="CJ226" s="460"/>
      <c r="CK226" s="460"/>
    </row>
    <row r="227" spans="1:89" s="329" customFormat="1" ht="36" customHeight="1" x14ac:dyDescent="0.25">
      <c r="A227" s="329">
        <v>1</v>
      </c>
      <c r="B227" s="39">
        <f>SUBTOTAL(103,$A$16:A227)</f>
        <v>209</v>
      </c>
      <c r="C227" s="33" t="s">
        <v>1224</v>
      </c>
      <c r="D227" s="330">
        <v>1984</v>
      </c>
      <c r="E227" s="330"/>
      <c r="F227" s="331" t="s">
        <v>63</v>
      </c>
      <c r="G227" s="330">
        <v>9</v>
      </c>
      <c r="H227" s="330" t="s">
        <v>61</v>
      </c>
      <c r="I227" s="38">
        <v>6500.5</v>
      </c>
      <c r="J227" s="38">
        <v>5846.6</v>
      </c>
      <c r="K227" s="38">
        <v>5846.6</v>
      </c>
      <c r="L227" s="332">
        <v>233</v>
      </c>
      <c r="M227" s="330" t="s">
        <v>46</v>
      </c>
      <c r="N227" s="330" t="s">
        <v>50</v>
      </c>
      <c r="O227" s="333" t="s">
        <v>2021</v>
      </c>
      <c r="P227" s="38">
        <v>4354761.09</v>
      </c>
      <c r="Q227" s="38">
        <v>0</v>
      </c>
      <c r="R227" s="38">
        <v>0</v>
      </c>
      <c r="S227" s="38">
        <f>P227-R227-Q227</f>
        <v>4354761.09</v>
      </c>
      <c r="T227" s="38">
        <f t="shared" si="22"/>
        <v>669.911712945158</v>
      </c>
      <c r="U227" s="38">
        <v>1134.2819783093607</v>
      </c>
      <c r="V227" s="458">
        <f t="shared" si="23"/>
        <v>464.37026536420274</v>
      </c>
      <c r="W227" s="458">
        <f t="shared" si="21"/>
        <v>378.09399276978695</v>
      </c>
      <c r="X227" s="458">
        <v>0</v>
      </c>
      <c r="Y227" s="459">
        <v>0</v>
      </c>
      <c r="Z227" s="459">
        <v>0</v>
      </c>
      <c r="AA227" s="459">
        <v>0</v>
      </c>
      <c r="AB227" s="459">
        <v>0</v>
      </c>
      <c r="AC227" s="459">
        <v>1</v>
      </c>
      <c r="AD227" s="458">
        <f t="shared" si="24"/>
        <v>378.09399276978695</v>
      </c>
      <c r="AE227" s="459">
        <v>0</v>
      </c>
      <c r="AF227" s="458">
        <v>0</v>
      </c>
      <c r="AG227" s="459">
        <v>0</v>
      </c>
      <c r="AH227" s="458">
        <v>0</v>
      </c>
      <c r="AI227" s="459">
        <v>0</v>
      </c>
      <c r="AJ227" s="458">
        <v>0</v>
      </c>
      <c r="AK227" s="459">
        <v>0</v>
      </c>
      <c r="AL227" s="459">
        <v>0</v>
      </c>
      <c r="AM227" s="459">
        <v>0</v>
      </c>
      <c r="AN227" s="459"/>
      <c r="AO227" s="459">
        <v>0</v>
      </c>
      <c r="AP227" s="460"/>
      <c r="AQ227" s="460"/>
      <c r="AR227" s="460"/>
      <c r="AS227" s="460"/>
      <c r="AT227" s="460"/>
      <c r="AU227" s="460"/>
      <c r="AV227" s="460"/>
      <c r="AW227" s="460"/>
      <c r="AX227" s="460"/>
      <c r="AY227" s="460"/>
      <c r="AZ227" s="460"/>
      <c r="BA227" s="460"/>
      <c r="BB227" s="460"/>
      <c r="BC227" s="460"/>
      <c r="BD227" s="460"/>
      <c r="BE227" s="460"/>
      <c r="BF227" s="460"/>
      <c r="BG227" s="460"/>
      <c r="BH227" s="460"/>
      <c r="BI227" s="460"/>
      <c r="BJ227" s="460"/>
      <c r="BK227" s="460"/>
      <c r="BL227" s="460"/>
      <c r="BM227" s="460"/>
      <c r="BN227" s="460"/>
      <c r="BO227" s="460"/>
      <c r="BP227" s="460"/>
      <c r="BQ227" s="460"/>
      <c r="BR227" s="460"/>
      <c r="BS227" s="460"/>
      <c r="BT227" s="460"/>
      <c r="BU227" s="460"/>
      <c r="BV227" s="460"/>
      <c r="BW227" s="460"/>
      <c r="BX227" s="460"/>
      <c r="BY227" s="460"/>
      <c r="BZ227" s="460"/>
      <c r="CA227" s="460"/>
      <c r="CB227" s="460"/>
      <c r="CC227" s="460"/>
      <c r="CD227" s="460"/>
      <c r="CE227" s="460"/>
      <c r="CF227" s="460"/>
      <c r="CG227" s="460"/>
      <c r="CH227" s="460"/>
      <c r="CI227" s="460"/>
      <c r="CJ227" s="460"/>
      <c r="CK227" s="460"/>
    </row>
    <row r="228" spans="1:89" s="329" customFormat="1" ht="36" customHeight="1" x14ac:dyDescent="0.25">
      <c r="A228" s="329">
        <v>1</v>
      </c>
      <c r="B228" s="39">
        <f>SUBTOTAL(103,$A$16:A228)</f>
        <v>210</v>
      </c>
      <c r="C228" s="33" t="s">
        <v>1225</v>
      </c>
      <c r="D228" s="330">
        <v>1992</v>
      </c>
      <c r="E228" s="330"/>
      <c r="F228" s="331" t="s">
        <v>63</v>
      </c>
      <c r="G228" s="330">
        <v>9</v>
      </c>
      <c r="H228" s="330" t="s">
        <v>61</v>
      </c>
      <c r="I228" s="38">
        <v>8073.1</v>
      </c>
      <c r="J228" s="38">
        <v>5829</v>
      </c>
      <c r="K228" s="38">
        <v>5829</v>
      </c>
      <c r="L228" s="332">
        <v>241</v>
      </c>
      <c r="M228" s="330" t="s">
        <v>46</v>
      </c>
      <c r="N228" s="330" t="s">
        <v>50</v>
      </c>
      <c r="O228" s="333" t="s">
        <v>2007</v>
      </c>
      <c r="P228" s="38">
        <v>6862081.1600000001</v>
      </c>
      <c r="Q228" s="38">
        <v>0</v>
      </c>
      <c r="R228" s="38">
        <v>0</v>
      </c>
      <c r="S228" s="38">
        <f>P228-R228-Q228</f>
        <v>6862081.1600000001</v>
      </c>
      <c r="T228" s="38">
        <f t="shared" si="22"/>
        <v>849.99333093854898</v>
      </c>
      <c r="U228" s="38">
        <v>913.32945213115158</v>
      </c>
      <c r="V228" s="458">
        <f t="shared" si="23"/>
        <v>63.336121192602604</v>
      </c>
      <c r="W228" s="458">
        <f t="shared" si="21"/>
        <v>608.88630142076772</v>
      </c>
      <c r="X228" s="458">
        <v>0</v>
      </c>
      <c r="Y228" s="459">
        <v>0</v>
      </c>
      <c r="Z228" s="459">
        <v>0</v>
      </c>
      <c r="AA228" s="459">
        <v>0</v>
      </c>
      <c r="AB228" s="459">
        <v>0</v>
      </c>
      <c r="AC228" s="459">
        <v>2</v>
      </c>
      <c r="AD228" s="458">
        <f t="shared" si="24"/>
        <v>608.88630142076772</v>
      </c>
      <c r="AE228" s="459">
        <v>0</v>
      </c>
      <c r="AF228" s="458">
        <v>0</v>
      </c>
      <c r="AG228" s="459">
        <v>0</v>
      </c>
      <c r="AH228" s="458">
        <v>0</v>
      </c>
      <c r="AI228" s="459">
        <v>0</v>
      </c>
      <c r="AJ228" s="458">
        <v>0</v>
      </c>
      <c r="AK228" s="459">
        <v>0</v>
      </c>
      <c r="AL228" s="459">
        <v>0</v>
      </c>
      <c r="AM228" s="459">
        <v>0</v>
      </c>
      <c r="AN228" s="459"/>
      <c r="AO228" s="459">
        <v>0</v>
      </c>
      <c r="AP228" s="460"/>
      <c r="AQ228" s="460"/>
      <c r="AR228" s="460"/>
      <c r="AS228" s="460"/>
      <c r="AT228" s="460"/>
      <c r="AU228" s="460"/>
      <c r="AV228" s="460"/>
      <c r="AW228" s="460"/>
      <c r="AX228" s="460"/>
      <c r="AY228" s="460"/>
      <c r="AZ228" s="460"/>
      <c r="BA228" s="460"/>
      <c r="BB228" s="460"/>
      <c r="BC228" s="460"/>
      <c r="BD228" s="460"/>
      <c r="BE228" s="460"/>
      <c r="BF228" s="460"/>
      <c r="BG228" s="460"/>
      <c r="BH228" s="460"/>
      <c r="BI228" s="460"/>
      <c r="BJ228" s="460"/>
      <c r="BK228" s="460"/>
      <c r="BL228" s="460"/>
      <c r="BM228" s="460"/>
      <c r="BN228" s="460"/>
      <c r="BO228" s="460"/>
      <c r="BP228" s="460"/>
      <c r="BQ228" s="460"/>
      <c r="BR228" s="460"/>
      <c r="BS228" s="460"/>
      <c r="BT228" s="460"/>
      <c r="BU228" s="460"/>
      <c r="BV228" s="460"/>
      <c r="BW228" s="460"/>
      <c r="BX228" s="460"/>
      <c r="BY228" s="460"/>
      <c r="BZ228" s="460"/>
      <c r="CA228" s="460"/>
      <c r="CB228" s="460"/>
      <c r="CC228" s="460"/>
      <c r="CD228" s="460"/>
      <c r="CE228" s="460"/>
      <c r="CF228" s="460"/>
      <c r="CG228" s="460"/>
      <c r="CH228" s="460"/>
      <c r="CI228" s="460"/>
      <c r="CJ228" s="460"/>
      <c r="CK228" s="460"/>
    </row>
    <row r="229" spans="1:89" s="329" customFormat="1" ht="36" customHeight="1" x14ac:dyDescent="0.25">
      <c r="A229" s="329">
        <v>1</v>
      </c>
      <c r="B229" s="39">
        <f>SUBTOTAL(103,$A$16:A229)</f>
        <v>211</v>
      </c>
      <c r="C229" s="33" t="s">
        <v>1226</v>
      </c>
      <c r="D229" s="330">
        <v>1994</v>
      </c>
      <c r="E229" s="330"/>
      <c r="F229" s="331" t="s">
        <v>63</v>
      </c>
      <c r="G229" s="330">
        <v>9</v>
      </c>
      <c r="H229" s="330" t="s">
        <v>56</v>
      </c>
      <c r="I229" s="38">
        <v>4401.8</v>
      </c>
      <c r="J229" s="38">
        <v>3886.2</v>
      </c>
      <c r="K229" s="38">
        <v>3886.2</v>
      </c>
      <c r="L229" s="332">
        <v>159</v>
      </c>
      <c r="M229" s="330" t="s">
        <v>46</v>
      </c>
      <c r="N229" s="330" t="s">
        <v>50</v>
      </c>
      <c r="O229" s="333" t="s">
        <v>2009</v>
      </c>
      <c r="P229" s="38">
        <v>4848740.71</v>
      </c>
      <c r="Q229" s="38">
        <v>0</v>
      </c>
      <c r="R229" s="38">
        <v>0</v>
      </c>
      <c r="S229" s="38">
        <f>P229-R229-Q229</f>
        <v>4848740.71</v>
      </c>
      <c r="T229" s="38">
        <f t="shared" si="22"/>
        <v>1101.5358966786314</v>
      </c>
      <c r="U229" s="38">
        <v>1116.7249761461219</v>
      </c>
      <c r="V229" s="458">
        <f t="shared" si="23"/>
        <v>15.189079467490501</v>
      </c>
      <c r="W229" s="458">
        <f t="shared" si="21"/>
        <v>1675.0874642191829</v>
      </c>
      <c r="X229" s="458">
        <v>0</v>
      </c>
      <c r="Y229" s="459">
        <v>0</v>
      </c>
      <c r="Z229" s="459">
        <v>0</v>
      </c>
      <c r="AA229" s="459">
        <v>0</v>
      </c>
      <c r="AB229" s="459">
        <v>0</v>
      </c>
      <c r="AC229" s="459">
        <v>3</v>
      </c>
      <c r="AD229" s="458">
        <f t="shared" si="24"/>
        <v>1675.0874642191829</v>
      </c>
      <c r="AE229" s="459">
        <v>0</v>
      </c>
      <c r="AF229" s="458">
        <v>0</v>
      </c>
      <c r="AG229" s="459">
        <v>0</v>
      </c>
      <c r="AH229" s="458">
        <v>0</v>
      </c>
      <c r="AI229" s="459">
        <v>0</v>
      </c>
      <c r="AJ229" s="458">
        <v>0</v>
      </c>
      <c r="AK229" s="459">
        <v>0</v>
      </c>
      <c r="AL229" s="459">
        <v>0</v>
      </c>
      <c r="AM229" s="459">
        <v>0</v>
      </c>
      <c r="AN229" s="459"/>
      <c r="AO229" s="459">
        <v>0</v>
      </c>
      <c r="AP229" s="460"/>
      <c r="AQ229" s="460"/>
      <c r="AR229" s="460"/>
      <c r="AS229" s="460"/>
      <c r="AT229" s="460"/>
      <c r="AU229" s="460"/>
      <c r="AV229" s="460"/>
      <c r="AW229" s="460"/>
      <c r="AX229" s="460"/>
      <c r="AY229" s="460"/>
      <c r="AZ229" s="460"/>
      <c r="BA229" s="460"/>
      <c r="BB229" s="460"/>
      <c r="BC229" s="460"/>
      <c r="BD229" s="460"/>
      <c r="BE229" s="460"/>
      <c r="BF229" s="460"/>
      <c r="BG229" s="460"/>
      <c r="BH229" s="460"/>
      <c r="BI229" s="460"/>
      <c r="BJ229" s="460"/>
      <c r="BK229" s="460"/>
      <c r="BL229" s="460"/>
      <c r="BM229" s="460"/>
      <c r="BN229" s="460"/>
      <c r="BO229" s="460"/>
      <c r="BP229" s="460"/>
      <c r="BQ229" s="460"/>
      <c r="BR229" s="460"/>
      <c r="BS229" s="460"/>
      <c r="BT229" s="460"/>
      <c r="BU229" s="460"/>
      <c r="BV229" s="460"/>
      <c r="BW229" s="460"/>
      <c r="BX229" s="460"/>
      <c r="BY229" s="460"/>
      <c r="BZ229" s="460"/>
      <c r="CA229" s="460"/>
      <c r="CB229" s="460"/>
      <c r="CC229" s="460"/>
      <c r="CD229" s="460"/>
      <c r="CE229" s="460"/>
      <c r="CF229" s="460"/>
      <c r="CG229" s="460"/>
      <c r="CH229" s="460"/>
      <c r="CI229" s="460"/>
      <c r="CJ229" s="460"/>
      <c r="CK229" s="460"/>
    </row>
    <row r="230" spans="1:89" s="329" customFormat="1" ht="36" customHeight="1" x14ac:dyDescent="0.25">
      <c r="A230" s="329">
        <v>1</v>
      </c>
      <c r="B230" s="39">
        <f>SUBTOTAL(103,$A$16:A230)</f>
        <v>212</v>
      </c>
      <c r="C230" s="33" t="s">
        <v>1227</v>
      </c>
      <c r="D230" s="330">
        <v>1992</v>
      </c>
      <c r="E230" s="330"/>
      <c r="F230" s="331" t="s">
        <v>63</v>
      </c>
      <c r="G230" s="330">
        <v>9</v>
      </c>
      <c r="H230" s="330" t="s">
        <v>56</v>
      </c>
      <c r="I230" s="38">
        <v>4929.04</v>
      </c>
      <c r="J230" s="38">
        <v>3924.5</v>
      </c>
      <c r="K230" s="38">
        <v>3924.5</v>
      </c>
      <c r="L230" s="332">
        <v>180</v>
      </c>
      <c r="M230" s="330" t="s">
        <v>46</v>
      </c>
      <c r="N230" s="330" t="s">
        <v>50</v>
      </c>
      <c r="O230" s="333" t="s">
        <v>2022</v>
      </c>
      <c r="P230" s="38">
        <v>4848888.49</v>
      </c>
      <c r="Q230" s="38">
        <v>0</v>
      </c>
      <c r="R230" s="38">
        <v>0</v>
      </c>
      <c r="S230" s="38">
        <f>P230-R230-Q230</f>
        <v>4848888.49</v>
      </c>
      <c r="T230" s="38">
        <f t="shared" si="22"/>
        <v>983.73892076347533</v>
      </c>
      <c r="U230" s="38">
        <v>997.27330271208996</v>
      </c>
      <c r="V230" s="458">
        <f t="shared" si="23"/>
        <v>13.534381948614623</v>
      </c>
      <c r="W230" s="458">
        <f>X230+Y230+Z230+AA230+AB230+AD230+AF230+AH230+AJ230+AL230+AN230+AO230</f>
        <v>712.1</v>
      </c>
      <c r="X230" s="458">
        <v>0</v>
      </c>
      <c r="Y230" s="459">
        <v>0</v>
      </c>
      <c r="Z230" s="459">
        <v>0</v>
      </c>
      <c r="AA230" s="459">
        <v>0</v>
      </c>
      <c r="AB230" s="459">
        <v>0</v>
      </c>
      <c r="AC230" s="459">
        <v>0</v>
      </c>
      <c r="AD230" s="459">
        <v>0</v>
      </c>
      <c r="AE230" s="459">
        <v>0</v>
      </c>
      <c r="AF230" s="458">
        <v>0</v>
      </c>
      <c r="AG230" s="459">
        <v>0</v>
      </c>
      <c r="AH230" s="458">
        <v>0</v>
      </c>
      <c r="AI230" s="459">
        <v>0</v>
      </c>
      <c r="AJ230" s="458">
        <v>0</v>
      </c>
      <c r="AK230" s="459">
        <v>0</v>
      </c>
      <c r="AL230" s="459">
        <v>0</v>
      </c>
      <c r="AM230" s="459">
        <v>0</v>
      </c>
      <c r="AN230" s="459"/>
      <c r="AO230" s="459">
        <v>712.1</v>
      </c>
      <c r="AP230" s="460"/>
      <c r="AQ230" s="460"/>
      <c r="AR230" s="460"/>
      <c r="AS230" s="460"/>
      <c r="AT230" s="460"/>
      <c r="AU230" s="460"/>
      <c r="AV230" s="460"/>
      <c r="AW230" s="460"/>
      <c r="AX230" s="460"/>
      <c r="AY230" s="460"/>
      <c r="AZ230" s="460"/>
      <c r="BA230" s="460"/>
      <c r="BB230" s="460"/>
      <c r="BC230" s="460"/>
      <c r="BD230" s="460"/>
      <c r="BE230" s="460"/>
      <c r="BF230" s="460"/>
      <c r="BG230" s="460"/>
      <c r="BH230" s="460"/>
      <c r="BI230" s="460"/>
      <c r="BJ230" s="460"/>
      <c r="BK230" s="460"/>
      <c r="BL230" s="460"/>
      <c r="BM230" s="460"/>
      <c r="BN230" s="460"/>
      <c r="BO230" s="460"/>
      <c r="BP230" s="460"/>
      <c r="BQ230" s="460"/>
      <c r="BR230" s="460"/>
      <c r="BS230" s="460"/>
      <c r="BT230" s="460"/>
      <c r="BU230" s="460"/>
      <c r="BV230" s="460"/>
      <c r="BW230" s="460"/>
      <c r="BX230" s="460"/>
      <c r="BY230" s="460"/>
      <c r="BZ230" s="460"/>
      <c r="CA230" s="460"/>
      <c r="CB230" s="460"/>
      <c r="CC230" s="460"/>
      <c r="CD230" s="460"/>
      <c r="CE230" s="460"/>
      <c r="CF230" s="460"/>
      <c r="CG230" s="460"/>
      <c r="CH230" s="460"/>
      <c r="CI230" s="460"/>
      <c r="CJ230" s="460"/>
      <c r="CK230" s="460"/>
    </row>
    <row r="231" spans="1:89" s="329" customFormat="1" ht="36" customHeight="1" x14ac:dyDescent="0.25">
      <c r="A231" s="329">
        <v>1</v>
      </c>
      <c r="B231" s="39">
        <f>SUBTOTAL(103,$A$16:A231)</f>
        <v>213</v>
      </c>
      <c r="C231" s="33" t="s">
        <v>1228</v>
      </c>
      <c r="D231" s="330">
        <v>1993</v>
      </c>
      <c r="E231" s="330"/>
      <c r="F231" s="331" t="s">
        <v>63</v>
      </c>
      <c r="G231" s="330">
        <v>9</v>
      </c>
      <c r="H231" s="330" t="s">
        <v>59</v>
      </c>
      <c r="I231" s="334">
        <v>11047.1</v>
      </c>
      <c r="J231" s="334">
        <v>7851.2</v>
      </c>
      <c r="K231" s="334">
        <v>7851.2</v>
      </c>
      <c r="L231" s="332">
        <v>267</v>
      </c>
      <c r="M231" s="330" t="s">
        <v>46</v>
      </c>
      <c r="N231" s="330" t="s">
        <v>50</v>
      </c>
      <c r="O231" s="333" t="s">
        <v>2023</v>
      </c>
      <c r="P231" s="38">
        <v>123350.33</v>
      </c>
      <c r="Q231" s="38">
        <v>0</v>
      </c>
      <c r="R231" s="38">
        <v>0</v>
      </c>
      <c r="S231" s="38">
        <f>P231-Q231-R231</f>
        <v>123350.33</v>
      </c>
      <c r="T231" s="38">
        <f t="shared" si="22"/>
        <v>11.16585619755411</v>
      </c>
      <c r="U231" s="38">
        <v>11.16585619755411</v>
      </c>
      <c r="V231" s="458">
        <f t="shared" si="23"/>
        <v>0</v>
      </c>
      <c r="W231" s="458">
        <f t="shared" si="21"/>
        <v>667.45118628418311</v>
      </c>
      <c r="X231" s="458">
        <v>0</v>
      </c>
      <c r="Y231" s="459">
        <v>0</v>
      </c>
      <c r="Z231" s="459">
        <v>0</v>
      </c>
      <c r="AA231" s="459">
        <v>0</v>
      </c>
      <c r="AB231" s="459">
        <v>0</v>
      </c>
      <c r="AC231" s="459">
        <v>3</v>
      </c>
      <c r="AD231" s="458">
        <f>2457800*AC231/I231</f>
        <v>667.45118628418311</v>
      </c>
      <c r="AE231" s="459">
        <v>0</v>
      </c>
      <c r="AF231" s="458">
        <v>0</v>
      </c>
      <c r="AG231" s="459">
        <v>0</v>
      </c>
      <c r="AH231" s="458">
        <v>0</v>
      </c>
      <c r="AI231" s="459">
        <v>0</v>
      </c>
      <c r="AJ231" s="458">
        <v>0</v>
      </c>
      <c r="AK231" s="459">
        <v>0</v>
      </c>
      <c r="AL231" s="459">
        <v>0</v>
      </c>
      <c r="AM231" s="459">
        <v>0</v>
      </c>
      <c r="AN231" s="459"/>
      <c r="AO231" s="459">
        <v>0</v>
      </c>
      <c r="AP231" s="460"/>
      <c r="AQ231" s="460"/>
      <c r="AR231" s="460"/>
      <c r="AS231" s="460"/>
      <c r="AT231" s="460"/>
      <c r="AU231" s="460"/>
      <c r="AV231" s="460"/>
      <c r="AW231" s="460"/>
      <c r="AX231" s="460"/>
      <c r="AY231" s="460"/>
      <c r="AZ231" s="460"/>
      <c r="BA231" s="460"/>
      <c r="BB231" s="460"/>
      <c r="BC231" s="460"/>
      <c r="BD231" s="460"/>
      <c r="BE231" s="460"/>
      <c r="BF231" s="460"/>
      <c r="BG231" s="460"/>
      <c r="BH231" s="460"/>
      <c r="BI231" s="460"/>
      <c r="BJ231" s="460"/>
      <c r="BK231" s="460"/>
      <c r="BL231" s="460"/>
      <c r="BM231" s="460"/>
      <c r="BN231" s="460"/>
      <c r="BO231" s="460"/>
      <c r="BP231" s="460"/>
      <c r="BQ231" s="460"/>
      <c r="BR231" s="460"/>
      <c r="BS231" s="460"/>
      <c r="BT231" s="460"/>
      <c r="BU231" s="460"/>
      <c r="BV231" s="460"/>
      <c r="BW231" s="460"/>
      <c r="BX231" s="460"/>
      <c r="BY231" s="460"/>
      <c r="BZ231" s="460"/>
      <c r="CA231" s="460"/>
      <c r="CB231" s="460"/>
      <c r="CC231" s="460"/>
      <c r="CD231" s="460"/>
      <c r="CE231" s="460"/>
      <c r="CF231" s="460"/>
      <c r="CG231" s="460"/>
      <c r="CH231" s="460"/>
      <c r="CI231" s="460"/>
      <c r="CJ231" s="460"/>
      <c r="CK231" s="460"/>
    </row>
    <row r="232" spans="1:89" s="329" customFormat="1" ht="36" customHeight="1" x14ac:dyDescent="0.25">
      <c r="A232" s="329">
        <v>1</v>
      </c>
      <c r="B232" s="39">
        <f>SUBTOTAL(103,$A$16:A232)</f>
        <v>214</v>
      </c>
      <c r="C232" s="33" t="s">
        <v>1229</v>
      </c>
      <c r="D232" s="330">
        <v>1990</v>
      </c>
      <c r="E232" s="330"/>
      <c r="F232" s="331" t="s">
        <v>48</v>
      </c>
      <c r="G232" s="330">
        <v>9</v>
      </c>
      <c r="H232" s="330" t="s">
        <v>57</v>
      </c>
      <c r="I232" s="334">
        <v>5846.4</v>
      </c>
      <c r="J232" s="334">
        <v>4863.8999999999996</v>
      </c>
      <c r="K232" s="334">
        <v>4863.8999999999996</v>
      </c>
      <c r="L232" s="332">
        <v>374</v>
      </c>
      <c r="M232" s="330" t="s">
        <v>46</v>
      </c>
      <c r="N232" s="330" t="s">
        <v>50</v>
      </c>
      <c r="O232" s="333" t="s">
        <v>2024</v>
      </c>
      <c r="P232" s="38">
        <v>2226554.6800000002</v>
      </c>
      <c r="Q232" s="38">
        <v>0</v>
      </c>
      <c r="R232" s="38">
        <v>0</v>
      </c>
      <c r="S232" s="38">
        <f>P232-Q232-R232</f>
        <v>2226554.6800000002</v>
      </c>
      <c r="T232" s="38">
        <f t="shared" si="22"/>
        <v>380.84200191570886</v>
      </c>
      <c r="U232" s="38">
        <v>420.39545703338808</v>
      </c>
      <c r="V232" s="458">
        <f t="shared" si="23"/>
        <v>39.553455117679221</v>
      </c>
      <c r="W232" s="458">
        <f t="shared" si="21"/>
        <v>840.79091406677617</v>
      </c>
      <c r="X232" s="458">
        <v>0</v>
      </c>
      <c r="Y232" s="459">
        <v>0</v>
      </c>
      <c r="Z232" s="459">
        <v>0</v>
      </c>
      <c r="AA232" s="459">
        <v>0</v>
      </c>
      <c r="AB232" s="459">
        <v>0</v>
      </c>
      <c r="AC232" s="459">
        <v>2</v>
      </c>
      <c r="AD232" s="458">
        <f>2457800*AC232/I232</f>
        <v>840.79091406677617</v>
      </c>
      <c r="AE232" s="459">
        <v>0</v>
      </c>
      <c r="AF232" s="458">
        <v>0</v>
      </c>
      <c r="AG232" s="459">
        <v>0</v>
      </c>
      <c r="AH232" s="458">
        <v>0</v>
      </c>
      <c r="AI232" s="459">
        <v>0</v>
      </c>
      <c r="AJ232" s="458">
        <v>0</v>
      </c>
      <c r="AK232" s="459">
        <v>0</v>
      </c>
      <c r="AL232" s="459">
        <v>0</v>
      </c>
      <c r="AM232" s="459">
        <v>0</v>
      </c>
      <c r="AN232" s="459"/>
      <c r="AO232" s="459">
        <v>0</v>
      </c>
      <c r="AP232" s="460"/>
      <c r="AQ232" s="460"/>
      <c r="AR232" s="460"/>
      <c r="AS232" s="460"/>
      <c r="AT232" s="460"/>
      <c r="AU232" s="460"/>
      <c r="AV232" s="460"/>
      <c r="AW232" s="460"/>
      <c r="AX232" s="460"/>
      <c r="AY232" s="460"/>
      <c r="AZ232" s="460"/>
      <c r="BA232" s="460"/>
      <c r="BB232" s="460"/>
      <c r="BC232" s="460"/>
      <c r="BD232" s="460"/>
      <c r="BE232" s="460"/>
      <c r="BF232" s="460"/>
      <c r="BG232" s="460"/>
      <c r="BH232" s="460"/>
      <c r="BI232" s="460"/>
      <c r="BJ232" s="460"/>
      <c r="BK232" s="460"/>
      <c r="BL232" s="460"/>
      <c r="BM232" s="460"/>
      <c r="BN232" s="460"/>
      <c r="BO232" s="460"/>
      <c r="BP232" s="460"/>
      <c r="BQ232" s="460"/>
      <c r="BR232" s="460"/>
      <c r="BS232" s="460"/>
      <c r="BT232" s="460"/>
      <c r="BU232" s="460"/>
      <c r="BV232" s="460"/>
      <c r="BW232" s="460"/>
      <c r="BX232" s="460"/>
      <c r="BY232" s="460"/>
      <c r="BZ232" s="460"/>
      <c r="CA232" s="460"/>
      <c r="CB232" s="460"/>
      <c r="CC232" s="460"/>
      <c r="CD232" s="460"/>
      <c r="CE232" s="460"/>
      <c r="CF232" s="460"/>
      <c r="CG232" s="460"/>
      <c r="CH232" s="460"/>
      <c r="CI232" s="460"/>
      <c r="CJ232" s="460"/>
      <c r="CK232" s="460"/>
    </row>
    <row r="233" spans="1:89" s="329" customFormat="1" ht="36" customHeight="1" x14ac:dyDescent="0.25">
      <c r="A233" s="329">
        <v>1</v>
      </c>
      <c r="B233" s="39">
        <f>SUBTOTAL(103,$A$16:A233)</f>
        <v>215</v>
      </c>
      <c r="C233" s="33" t="s">
        <v>1230</v>
      </c>
      <c r="D233" s="330">
        <v>1991</v>
      </c>
      <c r="E233" s="330"/>
      <c r="F233" s="331" t="s">
        <v>63</v>
      </c>
      <c r="G233" s="330">
        <v>9</v>
      </c>
      <c r="H233" s="330" t="s">
        <v>56</v>
      </c>
      <c r="I233" s="334">
        <v>5099.5</v>
      </c>
      <c r="J233" s="334">
        <v>3949.7</v>
      </c>
      <c r="K233" s="334">
        <v>3949.7</v>
      </c>
      <c r="L233" s="332">
        <v>168</v>
      </c>
      <c r="M233" s="330" t="s">
        <v>46</v>
      </c>
      <c r="N233" s="330" t="s">
        <v>50</v>
      </c>
      <c r="O233" s="333" t="s">
        <v>2025</v>
      </c>
      <c r="P233" s="38">
        <v>4654905.9400000004</v>
      </c>
      <c r="Q233" s="38">
        <v>0</v>
      </c>
      <c r="R233" s="38">
        <v>0</v>
      </c>
      <c r="S233" s="38">
        <f>P233-Q233-R233</f>
        <v>4654905.9400000004</v>
      </c>
      <c r="T233" s="38">
        <f t="shared" si="22"/>
        <v>912.81614668104726</v>
      </c>
      <c r="U233" s="38">
        <v>963.93764094519065</v>
      </c>
      <c r="V233" s="458">
        <f t="shared" si="23"/>
        <v>51.121494264143394</v>
      </c>
      <c r="W233" s="458">
        <f t="shared" si="21"/>
        <v>963.93764094519065</v>
      </c>
      <c r="X233" s="458">
        <v>0</v>
      </c>
      <c r="Y233" s="459">
        <v>0</v>
      </c>
      <c r="Z233" s="459">
        <v>0</v>
      </c>
      <c r="AA233" s="459">
        <v>0</v>
      </c>
      <c r="AB233" s="459">
        <v>0</v>
      </c>
      <c r="AC233" s="459">
        <v>2</v>
      </c>
      <c r="AD233" s="458">
        <f>2457800*AC233/I233</f>
        <v>963.93764094519065</v>
      </c>
      <c r="AE233" s="459">
        <v>0</v>
      </c>
      <c r="AF233" s="458">
        <v>0</v>
      </c>
      <c r="AG233" s="459">
        <v>0</v>
      </c>
      <c r="AH233" s="458">
        <v>0</v>
      </c>
      <c r="AI233" s="459">
        <v>0</v>
      </c>
      <c r="AJ233" s="458">
        <v>0</v>
      </c>
      <c r="AK233" s="459">
        <v>0</v>
      </c>
      <c r="AL233" s="459">
        <v>0</v>
      </c>
      <c r="AM233" s="459">
        <v>0</v>
      </c>
      <c r="AN233" s="459"/>
      <c r="AO233" s="459">
        <v>0</v>
      </c>
      <c r="AP233" s="460"/>
      <c r="AQ233" s="460"/>
      <c r="AR233" s="460"/>
      <c r="AS233" s="460"/>
      <c r="AT233" s="460"/>
      <c r="AU233" s="460"/>
      <c r="AV233" s="460"/>
      <c r="AW233" s="460"/>
      <c r="AX233" s="460"/>
      <c r="AY233" s="460"/>
      <c r="AZ233" s="460"/>
      <c r="BA233" s="460"/>
      <c r="BB233" s="460"/>
      <c r="BC233" s="460"/>
      <c r="BD233" s="460"/>
      <c r="BE233" s="460"/>
      <c r="BF233" s="460"/>
      <c r="BG233" s="460"/>
      <c r="BH233" s="460"/>
      <c r="BI233" s="460"/>
      <c r="BJ233" s="460"/>
      <c r="BK233" s="460"/>
      <c r="BL233" s="460"/>
      <c r="BM233" s="460"/>
      <c r="BN233" s="460"/>
      <c r="BO233" s="460"/>
      <c r="BP233" s="460"/>
      <c r="BQ233" s="460"/>
      <c r="BR233" s="460"/>
      <c r="BS233" s="460"/>
      <c r="BT233" s="460"/>
      <c r="BU233" s="460"/>
      <c r="BV233" s="460"/>
      <c r="BW233" s="460"/>
      <c r="BX233" s="460"/>
      <c r="BY233" s="460"/>
      <c r="BZ233" s="460"/>
      <c r="CA233" s="460"/>
      <c r="CB233" s="460"/>
      <c r="CC233" s="460"/>
      <c r="CD233" s="460"/>
      <c r="CE233" s="460"/>
      <c r="CF233" s="460"/>
      <c r="CG233" s="460"/>
      <c r="CH233" s="460"/>
      <c r="CI233" s="460"/>
      <c r="CJ233" s="460"/>
      <c r="CK233" s="460"/>
    </row>
    <row r="234" spans="1:89" s="329" customFormat="1" ht="36" customHeight="1" x14ac:dyDescent="0.25">
      <c r="A234" s="329">
        <v>1</v>
      </c>
      <c r="B234" s="39">
        <f>SUBTOTAL(103,$A$16:A234)</f>
        <v>216</v>
      </c>
      <c r="C234" s="33" t="s">
        <v>1231</v>
      </c>
      <c r="D234" s="330">
        <v>1937</v>
      </c>
      <c r="E234" s="330"/>
      <c r="F234" s="331" t="s">
        <v>48</v>
      </c>
      <c r="G234" s="330" t="s">
        <v>59</v>
      </c>
      <c r="H234" s="330" t="s">
        <v>61</v>
      </c>
      <c r="I234" s="38">
        <v>1585.9</v>
      </c>
      <c r="J234" s="38">
        <v>1585.9</v>
      </c>
      <c r="K234" s="38">
        <v>1465.1</v>
      </c>
      <c r="L234" s="332">
        <v>36</v>
      </c>
      <c r="M234" s="330" t="s">
        <v>46</v>
      </c>
      <c r="N234" s="330" t="s">
        <v>47</v>
      </c>
      <c r="O234" s="333" t="s">
        <v>49</v>
      </c>
      <c r="P234" s="38">
        <v>210000</v>
      </c>
      <c r="Q234" s="38">
        <v>0</v>
      </c>
      <c r="R234" s="38">
        <v>0</v>
      </c>
      <c r="S234" s="38">
        <f t="shared" ref="S234" si="25">P234-Q234-R234</f>
        <v>210000</v>
      </c>
      <c r="T234" s="38">
        <f t="shared" si="22"/>
        <v>132.41692414401916</v>
      </c>
      <c r="U234" s="38">
        <f>T234</f>
        <v>132.41692414401916</v>
      </c>
      <c r="V234" s="458">
        <f t="shared" si="23"/>
        <v>0</v>
      </c>
      <c r="W234" s="458">
        <f t="shared" si="21"/>
        <v>12120.693789015701</v>
      </c>
      <c r="X234" s="458">
        <v>0</v>
      </c>
      <c r="Y234" s="459">
        <v>0</v>
      </c>
      <c r="Z234" s="459">
        <v>0</v>
      </c>
      <c r="AA234" s="459">
        <v>0</v>
      </c>
      <c r="AB234" s="459">
        <v>0</v>
      </c>
      <c r="AC234" s="459">
        <v>0</v>
      </c>
      <c r="AD234" s="459">
        <v>0</v>
      </c>
      <c r="AE234" s="459">
        <v>627</v>
      </c>
      <c r="AF234" s="458">
        <f>6238.91*AE234/I234</f>
        <v>2466.6098556024967</v>
      </c>
      <c r="AG234" s="459">
        <v>0</v>
      </c>
      <c r="AH234" s="458">
        <v>0</v>
      </c>
      <c r="AI234" s="459">
        <v>2058.1</v>
      </c>
      <c r="AJ234" s="458">
        <f>7439.1*AI234/I234</f>
        <v>9654.0839334132033</v>
      </c>
      <c r="AK234" s="459">
        <v>0</v>
      </c>
      <c r="AL234" s="459">
        <v>0</v>
      </c>
      <c r="AM234" s="459">
        <v>0</v>
      </c>
      <c r="AN234" s="459"/>
      <c r="AO234" s="459">
        <v>0</v>
      </c>
      <c r="AP234" s="460"/>
      <c r="AQ234" s="460"/>
      <c r="AR234" s="460"/>
      <c r="AS234" s="460"/>
      <c r="AT234" s="460"/>
      <c r="AU234" s="460"/>
      <c r="AV234" s="460"/>
      <c r="AW234" s="460"/>
      <c r="AX234" s="460"/>
      <c r="AY234" s="460"/>
      <c r="AZ234" s="460"/>
      <c r="BA234" s="460"/>
      <c r="BB234" s="460"/>
      <c r="BC234" s="460"/>
      <c r="BD234" s="460"/>
      <c r="BE234" s="460"/>
      <c r="BF234" s="460"/>
      <c r="BG234" s="460"/>
      <c r="BH234" s="460"/>
      <c r="BI234" s="460"/>
      <c r="BJ234" s="460"/>
      <c r="BK234" s="460"/>
      <c r="BL234" s="460"/>
      <c r="BM234" s="460"/>
      <c r="BN234" s="460"/>
      <c r="BO234" s="460"/>
      <c r="BP234" s="460"/>
      <c r="BQ234" s="460"/>
      <c r="BR234" s="460"/>
      <c r="BS234" s="460"/>
      <c r="BT234" s="460"/>
      <c r="BU234" s="460"/>
      <c r="BV234" s="460"/>
      <c r="BW234" s="460"/>
      <c r="BX234" s="460"/>
      <c r="BY234" s="460"/>
      <c r="BZ234" s="460"/>
      <c r="CA234" s="460"/>
      <c r="CB234" s="460"/>
      <c r="CC234" s="460"/>
      <c r="CD234" s="460"/>
      <c r="CE234" s="460"/>
      <c r="CF234" s="460"/>
      <c r="CG234" s="460"/>
      <c r="CH234" s="460"/>
      <c r="CI234" s="460"/>
      <c r="CJ234" s="460"/>
      <c r="CK234" s="460"/>
    </row>
    <row r="235" spans="1:89" s="329" customFormat="1" ht="36" customHeight="1" x14ac:dyDescent="0.25">
      <c r="B235" s="33" t="s">
        <v>1232</v>
      </c>
      <c r="C235" s="462"/>
      <c r="D235" s="330" t="s">
        <v>131</v>
      </c>
      <c r="E235" s="330" t="s">
        <v>131</v>
      </c>
      <c r="F235" s="330" t="s">
        <v>131</v>
      </c>
      <c r="G235" s="330" t="s">
        <v>131</v>
      </c>
      <c r="H235" s="330" t="s">
        <v>131</v>
      </c>
      <c r="I235" s="334">
        <f>SUM(I236:I240)</f>
        <v>38189.1</v>
      </c>
      <c r="J235" s="334">
        <f>SUM(J236:J240)</f>
        <v>33999.300000000003</v>
      </c>
      <c r="K235" s="334">
        <f>SUM(K236:K240)</f>
        <v>33586.1</v>
      </c>
      <c r="L235" s="332">
        <f>SUM(L236:L240)</f>
        <v>1569</v>
      </c>
      <c r="M235" s="330" t="s">
        <v>131</v>
      </c>
      <c r="N235" s="330" t="s">
        <v>131</v>
      </c>
      <c r="O235" s="333" t="s">
        <v>131</v>
      </c>
      <c r="P235" s="334">
        <v>11570369.789999999</v>
      </c>
      <c r="Q235" s="334">
        <f>SUM(Q236:Q240)</f>
        <v>0</v>
      </c>
      <c r="R235" s="334">
        <f>SUM(R236:R240)</f>
        <v>0</v>
      </c>
      <c r="S235" s="334">
        <f>SUM(S236:S240)</f>
        <v>11570369.789999999</v>
      </c>
      <c r="T235" s="38">
        <f t="shared" si="22"/>
        <v>302.975712703363</v>
      </c>
      <c r="U235" s="38">
        <f>MAX(U236:U240)</f>
        <v>5695.2876648267411</v>
      </c>
      <c r="V235" s="458">
        <f t="shared" si="23"/>
        <v>5392.3119521233784</v>
      </c>
      <c r="W235" s="458"/>
      <c r="X235" s="458"/>
      <c r="Y235" s="459"/>
      <c r="Z235" s="459"/>
      <c r="AA235" s="459"/>
      <c r="AB235" s="459"/>
      <c r="AC235" s="459"/>
      <c r="AD235" s="459"/>
      <c r="AE235" s="459"/>
      <c r="AF235" s="459"/>
      <c r="AG235" s="459"/>
      <c r="AH235" s="459"/>
      <c r="AI235" s="459"/>
      <c r="AJ235" s="459"/>
      <c r="AK235" s="459"/>
      <c r="AL235" s="459"/>
      <c r="AM235" s="459"/>
      <c r="AN235" s="459"/>
      <c r="AO235" s="459"/>
      <c r="AP235" s="460"/>
      <c r="AQ235" s="460"/>
      <c r="AR235" s="460"/>
      <c r="AS235" s="460"/>
      <c r="AT235" s="460"/>
      <c r="AU235" s="460"/>
      <c r="AV235" s="460"/>
      <c r="AW235" s="460"/>
      <c r="AX235" s="460"/>
      <c r="AY235" s="460"/>
      <c r="AZ235" s="460"/>
      <c r="BA235" s="460"/>
      <c r="BB235" s="460"/>
      <c r="BC235" s="460"/>
      <c r="BD235" s="460"/>
      <c r="BE235" s="460"/>
      <c r="BF235" s="460"/>
      <c r="BG235" s="460"/>
      <c r="BH235" s="460"/>
      <c r="BI235" s="460"/>
      <c r="BJ235" s="460"/>
      <c r="BK235" s="460"/>
      <c r="BL235" s="460"/>
      <c r="BM235" s="460"/>
      <c r="BN235" s="460"/>
      <c r="BO235" s="460"/>
      <c r="BP235" s="460"/>
      <c r="BQ235" s="460"/>
      <c r="BR235" s="460"/>
      <c r="BS235" s="460"/>
      <c r="BT235" s="460"/>
      <c r="BU235" s="460"/>
      <c r="BV235" s="460"/>
      <c r="BW235" s="460"/>
      <c r="BX235" s="460"/>
      <c r="BY235" s="460"/>
      <c r="BZ235" s="460"/>
      <c r="CA235" s="460"/>
      <c r="CB235" s="460"/>
      <c r="CC235" s="460"/>
      <c r="CD235" s="460"/>
      <c r="CE235" s="460"/>
      <c r="CF235" s="460"/>
      <c r="CG235" s="460"/>
      <c r="CH235" s="460"/>
      <c r="CI235" s="460"/>
      <c r="CJ235" s="460"/>
      <c r="CK235" s="460"/>
    </row>
    <row r="236" spans="1:89" s="329" customFormat="1" ht="36" customHeight="1" x14ac:dyDescent="0.25">
      <c r="A236" s="329">
        <v>1</v>
      </c>
      <c r="B236" s="39">
        <f>SUBTOTAL(103,$A$16:A236)</f>
        <v>217</v>
      </c>
      <c r="C236" s="33" t="s">
        <v>1001</v>
      </c>
      <c r="D236" s="330">
        <v>1977</v>
      </c>
      <c r="E236" s="330">
        <v>2016</v>
      </c>
      <c r="F236" s="331" t="s">
        <v>60</v>
      </c>
      <c r="G236" s="330">
        <v>14</v>
      </c>
      <c r="H236" s="330" t="s">
        <v>57</v>
      </c>
      <c r="I236" s="38">
        <v>4634.7</v>
      </c>
      <c r="J236" s="38">
        <v>4158.8</v>
      </c>
      <c r="K236" s="38">
        <v>3801.6</v>
      </c>
      <c r="L236" s="332">
        <v>190</v>
      </c>
      <c r="M236" s="330" t="s">
        <v>46</v>
      </c>
      <c r="N236" s="330" t="s">
        <v>50</v>
      </c>
      <c r="O236" s="333" t="s">
        <v>64</v>
      </c>
      <c r="P236" s="38">
        <v>1217400.68</v>
      </c>
      <c r="Q236" s="38">
        <v>0</v>
      </c>
      <c r="R236" s="38">
        <v>0</v>
      </c>
      <c r="S236" s="38">
        <f>P236-Q236-R236</f>
        <v>1217400.68</v>
      </c>
      <c r="T236" s="38">
        <f t="shared" si="22"/>
        <v>262.67086974345699</v>
      </c>
      <c r="U236" s="38">
        <v>521.64873195676091</v>
      </c>
      <c r="V236" s="458">
        <f t="shared" si="23"/>
        <v>258.97786221330392</v>
      </c>
      <c r="W236" s="458">
        <f t="shared" ref="W236:W240" si="26">X236+Y236+Z236+AA236+AB236+AD236+AF236+AH236+AJ236+AL236+AN236+AO236</f>
        <v>519.87551340971368</v>
      </c>
      <c r="X236" s="458">
        <v>0</v>
      </c>
      <c r="Y236" s="459">
        <v>0</v>
      </c>
      <c r="Z236" s="459">
        <v>0</v>
      </c>
      <c r="AA236" s="459">
        <v>0</v>
      </c>
      <c r="AB236" s="459">
        <v>0</v>
      </c>
      <c r="AC236" s="459">
        <v>0</v>
      </c>
      <c r="AD236" s="459">
        <v>0</v>
      </c>
      <c r="AE236" s="459">
        <v>386.2</v>
      </c>
      <c r="AF236" s="458">
        <f>6238.91*AE236/I236</f>
        <v>519.87551340971368</v>
      </c>
      <c r="AG236" s="459">
        <v>0</v>
      </c>
      <c r="AH236" s="458">
        <v>0</v>
      </c>
      <c r="AI236" s="459">
        <v>0</v>
      </c>
      <c r="AJ236" s="458">
        <v>0</v>
      </c>
      <c r="AK236" s="459">
        <v>0</v>
      </c>
      <c r="AL236" s="459">
        <v>0</v>
      </c>
      <c r="AM236" s="459">
        <v>0</v>
      </c>
      <c r="AN236" s="459"/>
      <c r="AO236" s="459">
        <v>0</v>
      </c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0"/>
      <c r="BB236" s="460"/>
      <c r="BC236" s="460"/>
      <c r="BD236" s="460"/>
      <c r="BE236" s="460"/>
      <c r="BF236" s="460"/>
      <c r="BG236" s="460"/>
      <c r="BH236" s="460"/>
      <c r="BI236" s="460"/>
      <c r="BJ236" s="460"/>
      <c r="BK236" s="460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0"/>
      <c r="BX236" s="460"/>
      <c r="BY236" s="460"/>
      <c r="BZ236" s="460"/>
      <c r="CA236" s="460"/>
      <c r="CB236" s="460"/>
      <c r="CC236" s="460"/>
      <c r="CD236" s="460"/>
      <c r="CE236" s="460"/>
      <c r="CF236" s="460"/>
      <c r="CG236" s="460"/>
      <c r="CH236" s="460"/>
      <c r="CI236" s="460"/>
      <c r="CJ236" s="460"/>
      <c r="CK236" s="460"/>
    </row>
    <row r="237" spans="1:89" s="329" customFormat="1" ht="36" customHeight="1" x14ac:dyDescent="0.25">
      <c r="A237" s="329">
        <v>1</v>
      </c>
      <c r="B237" s="39">
        <f>SUBTOTAL(103,$A$16:A237)</f>
        <v>218</v>
      </c>
      <c r="C237" s="33" t="s">
        <v>1233</v>
      </c>
      <c r="D237" s="330">
        <v>1982</v>
      </c>
      <c r="E237" s="330">
        <v>2016</v>
      </c>
      <c r="F237" s="331" t="s">
        <v>60</v>
      </c>
      <c r="G237" s="330">
        <v>5</v>
      </c>
      <c r="H237" s="330" t="s">
        <v>75</v>
      </c>
      <c r="I237" s="38">
        <v>3913.2</v>
      </c>
      <c r="J237" s="38">
        <v>3443.4</v>
      </c>
      <c r="K237" s="38">
        <v>3443.4</v>
      </c>
      <c r="L237" s="332">
        <v>152</v>
      </c>
      <c r="M237" s="330" t="s">
        <v>46</v>
      </c>
      <c r="N237" s="330" t="s">
        <v>50</v>
      </c>
      <c r="O237" s="333" t="s">
        <v>64</v>
      </c>
      <c r="P237" s="38">
        <v>3757493.57</v>
      </c>
      <c r="Q237" s="38">
        <v>0</v>
      </c>
      <c r="R237" s="38">
        <v>0</v>
      </c>
      <c r="S237" s="38">
        <f>P237-Q237-R237</f>
        <v>3757493.57</v>
      </c>
      <c r="T237" s="38">
        <f t="shared" si="22"/>
        <v>960.20994837984256</v>
      </c>
      <c r="U237" s="38">
        <v>5695.2876648267411</v>
      </c>
      <c r="V237" s="458">
        <f t="shared" si="23"/>
        <v>4735.0777164468982</v>
      </c>
      <c r="W237" s="458">
        <f t="shared" si="26"/>
        <v>5973.586655167127</v>
      </c>
      <c r="X237" s="458">
        <v>0</v>
      </c>
      <c r="Y237" s="459">
        <v>0</v>
      </c>
      <c r="Z237" s="459">
        <v>0</v>
      </c>
      <c r="AA237" s="459">
        <v>0</v>
      </c>
      <c r="AB237" s="459">
        <v>0</v>
      </c>
      <c r="AC237" s="459">
        <v>0</v>
      </c>
      <c r="AD237" s="459">
        <v>0</v>
      </c>
      <c r="AE237" s="459">
        <v>0</v>
      </c>
      <c r="AF237" s="458">
        <v>0</v>
      </c>
      <c r="AG237" s="459">
        <v>0</v>
      </c>
      <c r="AH237" s="458">
        <v>0</v>
      </c>
      <c r="AI237" s="459">
        <v>2995.9</v>
      </c>
      <c r="AJ237" s="458">
        <f>7802.61*AI237/I237</f>
        <v>5973.586655167127</v>
      </c>
      <c r="AK237" s="459">
        <v>0</v>
      </c>
      <c r="AL237" s="459">
        <v>0</v>
      </c>
      <c r="AM237" s="459">
        <v>0</v>
      </c>
      <c r="AN237" s="459"/>
      <c r="AO237" s="459">
        <v>0</v>
      </c>
      <c r="AP237" s="460"/>
      <c r="AQ237" s="460"/>
      <c r="AR237" s="460"/>
      <c r="AS237" s="460"/>
      <c r="AT237" s="460"/>
      <c r="AU237" s="460"/>
      <c r="AV237" s="460"/>
      <c r="AW237" s="460"/>
      <c r="AX237" s="460"/>
      <c r="AY237" s="460"/>
      <c r="AZ237" s="460"/>
      <c r="BA237" s="460"/>
      <c r="BB237" s="460"/>
      <c r="BC237" s="460"/>
      <c r="BD237" s="460"/>
      <c r="BE237" s="460"/>
      <c r="BF237" s="460"/>
      <c r="BG237" s="460"/>
      <c r="BH237" s="460"/>
      <c r="BI237" s="460"/>
      <c r="BJ237" s="460"/>
      <c r="BK237" s="460"/>
      <c r="BL237" s="460"/>
      <c r="BM237" s="460"/>
      <c r="BN237" s="460"/>
      <c r="BO237" s="460"/>
      <c r="BP237" s="460"/>
      <c r="BQ237" s="460"/>
      <c r="BR237" s="460"/>
      <c r="BS237" s="460"/>
      <c r="BT237" s="460"/>
      <c r="BU237" s="460"/>
      <c r="BV237" s="460"/>
      <c r="BW237" s="460"/>
      <c r="BX237" s="460"/>
      <c r="BY237" s="460"/>
      <c r="BZ237" s="460"/>
      <c r="CA237" s="460"/>
      <c r="CB237" s="460"/>
      <c r="CC237" s="460"/>
      <c r="CD237" s="460"/>
      <c r="CE237" s="460"/>
      <c r="CF237" s="460"/>
      <c r="CG237" s="460"/>
      <c r="CH237" s="460"/>
      <c r="CI237" s="460"/>
      <c r="CJ237" s="460"/>
      <c r="CK237" s="460"/>
    </row>
    <row r="238" spans="1:89" s="329" customFormat="1" ht="36" customHeight="1" x14ac:dyDescent="0.25">
      <c r="A238" s="329">
        <v>1</v>
      </c>
      <c r="B238" s="39">
        <f>SUBTOTAL(103,$A$16:A238)</f>
        <v>219</v>
      </c>
      <c r="C238" s="33" t="s">
        <v>1234</v>
      </c>
      <c r="D238" s="330">
        <v>1995</v>
      </c>
      <c r="E238" s="330">
        <v>2015</v>
      </c>
      <c r="F238" s="331" t="s">
        <v>60</v>
      </c>
      <c r="G238" s="330">
        <v>9</v>
      </c>
      <c r="H238" s="330" t="s">
        <v>75</v>
      </c>
      <c r="I238" s="38">
        <v>12180.7</v>
      </c>
      <c r="J238" s="38">
        <v>10849.3</v>
      </c>
      <c r="K238" s="38">
        <v>10849.3</v>
      </c>
      <c r="L238" s="332">
        <v>500</v>
      </c>
      <c r="M238" s="330" t="s">
        <v>46</v>
      </c>
      <c r="N238" s="330" t="s">
        <v>50</v>
      </c>
      <c r="O238" s="333" t="s">
        <v>64</v>
      </c>
      <c r="P238" s="38">
        <v>174120.8</v>
      </c>
      <c r="Q238" s="38">
        <v>0</v>
      </c>
      <c r="R238" s="38">
        <v>0</v>
      </c>
      <c r="S238" s="38">
        <f>P238-Q238-R238</f>
        <v>174120.8</v>
      </c>
      <c r="T238" s="38">
        <f t="shared" si="22"/>
        <v>14.294810643066489</v>
      </c>
      <c r="U238" s="38">
        <v>14.294810643066489</v>
      </c>
      <c r="V238" s="458">
        <f t="shared" si="23"/>
        <v>0</v>
      </c>
      <c r="W238" s="458">
        <f>T238</f>
        <v>14.294810643066489</v>
      </c>
      <c r="X238" s="458">
        <v>0</v>
      </c>
      <c r="Y238" s="459">
        <v>0</v>
      </c>
      <c r="Z238" s="459">
        <v>0</v>
      </c>
      <c r="AA238" s="459">
        <v>0</v>
      </c>
      <c r="AB238" s="459">
        <v>0</v>
      </c>
      <c r="AC238" s="459">
        <v>0</v>
      </c>
      <c r="AD238" s="459">
        <v>0</v>
      </c>
      <c r="AE238" s="459">
        <v>0</v>
      </c>
      <c r="AF238" s="458">
        <v>0</v>
      </c>
      <c r="AG238" s="459">
        <v>0</v>
      </c>
      <c r="AH238" s="458">
        <v>0</v>
      </c>
      <c r="AI238" s="459">
        <v>0</v>
      </c>
      <c r="AJ238" s="458">
        <v>0</v>
      </c>
      <c r="AK238" s="459">
        <v>0</v>
      </c>
      <c r="AL238" s="459">
        <v>0</v>
      </c>
      <c r="AM238" s="459">
        <v>0</v>
      </c>
      <c r="AN238" s="459"/>
      <c r="AO238" s="459">
        <v>0</v>
      </c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0"/>
      <c r="BB238" s="460"/>
      <c r="BC238" s="460"/>
      <c r="BD238" s="460"/>
      <c r="BE238" s="460"/>
      <c r="BF238" s="460"/>
      <c r="BG238" s="460"/>
      <c r="BH238" s="460"/>
      <c r="BI238" s="460"/>
      <c r="BJ238" s="460"/>
      <c r="BK238" s="460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0"/>
      <c r="BX238" s="460"/>
      <c r="BY238" s="460"/>
      <c r="BZ238" s="460"/>
      <c r="CA238" s="460"/>
      <c r="CB238" s="460"/>
      <c r="CC238" s="460"/>
      <c r="CD238" s="460"/>
      <c r="CE238" s="460"/>
      <c r="CF238" s="460"/>
      <c r="CG238" s="460"/>
      <c r="CH238" s="460"/>
      <c r="CI238" s="460"/>
      <c r="CJ238" s="460"/>
      <c r="CK238" s="460"/>
    </row>
    <row r="239" spans="1:89" s="329" customFormat="1" ht="36" customHeight="1" x14ac:dyDescent="0.25">
      <c r="A239" s="329">
        <v>1</v>
      </c>
      <c r="B239" s="39">
        <f>SUBTOTAL(103,$A$16:A239)</f>
        <v>220</v>
      </c>
      <c r="C239" s="33" t="s">
        <v>1235</v>
      </c>
      <c r="D239" s="330">
        <v>1981</v>
      </c>
      <c r="E239" s="330">
        <v>2015</v>
      </c>
      <c r="F239" s="331" t="s">
        <v>48</v>
      </c>
      <c r="G239" s="330">
        <v>9</v>
      </c>
      <c r="H239" s="330" t="s">
        <v>59</v>
      </c>
      <c r="I239" s="38">
        <v>8863.2999999999993</v>
      </c>
      <c r="J239" s="38">
        <v>7831.5</v>
      </c>
      <c r="K239" s="38">
        <v>7831.5</v>
      </c>
      <c r="L239" s="332">
        <v>357</v>
      </c>
      <c r="M239" s="330" t="s">
        <v>46</v>
      </c>
      <c r="N239" s="330" t="s">
        <v>50</v>
      </c>
      <c r="O239" s="333" t="s">
        <v>64</v>
      </c>
      <c r="P239" s="38">
        <v>6300657.04</v>
      </c>
      <c r="Q239" s="38">
        <v>0</v>
      </c>
      <c r="R239" s="38">
        <v>0</v>
      </c>
      <c r="S239" s="38">
        <f>P239-Q239-R239</f>
        <v>6300657.04</v>
      </c>
      <c r="T239" s="38">
        <f t="shared" si="22"/>
        <v>710.87033497681455</v>
      </c>
      <c r="U239" s="38">
        <v>1109.2031184773166</v>
      </c>
      <c r="V239" s="458">
        <f t="shared" si="23"/>
        <v>398.33278350050205</v>
      </c>
      <c r="W239" s="458">
        <f t="shared" si="26"/>
        <v>795.31</v>
      </c>
      <c r="X239" s="458">
        <v>0</v>
      </c>
      <c r="Y239" s="459">
        <v>0</v>
      </c>
      <c r="Z239" s="459">
        <v>0</v>
      </c>
      <c r="AA239" s="459">
        <v>0</v>
      </c>
      <c r="AB239" s="459">
        <v>795.31</v>
      </c>
      <c r="AC239" s="459">
        <v>0</v>
      </c>
      <c r="AD239" s="459">
        <v>0</v>
      </c>
      <c r="AE239" s="459">
        <v>0</v>
      </c>
      <c r="AF239" s="458">
        <v>0</v>
      </c>
      <c r="AG239" s="459">
        <v>0</v>
      </c>
      <c r="AH239" s="458">
        <v>0</v>
      </c>
      <c r="AI239" s="459">
        <v>0</v>
      </c>
      <c r="AJ239" s="458">
        <v>0</v>
      </c>
      <c r="AK239" s="459">
        <v>0</v>
      </c>
      <c r="AL239" s="459">
        <v>0</v>
      </c>
      <c r="AM239" s="459">
        <v>0</v>
      </c>
      <c r="AN239" s="459"/>
      <c r="AO239" s="459">
        <v>0</v>
      </c>
      <c r="AP239" s="460"/>
      <c r="AQ239" s="460"/>
      <c r="AR239" s="460"/>
      <c r="AS239" s="460"/>
      <c r="AT239" s="460"/>
      <c r="AU239" s="460"/>
      <c r="AV239" s="460"/>
      <c r="AW239" s="460"/>
      <c r="AX239" s="460"/>
      <c r="AY239" s="460"/>
      <c r="AZ239" s="460"/>
      <c r="BA239" s="460"/>
      <c r="BB239" s="460"/>
      <c r="BC239" s="460"/>
      <c r="BD239" s="460"/>
      <c r="BE239" s="460"/>
      <c r="BF239" s="460"/>
      <c r="BG239" s="460"/>
      <c r="BH239" s="460"/>
      <c r="BI239" s="460"/>
      <c r="BJ239" s="460"/>
      <c r="BK239" s="460"/>
      <c r="BL239" s="460"/>
      <c r="BM239" s="460"/>
      <c r="BN239" s="460"/>
      <c r="BO239" s="460"/>
      <c r="BP239" s="460"/>
      <c r="BQ239" s="460"/>
      <c r="BR239" s="460"/>
      <c r="BS239" s="460"/>
      <c r="BT239" s="460"/>
      <c r="BU239" s="460"/>
      <c r="BV239" s="460"/>
      <c r="BW239" s="460"/>
      <c r="BX239" s="460"/>
      <c r="BY239" s="460"/>
      <c r="BZ239" s="460"/>
      <c r="CA239" s="460"/>
      <c r="CB239" s="460"/>
      <c r="CC239" s="460"/>
      <c r="CD239" s="460"/>
      <c r="CE239" s="460"/>
      <c r="CF239" s="460"/>
      <c r="CG239" s="460"/>
      <c r="CH239" s="460"/>
      <c r="CI239" s="460"/>
      <c r="CJ239" s="460"/>
      <c r="CK239" s="460"/>
    </row>
    <row r="240" spans="1:89" s="329" customFormat="1" ht="36" customHeight="1" x14ac:dyDescent="0.25">
      <c r="A240" s="329">
        <v>1</v>
      </c>
      <c r="B240" s="39">
        <f>SUBTOTAL(103,$A$16:A240)</f>
        <v>221</v>
      </c>
      <c r="C240" s="33" t="s">
        <v>81</v>
      </c>
      <c r="D240" s="330">
        <v>1982</v>
      </c>
      <c r="E240" s="330">
        <v>2015</v>
      </c>
      <c r="F240" s="331" t="s">
        <v>63</v>
      </c>
      <c r="G240" s="330">
        <v>9</v>
      </c>
      <c r="H240" s="330" t="s">
        <v>59</v>
      </c>
      <c r="I240" s="38">
        <v>8597.2000000000007</v>
      </c>
      <c r="J240" s="38">
        <v>7716.3</v>
      </c>
      <c r="K240" s="38">
        <v>7660.3</v>
      </c>
      <c r="L240" s="332">
        <v>370</v>
      </c>
      <c r="M240" s="330" t="s">
        <v>46</v>
      </c>
      <c r="N240" s="330" t="s">
        <v>50</v>
      </c>
      <c r="O240" s="333" t="s">
        <v>64</v>
      </c>
      <c r="P240" s="38">
        <v>120697.7</v>
      </c>
      <c r="Q240" s="38">
        <v>0</v>
      </c>
      <c r="R240" s="38">
        <v>0</v>
      </c>
      <c r="S240" s="38">
        <f>P240-R240-Q240</f>
        <v>120697.7</v>
      </c>
      <c r="T240" s="38">
        <f t="shared" si="22"/>
        <v>14.039187177220489</v>
      </c>
      <c r="U240" s="38">
        <v>14.039187177220489</v>
      </c>
      <c r="V240" s="458">
        <f t="shared" si="23"/>
        <v>0</v>
      </c>
      <c r="W240" s="458">
        <f t="shared" si="26"/>
        <v>1143.5351044526124</v>
      </c>
      <c r="X240" s="458">
        <v>0</v>
      </c>
      <c r="Y240" s="459">
        <v>0</v>
      </c>
      <c r="Z240" s="459">
        <v>0</v>
      </c>
      <c r="AA240" s="459">
        <v>0</v>
      </c>
      <c r="AB240" s="459">
        <v>0</v>
      </c>
      <c r="AC240" s="459">
        <v>4</v>
      </c>
      <c r="AD240" s="458">
        <f>2457800*AC240/I240</f>
        <v>1143.5351044526124</v>
      </c>
      <c r="AE240" s="459">
        <v>0</v>
      </c>
      <c r="AF240" s="458">
        <v>0</v>
      </c>
      <c r="AG240" s="459">
        <v>0</v>
      </c>
      <c r="AH240" s="458">
        <v>0</v>
      </c>
      <c r="AI240" s="459">
        <v>0</v>
      </c>
      <c r="AJ240" s="458">
        <v>0</v>
      </c>
      <c r="AK240" s="459">
        <v>0</v>
      </c>
      <c r="AL240" s="459">
        <v>0</v>
      </c>
      <c r="AM240" s="459">
        <v>0</v>
      </c>
      <c r="AN240" s="459"/>
      <c r="AO240" s="459">
        <v>0</v>
      </c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0"/>
      <c r="BB240" s="460"/>
      <c r="BC240" s="460"/>
      <c r="BD240" s="460"/>
      <c r="BE240" s="460"/>
      <c r="BF240" s="460"/>
      <c r="BG240" s="460"/>
      <c r="BH240" s="460"/>
      <c r="BI240" s="460"/>
      <c r="BJ240" s="460"/>
      <c r="BK240" s="460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0"/>
      <c r="BX240" s="460"/>
      <c r="BY240" s="460"/>
      <c r="BZ240" s="460"/>
      <c r="CA240" s="460"/>
      <c r="CB240" s="460"/>
      <c r="CC240" s="460"/>
      <c r="CD240" s="460"/>
      <c r="CE240" s="460"/>
      <c r="CF240" s="460"/>
      <c r="CG240" s="460"/>
      <c r="CH240" s="460"/>
      <c r="CI240" s="460"/>
      <c r="CJ240" s="460"/>
      <c r="CK240" s="460"/>
    </row>
    <row r="241" spans="1:89" s="329" customFormat="1" ht="36" customHeight="1" x14ac:dyDescent="0.25">
      <c r="B241" s="33" t="s">
        <v>96</v>
      </c>
      <c r="C241" s="462"/>
      <c r="D241" s="330" t="s">
        <v>131</v>
      </c>
      <c r="E241" s="330" t="s">
        <v>131</v>
      </c>
      <c r="F241" s="330" t="s">
        <v>131</v>
      </c>
      <c r="G241" s="330" t="s">
        <v>131</v>
      </c>
      <c r="H241" s="330" t="s">
        <v>131</v>
      </c>
      <c r="I241" s="334">
        <f>SUM(I242:I267)</f>
        <v>91721.91</v>
      </c>
      <c r="J241" s="334">
        <f>SUM(J242:J267)</f>
        <v>72937.19</v>
      </c>
      <c r="K241" s="334">
        <f>SUM(K242:K267)</f>
        <v>69950.03</v>
      </c>
      <c r="L241" s="332">
        <f>SUM(L242:L267)</f>
        <v>3374</v>
      </c>
      <c r="M241" s="330" t="s">
        <v>131</v>
      </c>
      <c r="N241" s="330" t="s">
        <v>131</v>
      </c>
      <c r="O241" s="333" t="s">
        <v>131</v>
      </c>
      <c r="P241" s="334">
        <v>66002186.390000001</v>
      </c>
      <c r="Q241" s="334">
        <f>SUM(Q242:Q267)</f>
        <v>0</v>
      </c>
      <c r="R241" s="334">
        <f>SUM(R242:R267)</f>
        <v>0</v>
      </c>
      <c r="S241" s="334">
        <f>SUM(S242:S267)</f>
        <v>66002186.390000001</v>
      </c>
      <c r="T241" s="38">
        <f t="shared" si="22"/>
        <v>719.59018723007398</v>
      </c>
      <c r="U241" s="38">
        <f>MAX(U242:U267)</f>
        <v>9061.8802569960026</v>
      </c>
      <c r="V241" s="458">
        <f t="shared" si="23"/>
        <v>8342.2900697659279</v>
      </c>
      <c r="W241" s="458"/>
      <c r="X241" s="458"/>
      <c r="Y241" s="459"/>
      <c r="Z241" s="459"/>
      <c r="AA241" s="459"/>
      <c r="AB241" s="459"/>
      <c r="AC241" s="459"/>
      <c r="AD241" s="459"/>
      <c r="AE241" s="459"/>
      <c r="AF241" s="459"/>
      <c r="AG241" s="459"/>
      <c r="AH241" s="459"/>
      <c r="AI241" s="459"/>
      <c r="AJ241" s="459"/>
      <c r="AK241" s="459"/>
      <c r="AL241" s="459"/>
      <c r="AM241" s="459"/>
      <c r="AN241" s="459"/>
      <c r="AO241" s="459"/>
      <c r="AP241" s="460"/>
      <c r="AQ241" s="460"/>
      <c r="AR241" s="460"/>
      <c r="AS241" s="460"/>
      <c r="AT241" s="460"/>
      <c r="AU241" s="460"/>
      <c r="AV241" s="460"/>
      <c r="AW241" s="460"/>
      <c r="AX241" s="460"/>
      <c r="AY241" s="460"/>
      <c r="AZ241" s="460"/>
      <c r="BA241" s="460"/>
      <c r="BB241" s="460"/>
      <c r="BC241" s="460"/>
      <c r="BD241" s="460"/>
      <c r="BE241" s="460"/>
      <c r="BF241" s="460"/>
      <c r="BG241" s="460"/>
      <c r="BH241" s="460"/>
      <c r="BI241" s="460"/>
      <c r="BJ241" s="460"/>
      <c r="BK241" s="460"/>
      <c r="BL241" s="460"/>
      <c r="BM241" s="460"/>
      <c r="BN241" s="460"/>
      <c r="BO241" s="460"/>
      <c r="BP241" s="460"/>
      <c r="BQ241" s="460"/>
      <c r="BR241" s="460"/>
      <c r="BS241" s="460"/>
      <c r="BT241" s="460"/>
      <c r="BU241" s="460"/>
      <c r="BV241" s="460"/>
      <c r="BW241" s="460"/>
      <c r="BX241" s="460"/>
      <c r="BY241" s="460"/>
      <c r="BZ241" s="460"/>
      <c r="CA241" s="460"/>
      <c r="CB241" s="460"/>
      <c r="CC241" s="460"/>
      <c r="CD241" s="460"/>
      <c r="CE241" s="460"/>
      <c r="CF241" s="460"/>
      <c r="CG241" s="460"/>
      <c r="CH241" s="460"/>
      <c r="CI241" s="460"/>
      <c r="CJ241" s="460"/>
      <c r="CK241" s="460"/>
    </row>
    <row r="242" spans="1:89" s="329" customFormat="1" ht="36" customHeight="1" x14ac:dyDescent="0.25">
      <c r="A242" s="329">
        <v>1</v>
      </c>
      <c r="B242" s="39">
        <f>SUBTOTAL(103,$A$16:A242)</f>
        <v>222</v>
      </c>
      <c r="C242" s="33" t="s">
        <v>1236</v>
      </c>
      <c r="D242" s="330">
        <v>1987</v>
      </c>
      <c r="E242" s="330"/>
      <c r="F242" s="331" t="s">
        <v>48</v>
      </c>
      <c r="G242" s="330">
        <v>10</v>
      </c>
      <c r="H242" s="330" t="s">
        <v>57</v>
      </c>
      <c r="I242" s="38">
        <v>4253.2</v>
      </c>
      <c r="J242" s="38">
        <v>3669.9</v>
      </c>
      <c r="K242" s="38">
        <v>3245.8</v>
      </c>
      <c r="L242" s="332">
        <v>147</v>
      </c>
      <c r="M242" s="330" t="s">
        <v>46</v>
      </c>
      <c r="N242" s="330" t="s">
        <v>71</v>
      </c>
      <c r="O242" s="333" t="s">
        <v>2026</v>
      </c>
      <c r="P242" s="38">
        <v>3589738.75</v>
      </c>
      <c r="Q242" s="38">
        <v>0</v>
      </c>
      <c r="R242" s="38">
        <v>0</v>
      </c>
      <c r="S242" s="38">
        <f t="shared" ref="S242:S266" si="27">P242-Q242-R242</f>
        <v>3589738.75</v>
      </c>
      <c r="T242" s="38">
        <f t="shared" si="22"/>
        <v>844.0089226935014</v>
      </c>
      <c r="U242" s="38">
        <v>1251.6970751434214</v>
      </c>
      <c r="V242" s="458">
        <f t="shared" si="23"/>
        <v>407.68815244992004</v>
      </c>
      <c r="W242" s="458">
        <f t="shared" ref="W242:W267" si="28">X242+Y242+Z242+AA242+AB242+AD242+AF242+AH242+AJ242+AL242+AN242+AO242</f>
        <v>1251.6970751434214</v>
      </c>
      <c r="X242" s="458">
        <v>0</v>
      </c>
      <c r="Y242" s="459">
        <v>0</v>
      </c>
      <c r="Z242" s="459">
        <v>0</v>
      </c>
      <c r="AA242" s="459">
        <v>0</v>
      </c>
      <c r="AB242" s="459">
        <v>0</v>
      </c>
      <c r="AC242" s="459">
        <v>2</v>
      </c>
      <c r="AD242" s="458">
        <f>2661859*AC242/I242</f>
        <v>1251.6970751434214</v>
      </c>
      <c r="AE242" s="459">
        <v>0</v>
      </c>
      <c r="AF242" s="458">
        <v>0</v>
      </c>
      <c r="AG242" s="459">
        <v>0</v>
      </c>
      <c r="AH242" s="458">
        <v>0</v>
      </c>
      <c r="AI242" s="459">
        <v>0</v>
      </c>
      <c r="AJ242" s="458">
        <v>0</v>
      </c>
      <c r="AK242" s="459">
        <v>0</v>
      </c>
      <c r="AL242" s="459">
        <v>0</v>
      </c>
      <c r="AM242" s="459">
        <v>0</v>
      </c>
      <c r="AN242" s="459"/>
      <c r="AO242" s="459">
        <v>0</v>
      </c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0"/>
      <c r="BB242" s="460"/>
      <c r="BC242" s="460"/>
      <c r="BD242" s="460"/>
      <c r="BE242" s="460"/>
      <c r="BF242" s="460"/>
      <c r="BG242" s="460"/>
      <c r="BH242" s="460"/>
      <c r="BI242" s="460"/>
      <c r="BJ242" s="460"/>
      <c r="BK242" s="460"/>
      <c r="BL242" s="460"/>
      <c r="BM242" s="460"/>
      <c r="BN242" s="460"/>
      <c r="BO242" s="460"/>
      <c r="BP242" s="460"/>
      <c r="BQ242" s="460"/>
      <c r="BR242" s="460"/>
      <c r="BS242" s="460"/>
      <c r="BT242" s="460"/>
      <c r="BU242" s="460"/>
      <c r="BV242" s="460"/>
      <c r="BW242" s="460"/>
      <c r="BX242" s="460"/>
      <c r="BY242" s="460"/>
      <c r="BZ242" s="460"/>
      <c r="CA242" s="460"/>
      <c r="CB242" s="460"/>
      <c r="CC242" s="460"/>
      <c r="CD242" s="460"/>
      <c r="CE242" s="460"/>
      <c r="CF242" s="460"/>
      <c r="CG242" s="460"/>
      <c r="CH242" s="460"/>
      <c r="CI242" s="460"/>
      <c r="CJ242" s="460"/>
      <c r="CK242" s="460"/>
    </row>
    <row r="243" spans="1:89" s="329" customFormat="1" ht="36" customHeight="1" x14ac:dyDescent="0.25">
      <c r="A243" s="329">
        <v>1</v>
      </c>
      <c r="B243" s="39">
        <f>SUBTOTAL(103,$A$16:A243)</f>
        <v>223</v>
      </c>
      <c r="C243" s="33" t="s">
        <v>1237</v>
      </c>
      <c r="D243" s="330">
        <v>1967</v>
      </c>
      <c r="E243" s="330"/>
      <c r="F243" s="331" t="s">
        <v>48</v>
      </c>
      <c r="G243" s="330">
        <v>5</v>
      </c>
      <c r="H243" s="330" t="s">
        <v>59</v>
      </c>
      <c r="I243" s="38">
        <v>3578.24</v>
      </c>
      <c r="J243" s="38">
        <v>3300</v>
      </c>
      <c r="K243" s="38">
        <v>3012.01</v>
      </c>
      <c r="L243" s="332">
        <v>117</v>
      </c>
      <c r="M243" s="330" t="s">
        <v>46</v>
      </c>
      <c r="N243" s="330" t="s">
        <v>50</v>
      </c>
      <c r="O243" s="333" t="s">
        <v>2027</v>
      </c>
      <c r="P243" s="38">
        <v>130936.07</v>
      </c>
      <c r="Q243" s="38">
        <v>0</v>
      </c>
      <c r="R243" s="38">
        <v>0</v>
      </c>
      <c r="S243" s="38">
        <f t="shared" si="27"/>
        <v>130936.07</v>
      </c>
      <c r="T243" s="38">
        <f t="shared" si="22"/>
        <v>36.592310744947241</v>
      </c>
      <c r="U243" s="38">
        <v>36.592310744947241</v>
      </c>
      <c r="V243" s="458">
        <f t="shared" si="23"/>
        <v>0</v>
      </c>
      <c r="W243" s="458">
        <f t="shared" si="28"/>
        <v>1883.4686992487927</v>
      </c>
      <c r="X243" s="458">
        <v>0</v>
      </c>
      <c r="Y243" s="459">
        <v>0</v>
      </c>
      <c r="Z243" s="459">
        <v>0</v>
      </c>
      <c r="AA243" s="459">
        <v>0</v>
      </c>
      <c r="AB243" s="459">
        <v>0</v>
      </c>
      <c r="AC243" s="459">
        <v>0</v>
      </c>
      <c r="AD243" s="459">
        <v>0</v>
      </c>
      <c r="AE243" s="459">
        <v>0</v>
      </c>
      <c r="AF243" s="458">
        <v>0</v>
      </c>
      <c r="AG243" s="459">
        <v>0</v>
      </c>
      <c r="AH243" s="458">
        <v>0</v>
      </c>
      <c r="AI243" s="459">
        <v>0</v>
      </c>
      <c r="AJ243" s="458">
        <v>0</v>
      </c>
      <c r="AK243" s="459">
        <v>0</v>
      </c>
      <c r="AL243" s="459">
        <v>0</v>
      </c>
      <c r="AM243" s="459">
        <v>964.92</v>
      </c>
      <c r="AN243" s="459">
        <f>6984.52*AM243/I243</f>
        <v>1883.4686992487927</v>
      </c>
      <c r="AO243" s="459">
        <v>0</v>
      </c>
      <c r="AP243" s="460"/>
      <c r="AQ243" s="460"/>
      <c r="AR243" s="460"/>
      <c r="AS243" s="460"/>
      <c r="AT243" s="460"/>
      <c r="AU243" s="460"/>
      <c r="AV243" s="460"/>
      <c r="AW243" s="460"/>
      <c r="AX243" s="460"/>
      <c r="AY243" s="460"/>
      <c r="AZ243" s="460"/>
      <c r="BA243" s="460"/>
      <c r="BB243" s="460"/>
      <c r="BC243" s="460"/>
      <c r="BD243" s="460"/>
      <c r="BE243" s="460"/>
      <c r="BF243" s="460"/>
      <c r="BG243" s="460"/>
      <c r="BH243" s="460"/>
      <c r="BI243" s="460"/>
      <c r="BJ243" s="460"/>
      <c r="BK243" s="460"/>
      <c r="BL243" s="460"/>
      <c r="BM243" s="460"/>
      <c r="BN243" s="460"/>
      <c r="BO243" s="460"/>
      <c r="BP243" s="460"/>
      <c r="BQ243" s="460"/>
      <c r="BR243" s="460"/>
      <c r="BS243" s="460"/>
      <c r="BT243" s="460"/>
      <c r="BU243" s="460"/>
      <c r="BV243" s="460"/>
      <c r="BW243" s="460"/>
      <c r="BX243" s="460"/>
      <c r="BY243" s="460"/>
      <c r="BZ243" s="460"/>
      <c r="CA243" s="460"/>
      <c r="CB243" s="460"/>
      <c r="CC243" s="460"/>
      <c r="CD243" s="460"/>
      <c r="CE243" s="460"/>
      <c r="CF243" s="460"/>
      <c r="CG243" s="460"/>
      <c r="CH243" s="460"/>
      <c r="CI243" s="460"/>
      <c r="CJ243" s="460"/>
      <c r="CK243" s="460"/>
    </row>
    <row r="244" spans="1:89" s="329" customFormat="1" ht="36" customHeight="1" x14ac:dyDescent="0.25">
      <c r="A244" s="329">
        <v>1</v>
      </c>
      <c r="B244" s="39">
        <f>SUBTOTAL(103,$A$16:A244)</f>
        <v>224</v>
      </c>
      <c r="C244" s="33" t="s">
        <v>82</v>
      </c>
      <c r="D244" s="330">
        <v>1965</v>
      </c>
      <c r="E244" s="330"/>
      <c r="F244" s="331" t="s">
        <v>48</v>
      </c>
      <c r="G244" s="330">
        <v>5</v>
      </c>
      <c r="H244" s="330" t="s">
        <v>56</v>
      </c>
      <c r="I244" s="38">
        <v>4985.66</v>
      </c>
      <c r="J244" s="38">
        <v>2392.1999999999998</v>
      </c>
      <c r="K244" s="38">
        <v>2300.6</v>
      </c>
      <c r="L244" s="332">
        <v>185</v>
      </c>
      <c r="M244" s="330" t="s">
        <v>46</v>
      </c>
      <c r="N244" s="330" t="s">
        <v>50</v>
      </c>
      <c r="O244" s="333" t="s">
        <v>2028</v>
      </c>
      <c r="P244" s="38">
        <v>143632.79</v>
      </c>
      <c r="Q244" s="38">
        <v>0</v>
      </c>
      <c r="R244" s="38">
        <v>0</v>
      </c>
      <c r="S244" s="38">
        <f t="shared" si="27"/>
        <v>143632.79</v>
      </c>
      <c r="T244" s="38">
        <f t="shared" si="22"/>
        <v>28.809182736087099</v>
      </c>
      <c r="U244" s="38">
        <v>28.809182736087099</v>
      </c>
      <c r="V244" s="458">
        <f t="shared" si="23"/>
        <v>0</v>
      </c>
      <c r="W244" s="458">
        <f>T244</f>
        <v>28.809182736087099</v>
      </c>
      <c r="X244" s="458">
        <v>0</v>
      </c>
      <c r="Y244" s="459">
        <v>0</v>
      </c>
      <c r="Z244" s="459">
        <v>0</v>
      </c>
      <c r="AA244" s="459">
        <v>0</v>
      </c>
      <c r="AB244" s="459">
        <v>0</v>
      </c>
      <c r="AC244" s="459">
        <v>0</v>
      </c>
      <c r="AD244" s="459">
        <v>0</v>
      </c>
      <c r="AE244" s="459">
        <v>0</v>
      </c>
      <c r="AF244" s="458">
        <v>0</v>
      </c>
      <c r="AG244" s="459">
        <v>0</v>
      </c>
      <c r="AH244" s="458">
        <v>0</v>
      </c>
      <c r="AI244" s="459">
        <v>0</v>
      </c>
      <c r="AJ244" s="458">
        <v>0</v>
      </c>
      <c r="AK244" s="459">
        <v>0</v>
      </c>
      <c r="AL244" s="459">
        <v>0</v>
      </c>
      <c r="AM244" s="459">
        <v>0</v>
      </c>
      <c r="AN244" s="459"/>
      <c r="AO244" s="459">
        <v>0</v>
      </c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0"/>
      <c r="BB244" s="460"/>
      <c r="BC244" s="460"/>
      <c r="BD244" s="460"/>
      <c r="BE244" s="460"/>
      <c r="BF244" s="460"/>
      <c r="BG244" s="460"/>
      <c r="BH244" s="460"/>
      <c r="BI244" s="460"/>
      <c r="BJ244" s="460"/>
      <c r="BK244" s="460"/>
      <c r="BL244" s="460"/>
      <c r="BM244" s="460"/>
      <c r="BN244" s="460"/>
      <c r="BO244" s="460"/>
      <c r="BP244" s="460"/>
      <c r="BQ244" s="460"/>
      <c r="BR244" s="460"/>
      <c r="BS244" s="460"/>
      <c r="BT244" s="460"/>
      <c r="BU244" s="460"/>
      <c r="BV244" s="460"/>
      <c r="BW244" s="460"/>
      <c r="BX244" s="460"/>
      <c r="BY244" s="460"/>
      <c r="BZ244" s="460"/>
      <c r="CA244" s="460"/>
      <c r="CB244" s="460"/>
      <c r="CC244" s="460"/>
      <c r="CD244" s="460"/>
      <c r="CE244" s="460"/>
      <c r="CF244" s="460"/>
      <c r="CG244" s="460"/>
      <c r="CH244" s="460"/>
      <c r="CI244" s="460"/>
      <c r="CJ244" s="460"/>
      <c r="CK244" s="460"/>
    </row>
    <row r="245" spans="1:89" s="329" customFormat="1" ht="36" customHeight="1" x14ac:dyDescent="0.25">
      <c r="A245" s="329">
        <v>1</v>
      </c>
      <c r="B245" s="39">
        <f>SUBTOTAL(103,$A$16:A245)</f>
        <v>225</v>
      </c>
      <c r="C245" s="33" t="s">
        <v>920</v>
      </c>
      <c r="D245" s="330">
        <v>1993</v>
      </c>
      <c r="E245" s="330"/>
      <c r="F245" s="331" t="s">
        <v>60</v>
      </c>
      <c r="G245" s="330">
        <v>9</v>
      </c>
      <c r="H245" s="330" t="s">
        <v>56</v>
      </c>
      <c r="I245" s="38">
        <v>5060.3</v>
      </c>
      <c r="J245" s="38">
        <v>5060.3</v>
      </c>
      <c r="K245" s="38">
        <v>5060.3</v>
      </c>
      <c r="L245" s="332">
        <v>206</v>
      </c>
      <c r="M245" s="330" t="s">
        <v>46</v>
      </c>
      <c r="N245" s="330" t="s">
        <v>50</v>
      </c>
      <c r="O245" s="333" t="s">
        <v>2029</v>
      </c>
      <c r="P245" s="38">
        <v>3407945.42</v>
      </c>
      <c r="Q245" s="38">
        <v>0</v>
      </c>
      <c r="R245" s="38">
        <v>0</v>
      </c>
      <c r="S245" s="38">
        <f t="shared" si="27"/>
        <v>3407945.42</v>
      </c>
      <c r="T245" s="38">
        <f t="shared" si="22"/>
        <v>673.46707112226545</v>
      </c>
      <c r="U245" s="38">
        <v>971.40485741952057</v>
      </c>
      <c r="V245" s="458">
        <f t="shared" si="23"/>
        <v>297.93778629725512</v>
      </c>
      <c r="W245" s="458">
        <f t="shared" si="28"/>
        <v>971.40485741952057</v>
      </c>
      <c r="X245" s="458">
        <v>0</v>
      </c>
      <c r="Y245" s="459">
        <v>0</v>
      </c>
      <c r="Z245" s="459">
        <v>0</v>
      </c>
      <c r="AA245" s="459">
        <v>0</v>
      </c>
      <c r="AB245" s="459">
        <v>0</v>
      </c>
      <c r="AC245" s="459">
        <v>2</v>
      </c>
      <c r="AD245" s="458">
        <f>2457800*AC245/I245</f>
        <v>971.40485741952057</v>
      </c>
      <c r="AE245" s="459">
        <v>0</v>
      </c>
      <c r="AF245" s="458">
        <v>0</v>
      </c>
      <c r="AG245" s="459">
        <v>0</v>
      </c>
      <c r="AH245" s="458">
        <v>0</v>
      </c>
      <c r="AI245" s="459">
        <v>0</v>
      </c>
      <c r="AJ245" s="458">
        <v>0</v>
      </c>
      <c r="AK245" s="459">
        <v>0</v>
      </c>
      <c r="AL245" s="459">
        <v>0</v>
      </c>
      <c r="AM245" s="459">
        <v>0</v>
      </c>
      <c r="AN245" s="459"/>
      <c r="AO245" s="459">
        <v>0</v>
      </c>
      <c r="AP245" s="460"/>
      <c r="AQ245" s="460"/>
      <c r="AR245" s="460"/>
      <c r="AS245" s="460"/>
      <c r="AT245" s="460"/>
      <c r="AU245" s="460"/>
      <c r="AV245" s="460"/>
      <c r="AW245" s="460"/>
      <c r="AX245" s="460"/>
      <c r="AY245" s="460"/>
      <c r="AZ245" s="460"/>
      <c r="BA245" s="460"/>
      <c r="BB245" s="460"/>
      <c r="BC245" s="460"/>
      <c r="BD245" s="460"/>
      <c r="BE245" s="460"/>
      <c r="BF245" s="460"/>
      <c r="BG245" s="460"/>
      <c r="BH245" s="460"/>
      <c r="BI245" s="460"/>
      <c r="BJ245" s="460"/>
      <c r="BK245" s="460"/>
      <c r="BL245" s="460"/>
      <c r="BM245" s="460"/>
      <c r="BN245" s="460"/>
      <c r="BO245" s="460"/>
      <c r="BP245" s="460"/>
      <c r="BQ245" s="460"/>
      <c r="BR245" s="460"/>
      <c r="BS245" s="460"/>
      <c r="BT245" s="460"/>
      <c r="BU245" s="460"/>
      <c r="BV245" s="460"/>
      <c r="BW245" s="460"/>
      <c r="BX245" s="460"/>
      <c r="BY245" s="460"/>
      <c r="BZ245" s="460"/>
      <c r="CA245" s="460"/>
      <c r="CB245" s="460"/>
      <c r="CC245" s="460"/>
      <c r="CD245" s="460"/>
      <c r="CE245" s="460"/>
      <c r="CF245" s="460"/>
      <c r="CG245" s="460"/>
      <c r="CH245" s="460"/>
      <c r="CI245" s="460"/>
      <c r="CJ245" s="460"/>
      <c r="CK245" s="460"/>
    </row>
    <row r="246" spans="1:89" s="329" customFormat="1" ht="36" customHeight="1" x14ac:dyDescent="0.25">
      <c r="A246" s="329">
        <v>1</v>
      </c>
      <c r="B246" s="39">
        <f>SUBTOTAL(103,$A$16:A246)</f>
        <v>226</v>
      </c>
      <c r="C246" s="33" t="s">
        <v>1137</v>
      </c>
      <c r="D246" s="330">
        <v>1959</v>
      </c>
      <c r="E246" s="330"/>
      <c r="F246" s="331" t="s">
        <v>48</v>
      </c>
      <c r="G246" s="330">
        <v>2</v>
      </c>
      <c r="H246" s="330" t="s">
        <v>56</v>
      </c>
      <c r="I246" s="38">
        <v>608.20000000000005</v>
      </c>
      <c r="J246" s="38">
        <v>564.4</v>
      </c>
      <c r="K246" s="38">
        <v>525.79999999999995</v>
      </c>
      <c r="L246" s="332">
        <v>29</v>
      </c>
      <c r="M246" s="330" t="s">
        <v>46</v>
      </c>
      <c r="N246" s="330" t="s">
        <v>50</v>
      </c>
      <c r="O246" s="333" t="s">
        <v>2027</v>
      </c>
      <c r="P246" s="38">
        <v>1860691.51</v>
      </c>
      <c r="Q246" s="38">
        <v>0</v>
      </c>
      <c r="R246" s="38">
        <v>0</v>
      </c>
      <c r="S246" s="38">
        <f t="shared" si="27"/>
        <v>1860691.51</v>
      </c>
      <c r="T246" s="38">
        <f t="shared" si="22"/>
        <v>3059.3415159487008</v>
      </c>
      <c r="U246" s="38">
        <v>5146.4896415652738</v>
      </c>
      <c r="V246" s="458">
        <f t="shared" si="23"/>
        <v>2087.148125616573</v>
      </c>
      <c r="W246" s="458">
        <f t="shared" si="28"/>
        <v>5128.9953962512327</v>
      </c>
      <c r="X246" s="458">
        <v>0</v>
      </c>
      <c r="Y246" s="459">
        <v>0</v>
      </c>
      <c r="Z246" s="459">
        <v>0</v>
      </c>
      <c r="AA246" s="459">
        <v>0</v>
      </c>
      <c r="AB246" s="459">
        <v>0</v>
      </c>
      <c r="AC246" s="459">
        <v>0</v>
      </c>
      <c r="AD246" s="459">
        <v>0</v>
      </c>
      <c r="AE246" s="459">
        <v>500</v>
      </c>
      <c r="AF246" s="458">
        <f>6238.91*AE246/I246</f>
        <v>5128.9953962512327</v>
      </c>
      <c r="AG246" s="459">
        <v>0</v>
      </c>
      <c r="AH246" s="458">
        <v>0</v>
      </c>
      <c r="AI246" s="459">
        <v>0</v>
      </c>
      <c r="AJ246" s="458">
        <v>0</v>
      </c>
      <c r="AK246" s="459">
        <v>0</v>
      </c>
      <c r="AL246" s="459">
        <v>0</v>
      </c>
      <c r="AM246" s="459">
        <v>0</v>
      </c>
      <c r="AN246" s="459"/>
      <c r="AO246" s="459">
        <v>0</v>
      </c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0"/>
      <c r="BB246" s="460"/>
      <c r="BC246" s="460"/>
      <c r="BD246" s="460"/>
      <c r="BE246" s="460"/>
      <c r="BF246" s="460"/>
      <c r="BG246" s="460"/>
      <c r="BH246" s="460"/>
      <c r="BI246" s="460"/>
      <c r="BJ246" s="460"/>
      <c r="BK246" s="460"/>
      <c r="BL246" s="460"/>
      <c r="BM246" s="460"/>
      <c r="BN246" s="460"/>
      <c r="BO246" s="460"/>
      <c r="BP246" s="460"/>
      <c r="BQ246" s="460"/>
      <c r="BR246" s="460"/>
      <c r="BS246" s="460"/>
      <c r="BT246" s="460"/>
      <c r="BU246" s="460"/>
      <c r="BV246" s="460"/>
      <c r="BW246" s="460"/>
      <c r="BX246" s="460"/>
      <c r="BY246" s="460"/>
      <c r="BZ246" s="460"/>
      <c r="CA246" s="460"/>
      <c r="CB246" s="460"/>
      <c r="CC246" s="460"/>
      <c r="CD246" s="460"/>
      <c r="CE246" s="460"/>
      <c r="CF246" s="460"/>
      <c r="CG246" s="460"/>
      <c r="CH246" s="460"/>
      <c r="CI246" s="460"/>
      <c r="CJ246" s="460"/>
      <c r="CK246" s="460"/>
    </row>
    <row r="247" spans="1:89" s="329" customFormat="1" ht="36" customHeight="1" x14ac:dyDescent="0.25">
      <c r="A247" s="329">
        <v>1</v>
      </c>
      <c r="B247" s="39">
        <f>SUBTOTAL(103,$A$16:A247)</f>
        <v>227</v>
      </c>
      <c r="C247" s="33" t="s">
        <v>1129</v>
      </c>
      <c r="D247" s="330">
        <v>1965</v>
      </c>
      <c r="E247" s="330"/>
      <c r="F247" s="331" t="s">
        <v>48</v>
      </c>
      <c r="G247" s="330">
        <v>5</v>
      </c>
      <c r="H247" s="330" t="s">
        <v>56</v>
      </c>
      <c r="I247" s="38">
        <v>2026.2</v>
      </c>
      <c r="J247" s="38">
        <v>1684.6</v>
      </c>
      <c r="K247" s="38">
        <v>1684.6</v>
      </c>
      <c r="L247" s="332">
        <v>76</v>
      </c>
      <c r="M247" s="330" t="s">
        <v>46</v>
      </c>
      <c r="N247" s="330" t="s">
        <v>50</v>
      </c>
      <c r="O247" s="333" t="s">
        <v>2029</v>
      </c>
      <c r="P247" s="38">
        <v>2404378.48</v>
      </c>
      <c r="Q247" s="38">
        <v>0</v>
      </c>
      <c r="R247" s="38">
        <v>0</v>
      </c>
      <c r="S247" s="38">
        <f t="shared" si="27"/>
        <v>2404378.48</v>
      </c>
      <c r="T247" s="38">
        <f t="shared" si="22"/>
        <v>1186.6442009673281</v>
      </c>
      <c r="U247" s="38">
        <v>1673.338714835653</v>
      </c>
      <c r="V247" s="458">
        <f t="shared" si="23"/>
        <v>486.69451386832498</v>
      </c>
      <c r="W247" s="458">
        <f t="shared" si="28"/>
        <v>1667.6506050735366</v>
      </c>
      <c r="X247" s="458">
        <v>0</v>
      </c>
      <c r="Y247" s="459">
        <v>0</v>
      </c>
      <c r="Z247" s="459">
        <v>0</v>
      </c>
      <c r="AA247" s="459">
        <v>0</v>
      </c>
      <c r="AB247" s="459">
        <v>0</v>
      </c>
      <c r="AC247" s="459">
        <v>0</v>
      </c>
      <c r="AD247" s="459">
        <v>0</v>
      </c>
      <c r="AE247" s="459">
        <v>541.6</v>
      </c>
      <c r="AF247" s="458">
        <f>6238.91*AE247/I247</f>
        <v>1667.6506050735366</v>
      </c>
      <c r="AG247" s="459">
        <v>0</v>
      </c>
      <c r="AH247" s="458">
        <v>0</v>
      </c>
      <c r="AI247" s="459">
        <v>0</v>
      </c>
      <c r="AJ247" s="458">
        <v>0</v>
      </c>
      <c r="AK247" s="459">
        <v>0</v>
      </c>
      <c r="AL247" s="459">
        <v>0</v>
      </c>
      <c r="AM247" s="459">
        <v>0</v>
      </c>
      <c r="AN247" s="459"/>
      <c r="AO247" s="459">
        <v>0</v>
      </c>
      <c r="AP247" s="460"/>
      <c r="AQ247" s="460"/>
      <c r="AR247" s="460"/>
      <c r="AS247" s="460"/>
      <c r="AT247" s="460"/>
      <c r="AU247" s="460"/>
      <c r="AV247" s="460"/>
      <c r="AW247" s="460"/>
      <c r="AX247" s="460"/>
      <c r="AY247" s="460"/>
      <c r="AZ247" s="460"/>
      <c r="BA247" s="460"/>
      <c r="BB247" s="460"/>
      <c r="BC247" s="460"/>
      <c r="BD247" s="460"/>
      <c r="BE247" s="460"/>
      <c r="BF247" s="460"/>
      <c r="BG247" s="460"/>
      <c r="BH247" s="460"/>
      <c r="BI247" s="460"/>
      <c r="BJ247" s="460"/>
      <c r="BK247" s="460"/>
      <c r="BL247" s="460"/>
      <c r="BM247" s="460"/>
      <c r="BN247" s="460"/>
      <c r="BO247" s="460"/>
      <c r="BP247" s="460"/>
      <c r="BQ247" s="460"/>
      <c r="BR247" s="460"/>
      <c r="BS247" s="460"/>
      <c r="BT247" s="460"/>
      <c r="BU247" s="460"/>
      <c r="BV247" s="460"/>
      <c r="BW247" s="460"/>
      <c r="BX247" s="460"/>
      <c r="BY247" s="460"/>
      <c r="BZ247" s="460"/>
      <c r="CA247" s="460"/>
      <c r="CB247" s="460"/>
      <c r="CC247" s="460"/>
      <c r="CD247" s="460"/>
      <c r="CE247" s="460"/>
      <c r="CF247" s="460"/>
      <c r="CG247" s="460"/>
      <c r="CH247" s="460"/>
      <c r="CI247" s="460"/>
      <c r="CJ247" s="460"/>
      <c r="CK247" s="460"/>
    </row>
    <row r="248" spans="1:89" s="329" customFormat="1" ht="36" customHeight="1" x14ac:dyDescent="0.25">
      <c r="A248" s="329">
        <v>1</v>
      </c>
      <c r="B248" s="39">
        <f>SUBTOTAL(103,$A$16:A248)</f>
        <v>228</v>
      </c>
      <c r="C248" s="33" t="s">
        <v>1131</v>
      </c>
      <c r="D248" s="330">
        <v>1963</v>
      </c>
      <c r="E248" s="330"/>
      <c r="F248" s="331" t="s">
        <v>48</v>
      </c>
      <c r="G248" s="330">
        <v>2</v>
      </c>
      <c r="H248" s="330" t="s">
        <v>56</v>
      </c>
      <c r="I248" s="38">
        <v>429.2</v>
      </c>
      <c r="J248" s="38">
        <v>389</v>
      </c>
      <c r="K248" s="38">
        <v>389</v>
      </c>
      <c r="L248" s="332">
        <v>13</v>
      </c>
      <c r="M248" s="330" t="s">
        <v>46</v>
      </c>
      <c r="N248" s="330" t="s">
        <v>50</v>
      </c>
      <c r="O248" s="333" t="s">
        <v>2030</v>
      </c>
      <c r="P248" s="38">
        <v>1323171.2200000002</v>
      </c>
      <c r="Q248" s="38">
        <v>0</v>
      </c>
      <c r="R248" s="38">
        <v>0</v>
      </c>
      <c r="S248" s="38">
        <f t="shared" si="27"/>
        <v>1323171.2200000002</v>
      </c>
      <c r="T248" s="38">
        <f t="shared" si="22"/>
        <v>3082.8779589934766</v>
      </c>
      <c r="U248" s="38">
        <v>5705.932730661696</v>
      </c>
      <c r="V248" s="458">
        <f t="shared" si="23"/>
        <v>2623.0547716682195</v>
      </c>
      <c r="W248" s="458">
        <f t="shared" si="28"/>
        <v>5686.5367940354145</v>
      </c>
      <c r="X248" s="458">
        <v>0</v>
      </c>
      <c r="Y248" s="459">
        <v>0</v>
      </c>
      <c r="Z248" s="459">
        <v>0</v>
      </c>
      <c r="AA248" s="459">
        <v>0</v>
      </c>
      <c r="AB248" s="459">
        <v>0</v>
      </c>
      <c r="AC248" s="459">
        <v>0</v>
      </c>
      <c r="AD248" s="459">
        <v>0</v>
      </c>
      <c r="AE248" s="459">
        <v>391.2</v>
      </c>
      <c r="AF248" s="458">
        <f>6238.91*AE248/I248</f>
        <v>5686.5367940354145</v>
      </c>
      <c r="AG248" s="459">
        <v>0</v>
      </c>
      <c r="AH248" s="458">
        <v>0</v>
      </c>
      <c r="AI248" s="459">
        <v>0</v>
      </c>
      <c r="AJ248" s="458">
        <v>0</v>
      </c>
      <c r="AK248" s="459">
        <v>0</v>
      </c>
      <c r="AL248" s="459">
        <v>0</v>
      </c>
      <c r="AM248" s="459">
        <v>0</v>
      </c>
      <c r="AN248" s="459"/>
      <c r="AO248" s="459">
        <v>0</v>
      </c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0"/>
      <c r="BB248" s="460"/>
      <c r="BC248" s="460"/>
      <c r="BD248" s="460"/>
      <c r="BE248" s="460"/>
      <c r="BF248" s="460"/>
      <c r="BG248" s="460"/>
      <c r="BH248" s="460"/>
      <c r="BI248" s="460"/>
      <c r="BJ248" s="460"/>
      <c r="BK248" s="460"/>
      <c r="BL248" s="460"/>
      <c r="BM248" s="460"/>
      <c r="BN248" s="460"/>
      <c r="BO248" s="460"/>
      <c r="BP248" s="460"/>
      <c r="BQ248" s="460"/>
      <c r="BR248" s="460"/>
      <c r="BS248" s="460"/>
      <c r="BT248" s="460"/>
      <c r="BU248" s="460"/>
      <c r="BV248" s="460"/>
      <c r="BW248" s="460"/>
      <c r="BX248" s="460"/>
      <c r="BY248" s="460"/>
      <c r="BZ248" s="460"/>
      <c r="CA248" s="460"/>
      <c r="CB248" s="460"/>
      <c r="CC248" s="460"/>
      <c r="CD248" s="460"/>
      <c r="CE248" s="460"/>
      <c r="CF248" s="460"/>
      <c r="CG248" s="460"/>
      <c r="CH248" s="460"/>
      <c r="CI248" s="460"/>
      <c r="CJ248" s="460"/>
      <c r="CK248" s="460"/>
    </row>
    <row r="249" spans="1:89" s="329" customFormat="1" ht="36" customHeight="1" x14ac:dyDescent="0.25">
      <c r="A249" s="329">
        <v>1</v>
      </c>
      <c r="B249" s="39">
        <f>SUBTOTAL(103,$A$16:A249)</f>
        <v>229</v>
      </c>
      <c r="C249" s="33" t="s">
        <v>1238</v>
      </c>
      <c r="D249" s="330">
        <v>1987</v>
      </c>
      <c r="E249" s="330"/>
      <c r="F249" s="331" t="s">
        <v>48</v>
      </c>
      <c r="G249" s="330">
        <v>9</v>
      </c>
      <c r="H249" s="330" t="s">
        <v>56</v>
      </c>
      <c r="I249" s="38">
        <v>7472.7</v>
      </c>
      <c r="J249" s="38">
        <v>3451.84</v>
      </c>
      <c r="K249" s="38">
        <v>3451.84</v>
      </c>
      <c r="L249" s="332">
        <v>160</v>
      </c>
      <c r="M249" s="330" t="s">
        <v>46</v>
      </c>
      <c r="N249" s="330" t="s">
        <v>2031</v>
      </c>
      <c r="O249" s="333" t="s">
        <v>49</v>
      </c>
      <c r="P249" s="38">
        <v>1623216.35</v>
      </c>
      <c r="Q249" s="38">
        <v>0</v>
      </c>
      <c r="R249" s="38">
        <v>0</v>
      </c>
      <c r="S249" s="38">
        <f t="shared" si="27"/>
        <v>1623216.35</v>
      </c>
      <c r="T249" s="38">
        <f t="shared" si="22"/>
        <v>217.2195257403616</v>
      </c>
      <c r="U249" s="38">
        <v>328.90387677813908</v>
      </c>
      <c r="V249" s="458">
        <f t="shared" si="23"/>
        <v>111.68435103777747</v>
      </c>
      <c r="W249" s="458">
        <f t="shared" si="28"/>
        <v>328.90387677813908</v>
      </c>
      <c r="X249" s="458">
        <v>0</v>
      </c>
      <c r="Y249" s="459">
        <v>0</v>
      </c>
      <c r="Z249" s="459">
        <v>0</v>
      </c>
      <c r="AA249" s="459">
        <v>0</v>
      </c>
      <c r="AB249" s="459">
        <v>0</v>
      </c>
      <c r="AC249" s="459">
        <v>1</v>
      </c>
      <c r="AD249" s="458">
        <f>2457800*AC249/I249</f>
        <v>328.90387677813908</v>
      </c>
      <c r="AE249" s="459">
        <v>0</v>
      </c>
      <c r="AF249" s="458">
        <v>0</v>
      </c>
      <c r="AG249" s="459">
        <v>0</v>
      </c>
      <c r="AH249" s="458">
        <v>0</v>
      </c>
      <c r="AI249" s="459">
        <v>0</v>
      </c>
      <c r="AJ249" s="458">
        <v>0</v>
      </c>
      <c r="AK249" s="459">
        <v>0</v>
      </c>
      <c r="AL249" s="459">
        <v>0</v>
      </c>
      <c r="AM249" s="459">
        <v>0</v>
      </c>
      <c r="AN249" s="459"/>
      <c r="AO249" s="459">
        <v>0</v>
      </c>
      <c r="AP249" s="460"/>
      <c r="AQ249" s="460"/>
      <c r="AR249" s="460"/>
      <c r="AS249" s="460"/>
      <c r="AT249" s="460"/>
      <c r="AU249" s="460"/>
      <c r="AV249" s="460"/>
      <c r="AW249" s="460"/>
      <c r="AX249" s="460"/>
      <c r="AY249" s="460"/>
      <c r="AZ249" s="460"/>
      <c r="BA249" s="460"/>
      <c r="BB249" s="460"/>
      <c r="BC249" s="460"/>
      <c r="BD249" s="460"/>
      <c r="BE249" s="460"/>
      <c r="BF249" s="460"/>
      <c r="BG249" s="460"/>
      <c r="BH249" s="460"/>
      <c r="BI249" s="460"/>
      <c r="BJ249" s="460"/>
      <c r="BK249" s="460"/>
      <c r="BL249" s="460"/>
      <c r="BM249" s="460"/>
      <c r="BN249" s="460"/>
      <c r="BO249" s="460"/>
      <c r="BP249" s="460"/>
      <c r="BQ249" s="460"/>
      <c r="BR249" s="460"/>
      <c r="BS249" s="460"/>
      <c r="BT249" s="460"/>
      <c r="BU249" s="460"/>
      <c r="BV249" s="460"/>
      <c r="BW249" s="460"/>
      <c r="BX249" s="460"/>
      <c r="BY249" s="460"/>
      <c r="BZ249" s="460"/>
      <c r="CA249" s="460"/>
      <c r="CB249" s="460"/>
      <c r="CC249" s="460"/>
      <c r="CD249" s="460"/>
      <c r="CE249" s="460"/>
      <c r="CF249" s="460"/>
      <c r="CG249" s="460"/>
      <c r="CH249" s="460"/>
      <c r="CI249" s="460"/>
      <c r="CJ249" s="460"/>
      <c r="CK249" s="460"/>
    </row>
    <row r="250" spans="1:89" s="329" customFormat="1" ht="36" customHeight="1" x14ac:dyDescent="0.25">
      <c r="A250" s="329">
        <v>1</v>
      </c>
      <c r="B250" s="39">
        <f>SUBTOTAL(103,$A$16:A250)</f>
        <v>230</v>
      </c>
      <c r="C250" s="33" t="s">
        <v>1239</v>
      </c>
      <c r="D250" s="330">
        <v>1917</v>
      </c>
      <c r="E250" s="330"/>
      <c r="F250" s="331" t="s">
        <v>48</v>
      </c>
      <c r="G250" s="330">
        <v>2</v>
      </c>
      <c r="H250" s="330" t="s">
        <v>57</v>
      </c>
      <c r="I250" s="38">
        <v>237.3</v>
      </c>
      <c r="J250" s="38">
        <v>207.2</v>
      </c>
      <c r="K250" s="38">
        <v>207.2</v>
      </c>
      <c r="L250" s="332">
        <v>13</v>
      </c>
      <c r="M250" s="330" t="s">
        <v>46</v>
      </c>
      <c r="N250" s="330" t="s">
        <v>47</v>
      </c>
      <c r="O250" s="333" t="s">
        <v>49</v>
      </c>
      <c r="P250" s="38">
        <v>840825.44000000006</v>
      </c>
      <c r="Q250" s="38">
        <v>0</v>
      </c>
      <c r="R250" s="38">
        <v>0</v>
      </c>
      <c r="S250" s="38">
        <f t="shared" si="27"/>
        <v>840825.44000000006</v>
      </c>
      <c r="T250" s="38">
        <f t="shared" si="22"/>
        <v>3543.3014749262538</v>
      </c>
      <c r="U250" s="38">
        <v>5695.6385208596712</v>
      </c>
      <c r="V250" s="458">
        <f t="shared" si="23"/>
        <v>2152.3370459334174</v>
      </c>
      <c r="W250" s="458">
        <f t="shared" si="28"/>
        <v>6309.8963337547402</v>
      </c>
      <c r="X250" s="458">
        <v>0</v>
      </c>
      <c r="Y250" s="459">
        <v>0</v>
      </c>
      <c r="Z250" s="459">
        <v>0</v>
      </c>
      <c r="AA250" s="459">
        <v>0</v>
      </c>
      <c r="AB250" s="459">
        <v>0</v>
      </c>
      <c r="AC250" s="459">
        <v>0</v>
      </c>
      <c r="AD250" s="459">
        <v>0</v>
      </c>
      <c r="AE250" s="459">
        <v>240</v>
      </c>
      <c r="AF250" s="458">
        <f t="shared" ref="AF250:AF255" si="29">6238.91*AE250/I250</f>
        <v>6309.8963337547402</v>
      </c>
      <c r="AG250" s="459">
        <v>0</v>
      </c>
      <c r="AH250" s="458">
        <v>0</v>
      </c>
      <c r="AI250" s="459">
        <v>0</v>
      </c>
      <c r="AJ250" s="458">
        <v>0</v>
      </c>
      <c r="AK250" s="459">
        <v>0</v>
      </c>
      <c r="AL250" s="459">
        <v>0</v>
      </c>
      <c r="AM250" s="459">
        <v>0</v>
      </c>
      <c r="AN250" s="459"/>
      <c r="AO250" s="459">
        <v>0</v>
      </c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0"/>
      <c r="BB250" s="460"/>
      <c r="BC250" s="460"/>
      <c r="BD250" s="460"/>
      <c r="BE250" s="460"/>
      <c r="BF250" s="460"/>
      <c r="BG250" s="460"/>
      <c r="BH250" s="460"/>
      <c r="BI250" s="460"/>
      <c r="BJ250" s="460"/>
      <c r="BK250" s="460"/>
      <c r="BL250" s="460"/>
      <c r="BM250" s="460"/>
      <c r="BN250" s="460"/>
      <c r="BO250" s="460"/>
      <c r="BP250" s="460"/>
      <c r="BQ250" s="460"/>
      <c r="BR250" s="460"/>
      <c r="BS250" s="460"/>
      <c r="BT250" s="460"/>
      <c r="BU250" s="460"/>
      <c r="BV250" s="460"/>
      <c r="BW250" s="460"/>
      <c r="BX250" s="460"/>
      <c r="BY250" s="460"/>
      <c r="BZ250" s="460"/>
      <c r="CA250" s="460"/>
      <c r="CB250" s="460"/>
      <c r="CC250" s="460"/>
      <c r="CD250" s="460"/>
      <c r="CE250" s="460"/>
      <c r="CF250" s="460"/>
      <c r="CG250" s="460"/>
      <c r="CH250" s="460"/>
      <c r="CI250" s="460"/>
      <c r="CJ250" s="460"/>
      <c r="CK250" s="460"/>
    </row>
    <row r="251" spans="1:89" s="329" customFormat="1" ht="36" customHeight="1" x14ac:dyDescent="0.25">
      <c r="A251" s="329">
        <v>1</v>
      </c>
      <c r="B251" s="39">
        <f>SUBTOTAL(103,$A$16:A251)</f>
        <v>231</v>
      </c>
      <c r="C251" s="33" t="s">
        <v>1240</v>
      </c>
      <c r="D251" s="330">
        <v>1972</v>
      </c>
      <c r="E251" s="330"/>
      <c r="F251" s="331" t="s">
        <v>48</v>
      </c>
      <c r="G251" s="330">
        <v>5</v>
      </c>
      <c r="H251" s="330" t="s">
        <v>57</v>
      </c>
      <c r="I251" s="38">
        <v>1651.99</v>
      </c>
      <c r="J251" s="38">
        <v>1219.19</v>
      </c>
      <c r="K251" s="38">
        <v>1219.19</v>
      </c>
      <c r="L251" s="332">
        <v>231</v>
      </c>
      <c r="M251" s="330" t="s">
        <v>46</v>
      </c>
      <c r="N251" s="330" t="s">
        <v>71</v>
      </c>
      <c r="O251" s="333" t="s">
        <v>2032</v>
      </c>
      <c r="P251" s="38">
        <v>1500690.63</v>
      </c>
      <c r="Q251" s="38">
        <v>0</v>
      </c>
      <c r="R251" s="38">
        <v>0</v>
      </c>
      <c r="S251" s="38">
        <f t="shared" si="27"/>
        <v>1500690.63</v>
      </c>
      <c r="T251" s="38">
        <f t="shared" si="22"/>
        <v>908.41387054401048</v>
      </c>
      <c r="U251" s="38">
        <v>2141.0585717831218</v>
      </c>
      <c r="V251" s="458">
        <f t="shared" si="23"/>
        <v>1232.6447012391113</v>
      </c>
      <c r="W251" s="458">
        <f t="shared" si="28"/>
        <v>2126.6050163741911</v>
      </c>
      <c r="X251" s="458">
        <v>0</v>
      </c>
      <c r="Y251" s="459">
        <v>0</v>
      </c>
      <c r="Z251" s="459">
        <v>0</v>
      </c>
      <c r="AA251" s="459">
        <v>0</v>
      </c>
      <c r="AB251" s="459">
        <v>0</v>
      </c>
      <c r="AC251" s="459">
        <v>0</v>
      </c>
      <c r="AD251" s="459">
        <v>0</v>
      </c>
      <c r="AE251" s="459">
        <v>563.1</v>
      </c>
      <c r="AF251" s="458">
        <f t="shared" si="29"/>
        <v>2126.6050163741911</v>
      </c>
      <c r="AG251" s="459">
        <v>0</v>
      </c>
      <c r="AH251" s="458">
        <v>0</v>
      </c>
      <c r="AI251" s="459">
        <v>0</v>
      </c>
      <c r="AJ251" s="458">
        <v>0</v>
      </c>
      <c r="AK251" s="459">
        <v>0</v>
      </c>
      <c r="AL251" s="459">
        <v>0</v>
      </c>
      <c r="AM251" s="459">
        <v>0</v>
      </c>
      <c r="AN251" s="459"/>
      <c r="AO251" s="459">
        <v>0</v>
      </c>
      <c r="AP251" s="460"/>
      <c r="AQ251" s="460"/>
      <c r="AR251" s="460"/>
      <c r="AS251" s="460"/>
      <c r="AT251" s="460"/>
      <c r="AU251" s="460"/>
      <c r="AV251" s="460"/>
      <c r="AW251" s="460"/>
      <c r="AX251" s="460"/>
      <c r="AY251" s="460"/>
      <c r="AZ251" s="460"/>
      <c r="BA251" s="460"/>
      <c r="BB251" s="460"/>
      <c r="BC251" s="460"/>
      <c r="BD251" s="460"/>
      <c r="BE251" s="460"/>
      <c r="BF251" s="460"/>
      <c r="BG251" s="460"/>
      <c r="BH251" s="460"/>
      <c r="BI251" s="460"/>
      <c r="BJ251" s="460"/>
      <c r="BK251" s="460"/>
      <c r="BL251" s="460"/>
      <c r="BM251" s="460"/>
      <c r="BN251" s="460"/>
      <c r="BO251" s="460"/>
      <c r="BP251" s="460"/>
      <c r="BQ251" s="460"/>
      <c r="BR251" s="460"/>
      <c r="BS251" s="460"/>
      <c r="BT251" s="460"/>
      <c r="BU251" s="460"/>
      <c r="BV251" s="460"/>
      <c r="BW251" s="460"/>
      <c r="BX251" s="460"/>
      <c r="BY251" s="460"/>
      <c r="BZ251" s="460"/>
      <c r="CA251" s="460"/>
      <c r="CB251" s="460"/>
      <c r="CC251" s="460"/>
      <c r="CD251" s="460"/>
      <c r="CE251" s="460"/>
      <c r="CF251" s="460"/>
      <c r="CG251" s="460"/>
      <c r="CH251" s="460"/>
      <c r="CI251" s="460"/>
      <c r="CJ251" s="460"/>
      <c r="CK251" s="460"/>
    </row>
    <row r="252" spans="1:89" s="329" customFormat="1" ht="36" customHeight="1" x14ac:dyDescent="0.25">
      <c r="A252" s="329">
        <v>1</v>
      </c>
      <c r="B252" s="39">
        <f>SUBTOTAL(103,$A$16:A252)</f>
        <v>232</v>
      </c>
      <c r="C252" s="33" t="s">
        <v>1241</v>
      </c>
      <c r="D252" s="330">
        <v>1965</v>
      </c>
      <c r="E252" s="330"/>
      <c r="F252" s="331" t="s">
        <v>48</v>
      </c>
      <c r="G252" s="330">
        <v>5</v>
      </c>
      <c r="H252" s="330" t="s">
        <v>59</v>
      </c>
      <c r="I252" s="38">
        <v>3471.4</v>
      </c>
      <c r="J252" s="38">
        <v>3417.4</v>
      </c>
      <c r="K252" s="38">
        <v>3417.4</v>
      </c>
      <c r="L252" s="332">
        <v>208</v>
      </c>
      <c r="M252" s="330" t="s">
        <v>46</v>
      </c>
      <c r="N252" s="330" t="s">
        <v>50</v>
      </c>
      <c r="O252" s="333" t="s">
        <v>2029</v>
      </c>
      <c r="P252" s="38">
        <v>4918728.9799999995</v>
      </c>
      <c r="Q252" s="38">
        <v>0</v>
      </c>
      <c r="R252" s="38">
        <v>0</v>
      </c>
      <c r="S252" s="38">
        <f t="shared" si="27"/>
        <v>4918728.9799999995</v>
      </c>
      <c r="T252" s="38">
        <f t="shared" si="22"/>
        <v>1416.9294751397128</v>
      </c>
      <c r="U252" s="38">
        <v>1971.0743993777726</v>
      </c>
      <c r="V252" s="458">
        <f t="shared" si="23"/>
        <v>554.14492423805973</v>
      </c>
      <c r="W252" s="458">
        <f t="shared" si="28"/>
        <v>1926.4526211326843</v>
      </c>
      <c r="X252" s="458">
        <v>0</v>
      </c>
      <c r="Y252" s="459">
        <v>0</v>
      </c>
      <c r="Z252" s="459">
        <v>0</v>
      </c>
      <c r="AA252" s="459">
        <v>0</v>
      </c>
      <c r="AB252" s="459">
        <v>0</v>
      </c>
      <c r="AC252" s="459">
        <v>0</v>
      </c>
      <c r="AD252" s="459">
        <v>0</v>
      </c>
      <c r="AE252" s="459">
        <v>1071.9000000000001</v>
      </c>
      <c r="AF252" s="458">
        <f t="shared" si="29"/>
        <v>1926.4526211326843</v>
      </c>
      <c r="AG252" s="459">
        <v>0</v>
      </c>
      <c r="AH252" s="458">
        <v>0</v>
      </c>
      <c r="AI252" s="459">
        <v>0</v>
      </c>
      <c r="AJ252" s="458">
        <v>0</v>
      </c>
      <c r="AK252" s="459">
        <v>0</v>
      </c>
      <c r="AL252" s="459">
        <v>0</v>
      </c>
      <c r="AM252" s="459">
        <v>0</v>
      </c>
      <c r="AN252" s="459"/>
      <c r="AO252" s="459">
        <v>0</v>
      </c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0"/>
      <c r="BB252" s="460"/>
      <c r="BC252" s="460"/>
      <c r="BD252" s="460"/>
      <c r="BE252" s="460"/>
      <c r="BF252" s="460"/>
      <c r="BG252" s="460"/>
      <c r="BH252" s="460"/>
      <c r="BI252" s="460"/>
      <c r="BJ252" s="460"/>
      <c r="BK252" s="460"/>
      <c r="BL252" s="460"/>
      <c r="BM252" s="460"/>
      <c r="BN252" s="460"/>
      <c r="BO252" s="460"/>
      <c r="BP252" s="460"/>
      <c r="BQ252" s="460"/>
      <c r="BR252" s="460"/>
      <c r="BS252" s="460"/>
      <c r="BT252" s="460"/>
      <c r="BU252" s="460"/>
      <c r="BV252" s="460"/>
      <c r="BW252" s="460"/>
      <c r="BX252" s="460"/>
      <c r="BY252" s="460"/>
      <c r="BZ252" s="460"/>
      <c r="CA252" s="460"/>
      <c r="CB252" s="460"/>
      <c r="CC252" s="460"/>
      <c r="CD252" s="460"/>
      <c r="CE252" s="460"/>
      <c r="CF252" s="460"/>
      <c r="CG252" s="460"/>
      <c r="CH252" s="460"/>
      <c r="CI252" s="460"/>
      <c r="CJ252" s="460"/>
      <c r="CK252" s="460"/>
    </row>
    <row r="253" spans="1:89" s="329" customFormat="1" ht="36" customHeight="1" x14ac:dyDescent="0.25">
      <c r="A253" s="329">
        <v>1</v>
      </c>
      <c r="B253" s="39">
        <f>SUBTOTAL(103,$A$16:A253)</f>
        <v>233</v>
      </c>
      <c r="C253" s="33" t="s">
        <v>1003</v>
      </c>
      <c r="D253" s="330" t="s">
        <v>2033</v>
      </c>
      <c r="E253" s="330"/>
      <c r="F253" s="331" t="s">
        <v>60</v>
      </c>
      <c r="G253" s="330" t="s">
        <v>1965</v>
      </c>
      <c r="H253" s="330" t="s">
        <v>56</v>
      </c>
      <c r="I253" s="38">
        <v>4238.3</v>
      </c>
      <c r="J253" s="38">
        <v>4238.3</v>
      </c>
      <c r="K253" s="38">
        <v>4238.3</v>
      </c>
      <c r="L253" s="332">
        <v>187</v>
      </c>
      <c r="M253" s="330" t="s">
        <v>46</v>
      </c>
      <c r="N253" s="330" t="s">
        <v>50</v>
      </c>
      <c r="O253" s="333" t="s">
        <v>2034</v>
      </c>
      <c r="P253" s="38">
        <v>978702.2</v>
      </c>
      <c r="Q253" s="38">
        <v>0</v>
      </c>
      <c r="R253" s="38">
        <v>0</v>
      </c>
      <c r="S253" s="38">
        <f t="shared" si="27"/>
        <v>978702.2</v>
      </c>
      <c r="T253" s="38">
        <f t="shared" si="22"/>
        <v>230.91857584408842</v>
      </c>
      <c r="U253" s="38">
        <v>798.34667083500449</v>
      </c>
      <c r="V253" s="458">
        <f t="shared" si="23"/>
        <v>567.42809499091607</v>
      </c>
      <c r="W253" s="458">
        <f t="shared" si="28"/>
        <v>795.63288464714617</v>
      </c>
      <c r="X253" s="458">
        <v>0</v>
      </c>
      <c r="Y253" s="459">
        <v>0</v>
      </c>
      <c r="Z253" s="459">
        <v>0</v>
      </c>
      <c r="AA253" s="459">
        <v>0</v>
      </c>
      <c r="AB253" s="459">
        <v>0</v>
      </c>
      <c r="AC253" s="459">
        <v>0</v>
      </c>
      <c r="AD253" s="459">
        <v>0</v>
      </c>
      <c r="AE253" s="459">
        <v>540.5</v>
      </c>
      <c r="AF253" s="458">
        <f t="shared" si="29"/>
        <v>795.63288464714617</v>
      </c>
      <c r="AG253" s="459">
        <v>0</v>
      </c>
      <c r="AH253" s="458">
        <v>0</v>
      </c>
      <c r="AI253" s="459">
        <v>0</v>
      </c>
      <c r="AJ253" s="458">
        <v>0</v>
      </c>
      <c r="AK253" s="459">
        <v>0</v>
      </c>
      <c r="AL253" s="459">
        <v>0</v>
      </c>
      <c r="AM253" s="459">
        <v>0</v>
      </c>
      <c r="AN253" s="459"/>
      <c r="AO253" s="459">
        <v>0</v>
      </c>
      <c r="AP253" s="460"/>
      <c r="AQ253" s="460"/>
      <c r="AR253" s="460"/>
      <c r="AS253" s="460"/>
      <c r="AT253" s="460"/>
      <c r="AU253" s="460"/>
      <c r="AV253" s="460"/>
      <c r="AW253" s="460"/>
      <c r="AX253" s="460"/>
      <c r="AY253" s="460"/>
      <c r="AZ253" s="460"/>
      <c r="BA253" s="460"/>
      <c r="BB253" s="460"/>
      <c r="BC253" s="460"/>
      <c r="BD253" s="460"/>
      <c r="BE253" s="460"/>
      <c r="BF253" s="460"/>
      <c r="BG253" s="460"/>
      <c r="BH253" s="460"/>
      <c r="BI253" s="460"/>
      <c r="BJ253" s="460"/>
      <c r="BK253" s="460"/>
      <c r="BL253" s="460"/>
      <c r="BM253" s="460"/>
      <c r="BN253" s="460"/>
      <c r="BO253" s="460"/>
      <c r="BP253" s="460"/>
      <c r="BQ253" s="460"/>
      <c r="BR253" s="460"/>
      <c r="BS253" s="460"/>
      <c r="BT253" s="460"/>
      <c r="BU253" s="460"/>
      <c r="BV253" s="460"/>
      <c r="BW253" s="460"/>
      <c r="BX253" s="460"/>
      <c r="BY253" s="460"/>
      <c r="BZ253" s="460"/>
      <c r="CA253" s="460"/>
      <c r="CB253" s="460"/>
      <c r="CC253" s="460"/>
      <c r="CD253" s="460"/>
      <c r="CE253" s="460"/>
      <c r="CF253" s="460"/>
      <c r="CG253" s="460"/>
      <c r="CH253" s="460"/>
      <c r="CI253" s="460"/>
      <c r="CJ253" s="460"/>
      <c r="CK253" s="460"/>
    </row>
    <row r="254" spans="1:89" s="329" customFormat="1" ht="36" customHeight="1" x14ac:dyDescent="0.25">
      <c r="A254" s="329">
        <v>1</v>
      </c>
      <c r="B254" s="39">
        <f>SUBTOTAL(103,$A$16:A254)</f>
        <v>234</v>
      </c>
      <c r="C254" s="33" t="s">
        <v>1005</v>
      </c>
      <c r="D254" s="330" t="s">
        <v>2035</v>
      </c>
      <c r="E254" s="330"/>
      <c r="F254" s="331" t="s">
        <v>48</v>
      </c>
      <c r="G254" s="330" t="s">
        <v>61</v>
      </c>
      <c r="H254" s="330" t="s">
        <v>56</v>
      </c>
      <c r="I254" s="334">
        <v>1681.3</v>
      </c>
      <c r="J254" s="334">
        <v>1080.3</v>
      </c>
      <c r="K254" s="334">
        <v>1080.3</v>
      </c>
      <c r="L254" s="332">
        <v>54</v>
      </c>
      <c r="M254" s="330" t="s">
        <v>46</v>
      </c>
      <c r="N254" s="330" t="s">
        <v>50</v>
      </c>
      <c r="O254" s="333" t="s">
        <v>239</v>
      </c>
      <c r="P254" s="38">
        <v>3528045.11</v>
      </c>
      <c r="Q254" s="38">
        <v>0</v>
      </c>
      <c r="R254" s="38">
        <v>0</v>
      </c>
      <c r="S254" s="38">
        <f t="shared" si="27"/>
        <v>3528045.11</v>
      </c>
      <c r="T254" s="38">
        <f t="shared" si="22"/>
        <v>2098.403086897044</v>
      </c>
      <c r="U254" s="38">
        <v>2247.0853892821028</v>
      </c>
      <c r="V254" s="458">
        <f t="shared" si="23"/>
        <v>148.68230238505885</v>
      </c>
      <c r="W254" s="458">
        <f t="shared" si="28"/>
        <v>2707.8568930589427</v>
      </c>
      <c r="X254" s="458">
        <v>0</v>
      </c>
      <c r="Y254" s="459">
        <v>0</v>
      </c>
      <c r="Z254" s="459">
        <v>0</v>
      </c>
      <c r="AA254" s="459">
        <v>0</v>
      </c>
      <c r="AB254" s="459">
        <v>0</v>
      </c>
      <c r="AC254" s="459">
        <v>0</v>
      </c>
      <c r="AD254" s="459">
        <v>0</v>
      </c>
      <c r="AE254" s="459">
        <v>729.73</v>
      </c>
      <c r="AF254" s="458">
        <f t="shared" si="29"/>
        <v>2707.8568930589427</v>
      </c>
      <c r="AG254" s="459">
        <v>0</v>
      </c>
      <c r="AH254" s="458">
        <v>0</v>
      </c>
      <c r="AI254" s="459">
        <v>0</v>
      </c>
      <c r="AJ254" s="458">
        <v>0</v>
      </c>
      <c r="AK254" s="459">
        <v>0</v>
      </c>
      <c r="AL254" s="459">
        <v>0</v>
      </c>
      <c r="AM254" s="459">
        <v>0</v>
      </c>
      <c r="AN254" s="459"/>
      <c r="AO254" s="459">
        <v>0</v>
      </c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0"/>
      <c r="BB254" s="460"/>
      <c r="BC254" s="460"/>
      <c r="BD254" s="460"/>
      <c r="BE254" s="460"/>
      <c r="BF254" s="460"/>
      <c r="BG254" s="460"/>
      <c r="BH254" s="460"/>
      <c r="BI254" s="460"/>
      <c r="BJ254" s="460"/>
      <c r="BK254" s="460"/>
      <c r="BL254" s="460"/>
      <c r="BM254" s="460"/>
      <c r="BN254" s="460"/>
      <c r="BO254" s="460"/>
      <c r="BP254" s="460"/>
      <c r="BQ254" s="460"/>
      <c r="BR254" s="460"/>
      <c r="BS254" s="460"/>
      <c r="BT254" s="460"/>
      <c r="BU254" s="460"/>
      <c r="BV254" s="460"/>
      <c r="BW254" s="460"/>
      <c r="BX254" s="460"/>
      <c r="BY254" s="460"/>
      <c r="BZ254" s="460"/>
      <c r="CA254" s="460"/>
      <c r="CB254" s="460"/>
      <c r="CC254" s="460"/>
      <c r="CD254" s="460"/>
      <c r="CE254" s="460"/>
      <c r="CF254" s="460"/>
      <c r="CG254" s="460"/>
      <c r="CH254" s="460"/>
      <c r="CI254" s="460"/>
      <c r="CJ254" s="460"/>
      <c r="CK254" s="460"/>
    </row>
    <row r="255" spans="1:89" s="329" customFormat="1" ht="36" customHeight="1" x14ac:dyDescent="0.25">
      <c r="A255" s="329">
        <v>1</v>
      </c>
      <c r="B255" s="39">
        <f>SUBTOTAL(103,$A$16:A255)</f>
        <v>235</v>
      </c>
      <c r="C255" s="33" t="s">
        <v>1007</v>
      </c>
      <c r="D255" s="330">
        <v>1959</v>
      </c>
      <c r="E255" s="330"/>
      <c r="F255" s="331" t="s">
        <v>48</v>
      </c>
      <c r="G255" s="330">
        <v>5</v>
      </c>
      <c r="H255" s="330" t="s">
        <v>75</v>
      </c>
      <c r="I255" s="38">
        <v>6261.25</v>
      </c>
      <c r="J255" s="38">
        <v>4642.6499999999996</v>
      </c>
      <c r="K255" s="38">
        <v>2995.37</v>
      </c>
      <c r="L255" s="332">
        <v>118</v>
      </c>
      <c r="M255" s="330" t="s">
        <v>46</v>
      </c>
      <c r="N255" s="330" t="s">
        <v>50</v>
      </c>
      <c r="O255" s="333" t="s">
        <v>2036</v>
      </c>
      <c r="P255" s="38">
        <v>8000993.2200000007</v>
      </c>
      <c r="Q255" s="38">
        <v>0</v>
      </c>
      <c r="R255" s="38">
        <v>0</v>
      </c>
      <c r="S255" s="38">
        <f t="shared" si="27"/>
        <v>8000993.2200000007</v>
      </c>
      <c r="T255" s="38">
        <f t="shared" si="22"/>
        <v>1277.8587694150531</v>
      </c>
      <c r="U255" s="38">
        <v>1649.7206628069475</v>
      </c>
      <c r="V255" s="458">
        <f t="shared" si="23"/>
        <v>371.86189339189445</v>
      </c>
      <c r="W255" s="458">
        <f t="shared" si="28"/>
        <v>1644.1128368935915</v>
      </c>
      <c r="X255" s="458">
        <v>0</v>
      </c>
      <c r="Y255" s="459">
        <v>0</v>
      </c>
      <c r="Z255" s="459">
        <v>0</v>
      </c>
      <c r="AA255" s="459">
        <v>0</v>
      </c>
      <c r="AB255" s="459">
        <v>0</v>
      </c>
      <c r="AC255" s="459">
        <v>0</v>
      </c>
      <c r="AD255" s="459">
        <v>0</v>
      </c>
      <c r="AE255" s="459">
        <v>1650</v>
      </c>
      <c r="AF255" s="458">
        <f t="shared" si="29"/>
        <v>1644.1128368935915</v>
      </c>
      <c r="AG255" s="459">
        <v>0</v>
      </c>
      <c r="AH255" s="458">
        <v>0</v>
      </c>
      <c r="AI255" s="459">
        <v>0</v>
      </c>
      <c r="AJ255" s="458">
        <v>0</v>
      </c>
      <c r="AK255" s="459">
        <v>0</v>
      </c>
      <c r="AL255" s="459">
        <v>0</v>
      </c>
      <c r="AM255" s="459">
        <v>0</v>
      </c>
      <c r="AN255" s="459"/>
      <c r="AO255" s="459">
        <v>0</v>
      </c>
      <c r="AP255" s="460"/>
      <c r="AQ255" s="460"/>
      <c r="AR255" s="460"/>
      <c r="AS255" s="460"/>
      <c r="AT255" s="460"/>
      <c r="AU255" s="460"/>
      <c r="AV255" s="460"/>
      <c r="AW255" s="460"/>
      <c r="AX255" s="460"/>
      <c r="AY255" s="460"/>
      <c r="AZ255" s="460"/>
      <c r="BA255" s="460"/>
      <c r="BB255" s="460"/>
      <c r="BC255" s="460"/>
      <c r="BD255" s="460"/>
      <c r="BE255" s="460"/>
      <c r="BF255" s="460"/>
      <c r="BG255" s="460"/>
      <c r="BH255" s="460"/>
      <c r="BI255" s="460"/>
      <c r="BJ255" s="460"/>
      <c r="BK255" s="460"/>
      <c r="BL255" s="460"/>
      <c r="BM255" s="460"/>
      <c r="BN255" s="460"/>
      <c r="BO255" s="460"/>
      <c r="BP255" s="460"/>
      <c r="BQ255" s="460"/>
      <c r="BR255" s="460"/>
      <c r="BS255" s="460"/>
      <c r="BT255" s="460"/>
      <c r="BU255" s="460"/>
      <c r="BV255" s="460"/>
      <c r="BW255" s="460"/>
      <c r="BX255" s="460"/>
      <c r="BY255" s="460"/>
      <c r="BZ255" s="460"/>
      <c r="CA255" s="460"/>
      <c r="CB255" s="460"/>
      <c r="CC255" s="460"/>
      <c r="CD255" s="460"/>
      <c r="CE255" s="460"/>
      <c r="CF255" s="460"/>
      <c r="CG255" s="460"/>
      <c r="CH255" s="460"/>
      <c r="CI255" s="460"/>
      <c r="CJ255" s="460"/>
      <c r="CK255" s="460"/>
    </row>
    <row r="256" spans="1:89" s="329" customFormat="1" ht="36" customHeight="1" x14ac:dyDescent="0.25">
      <c r="A256" s="329">
        <v>1</v>
      </c>
      <c r="B256" s="39">
        <f>SUBTOTAL(103,$A$16:A256)</f>
        <v>236</v>
      </c>
      <c r="C256" s="33" t="s">
        <v>1242</v>
      </c>
      <c r="D256" s="330">
        <v>1956</v>
      </c>
      <c r="E256" s="330"/>
      <c r="F256" s="331" t="s">
        <v>48</v>
      </c>
      <c r="G256" s="330">
        <v>2</v>
      </c>
      <c r="H256" s="330" t="s">
        <v>56</v>
      </c>
      <c r="I256" s="38">
        <v>525.29999999999995</v>
      </c>
      <c r="J256" s="38">
        <v>480.3</v>
      </c>
      <c r="K256" s="38">
        <v>480.3</v>
      </c>
      <c r="L256" s="332">
        <v>31</v>
      </c>
      <c r="M256" s="330" t="s">
        <v>46</v>
      </c>
      <c r="N256" s="330" t="s">
        <v>50</v>
      </c>
      <c r="O256" s="333" t="s">
        <v>2030</v>
      </c>
      <c r="P256" s="38">
        <v>1685838.04</v>
      </c>
      <c r="Q256" s="38">
        <v>0</v>
      </c>
      <c r="R256" s="38">
        <v>0</v>
      </c>
      <c r="S256" s="38">
        <f t="shared" si="27"/>
        <v>1685838.04</v>
      </c>
      <c r="T256" s="38">
        <f t="shared" si="22"/>
        <v>3209.2861983628404</v>
      </c>
      <c r="U256" s="38">
        <v>9061.8802569960026</v>
      </c>
      <c r="V256" s="458">
        <f t="shared" si="23"/>
        <v>5852.5940586331617</v>
      </c>
      <c r="W256" s="458">
        <f t="shared" si="28"/>
        <v>9061.8802569960026</v>
      </c>
      <c r="X256" s="458">
        <v>0</v>
      </c>
      <c r="Y256" s="459">
        <v>0</v>
      </c>
      <c r="Z256" s="459">
        <v>0</v>
      </c>
      <c r="AA256" s="459">
        <v>0</v>
      </c>
      <c r="AB256" s="459">
        <v>0</v>
      </c>
      <c r="AC256" s="459">
        <v>0</v>
      </c>
      <c r="AD256" s="459">
        <v>0</v>
      </c>
      <c r="AE256" s="459">
        <v>0</v>
      </c>
      <c r="AF256" s="458">
        <v>0</v>
      </c>
      <c r="AG256" s="459">
        <v>0</v>
      </c>
      <c r="AH256" s="458">
        <v>0</v>
      </c>
      <c r="AI256" s="459">
        <v>639.89</v>
      </c>
      <c r="AJ256" s="458">
        <f>7439.1*AI256/I256</f>
        <v>9061.8802569960026</v>
      </c>
      <c r="AK256" s="459">
        <v>0</v>
      </c>
      <c r="AL256" s="459">
        <v>0</v>
      </c>
      <c r="AM256" s="459">
        <v>0</v>
      </c>
      <c r="AN256" s="459"/>
      <c r="AO256" s="459">
        <v>0</v>
      </c>
      <c r="AP256" s="460"/>
      <c r="AQ256" s="460"/>
      <c r="AR256" s="460"/>
      <c r="AS256" s="460"/>
      <c r="AT256" s="460"/>
      <c r="AU256" s="460"/>
      <c r="AV256" s="460"/>
      <c r="AW256" s="460"/>
      <c r="AX256" s="460"/>
      <c r="AY256" s="460"/>
      <c r="AZ256" s="460"/>
      <c r="BA256" s="460"/>
      <c r="BB256" s="460"/>
      <c r="BC256" s="460"/>
      <c r="BD256" s="460"/>
      <c r="BE256" s="460"/>
      <c r="BF256" s="460"/>
      <c r="BG256" s="460"/>
      <c r="BH256" s="460"/>
      <c r="BI256" s="460"/>
      <c r="BJ256" s="460"/>
      <c r="BK256" s="460"/>
      <c r="BL256" s="460"/>
      <c r="BM256" s="460"/>
      <c r="BN256" s="460"/>
      <c r="BO256" s="460"/>
      <c r="BP256" s="460"/>
      <c r="BQ256" s="460"/>
      <c r="BR256" s="460"/>
      <c r="BS256" s="460"/>
      <c r="BT256" s="460"/>
      <c r="BU256" s="460"/>
      <c r="BV256" s="460"/>
      <c r="BW256" s="460"/>
      <c r="BX256" s="460"/>
      <c r="BY256" s="460"/>
      <c r="BZ256" s="460"/>
      <c r="CA256" s="460"/>
      <c r="CB256" s="460"/>
      <c r="CC256" s="460"/>
      <c r="CD256" s="460"/>
      <c r="CE256" s="460"/>
      <c r="CF256" s="460"/>
      <c r="CG256" s="460"/>
      <c r="CH256" s="460"/>
      <c r="CI256" s="460"/>
      <c r="CJ256" s="460"/>
      <c r="CK256" s="460"/>
    </row>
    <row r="257" spans="1:89" s="329" customFormat="1" ht="36" customHeight="1" x14ac:dyDescent="0.25">
      <c r="A257" s="329">
        <v>1</v>
      </c>
      <c r="B257" s="39">
        <f>SUBTOTAL(103,$A$16:A257)</f>
        <v>237</v>
      </c>
      <c r="C257" s="33" t="s">
        <v>1243</v>
      </c>
      <c r="D257" s="330">
        <v>1978</v>
      </c>
      <c r="E257" s="330"/>
      <c r="F257" s="331" t="s">
        <v>48</v>
      </c>
      <c r="G257" s="330">
        <v>9</v>
      </c>
      <c r="H257" s="330" t="s">
        <v>1977</v>
      </c>
      <c r="I257" s="38">
        <v>12893.2</v>
      </c>
      <c r="J257" s="38">
        <v>12893.2</v>
      </c>
      <c r="K257" s="38">
        <v>12893.2</v>
      </c>
      <c r="L257" s="332">
        <v>493</v>
      </c>
      <c r="M257" s="330" t="s">
        <v>46</v>
      </c>
      <c r="N257" s="330" t="s">
        <v>50</v>
      </c>
      <c r="O257" s="333" t="s">
        <v>2036</v>
      </c>
      <c r="P257" s="38">
        <v>3785233.7800000003</v>
      </c>
      <c r="Q257" s="38">
        <v>0</v>
      </c>
      <c r="R257" s="38">
        <v>0</v>
      </c>
      <c r="S257" s="38">
        <f t="shared" si="27"/>
        <v>3785233.7800000003</v>
      </c>
      <c r="T257" s="38">
        <f t="shared" si="22"/>
        <v>293.58373251016042</v>
      </c>
      <c r="U257" s="38">
        <v>928.84182902615316</v>
      </c>
      <c r="V257" s="458">
        <f t="shared" si="23"/>
        <v>635.25809651599275</v>
      </c>
      <c r="W257" s="458">
        <f t="shared" si="28"/>
        <v>925.68445614742654</v>
      </c>
      <c r="X257" s="458">
        <v>0</v>
      </c>
      <c r="Y257" s="459">
        <v>0</v>
      </c>
      <c r="Z257" s="459">
        <v>0</v>
      </c>
      <c r="AA257" s="459">
        <v>0</v>
      </c>
      <c r="AB257" s="459">
        <v>0</v>
      </c>
      <c r="AC257" s="459">
        <v>0</v>
      </c>
      <c r="AD257" s="459">
        <v>0</v>
      </c>
      <c r="AE257" s="459">
        <v>1913</v>
      </c>
      <c r="AF257" s="458">
        <f>6238.91*AE257/I257</f>
        <v>925.68445614742654</v>
      </c>
      <c r="AG257" s="459">
        <v>0</v>
      </c>
      <c r="AH257" s="458">
        <v>0</v>
      </c>
      <c r="AI257" s="459">
        <v>0</v>
      </c>
      <c r="AJ257" s="458">
        <v>0</v>
      </c>
      <c r="AK257" s="459">
        <v>0</v>
      </c>
      <c r="AL257" s="459">
        <v>0</v>
      </c>
      <c r="AM257" s="459">
        <v>0</v>
      </c>
      <c r="AN257" s="459"/>
      <c r="AO257" s="459">
        <v>0</v>
      </c>
      <c r="AP257" s="460"/>
      <c r="AQ257" s="460"/>
      <c r="AR257" s="460"/>
      <c r="AS257" s="460"/>
      <c r="AT257" s="460"/>
      <c r="AU257" s="460"/>
      <c r="AV257" s="460"/>
      <c r="AW257" s="460"/>
      <c r="AX257" s="460"/>
      <c r="AY257" s="460"/>
      <c r="AZ257" s="460"/>
      <c r="BA257" s="460"/>
      <c r="BB257" s="460"/>
      <c r="BC257" s="460"/>
      <c r="BD257" s="460"/>
      <c r="BE257" s="460"/>
      <c r="BF257" s="460"/>
      <c r="BG257" s="460"/>
      <c r="BH257" s="460"/>
      <c r="BI257" s="460"/>
      <c r="BJ257" s="460"/>
      <c r="BK257" s="460"/>
      <c r="BL257" s="460"/>
      <c r="BM257" s="460"/>
      <c r="BN257" s="460"/>
      <c r="BO257" s="460"/>
      <c r="BP257" s="460"/>
      <c r="BQ257" s="460"/>
      <c r="BR257" s="460"/>
      <c r="BS257" s="460"/>
      <c r="BT257" s="460"/>
      <c r="BU257" s="460"/>
      <c r="BV257" s="460"/>
      <c r="BW257" s="460"/>
      <c r="BX257" s="460"/>
      <c r="BY257" s="460"/>
      <c r="BZ257" s="460"/>
      <c r="CA257" s="460"/>
      <c r="CB257" s="460"/>
      <c r="CC257" s="460"/>
      <c r="CD257" s="460"/>
      <c r="CE257" s="460"/>
      <c r="CF257" s="460"/>
      <c r="CG257" s="460"/>
      <c r="CH257" s="460"/>
      <c r="CI257" s="460"/>
      <c r="CJ257" s="460"/>
      <c r="CK257" s="460"/>
    </row>
    <row r="258" spans="1:89" s="329" customFormat="1" ht="36" customHeight="1" x14ac:dyDescent="0.25">
      <c r="A258" s="329">
        <v>1</v>
      </c>
      <c r="B258" s="39">
        <f>SUBTOTAL(103,$A$16:A258)</f>
        <v>238</v>
      </c>
      <c r="C258" s="33" t="s">
        <v>1244</v>
      </c>
      <c r="D258" s="330">
        <v>1982</v>
      </c>
      <c r="E258" s="330"/>
      <c r="F258" s="331" t="s">
        <v>48</v>
      </c>
      <c r="G258" s="330">
        <v>9</v>
      </c>
      <c r="H258" s="330" t="s">
        <v>56</v>
      </c>
      <c r="I258" s="38">
        <v>4642.08</v>
      </c>
      <c r="J258" s="38">
        <v>4642.08</v>
      </c>
      <c r="K258" s="38">
        <v>4642.08</v>
      </c>
      <c r="L258" s="332">
        <v>170</v>
      </c>
      <c r="M258" s="330" t="s">
        <v>46</v>
      </c>
      <c r="N258" s="330" t="s">
        <v>50</v>
      </c>
      <c r="O258" s="333" t="s">
        <v>2029</v>
      </c>
      <c r="P258" s="38">
        <v>2272822.6599999997</v>
      </c>
      <c r="Q258" s="38">
        <v>0</v>
      </c>
      <c r="R258" s="38">
        <v>0</v>
      </c>
      <c r="S258" s="38">
        <f t="shared" si="27"/>
        <v>2272822.6599999997</v>
      </c>
      <c r="T258" s="38">
        <f t="shared" si="22"/>
        <v>489.61298814324607</v>
      </c>
      <c r="U258" s="38">
        <v>489.61298814324607</v>
      </c>
      <c r="V258" s="458">
        <f t="shared" si="23"/>
        <v>0</v>
      </c>
      <c r="W258" s="458">
        <f t="shared" si="28"/>
        <v>531.97</v>
      </c>
      <c r="X258" s="458">
        <v>101.55</v>
      </c>
      <c r="Y258" s="459">
        <v>245.44</v>
      </c>
      <c r="Z258" s="459">
        <v>0</v>
      </c>
      <c r="AA258" s="459">
        <v>184.98</v>
      </c>
      <c r="AB258" s="459">
        <v>0</v>
      </c>
      <c r="AC258" s="459">
        <v>0</v>
      </c>
      <c r="AD258" s="459">
        <v>0</v>
      </c>
      <c r="AE258" s="459">
        <v>0</v>
      </c>
      <c r="AF258" s="458">
        <v>0</v>
      </c>
      <c r="AG258" s="459">
        <v>0</v>
      </c>
      <c r="AH258" s="458">
        <v>0</v>
      </c>
      <c r="AI258" s="459">
        <v>0</v>
      </c>
      <c r="AJ258" s="458">
        <v>0</v>
      </c>
      <c r="AK258" s="459">
        <v>0</v>
      </c>
      <c r="AL258" s="459">
        <v>0</v>
      </c>
      <c r="AM258" s="459">
        <v>0</v>
      </c>
      <c r="AN258" s="459"/>
      <c r="AO258" s="459">
        <v>0</v>
      </c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0"/>
      <c r="BB258" s="460"/>
      <c r="BC258" s="460"/>
      <c r="BD258" s="460"/>
      <c r="BE258" s="460"/>
      <c r="BF258" s="460"/>
      <c r="BG258" s="460"/>
      <c r="BH258" s="460"/>
      <c r="BI258" s="460"/>
      <c r="BJ258" s="460"/>
      <c r="BK258" s="460"/>
      <c r="BL258" s="460"/>
      <c r="BM258" s="460"/>
      <c r="BN258" s="460"/>
      <c r="BO258" s="460"/>
      <c r="BP258" s="460"/>
      <c r="BQ258" s="460"/>
      <c r="BR258" s="460"/>
      <c r="BS258" s="460"/>
      <c r="BT258" s="460"/>
      <c r="BU258" s="460"/>
      <c r="BV258" s="460"/>
      <c r="BW258" s="460"/>
      <c r="BX258" s="460"/>
      <c r="BY258" s="460"/>
      <c r="BZ258" s="460"/>
      <c r="CA258" s="460"/>
      <c r="CB258" s="460"/>
      <c r="CC258" s="460"/>
      <c r="CD258" s="460"/>
      <c r="CE258" s="460"/>
      <c r="CF258" s="460"/>
      <c r="CG258" s="460"/>
      <c r="CH258" s="460"/>
      <c r="CI258" s="460"/>
      <c r="CJ258" s="460"/>
      <c r="CK258" s="460"/>
    </row>
    <row r="259" spans="1:89" s="329" customFormat="1" ht="36" customHeight="1" x14ac:dyDescent="0.25">
      <c r="A259" s="329">
        <v>1</v>
      </c>
      <c r="B259" s="39">
        <f>SUBTOTAL(103,$A$16:A259)</f>
        <v>239</v>
      </c>
      <c r="C259" s="33" t="s">
        <v>1008</v>
      </c>
      <c r="D259" s="330">
        <v>1978</v>
      </c>
      <c r="E259" s="330"/>
      <c r="F259" s="331" t="s">
        <v>48</v>
      </c>
      <c r="G259" s="330">
        <v>5</v>
      </c>
      <c r="H259" s="330" t="s">
        <v>1969</v>
      </c>
      <c r="I259" s="38">
        <v>6106.27</v>
      </c>
      <c r="J259" s="38">
        <v>4513.8999999999996</v>
      </c>
      <c r="K259" s="38">
        <v>4513.8999999999996</v>
      </c>
      <c r="L259" s="332">
        <v>207</v>
      </c>
      <c r="M259" s="330" t="s">
        <v>46</v>
      </c>
      <c r="N259" s="330" t="s">
        <v>50</v>
      </c>
      <c r="O259" s="333" t="s">
        <v>2029</v>
      </c>
      <c r="P259" s="38">
        <v>4444796.6100000003</v>
      </c>
      <c r="Q259" s="38">
        <v>0</v>
      </c>
      <c r="R259" s="38">
        <v>0</v>
      </c>
      <c r="S259" s="38">
        <f t="shared" si="27"/>
        <v>4444796.6100000003</v>
      </c>
      <c r="T259" s="38">
        <f t="shared" si="22"/>
        <v>727.9069890456858</v>
      </c>
      <c r="U259" s="38">
        <v>1317.0115110697693</v>
      </c>
      <c r="V259" s="458">
        <f t="shared" si="23"/>
        <v>589.10452202408351</v>
      </c>
      <c r="W259" s="458">
        <f t="shared" si="28"/>
        <v>1292.4373788908777</v>
      </c>
      <c r="X259" s="458">
        <v>0</v>
      </c>
      <c r="Y259" s="459">
        <v>0</v>
      </c>
      <c r="Z259" s="459">
        <v>0</v>
      </c>
      <c r="AA259" s="459">
        <v>0</v>
      </c>
      <c r="AB259" s="459">
        <v>0</v>
      </c>
      <c r="AC259" s="459">
        <v>0</v>
      </c>
      <c r="AD259" s="459">
        <v>0</v>
      </c>
      <c r="AE259" s="459">
        <v>1264.96</v>
      </c>
      <c r="AF259" s="458">
        <f>6238.91*AE259/I259</f>
        <v>1292.4373788908777</v>
      </c>
      <c r="AG259" s="459">
        <v>0</v>
      </c>
      <c r="AH259" s="458">
        <v>0</v>
      </c>
      <c r="AI259" s="459">
        <v>0</v>
      </c>
      <c r="AJ259" s="458">
        <v>0</v>
      </c>
      <c r="AK259" s="459">
        <v>0</v>
      </c>
      <c r="AL259" s="459">
        <v>0</v>
      </c>
      <c r="AM259" s="459">
        <v>0</v>
      </c>
      <c r="AN259" s="459"/>
      <c r="AO259" s="459">
        <v>0</v>
      </c>
      <c r="AP259" s="460"/>
      <c r="AQ259" s="460"/>
      <c r="AR259" s="460"/>
      <c r="AS259" s="460"/>
      <c r="AT259" s="460"/>
      <c r="AU259" s="460"/>
      <c r="AV259" s="460"/>
      <c r="AW259" s="460"/>
      <c r="AX259" s="460"/>
      <c r="AY259" s="460"/>
      <c r="AZ259" s="460"/>
      <c r="BA259" s="460"/>
      <c r="BB259" s="460"/>
      <c r="BC259" s="460"/>
      <c r="BD259" s="460"/>
      <c r="BE259" s="460"/>
      <c r="BF259" s="460"/>
      <c r="BG259" s="460"/>
      <c r="BH259" s="460"/>
      <c r="BI259" s="460"/>
      <c r="BJ259" s="460"/>
      <c r="BK259" s="460"/>
      <c r="BL259" s="460"/>
      <c r="BM259" s="460"/>
      <c r="BN259" s="460"/>
      <c r="BO259" s="460"/>
      <c r="BP259" s="460"/>
      <c r="BQ259" s="460"/>
      <c r="BR259" s="460"/>
      <c r="BS259" s="460"/>
      <c r="BT259" s="460"/>
      <c r="BU259" s="460"/>
      <c r="BV259" s="460"/>
      <c r="BW259" s="460"/>
      <c r="BX259" s="460"/>
      <c r="BY259" s="460"/>
      <c r="BZ259" s="460"/>
      <c r="CA259" s="460"/>
      <c r="CB259" s="460"/>
      <c r="CC259" s="460"/>
      <c r="CD259" s="460"/>
      <c r="CE259" s="460"/>
      <c r="CF259" s="460"/>
      <c r="CG259" s="460"/>
      <c r="CH259" s="460"/>
      <c r="CI259" s="460"/>
      <c r="CJ259" s="460"/>
      <c r="CK259" s="460"/>
    </row>
    <row r="260" spans="1:89" s="329" customFormat="1" ht="36" customHeight="1" x14ac:dyDescent="0.25">
      <c r="A260" s="329">
        <v>1</v>
      </c>
      <c r="B260" s="39">
        <f>SUBTOTAL(103,$A$16:A260)</f>
        <v>240</v>
      </c>
      <c r="C260" s="33" t="s">
        <v>1009</v>
      </c>
      <c r="D260" s="330">
        <v>1937</v>
      </c>
      <c r="E260" s="330"/>
      <c r="F260" s="331" t="s">
        <v>48</v>
      </c>
      <c r="G260" s="330">
        <v>3</v>
      </c>
      <c r="H260" s="330" t="s">
        <v>59</v>
      </c>
      <c r="I260" s="38">
        <v>1443.5</v>
      </c>
      <c r="J260" s="38">
        <v>976.1</v>
      </c>
      <c r="K260" s="38">
        <v>976.1</v>
      </c>
      <c r="L260" s="332">
        <v>60</v>
      </c>
      <c r="M260" s="330" t="s">
        <v>46</v>
      </c>
      <c r="N260" s="330" t="s">
        <v>2031</v>
      </c>
      <c r="O260" s="333" t="s">
        <v>49</v>
      </c>
      <c r="P260" s="38">
        <v>3526049.4499999997</v>
      </c>
      <c r="Q260" s="38">
        <v>0</v>
      </c>
      <c r="R260" s="38">
        <v>0</v>
      </c>
      <c r="S260" s="38">
        <f t="shared" si="27"/>
        <v>3526049.4499999997</v>
      </c>
      <c r="T260" s="38">
        <f t="shared" si="22"/>
        <v>2442.7083131278141</v>
      </c>
      <c r="U260" s="38">
        <v>3637.5888924835463</v>
      </c>
      <c r="V260" s="458">
        <f t="shared" si="23"/>
        <v>1194.8805793557322</v>
      </c>
      <c r="W260" s="458">
        <f t="shared" si="28"/>
        <v>3625.2237898856943</v>
      </c>
      <c r="X260" s="458">
        <v>0</v>
      </c>
      <c r="Y260" s="459">
        <v>0</v>
      </c>
      <c r="Z260" s="459">
        <v>0</v>
      </c>
      <c r="AA260" s="459">
        <v>0</v>
      </c>
      <c r="AB260" s="459">
        <v>0</v>
      </c>
      <c r="AC260" s="459">
        <v>0</v>
      </c>
      <c r="AD260" s="459">
        <v>0</v>
      </c>
      <c r="AE260" s="459">
        <v>838.77</v>
      </c>
      <c r="AF260" s="458">
        <f>6238.91*AE260/I260</f>
        <v>3625.2237898856943</v>
      </c>
      <c r="AG260" s="459">
        <v>0</v>
      </c>
      <c r="AH260" s="458">
        <v>0</v>
      </c>
      <c r="AI260" s="459">
        <v>0</v>
      </c>
      <c r="AJ260" s="458">
        <v>0</v>
      </c>
      <c r="AK260" s="459">
        <v>0</v>
      </c>
      <c r="AL260" s="459">
        <v>0</v>
      </c>
      <c r="AM260" s="459">
        <v>0</v>
      </c>
      <c r="AN260" s="459"/>
      <c r="AO260" s="459">
        <v>0</v>
      </c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0"/>
      <c r="BB260" s="460"/>
      <c r="BC260" s="460"/>
      <c r="BD260" s="460"/>
      <c r="BE260" s="460"/>
      <c r="BF260" s="460"/>
      <c r="BG260" s="460"/>
      <c r="BH260" s="460"/>
      <c r="BI260" s="460"/>
      <c r="BJ260" s="460"/>
      <c r="BK260" s="460"/>
      <c r="BL260" s="460"/>
      <c r="BM260" s="460"/>
      <c r="BN260" s="460"/>
      <c r="BO260" s="460"/>
      <c r="BP260" s="460"/>
      <c r="BQ260" s="460"/>
      <c r="BR260" s="460"/>
      <c r="BS260" s="460"/>
      <c r="BT260" s="460"/>
      <c r="BU260" s="460"/>
      <c r="BV260" s="460"/>
      <c r="BW260" s="460"/>
      <c r="BX260" s="460"/>
      <c r="BY260" s="460"/>
      <c r="BZ260" s="460"/>
      <c r="CA260" s="460"/>
      <c r="CB260" s="460"/>
      <c r="CC260" s="460"/>
      <c r="CD260" s="460"/>
      <c r="CE260" s="460"/>
      <c r="CF260" s="460"/>
      <c r="CG260" s="460"/>
      <c r="CH260" s="460"/>
      <c r="CI260" s="460"/>
      <c r="CJ260" s="460"/>
      <c r="CK260" s="460"/>
    </row>
    <row r="261" spans="1:89" s="329" customFormat="1" ht="36" customHeight="1" x14ac:dyDescent="0.25">
      <c r="A261" s="329">
        <v>1</v>
      </c>
      <c r="B261" s="39">
        <f>SUBTOTAL(103,$A$16:A261)</f>
        <v>241</v>
      </c>
      <c r="C261" s="33" t="s">
        <v>1245</v>
      </c>
      <c r="D261" s="330">
        <v>1973</v>
      </c>
      <c r="E261" s="330"/>
      <c r="F261" s="331" t="s">
        <v>48</v>
      </c>
      <c r="G261" s="330">
        <v>5</v>
      </c>
      <c r="H261" s="330" t="s">
        <v>1969</v>
      </c>
      <c r="I261" s="38">
        <v>5659.64</v>
      </c>
      <c r="J261" s="38">
        <v>4429.9399999999996</v>
      </c>
      <c r="K261" s="38">
        <v>4365.74</v>
      </c>
      <c r="L261" s="332">
        <v>213</v>
      </c>
      <c r="M261" s="330" t="s">
        <v>46</v>
      </c>
      <c r="N261" s="330" t="s">
        <v>50</v>
      </c>
      <c r="O261" s="333" t="s">
        <v>2027</v>
      </c>
      <c r="P261" s="38">
        <v>5541160.7200000007</v>
      </c>
      <c r="Q261" s="38">
        <v>0</v>
      </c>
      <c r="R261" s="38">
        <v>0</v>
      </c>
      <c r="S261" s="38">
        <f t="shared" si="27"/>
        <v>5541160.7200000007</v>
      </c>
      <c r="T261" s="38">
        <f t="shared" si="22"/>
        <v>979.06593352227355</v>
      </c>
      <c r="U261" s="38">
        <v>2293.9635808991384</v>
      </c>
      <c r="V261" s="458">
        <f t="shared" si="23"/>
        <v>1314.8976473768648</v>
      </c>
      <c r="W261" s="458">
        <f t="shared" si="28"/>
        <v>2286.1658071891497</v>
      </c>
      <c r="X261" s="458">
        <v>0</v>
      </c>
      <c r="Y261" s="459">
        <v>0</v>
      </c>
      <c r="Z261" s="459">
        <v>0</v>
      </c>
      <c r="AA261" s="459">
        <v>0</v>
      </c>
      <c r="AB261" s="459">
        <v>0</v>
      </c>
      <c r="AC261" s="459">
        <v>0</v>
      </c>
      <c r="AD261" s="459">
        <v>0</v>
      </c>
      <c r="AE261" s="459">
        <v>2073.9</v>
      </c>
      <c r="AF261" s="458">
        <f>6238.91*AE261/I261</f>
        <v>2286.1658071891497</v>
      </c>
      <c r="AG261" s="459">
        <v>0</v>
      </c>
      <c r="AH261" s="458">
        <v>0</v>
      </c>
      <c r="AI261" s="459">
        <v>0</v>
      </c>
      <c r="AJ261" s="458">
        <v>0</v>
      </c>
      <c r="AK261" s="459">
        <v>0</v>
      </c>
      <c r="AL261" s="459">
        <v>0</v>
      </c>
      <c r="AM261" s="459">
        <v>0</v>
      </c>
      <c r="AN261" s="459"/>
      <c r="AO261" s="459">
        <v>0</v>
      </c>
      <c r="AP261" s="460"/>
      <c r="AQ261" s="460"/>
      <c r="AR261" s="460"/>
      <c r="AS261" s="460"/>
      <c r="AT261" s="460"/>
      <c r="AU261" s="460"/>
      <c r="AV261" s="460"/>
      <c r="AW261" s="460"/>
      <c r="AX261" s="460"/>
      <c r="AY261" s="460"/>
      <c r="AZ261" s="460"/>
      <c r="BA261" s="460"/>
      <c r="BB261" s="460"/>
      <c r="BC261" s="460"/>
      <c r="BD261" s="460"/>
      <c r="BE261" s="460"/>
      <c r="BF261" s="460"/>
      <c r="BG261" s="460"/>
      <c r="BH261" s="460"/>
      <c r="BI261" s="460"/>
      <c r="BJ261" s="460"/>
      <c r="BK261" s="460"/>
      <c r="BL261" s="460"/>
      <c r="BM261" s="460"/>
      <c r="BN261" s="460"/>
      <c r="BO261" s="460"/>
      <c r="BP261" s="460"/>
      <c r="BQ261" s="460"/>
      <c r="BR261" s="460"/>
      <c r="BS261" s="460"/>
      <c r="BT261" s="460"/>
      <c r="BU261" s="460"/>
      <c r="BV261" s="460"/>
      <c r="BW261" s="460"/>
      <c r="BX261" s="460"/>
      <c r="BY261" s="460"/>
      <c r="BZ261" s="460"/>
      <c r="CA261" s="460"/>
      <c r="CB261" s="460"/>
      <c r="CC261" s="460"/>
      <c r="CD261" s="460"/>
      <c r="CE261" s="460"/>
      <c r="CF261" s="460"/>
      <c r="CG261" s="460"/>
      <c r="CH261" s="460"/>
      <c r="CI261" s="460"/>
      <c r="CJ261" s="460"/>
      <c r="CK261" s="460"/>
    </row>
    <row r="262" spans="1:89" s="329" customFormat="1" ht="36" customHeight="1" x14ac:dyDescent="0.25">
      <c r="A262" s="329">
        <v>1</v>
      </c>
      <c r="B262" s="39">
        <f>SUBTOTAL(103,$A$16:A262)</f>
        <v>242</v>
      </c>
      <c r="C262" s="33" t="s">
        <v>1011</v>
      </c>
      <c r="D262" s="330">
        <v>1967</v>
      </c>
      <c r="E262" s="330"/>
      <c r="F262" s="331" t="s">
        <v>48</v>
      </c>
      <c r="G262" s="330">
        <v>5</v>
      </c>
      <c r="H262" s="330" t="s">
        <v>59</v>
      </c>
      <c r="I262" s="38">
        <v>5485.29</v>
      </c>
      <c r="J262" s="38">
        <v>3346.19</v>
      </c>
      <c r="K262" s="38">
        <v>3187.4</v>
      </c>
      <c r="L262" s="332">
        <v>153</v>
      </c>
      <c r="M262" s="330" t="s">
        <v>46</v>
      </c>
      <c r="N262" s="330" t="s">
        <v>50</v>
      </c>
      <c r="O262" s="333" t="s">
        <v>239</v>
      </c>
      <c r="P262" s="38">
        <v>4738452.92</v>
      </c>
      <c r="Q262" s="38">
        <v>0</v>
      </c>
      <c r="R262" s="38">
        <v>0</v>
      </c>
      <c r="S262" s="38">
        <f t="shared" si="27"/>
        <v>4738452.92</v>
      </c>
      <c r="T262" s="38">
        <f t="shared" si="22"/>
        <v>863.84729339743205</v>
      </c>
      <c r="U262" s="38">
        <v>1340.5342605404635</v>
      </c>
      <c r="V262" s="458">
        <f t="shared" si="23"/>
        <v>476.68696714303144</v>
      </c>
      <c r="W262" s="458">
        <f t="shared" si="28"/>
        <v>3444.64</v>
      </c>
      <c r="X262" s="458">
        <v>0</v>
      </c>
      <c r="Y262" s="459">
        <v>0</v>
      </c>
      <c r="Z262" s="459">
        <v>3259.66</v>
      </c>
      <c r="AA262" s="459">
        <v>184.98</v>
      </c>
      <c r="AB262" s="459">
        <v>0</v>
      </c>
      <c r="AC262" s="459">
        <v>0</v>
      </c>
      <c r="AD262" s="459">
        <v>0</v>
      </c>
      <c r="AE262" s="459">
        <v>0</v>
      </c>
      <c r="AF262" s="458">
        <v>0</v>
      </c>
      <c r="AG262" s="459">
        <v>0</v>
      </c>
      <c r="AH262" s="458">
        <v>0</v>
      </c>
      <c r="AI262" s="459">
        <v>0</v>
      </c>
      <c r="AJ262" s="458">
        <v>0</v>
      </c>
      <c r="AK262" s="459">
        <v>0</v>
      </c>
      <c r="AL262" s="459">
        <v>0</v>
      </c>
      <c r="AM262" s="459">
        <v>0</v>
      </c>
      <c r="AN262" s="459"/>
      <c r="AO262" s="459">
        <v>0</v>
      </c>
      <c r="AP262" s="460"/>
      <c r="AQ262" s="460"/>
      <c r="AR262" s="460"/>
      <c r="AS262" s="460"/>
      <c r="AT262" s="460"/>
      <c r="AU262" s="460"/>
      <c r="AV262" s="460"/>
      <c r="AW262" s="460"/>
      <c r="AX262" s="460"/>
      <c r="AY262" s="460"/>
      <c r="AZ262" s="460"/>
      <c r="BA262" s="460"/>
      <c r="BB262" s="460"/>
      <c r="BC262" s="460"/>
      <c r="BD262" s="460"/>
      <c r="BE262" s="460"/>
      <c r="BF262" s="460"/>
      <c r="BG262" s="460"/>
      <c r="BH262" s="460"/>
      <c r="BI262" s="460"/>
      <c r="BJ262" s="460"/>
      <c r="BK262" s="460"/>
      <c r="BL262" s="460"/>
      <c r="BM262" s="460"/>
      <c r="BN262" s="460"/>
      <c r="BO262" s="460"/>
      <c r="BP262" s="460"/>
      <c r="BQ262" s="460"/>
      <c r="BR262" s="460"/>
      <c r="BS262" s="460"/>
      <c r="BT262" s="460"/>
      <c r="BU262" s="460"/>
      <c r="BV262" s="460"/>
      <c r="BW262" s="460"/>
      <c r="BX262" s="460"/>
      <c r="BY262" s="460"/>
      <c r="BZ262" s="460"/>
      <c r="CA262" s="460"/>
      <c r="CB262" s="460"/>
      <c r="CC262" s="460"/>
      <c r="CD262" s="460"/>
      <c r="CE262" s="460"/>
      <c r="CF262" s="460"/>
      <c r="CG262" s="460"/>
      <c r="CH262" s="460"/>
      <c r="CI262" s="460"/>
      <c r="CJ262" s="460"/>
      <c r="CK262" s="460"/>
    </row>
    <row r="263" spans="1:89" s="329" customFormat="1" ht="36" customHeight="1" x14ac:dyDescent="0.25">
      <c r="A263" s="329">
        <v>1</v>
      </c>
      <c r="B263" s="39">
        <f>SUBTOTAL(103,$A$16:A263)</f>
        <v>243</v>
      </c>
      <c r="C263" s="33" t="s">
        <v>1013</v>
      </c>
      <c r="D263" s="330">
        <v>1990</v>
      </c>
      <c r="E263" s="330"/>
      <c r="F263" s="331" t="s">
        <v>48</v>
      </c>
      <c r="G263" s="330">
        <v>2</v>
      </c>
      <c r="H263" s="330" t="s">
        <v>56</v>
      </c>
      <c r="I263" s="38">
        <v>568.29999999999995</v>
      </c>
      <c r="J263" s="38">
        <v>317</v>
      </c>
      <c r="K263" s="38">
        <v>317</v>
      </c>
      <c r="L263" s="332">
        <v>31</v>
      </c>
      <c r="M263" s="330" t="s">
        <v>46</v>
      </c>
      <c r="N263" s="330" t="s">
        <v>47</v>
      </c>
      <c r="O263" s="333" t="s">
        <v>49</v>
      </c>
      <c r="P263" s="38">
        <v>2182746.96</v>
      </c>
      <c r="Q263" s="38">
        <v>0</v>
      </c>
      <c r="R263" s="38">
        <v>0</v>
      </c>
      <c r="S263" s="38">
        <f t="shared" si="27"/>
        <v>2182746.96</v>
      </c>
      <c r="T263" s="38">
        <f t="shared" si="22"/>
        <v>3840.8357557628015</v>
      </c>
      <c r="U263" s="38">
        <v>5333.1134728136549</v>
      </c>
      <c r="V263" s="458">
        <f t="shared" si="23"/>
        <v>1492.2777170508534</v>
      </c>
      <c r="W263" s="458">
        <f t="shared" si="28"/>
        <v>12894.991529121942</v>
      </c>
      <c r="X263" s="458">
        <v>0</v>
      </c>
      <c r="Y263" s="459">
        <v>0</v>
      </c>
      <c r="Z263" s="459">
        <v>0</v>
      </c>
      <c r="AA263" s="459">
        <v>0</v>
      </c>
      <c r="AB263" s="459">
        <v>0</v>
      </c>
      <c r="AC263" s="459">
        <v>0</v>
      </c>
      <c r="AD263" s="459">
        <v>0</v>
      </c>
      <c r="AE263" s="459">
        <v>1174.5999999999999</v>
      </c>
      <c r="AF263" s="458">
        <f>6238.91*AE263/I263</f>
        <v>12894.991529121942</v>
      </c>
      <c r="AG263" s="459">
        <v>0</v>
      </c>
      <c r="AH263" s="458">
        <v>0</v>
      </c>
      <c r="AI263" s="459">
        <v>0</v>
      </c>
      <c r="AJ263" s="458">
        <v>0</v>
      </c>
      <c r="AK263" s="459">
        <v>0</v>
      </c>
      <c r="AL263" s="459">
        <v>0</v>
      </c>
      <c r="AM263" s="459">
        <v>0</v>
      </c>
      <c r="AN263" s="459"/>
      <c r="AO263" s="459">
        <v>0</v>
      </c>
      <c r="AP263" s="460"/>
      <c r="AQ263" s="460"/>
      <c r="AR263" s="460"/>
      <c r="AS263" s="460"/>
      <c r="AT263" s="460"/>
      <c r="AU263" s="460"/>
      <c r="AV263" s="460"/>
      <c r="AW263" s="460"/>
      <c r="AX263" s="460"/>
      <c r="AY263" s="460"/>
      <c r="AZ263" s="460"/>
      <c r="BA263" s="460"/>
      <c r="BB263" s="460"/>
      <c r="BC263" s="460"/>
      <c r="BD263" s="460"/>
      <c r="BE263" s="460"/>
      <c r="BF263" s="460"/>
      <c r="BG263" s="460"/>
      <c r="BH263" s="460"/>
      <c r="BI263" s="460"/>
      <c r="BJ263" s="460"/>
      <c r="BK263" s="460"/>
      <c r="BL263" s="460"/>
      <c r="BM263" s="460"/>
      <c r="BN263" s="460"/>
      <c r="BO263" s="460"/>
      <c r="BP263" s="460"/>
      <c r="BQ263" s="460"/>
      <c r="BR263" s="460"/>
      <c r="BS263" s="460"/>
      <c r="BT263" s="460"/>
      <c r="BU263" s="460"/>
      <c r="BV263" s="460"/>
      <c r="BW263" s="460"/>
      <c r="BX263" s="460"/>
      <c r="BY263" s="460"/>
      <c r="BZ263" s="460"/>
      <c r="CA263" s="460"/>
      <c r="CB263" s="460"/>
      <c r="CC263" s="460"/>
      <c r="CD263" s="460"/>
      <c r="CE263" s="460"/>
      <c r="CF263" s="460"/>
      <c r="CG263" s="460"/>
      <c r="CH263" s="460"/>
      <c r="CI263" s="460"/>
      <c r="CJ263" s="460"/>
      <c r="CK263" s="460"/>
    </row>
    <row r="264" spans="1:89" s="329" customFormat="1" ht="36" customHeight="1" x14ac:dyDescent="0.25">
      <c r="A264" s="329">
        <v>1</v>
      </c>
      <c r="B264" s="39">
        <f>SUBTOTAL(103,$A$16:A264)</f>
        <v>244</v>
      </c>
      <c r="C264" s="33" t="s">
        <v>1246</v>
      </c>
      <c r="D264" s="330">
        <v>1820</v>
      </c>
      <c r="E264" s="330"/>
      <c r="F264" s="331" t="s">
        <v>48</v>
      </c>
      <c r="G264" s="330">
        <v>2</v>
      </c>
      <c r="H264" s="330" t="s">
        <v>56</v>
      </c>
      <c r="I264" s="38">
        <v>973.3</v>
      </c>
      <c r="J264" s="38">
        <v>527.20000000000005</v>
      </c>
      <c r="K264" s="38">
        <v>527.20000000000005</v>
      </c>
      <c r="L264" s="332">
        <v>26</v>
      </c>
      <c r="M264" s="330" t="s">
        <v>46</v>
      </c>
      <c r="N264" s="330" t="s">
        <v>50</v>
      </c>
      <c r="O264" s="333" t="s">
        <v>232</v>
      </c>
      <c r="P264" s="38">
        <v>1724602.98</v>
      </c>
      <c r="Q264" s="38">
        <v>0</v>
      </c>
      <c r="R264" s="38">
        <v>0</v>
      </c>
      <c r="S264" s="38">
        <f t="shared" si="27"/>
        <v>1724602.98</v>
      </c>
      <c r="T264" s="38">
        <f t="shared" si="22"/>
        <v>1771.9130586663928</v>
      </c>
      <c r="U264" s="38">
        <v>3392.3244732353846</v>
      </c>
      <c r="V264" s="458">
        <f t="shared" si="23"/>
        <v>1620.4114145689919</v>
      </c>
      <c r="W264" s="458">
        <f t="shared" si="28"/>
        <v>3103.3657530052401</v>
      </c>
      <c r="X264" s="458">
        <v>0</v>
      </c>
      <c r="Y264" s="459">
        <v>0</v>
      </c>
      <c r="Z264" s="459">
        <v>0</v>
      </c>
      <c r="AA264" s="459">
        <v>0</v>
      </c>
      <c r="AB264" s="459">
        <v>0</v>
      </c>
      <c r="AC264" s="459">
        <v>0</v>
      </c>
      <c r="AD264" s="459">
        <v>0</v>
      </c>
      <c r="AE264" s="459">
        <v>484.14</v>
      </c>
      <c r="AF264" s="458">
        <f>6238.91*AE264/I264</f>
        <v>3103.3657530052401</v>
      </c>
      <c r="AG264" s="459">
        <v>0</v>
      </c>
      <c r="AH264" s="458">
        <v>0</v>
      </c>
      <c r="AI264" s="459">
        <v>0</v>
      </c>
      <c r="AJ264" s="458">
        <v>0</v>
      </c>
      <c r="AK264" s="459">
        <v>0</v>
      </c>
      <c r="AL264" s="459">
        <v>0</v>
      </c>
      <c r="AM264" s="459">
        <v>0</v>
      </c>
      <c r="AN264" s="459"/>
      <c r="AO264" s="459">
        <v>0</v>
      </c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0"/>
      <c r="BB264" s="460"/>
      <c r="BC264" s="460"/>
      <c r="BD264" s="460"/>
      <c r="BE264" s="460"/>
      <c r="BF264" s="460"/>
      <c r="BG264" s="460"/>
      <c r="BH264" s="460"/>
      <c r="BI264" s="460"/>
      <c r="BJ264" s="460"/>
      <c r="BK264" s="460"/>
      <c r="BL264" s="460"/>
      <c r="BM264" s="460"/>
      <c r="BN264" s="460"/>
      <c r="BO264" s="460"/>
      <c r="BP264" s="460"/>
      <c r="BQ264" s="460"/>
      <c r="BR264" s="460"/>
      <c r="BS264" s="460"/>
      <c r="BT264" s="460"/>
      <c r="BU264" s="460"/>
      <c r="BV264" s="460"/>
      <c r="BW264" s="460"/>
      <c r="BX264" s="460"/>
      <c r="BY264" s="460"/>
      <c r="BZ264" s="460"/>
      <c r="CA264" s="460"/>
      <c r="CB264" s="460"/>
      <c r="CC264" s="460"/>
      <c r="CD264" s="460"/>
      <c r="CE264" s="460"/>
      <c r="CF264" s="460"/>
      <c r="CG264" s="460"/>
      <c r="CH264" s="460"/>
      <c r="CI264" s="460"/>
      <c r="CJ264" s="460"/>
      <c r="CK264" s="460"/>
    </row>
    <row r="265" spans="1:89" s="329" customFormat="1" ht="36" customHeight="1" x14ac:dyDescent="0.25">
      <c r="A265" s="329">
        <v>1</v>
      </c>
      <c r="B265" s="39">
        <f>SUBTOTAL(103,$A$16:A265)</f>
        <v>245</v>
      </c>
      <c r="C265" s="33" t="s">
        <v>1247</v>
      </c>
      <c r="D265" s="330">
        <v>1984</v>
      </c>
      <c r="E265" s="330"/>
      <c r="F265" s="331" t="s">
        <v>63</v>
      </c>
      <c r="G265" s="330">
        <v>2</v>
      </c>
      <c r="H265" s="330" t="s">
        <v>56</v>
      </c>
      <c r="I265" s="38">
        <v>622.79999999999995</v>
      </c>
      <c r="J265" s="38">
        <v>560.29999999999995</v>
      </c>
      <c r="K265" s="38">
        <v>560.29999999999995</v>
      </c>
      <c r="L265" s="332">
        <v>31</v>
      </c>
      <c r="M265" s="330" t="s">
        <v>46</v>
      </c>
      <c r="N265" s="330" t="s">
        <v>50</v>
      </c>
      <c r="O265" s="333" t="s">
        <v>2036</v>
      </c>
      <c r="P265" s="38">
        <v>1611940.21</v>
      </c>
      <c r="Q265" s="38">
        <v>0</v>
      </c>
      <c r="R265" s="38">
        <v>0</v>
      </c>
      <c r="S265" s="38">
        <f t="shared" si="27"/>
        <v>1611940.21</v>
      </c>
      <c r="T265" s="38">
        <f t="shared" si="22"/>
        <v>2588.2148522800258</v>
      </c>
      <c r="U265" s="38">
        <v>4925.3261078998066</v>
      </c>
      <c r="V265" s="458">
        <f t="shared" si="23"/>
        <v>2337.1112556197809</v>
      </c>
      <c r="W265" s="458">
        <f t="shared" si="28"/>
        <v>5355.364942196532</v>
      </c>
      <c r="X265" s="458">
        <v>0</v>
      </c>
      <c r="Y265" s="459">
        <v>0</v>
      </c>
      <c r="Z265" s="459">
        <v>0</v>
      </c>
      <c r="AA265" s="459">
        <v>0</v>
      </c>
      <c r="AB265" s="459">
        <v>0</v>
      </c>
      <c r="AC265" s="459">
        <v>0</v>
      </c>
      <c r="AD265" s="459">
        <v>0</v>
      </c>
      <c r="AE265" s="459">
        <v>534.6</v>
      </c>
      <c r="AF265" s="458">
        <f>6238.91*AE265/I265</f>
        <v>5355.364942196532</v>
      </c>
      <c r="AG265" s="459">
        <v>0</v>
      </c>
      <c r="AH265" s="458">
        <v>0</v>
      </c>
      <c r="AI265" s="459">
        <v>0</v>
      </c>
      <c r="AJ265" s="458">
        <v>0</v>
      </c>
      <c r="AK265" s="459">
        <v>0</v>
      </c>
      <c r="AL265" s="459">
        <v>0</v>
      </c>
      <c r="AM265" s="459">
        <v>0</v>
      </c>
      <c r="AN265" s="459"/>
      <c r="AO265" s="459">
        <v>0</v>
      </c>
      <c r="AP265" s="460"/>
      <c r="AQ265" s="460"/>
      <c r="AR265" s="460"/>
      <c r="AS265" s="460"/>
      <c r="AT265" s="460"/>
      <c r="AU265" s="460"/>
      <c r="AV265" s="460"/>
      <c r="AW265" s="460"/>
      <c r="AX265" s="460"/>
      <c r="AY265" s="460"/>
      <c r="AZ265" s="460"/>
      <c r="BA265" s="460"/>
      <c r="BB265" s="460"/>
      <c r="BC265" s="460"/>
      <c r="BD265" s="460"/>
      <c r="BE265" s="460"/>
      <c r="BF265" s="460"/>
      <c r="BG265" s="460"/>
      <c r="BH265" s="460"/>
      <c r="BI265" s="460"/>
      <c r="BJ265" s="460"/>
      <c r="BK265" s="460"/>
      <c r="BL265" s="460"/>
      <c r="BM265" s="460"/>
      <c r="BN265" s="460"/>
      <c r="BO265" s="460"/>
      <c r="BP265" s="460"/>
      <c r="BQ265" s="460"/>
      <c r="BR265" s="460"/>
      <c r="BS265" s="460"/>
      <c r="BT265" s="460"/>
      <c r="BU265" s="460"/>
      <c r="BV265" s="460"/>
      <c r="BW265" s="460"/>
      <c r="BX265" s="460"/>
      <c r="BY265" s="460"/>
      <c r="BZ265" s="460"/>
      <c r="CA265" s="460"/>
      <c r="CB265" s="460"/>
      <c r="CC265" s="460"/>
      <c r="CD265" s="460"/>
      <c r="CE265" s="460"/>
      <c r="CF265" s="460"/>
      <c r="CG265" s="460"/>
      <c r="CH265" s="460"/>
      <c r="CI265" s="460"/>
      <c r="CJ265" s="460"/>
      <c r="CK265" s="460"/>
    </row>
    <row r="266" spans="1:89" s="329" customFormat="1" ht="36" customHeight="1" x14ac:dyDescent="0.25">
      <c r="A266" s="329">
        <v>1</v>
      </c>
      <c r="B266" s="39">
        <f>SUBTOTAL(103,$A$16:A266)</f>
        <v>246</v>
      </c>
      <c r="C266" s="33" t="s">
        <v>1248</v>
      </c>
      <c r="D266" s="330">
        <v>1965</v>
      </c>
      <c r="E266" s="330"/>
      <c r="F266" s="331" t="s">
        <v>1981</v>
      </c>
      <c r="G266" s="330">
        <v>5</v>
      </c>
      <c r="H266" s="330" t="s">
        <v>61</v>
      </c>
      <c r="I266" s="38">
        <v>4032.79</v>
      </c>
      <c r="J266" s="38">
        <v>2461.4</v>
      </c>
      <c r="K266" s="38">
        <v>2461.4</v>
      </c>
      <c r="L266" s="332">
        <v>120</v>
      </c>
      <c r="M266" s="330" t="s">
        <v>46</v>
      </c>
      <c r="N266" s="330" t="s">
        <v>50</v>
      </c>
      <c r="O266" s="333" t="s">
        <v>2029</v>
      </c>
      <c r="P266" s="38">
        <v>130960.35</v>
      </c>
      <c r="Q266" s="38">
        <v>0</v>
      </c>
      <c r="R266" s="38">
        <v>0</v>
      </c>
      <c r="S266" s="38">
        <f t="shared" si="27"/>
        <v>130960.35</v>
      </c>
      <c r="T266" s="38">
        <f t="shared" si="22"/>
        <v>32.473882845375037</v>
      </c>
      <c r="U266" s="38">
        <v>32.473882845375037</v>
      </c>
      <c r="V266" s="458">
        <f t="shared" si="23"/>
        <v>0</v>
      </c>
      <c r="W266" s="458">
        <f t="shared" si="28"/>
        <v>758.05234093518379</v>
      </c>
      <c r="X266" s="458">
        <v>0</v>
      </c>
      <c r="Y266" s="459">
        <v>0</v>
      </c>
      <c r="Z266" s="459">
        <v>0</v>
      </c>
      <c r="AA266" s="459">
        <v>0</v>
      </c>
      <c r="AB266" s="459">
        <v>0</v>
      </c>
      <c r="AC266" s="459">
        <v>0</v>
      </c>
      <c r="AD266" s="459">
        <v>0</v>
      </c>
      <c r="AE266" s="459">
        <v>490</v>
      </c>
      <c r="AF266" s="458">
        <f>6238.91*AE266/I266</f>
        <v>758.05234093518379</v>
      </c>
      <c r="AG266" s="459">
        <v>0</v>
      </c>
      <c r="AH266" s="458">
        <v>0</v>
      </c>
      <c r="AI266" s="459">
        <v>0</v>
      </c>
      <c r="AJ266" s="458">
        <v>0</v>
      </c>
      <c r="AK266" s="459">
        <v>0</v>
      </c>
      <c r="AL266" s="459">
        <v>0</v>
      </c>
      <c r="AM266" s="459">
        <v>0</v>
      </c>
      <c r="AN266" s="459"/>
      <c r="AO266" s="459">
        <v>0</v>
      </c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0"/>
      <c r="BB266" s="460"/>
      <c r="BC266" s="460"/>
      <c r="BD266" s="460"/>
      <c r="BE266" s="460"/>
      <c r="BF266" s="460"/>
      <c r="BG266" s="460"/>
      <c r="BH266" s="460"/>
      <c r="BI266" s="460"/>
      <c r="BJ266" s="460"/>
      <c r="BK266" s="460"/>
      <c r="BL266" s="460"/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0"/>
      <c r="BX266" s="460"/>
      <c r="BY266" s="460"/>
      <c r="BZ266" s="460"/>
      <c r="CA266" s="460"/>
      <c r="CB266" s="460"/>
      <c r="CC266" s="460"/>
      <c r="CD266" s="460"/>
      <c r="CE266" s="460"/>
      <c r="CF266" s="460"/>
      <c r="CG266" s="460"/>
      <c r="CH266" s="460"/>
      <c r="CI266" s="460"/>
      <c r="CJ266" s="460"/>
      <c r="CK266" s="460"/>
    </row>
    <row r="267" spans="1:89" s="329" customFormat="1" ht="36" customHeight="1" x14ac:dyDescent="0.25">
      <c r="A267" s="329">
        <v>1</v>
      </c>
      <c r="B267" s="39">
        <f>SUBTOTAL(103,$A$16:A267)</f>
        <v>247</v>
      </c>
      <c r="C267" s="33" t="s">
        <v>1249</v>
      </c>
      <c r="D267" s="330">
        <v>1994</v>
      </c>
      <c r="E267" s="330"/>
      <c r="F267" s="331" t="s">
        <v>48</v>
      </c>
      <c r="G267" s="330">
        <v>9</v>
      </c>
      <c r="H267" s="330" t="s">
        <v>57</v>
      </c>
      <c r="I267" s="38">
        <v>2814.2</v>
      </c>
      <c r="J267" s="38">
        <v>2472.3000000000002</v>
      </c>
      <c r="K267" s="38">
        <v>2197.6999999999998</v>
      </c>
      <c r="L267" s="332">
        <v>95</v>
      </c>
      <c r="M267" s="330" t="s">
        <v>46</v>
      </c>
      <c r="N267" s="330" t="s">
        <v>50</v>
      </c>
      <c r="O267" s="333" t="s">
        <v>2027</v>
      </c>
      <c r="P267" s="38">
        <v>105885.54</v>
      </c>
      <c r="Q267" s="38">
        <v>0</v>
      </c>
      <c r="R267" s="38">
        <v>0</v>
      </c>
      <c r="S267" s="38">
        <f>P267-R267-Q267</f>
        <v>105885.54</v>
      </c>
      <c r="T267" s="38">
        <f t="shared" si="22"/>
        <v>37.625449506076329</v>
      </c>
      <c r="U267" s="38">
        <v>37.625449506076329</v>
      </c>
      <c r="V267" s="458">
        <f t="shared" si="23"/>
        <v>0</v>
      </c>
      <c r="W267" s="458">
        <f t="shared" si="28"/>
        <v>2240.2169550849267</v>
      </c>
      <c r="X267" s="458">
        <v>0</v>
      </c>
      <c r="Y267" s="459">
        <v>0</v>
      </c>
      <c r="Z267" s="459">
        <v>0</v>
      </c>
      <c r="AA267" s="459">
        <v>0</v>
      </c>
      <c r="AB267" s="459">
        <v>0</v>
      </c>
      <c r="AC267" s="459">
        <v>0</v>
      </c>
      <c r="AD267" s="459">
        <v>0</v>
      </c>
      <c r="AE267" s="459">
        <v>1010.5</v>
      </c>
      <c r="AF267" s="458">
        <f>6238.91*AE267/I267</f>
        <v>2240.2169550849267</v>
      </c>
      <c r="AG267" s="459">
        <v>0</v>
      </c>
      <c r="AH267" s="458">
        <v>0</v>
      </c>
      <c r="AI267" s="459">
        <v>0</v>
      </c>
      <c r="AJ267" s="458">
        <v>0</v>
      </c>
      <c r="AK267" s="459">
        <v>0</v>
      </c>
      <c r="AL267" s="459">
        <v>0</v>
      </c>
      <c r="AM267" s="459">
        <v>0</v>
      </c>
      <c r="AN267" s="459"/>
      <c r="AO267" s="459">
        <v>0</v>
      </c>
      <c r="AP267" s="460"/>
      <c r="AQ267" s="460"/>
      <c r="AR267" s="460"/>
      <c r="AS267" s="460"/>
      <c r="AT267" s="460"/>
      <c r="AU267" s="460"/>
      <c r="AV267" s="460"/>
      <c r="AW267" s="460"/>
      <c r="AX267" s="460"/>
      <c r="AY267" s="460"/>
      <c r="AZ267" s="460"/>
      <c r="BA267" s="460"/>
      <c r="BB267" s="460"/>
      <c r="BC267" s="460"/>
      <c r="BD267" s="460"/>
      <c r="BE267" s="460"/>
      <c r="BF267" s="460"/>
      <c r="BG267" s="460"/>
      <c r="BH267" s="460"/>
      <c r="BI267" s="460"/>
      <c r="BJ267" s="460"/>
      <c r="BK267" s="460"/>
      <c r="BL267" s="460"/>
      <c r="BM267" s="460"/>
      <c r="BN267" s="460"/>
      <c r="BO267" s="460"/>
      <c r="BP267" s="460"/>
      <c r="BQ267" s="460"/>
      <c r="BR267" s="460"/>
      <c r="BS267" s="460"/>
      <c r="BT267" s="460"/>
      <c r="BU267" s="460"/>
      <c r="BV267" s="460"/>
      <c r="BW267" s="460"/>
      <c r="BX267" s="460"/>
      <c r="BY267" s="460"/>
      <c r="BZ267" s="460"/>
      <c r="CA267" s="460"/>
      <c r="CB267" s="460"/>
      <c r="CC267" s="460"/>
      <c r="CD267" s="460"/>
      <c r="CE267" s="460"/>
      <c r="CF267" s="460"/>
      <c r="CG267" s="460"/>
      <c r="CH267" s="460"/>
      <c r="CI267" s="460"/>
      <c r="CJ267" s="460"/>
      <c r="CK267" s="460"/>
    </row>
    <row r="268" spans="1:89" s="329" customFormat="1" ht="36" customHeight="1" x14ac:dyDescent="0.25">
      <c r="B268" s="33" t="s">
        <v>97</v>
      </c>
      <c r="C268" s="33"/>
      <c r="D268" s="330" t="s">
        <v>131</v>
      </c>
      <c r="E268" s="330" t="s">
        <v>131</v>
      </c>
      <c r="F268" s="330" t="s">
        <v>131</v>
      </c>
      <c r="G268" s="330" t="s">
        <v>131</v>
      </c>
      <c r="H268" s="330" t="s">
        <v>131</v>
      </c>
      <c r="I268" s="334">
        <f>SUM(I269:I273)</f>
        <v>29543.5</v>
      </c>
      <c r="J268" s="334">
        <f>SUM(J269:J273)</f>
        <v>18251.899999999998</v>
      </c>
      <c r="K268" s="334">
        <f>SUM(K269:K273)</f>
        <v>18251.899999999998</v>
      </c>
      <c r="L268" s="332">
        <f>SUM(L269:L273)</f>
        <v>855</v>
      </c>
      <c r="M268" s="330" t="s">
        <v>131</v>
      </c>
      <c r="N268" s="330" t="s">
        <v>131</v>
      </c>
      <c r="O268" s="333" t="s">
        <v>131</v>
      </c>
      <c r="P268" s="38">
        <v>14114868.93</v>
      </c>
      <c r="Q268" s="38">
        <f>SUM(Q269:Q273)</f>
        <v>0</v>
      </c>
      <c r="R268" s="38">
        <f>SUM(R269:R273)</f>
        <v>0</v>
      </c>
      <c r="S268" s="38">
        <f>SUM(S269:S273)</f>
        <v>14114868.93</v>
      </c>
      <c r="T268" s="38">
        <f t="shared" si="22"/>
        <v>477.76563135715134</v>
      </c>
      <c r="U268" s="38">
        <f>MAX(U269:U273)</f>
        <v>1052.388052200135</v>
      </c>
      <c r="V268" s="458">
        <f t="shared" si="23"/>
        <v>574.62242084298373</v>
      </c>
      <c r="W268" s="458"/>
      <c r="X268" s="458"/>
      <c r="Y268" s="459"/>
      <c r="Z268" s="459"/>
      <c r="AA268" s="459"/>
      <c r="AB268" s="459"/>
      <c r="AC268" s="459"/>
      <c r="AD268" s="459"/>
      <c r="AE268" s="459"/>
      <c r="AF268" s="459"/>
      <c r="AG268" s="459"/>
      <c r="AH268" s="459"/>
      <c r="AI268" s="459"/>
      <c r="AJ268" s="459"/>
      <c r="AK268" s="459"/>
      <c r="AL268" s="459"/>
      <c r="AM268" s="459"/>
      <c r="AN268" s="459"/>
      <c r="AO268" s="459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0"/>
      <c r="BB268" s="460"/>
      <c r="BC268" s="460"/>
      <c r="BD268" s="460"/>
      <c r="BE268" s="460"/>
      <c r="BF268" s="460"/>
      <c r="BG268" s="460"/>
      <c r="BH268" s="460"/>
      <c r="BI268" s="460"/>
      <c r="BJ268" s="460"/>
      <c r="BK268" s="460"/>
      <c r="BL268" s="460"/>
      <c r="BM268" s="460"/>
      <c r="BN268" s="460"/>
      <c r="BO268" s="460"/>
      <c r="BP268" s="460"/>
      <c r="BQ268" s="460"/>
      <c r="BR268" s="460"/>
      <c r="BS268" s="460"/>
      <c r="BT268" s="460"/>
      <c r="BU268" s="460"/>
      <c r="BV268" s="460"/>
      <c r="BW268" s="460"/>
      <c r="BX268" s="460"/>
      <c r="BY268" s="460"/>
      <c r="BZ268" s="460"/>
      <c r="CA268" s="460"/>
      <c r="CB268" s="460"/>
      <c r="CC268" s="460"/>
      <c r="CD268" s="460"/>
      <c r="CE268" s="460"/>
      <c r="CF268" s="460"/>
      <c r="CG268" s="460"/>
      <c r="CH268" s="460"/>
      <c r="CI268" s="460"/>
      <c r="CJ268" s="460"/>
      <c r="CK268" s="460"/>
    </row>
    <row r="269" spans="1:89" s="329" customFormat="1" ht="36" customHeight="1" x14ac:dyDescent="0.25">
      <c r="A269" s="329">
        <v>1</v>
      </c>
      <c r="B269" s="39">
        <f>SUBTOTAL(103,$A$16:A269)</f>
        <v>248</v>
      </c>
      <c r="C269" s="33" t="s">
        <v>1250</v>
      </c>
      <c r="D269" s="330">
        <v>1981</v>
      </c>
      <c r="E269" s="330"/>
      <c r="F269" s="331" t="s">
        <v>60</v>
      </c>
      <c r="G269" s="330">
        <v>5</v>
      </c>
      <c r="H269" s="330" t="s">
        <v>1977</v>
      </c>
      <c r="I269" s="38">
        <v>9132.7000000000007</v>
      </c>
      <c r="J269" s="38">
        <v>5348.9</v>
      </c>
      <c r="K269" s="38">
        <v>5348.9</v>
      </c>
      <c r="L269" s="332">
        <v>243</v>
      </c>
      <c r="M269" s="330" t="s">
        <v>46</v>
      </c>
      <c r="N269" s="330" t="s">
        <v>50</v>
      </c>
      <c r="O269" s="333" t="s">
        <v>84</v>
      </c>
      <c r="P269" s="38">
        <v>3927547.9699999997</v>
      </c>
      <c r="Q269" s="38">
        <v>0</v>
      </c>
      <c r="R269" s="38">
        <v>0</v>
      </c>
      <c r="S269" s="38">
        <f t="shared" ref="S269:S273" si="30">P269-Q269-R269</f>
        <v>3927547.9699999997</v>
      </c>
      <c r="T269" s="38">
        <f t="shared" si="22"/>
        <v>430.05332158069348</v>
      </c>
      <c r="U269" s="38">
        <v>876.37313335596252</v>
      </c>
      <c r="V269" s="458">
        <f t="shared" si="23"/>
        <v>446.31981177526905</v>
      </c>
      <c r="W269" s="458">
        <f t="shared" ref="W269:W273" si="31">X269+Y269+Z269+AA269+AB269+AD269+AF269+AH269+AJ269+AL269+AN269+AO269</f>
        <v>873.39411510287198</v>
      </c>
      <c r="X269" s="458">
        <v>0</v>
      </c>
      <c r="Y269" s="459">
        <v>0</v>
      </c>
      <c r="Z269" s="459">
        <v>0</v>
      </c>
      <c r="AA269" s="459">
        <v>0</v>
      </c>
      <c r="AB269" s="459">
        <v>0</v>
      </c>
      <c r="AC269" s="459">
        <v>0</v>
      </c>
      <c r="AD269" s="459">
        <v>0</v>
      </c>
      <c r="AE269" s="459">
        <v>1278.5</v>
      </c>
      <c r="AF269" s="458">
        <f>6238.91*AE269/I269</f>
        <v>873.39411510287198</v>
      </c>
      <c r="AG269" s="459">
        <v>0</v>
      </c>
      <c r="AH269" s="458">
        <v>0</v>
      </c>
      <c r="AI269" s="459">
        <v>0</v>
      </c>
      <c r="AJ269" s="458">
        <v>0</v>
      </c>
      <c r="AK269" s="459">
        <v>0</v>
      </c>
      <c r="AL269" s="459">
        <v>0</v>
      </c>
      <c r="AM269" s="459">
        <v>0</v>
      </c>
      <c r="AN269" s="459"/>
      <c r="AO269" s="459">
        <v>0</v>
      </c>
      <c r="AP269" s="460"/>
      <c r="AQ269" s="460"/>
      <c r="AR269" s="460"/>
      <c r="AS269" s="460"/>
      <c r="AT269" s="460"/>
      <c r="AU269" s="460"/>
      <c r="AV269" s="460"/>
      <c r="AW269" s="460"/>
      <c r="AX269" s="460"/>
      <c r="AY269" s="460"/>
      <c r="AZ269" s="460"/>
      <c r="BA269" s="460"/>
      <c r="BB269" s="460"/>
      <c r="BC269" s="460"/>
      <c r="BD269" s="460"/>
      <c r="BE269" s="460"/>
      <c r="BF269" s="460"/>
      <c r="BG269" s="460"/>
      <c r="BH269" s="460"/>
      <c r="BI269" s="460"/>
      <c r="BJ269" s="460"/>
      <c r="BK269" s="460"/>
      <c r="BL269" s="460"/>
      <c r="BM269" s="460"/>
      <c r="BN269" s="460"/>
      <c r="BO269" s="460"/>
      <c r="BP269" s="460"/>
      <c r="BQ269" s="460"/>
      <c r="BR269" s="460"/>
      <c r="BS269" s="460"/>
      <c r="BT269" s="460"/>
      <c r="BU269" s="460"/>
      <c r="BV269" s="460"/>
      <c r="BW269" s="460"/>
      <c r="BX269" s="460"/>
      <c r="BY269" s="460"/>
      <c r="BZ269" s="460"/>
      <c r="CA269" s="460"/>
      <c r="CB269" s="460"/>
      <c r="CC269" s="460"/>
      <c r="CD269" s="460"/>
      <c r="CE269" s="460"/>
      <c r="CF269" s="460"/>
      <c r="CG269" s="460"/>
      <c r="CH269" s="460"/>
      <c r="CI269" s="460"/>
      <c r="CJ269" s="460"/>
      <c r="CK269" s="460"/>
    </row>
    <row r="270" spans="1:89" s="329" customFormat="1" ht="36" customHeight="1" x14ac:dyDescent="0.25">
      <c r="A270" s="329">
        <v>1</v>
      </c>
      <c r="B270" s="39">
        <f>SUBTOTAL(103,$A$16:A270)</f>
        <v>249</v>
      </c>
      <c r="C270" s="33" t="s">
        <v>1251</v>
      </c>
      <c r="D270" s="330">
        <v>1988</v>
      </c>
      <c r="E270" s="330"/>
      <c r="F270" s="331" t="s">
        <v>48</v>
      </c>
      <c r="G270" s="330">
        <v>5</v>
      </c>
      <c r="H270" s="330" t="s">
        <v>1969</v>
      </c>
      <c r="I270" s="38">
        <v>7301.9</v>
      </c>
      <c r="J270" s="38">
        <v>3924.5</v>
      </c>
      <c r="K270" s="38">
        <v>3924.5</v>
      </c>
      <c r="L270" s="332">
        <v>198</v>
      </c>
      <c r="M270" s="330" t="s">
        <v>46</v>
      </c>
      <c r="N270" s="330" t="s">
        <v>50</v>
      </c>
      <c r="O270" s="333" t="s">
        <v>84</v>
      </c>
      <c r="P270" s="38">
        <v>3307384.7800000003</v>
      </c>
      <c r="Q270" s="38">
        <v>0</v>
      </c>
      <c r="R270" s="38">
        <v>0</v>
      </c>
      <c r="S270" s="38">
        <f t="shared" si="30"/>
        <v>3307384.7800000003</v>
      </c>
      <c r="T270" s="38">
        <f t="shared" ref="T270:T334" si="32">P270/I270</f>
        <v>452.94851750914154</v>
      </c>
      <c r="U270" s="38">
        <v>876.16425483778198</v>
      </c>
      <c r="V270" s="458">
        <f t="shared" si="23"/>
        <v>423.21573732864044</v>
      </c>
      <c r="W270" s="458">
        <f t="shared" si="31"/>
        <v>959.08961708596394</v>
      </c>
      <c r="X270" s="458">
        <v>0</v>
      </c>
      <c r="Y270" s="459">
        <v>0</v>
      </c>
      <c r="Z270" s="459">
        <v>0</v>
      </c>
      <c r="AA270" s="459">
        <v>0</v>
      </c>
      <c r="AB270" s="459">
        <v>0</v>
      </c>
      <c r="AC270" s="459">
        <v>0</v>
      </c>
      <c r="AD270" s="459">
        <v>0</v>
      </c>
      <c r="AE270" s="459">
        <v>1122.5</v>
      </c>
      <c r="AF270" s="458">
        <f>6238.91*AE270/I270</f>
        <v>959.08961708596394</v>
      </c>
      <c r="AG270" s="459">
        <v>0</v>
      </c>
      <c r="AH270" s="458">
        <v>0</v>
      </c>
      <c r="AI270" s="459">
        <v>0</v>
      </c>
      <c r="AJ270" s="458">
        <v>0</v>
      </c>
      <c r="AK270" s="459">
        <v>0</v>
      </c>
      <c r="AL270" s="459">
        <v>0</v>
      </c>
      <c r="AM270" s="459">
        <v>0</v>
      </c>
      <c r="AN270" s="459"/>
      <c r="AO270" s="459">
        <v>0</v>
      </c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0"/>
      <c r="BB270" s="460"/>
      <c r="BC270" s="460"/>
      <c r="BD270" s="460"/>
      <c r="BE270" s="460"/>
      <c r="BF270" s="460"/>
      <c r="BG270" s="460"/>
      <c r="BH270" s="460"/>
      <c r="BI270" s="460"/>
      <c r="BJ270" s="460"/>
      <c r="BK270" s="460"/>
      <c r="BL270" s="460"/>
      <c r="BM270" s="460"/>
      <c r="BN270" s="460"/>
      <c r="BO270" s="460"/>
      <c r="BP270" s="460"/>
      <c r="BQ270" s="460"/>
      <c r="BR270" s="460"/>
      <c r="BS270" s="460"/>
      <c r="BT270" s="460"/>
      <c r="BU270" s="460"/>
      <c r="BV270" s="460"/>
      <c r="BW270" s="460"/>
      <c r="BX270" s="460"/>
      <c r="BY270" s="460"/>
      <c r="BZ270" s="460"/>
      <c r="CA270" s="460"/>
      <c r="CB270" s="460"/>
      <c r="CC270" s="460"/>
      <c r="CD270" s="460"/>
      <c r="CE270" s="460"/>
      <c r="CF270" s="460"/>
      <c r="CG270" s="460"/>
      <c r="CH270" s="460"/>
      <c r="CI270" s="460"/>
      <c r="CJ270" s="460"/>
      <c r="CK270" s="460"/>
    </row>
    <row r="271" spans="1:89" s="329" customFormat="1" ht="36" customHeight="1" x14ac:dyDescent="0.25">
      <c r="A271" s="329">
        <v>1</v>
      </c>
      <c r="B271" s="39">
        <f>SUBTOTAL(103,$A$16:A271)</f>
        <v>250</v>
      </c>
      <c r="C271" s="33" t="s">
        <v>1015</v>
      </c>
      <c r="D271" s="330">
        <v>1979</v>
      </c>
      <c r="E271" s="330"/>
      <c r="F271" s="331" t="s">
        <v>60</v>
      </c>
      <c r="G271" s="330">
        <v>5</v>
      </c>
      <c r="H271" s="330" t="s">
        <v>56</v>
      </c>
      <c r="I271" s="38">
        <v>2660.8</v>
      </c>
      <c r="J271" s="38">
        <v>1869.9</v>
      </c>
      <c r="K271" s="38">
        <v>1869.9</v>
      </c>
      <c r="L271" s="332">
        <v>84</v>
      </c>
      <c r="M271" s="330" t="s">
        <v>46</v>
      </c>
      <c r="N271" s="330" t="s">
        <v>50</v>
      </c>
      <c r="O271" s="333" t="s">
        <v>84</v>
      </c>
      <c r="P271" s="38">
        <v>1446069.26</v>
      </c>
      <c r="Q271" s="38">
        <v>0</v>
      </c>
      <c r="R271" s="38">
        <v>0</v>
      </c>
      <c r="S271" s="38">
        <f t="shared" si="30"/>
        <v>1446069.26</v>
      </c>
      <c r="T271" s="38">
        <f t="shared" si="32"/>
        <v>543.47161004209261</v>
      </c>
      <c r="U271" s="38">
        <v>1032.6207873571857</v>
      </c>
      <c r="V271" s="458">
        <f t="shared" si="23"/>
        <v>489.14917731509308</v>
      </c>
      <c r="W271" s="458">
        <f t="shared" si="31"/>
        <v>2722.2544009320504</v>
      </c>
      <c r="X271" s="458">
        <v>0</v>
      </c>
      <c r="Y271" s="459">
        <v>0</v>
      </c>
      <c r="Z271" s="459">
        <v>0</v>
      </c>
      <c r="AA271" s="459">
        <v>0</v>
      </c>
      <c r="AB271" s="459">
        <v>0</v>
      </c>
      <c r="AC271" s="459">
        <v>0</v>
      </c>
      <c r="AD271" s="459">
        <v>0</v>
      </c>
      <c r="AE271" s="459">
        <v>1161</v>
      </c>
      <c r="AF271" s="458">
        <f>6238.91*AE271/I271</f>
        <v>2722.2544009320504</v>
      </c>
      <c r="AG271" s="459">
        <v>0</v>
      </c>
      <c r="AH271" s="458">
        <v>0</v>
      </c>
      <c r="AI271" s="459">
        <v>0</v>
      </c>
      <c r="AJ271" s="458">
        <v>0</v>
      </c>
      <c r="AK271" s="459">
        <v>0</v>
      </c>
      <c r="AL271" s="459">
        <v>0</v>
      </c>
      <c r="AM271" s="459">
        <v>0</v>
      </c>
      <c r="AN271" s="459"/>
      <c r="AO271" s="459">
        <v>0</v>
      </c>
      <c r="AP271" s="460"/>
      <c r="AQ271" s="460"/>
      <c r="AR271" s="460"/>
      <c r="AS271" s="460"/>
      <c r="AT271" s="460"/>
      <c r="AU271" s="460"/>
      <c r="AV271" s="460"/>
      <c r="AW271" s="460"/>
      <c r="AX271" s="460"/>
      <c r="AY271" s="460"/>
      <c r="AZ271" s="460"/>
      <c r="BA271" s="460"/>
      <c r="BB271" s="460"/>
      <c r="BC271" s="460"/>
      <c r="BD271" s="460"/>
      <c r="BE271" s="460"/>
      <c r="BF271" s="460"/>
      <c r="BG271" s="460"/>
      <c r="BH271" s="460"/>
      <c r="BI271" s="460"/>
      <c r="BJ271" s="460"/>
      <c r="BK271" s="460"/>
      <c r="BL271" s="460"/>
      <c r="BM271" s="460"/>
      <c r="BN271" s="460"/>
      <c r="BO271" s="460"/>
      <c r="BP271" s="460"/>
      <c r="BQ271" s="460"/>
      <c r="BR271" s="460"/>
      <c r="BS271" s="460"/>
      <c r="BT271" s="460"/>
      <c r="BU271" s="460"/>
      <c r="BV271" s="460"/>
      <c r="BW271" s="460"/>
      <c r="BX271" s="460"/>
      <c r="BY271" s="460"/>
      <c r="BZ271" s="460"/>
      <c r="CA271" s="460"/>
      <c r="CB271" s="460"/>
      <c r="CC271" s="460"/>
      <c r="CD271" s="460"/>
      <c r="CE271" s="460"/>
      <c r="CF271" s="460"/>
      <c r="CG271" s="460"/>
      <c r="CH271" s="460"/>
      <c r="CI271" s="460"/>
      <c r="CJ271" s="460"/>
      <c r="CK271" s="460"/>
    </row>
    <row r="272" spans="1:89" s="329" customFormat="1" ht="36" customHeight="1" x14ac:dyDescent="0.25">
      <c r="A272" s="329">
        <v>1</v>
      </c>
      <c r="B272" s="39">
        <f>SUBTOTAL(103,$A$16:A272)</f>
        <v>251</v>
      </c>
      <c r="C272" s="33" t="s">
        <v>1017</v>
      </c>
      <c r="D272" s="330">
        <v>1986</v>
      </c>
      <c r="E272" s="330"/>
      <c r="F272" s="331" t="s">
        <v>60</v>
      </c>
      <c r="G272" s="330">
        <v>5</v>
      </c>
      <c r="H272" s="330" t="s">
        <v>75</v>
      </c>
      <c r="I272" s="38">
        <v>5770.1</v>
      </c>
      <c r="J272" s="38">
        <v>3935.4</v>
      </c>
      <c r="K272" s="38">
        <v>3935.4</v>
      </c>
      <c r="L272" s="332">
        <v>180</v>
      </c>
      <c r="M272" s="330" t="s">
        <v>46</v>
      </c>
      <c r="N272" s="330" t="s">
        <v>50</v>
      </c>
      <c r="O272" s="333" t="s">
        <v>84</v>
      </c>
      <c r="P272" s="38">
        <v>2997039.15</v>
      </c>
      <c r="Q272" s="38">
        <v>0</v>
      </c>
      <c r="R272" s="38">
        <v>0</v>
      </c>
      <c r="S272" s="38">
        <f t="shared" si="30"/>
        <v>2997039.15</v>
      </c>
      <c r="T272" s="38">
        <f t="shared" si="32"/>
        <v>519.40852844838037</v>
      </c>
      <c r="U272" s="38">
        <v>1052.388052200135</v>
      </c>
      <c r="V272" s="458">
        <f t="shared" si="23"/>
        <v>532.97952375175464</v>
      </c>
      <c r="W272" s="458">
        <f t="shared" si="31"/>
        <v>1048.8107138524463</v>
      </c>
      <c r="X272" s="458">
        <v>0</v>
      </c>
      <c r="Y272" s="459">
        <v>0</v>
      </c>
      <c r="Z272" s="459">
        <v>0</v>
      </c>
      <c r="AA272" s="459">
        <v>0</v>
      </c>
      <c r="AB272" s="459">
        <v>0</v>
      </c>
      <c r="AC272" s="459">
        <v>0</v>
      </c>
      <c r="AD272" s="459">
        <v>0</v>
      </c>
      <c r="AE272" s="459">
        <v>970</v>
      </c>
      <c r="AF272" s="458">
        <f>6238.91*AE272/I272</f>
        <v>1048.8107138524463</v>
      </c>
      <c r="AG272" s="459">
        <v>0</v>
      </c>
      <c r="AH272" s="458">
        <v>0</v>
      </c>
      <c r="AI272" s="459">
        <v>0</v>
      </c>
      <c r="AJ272" s="458">
        <v>0</v>
      </c>
      <c r="AK272" s="459">
        <v>0</v>
      </c>
      <c r="AL272" s="459">
        <v>0</v>
      </c>
      <c r="AM272" s="459">
        <v>0</v>
      </c>
      <c r="AN272" s="459"/>
      <c r="AO272" s="459">
        <v>0</v>
      </c>
      <c r="AP272" s="460"/>
      <c r="AQ272" s="460"/>
      <c r="AR272" s="460"/>
      <c r="AS272" s="460"/>
      <c r="AT272" s="460"/>
      <c r="AU272" s="460"/>
      <c r="AV272" s="460"/>
      <c r="AW272" s="460"/>
      <c r="AX272" s="460"/>
      <c r="AY272" s="460"/>
      <c r="AZ272" s="460"/>
      <c r="BA272" s="460"/>
      <c r="BB272" s="460"/>
      <c r="BC272" s="460"/>
      <c r="BD272" s="460"/>
      <c r="BE272" s="460"/>
      <c r="BF272" s="460"/>
      <c r="BG272" s="460"/>
      <c r="BH272" s="460"/>
      <c r="BI272" s="460"/>
      <c r="BJ272" s="460"/>
      <c r="BK272" s="460"/>
      <c r="BL272" s="460"/>
      <c r="BM272" s="460"/>
      <c r="BN272" s="460"/>
      <c r="BO272" s="460"/>
      <c r="BP272" s="460"/>
      <c r="BQ272" s="460"/>
      <c r="BR272" s="460"/>
      <c r="BS272" s="460"/>
      <c r="BT272" s="460"/>
      <c r="BU272" s="460"/>
      <c r="BV272" s="460"/>
      <c r="BW272" s="460"/>
      <c r="BX272" s="460"/>
      <c r="BY272" s="460"/>
      <c r="BZ272" s="460"/>
      <c r="CA272" s="460"/>
      <c r="CB272" s="460"/>
      <c r="CC272" s="460"/>
      <c r="CD272" s="460"/>
      <c r="CE272" s="460"/>
      <c r="CF272" s="460"/>
      <c r="CG272" s="460"/>
      <c r="CH272" s="460"/>
      <c r="CI272" s="460"/>
      <c r="CJ272" s="460"/>
      <c r="CK272" s="460"/>
    </row>
    <row r="273" spans="1:89" s="329" customFormat="1" ht="36" customHeight="1" x14ac:dyDescent="0.25">
      <c r="A273" s="329">
        <v>1</v>
      </c>
      <c r="B273" s="39">
        <f>SUBTOTAL(103,$A$16:A273)</f>
        <v>252</v>
      </c>
      <c r="C273" s="33" t="s">
        <v>1018</v>
      </c>
      <c r="D273" s="330">
        <v>1990</v>
      </c>
      <c r="E273" s="330"/>
      <c r="F273" s="331" t="s">
        <v>60</v>
      </c>
      <c r="G273" s="330">
        <v>5</v>
      </c>
      <c r="H273" s="330" t="s">
        <v>59</v>
      </c>
      <c r="I273" s="38">
        <v>4678</v>
      </c>
      <c r="J273" s="38">
        <v>3173.2</v>
      </c>
      <c r="K273" s="38">
        <v>3173.2</v>
      </c>
      <c r="L273" s="332">
        <v>150</v>
      </c>
      <c r="M273" s="330" t="s">
        <v>46</v>
      </c>
      <c r="N273" s="330" t="s">
        <v>50</v>
      </c>
      <c r="O273" s="333" t="s">
        <v>84</v>
      </c>
      <c r="P273" s="38">
        <v>2436827.77</v>
      </c>
      <c r="Q273" s="38">
        <v>0</v>
      </c>
      <c r="R273" s="38">
        <v>0</v>
      </c>
      <c r="S273" s="38">
        <f t="shared" si="30"/>
        <v>2436827.77</v>
      </c>
      <c r="T273" s="38">
        <f t="shared" si="32"/>
        <v>520.91230654125695</v>
      </c>
      <c r="U273" s="38">
        <v>1040.8669905942709</v>
      </c>
      <c r="V273" s="458">
        <f t="shared" ref="V273:V336" si="33">U273-T273</f>
        <v>519.95468405301392</v>
      </c>
      <c r="W273" s="458">
        <f t="shared" si="31"/>
        <v>1037.3288153056862</v>
      </c>
      <c r="X273" s="458">
        <v>0</v>
      </c>
      <c r="Y273" s="459">
        <v>0</v>
      </c>
      <c r="Z273" s="459">
        <v>0</v>
      </c>
      <c r="AA273" s="459">
        <v>0</v>
      </c>
      <c r="AB273" s="459">
        <v>0</v>
      </c>
      <c r="AC273" s="459">
        <v>0</v>
      </c>
      <c r="AD273" s="459">
        <v>0</v>
      </c>
      <c r="AE273" s="459">
        <v>777.8</v>
      </c>
      <c r="AF273" s="458">
        <f>6238.91*AE273/I273</f>
        <v>1037.3288153056862</v>
      </c>
      <c r="AG273" s="459">
        <v>0</v>
      </c>
      <c r="AH273" s="458">
        <v>0</v>
      </c>
      <c r="AI273" s="459">
        <v>0</v>
      </c>
      <c r="AJ273" s="458">
        <v>0</v>
      </c>
      <c r="AK273" s="459">
        <v>0</v>
      </c>
      <c r="AL273" s="459">
        <v>0</v>
      </c>
      <c r="AM273" s="459">
        <v>0</v>
      </c>
      <c r="AN273" s="459"/>
      <c r="AO273" s="459">
        <v>0</v>
      </c>
      <c r="AP273" s="460"/>
      <c r="AQ273" s="460"/>
      <c r="AR273" s="460"/>
      <c r="AS273" s="460"/>
      <c r="AT273" s="460"/>
      <c r="AU273" s="460"/>
      <c r="AV273" s="460"/>
      <c r="AW273" s="460"/>
      <c r="AX273" s="460"/>
      <c r="AY273" s="460"/>
      <c r="AZ273" s="460"/>
      <c r="BA273" s="460"/>
      <c r="BB273" s="460"/>
      <c r="BC273" s="460"/>
      <c r="BD273" s="460"/>
      <c r="BE273" s="460"/>
      <c r="BF273" s="460"/>
      <c r="BG273" s="460"/>
      <c r="BH273" s="460"/>
      <c r="BI273" s="460"/>
      <c r="BJ273" s="460"/>
      <c r="BK273" s="460"/>
      <c r="BL273" s="460"/>
      <c r="BM273" s="460"/>
      <c r="BN273" s="460"/>
      <c r="BO273" s="460"/>
      <c r="BP273" s="460"/>
      <c r="BQ273" s="460"/>
      <c r="BR273" s="460"/>
      <c r="BS273" s="460"/>
      <c r="BT273" s="460"/>
      <c r="BU273" s="460"/>
      <c r="BV273" s="460"/>
      <c r="BW273" s="460"/>
      <c r="BX273" s="460"/>
      <c r="BY273" s="460"/>
      <c r="BZ273" s="460"/>
      <c r="CA273" s="460"/>
      <c r="CB273" s="460"/>
      <c r="CC273" s="460"/>
      <c r="CD273" s="460"/>
      <c r="CE273" s="460"/>
      <c r="CF273" s="460"/>
      <c r="CG273" s="460"/>
      <c r="CH273" s="460"/>
      <c r="CI273" s="460"/>
      <c r="CJ273" s="460"/>
      <c r="CK273" s="460"/>
    </row>
    <row r="274" spans="1:89" s="329" customFormat="1" ht="36" customHeight="1" x14ac:dyDescent="0.25">
      <c r="B274" s="33" t="s">
        <v>1252</v>
      </c>
      <c r="C274" s="33"/>
      <c r="D274" s="330" t="s">
        <v>131</v>
      </c>
      <c r="E274" s="330" t="s">
        <v>131</v>
      </c>
      <c r="F274" s="330" t="s">
        <v>131</v>
      </c>
      <c r="G274" s="330" t="s">
        <v>131</v>
      </c>
      <c r="H274" s="330" t="s">
        <v>131</v>
      </c>
      <c r="I274" s="334">
        <f>SUM(I275:I280)</f>
        <v>10662.800000000001</v>
      </c>
      <c r="J274" s="334">
        <f>SUM(J275:J280)</f>
        <v>9226.6</v>
      </c>
      <c r="K274" s="334">
        <f>SUM(K275:K280)</f>
        <v>8378.2999999999993</v>
      </c>
      <c r="L274" s="332">
        <f>SUM(L275:L280)</f>
        <v>403</v>
      </c>
      <c r="M274" s="330" t="s">
        <v>131</v>
      </c>
      <c r="N274" s="330" t="s">
        <v>131</v>
      </c>
      <c r="O274" s="333" t="s">
        <v>131</v>
      </c>
      <c r="P274" s="334">
        <v>30991355.739999995</v>
      </c>
      <c r="Q274" s="334">
        <f>SUM(Q275:Q280)</f>
        <v>0</v>
      </c>
      <c r="R274" s="334">
        <f>SUM(R275:R280)</f>
        <v>0</v>
      </c>
      <c r="S274" s="334">
        <f>SUM(S275:S280)</f>
        <v>30991355.739999995</v>
      </c>
      <c r="T274" s="38">
        <f t="shared" si="32"/>
        <v>2906.4932044115985</v>
      </c>
      <c r="U274" s="38">
        <f>MAX(U275:U280)</f>
        <v>14055.200019244649</v>
      </c>
      <c r="V274" s="458">
        <f t="shared" si="33"/>
        <v>11148.706814833051</v>
      </c>
      <c r="W274" s="458"/>
      <c r="X274" s="458"/>
      <c r="Y274" s="459"/>
      <c r="Z274" s="459"/>
      <c r="AA274" s="459"/>
      <c r="AB274" s="459"/>
      <c r="AC274" s="459"/>
      <c r="AD274" s="459"/>
      <c r="AE274" s="459"/>
      <c r="AF274" s="459"/>
      <c r="AG274" s="459"/>
      <c r="AH274" s="459"/>
      <c r="AI274" s="459"/>
      <c r="AJ274" s="459"/>
      <c r="AK274" s="459"/>
      <c r="AL274" s="459"/>
      <c r="AM274" s="459"/>
      <c r="AN274" s="459"/>
      <c r="AO274" s="459"/>
      <c r="AP274" s="460"/>
      <c r="AQ274" s="460"/>
      <c r="AR274" s="460"/>
      <c r="AS274" s="460"/>
      <c r="AT274" s="460"/>
      <c r="AU274" s="460"/>
      <c r="AV274" s="460"/>
      <c r="AW274" s="460"/>
      <c r="AX274" s="460"/>
      <c r="AY274" s="460"/>
      <c r="AZ274" s="460"/>
      <c r="BA274" s="460"/>
      <c r="BB274" s="460"/>
      <c r="BC274" s="460"/>
      <c r="BD274" s="460"/>
      <c r="BE274" s="460"/>
      <c r="BF274" s="460"/>
      <c r="BG274" s="460"/>
      <c r="BH274" s="460"/>
      <c r="BI274" s="460"/>
      <c r="BJ274" s="460"/>
      <c r="BK274" s="460"/>
      <c r="BL274" s="460"/>
      <c r="BM274" s="460"/>
      <c r="BN274" s="460"/>
      <c r="BO274" s="460"/>
      <c r="BP274" s="460"/>
      <c r="BQ274" s="460"/>
      <c r="BR274" s="460"/>
      <c r="BS274" s="460"/>
      <c r="BT274" s="460"/>
      <c r="BU274" s="460"/>
      <c r="BV274" s="460"/>
      <c r="BW274" s="460"/>
      <c r="BX274" s="460"/>
      <c r="BY274" s="460"/>
      <c r="BZ274" s="460"/>
      <c r="CA274" s="460"/>
      <c r="CB274" s="460"/>
      <c r="CC274" s="460"/>
      <c r="CD274" s="460"/>
      <c r="CE274" s="460"/>
      <c r="CF274" s="460"/>
      <c r="CG274" s="460"/>
      <c r="CH274" s="460"/>
      <c r="CI274" s="460"/>
      <c r="CJ274" s="460"/>
      <c r="CK274" s="460"/>
    </row>
    <row r="275" spans="1:89" s="329" customFormat="1" ht="36" customHeight="1" x14ac:dyDescent="0.25">
      <c r="A275" s="329">
        <v>1</v>
      </c>
      <c r="B275" s="39">
        <f>SUBTOTAL(103,$A$16:A275)</f>
        <v>253</v>
      </c>
      <c r="C275" s="33" t="s">
        <v>1253</v>
      </c>
      <c r="D275" s="330">
        <v>1896</v>
      </c>
      <c r="E275" s="330"/>
      <c r="F275" s="331" t="s">
        <v>48</v>
      </c>
      <c r="G275" s="330">
        <v>2</v>
      </c>
      <c r="H275" s="330" t="s">
        <v>57</v>
      </c>
      <c r="I275" s="38">
        <v>415.7</v>
      </c>
      <c r="J275" s="38">
        <v>374.1</v>
      </c>
      <c r="K275" s="38">
        <v>374.1</v>
      </c>
      <c r="L275" s="332">
        <v>22</v>
      </c>
      <c r="M275" s="330" t="s">
        <v>46</v>
      </c>
      <c r="N275" s="330" t="s">
        <v>50</v>
      </c>
      <c r="O275" s="333" t="s">
        <v>2037</v>
      </c>
      <c r="P275" s="38">
        <v>3128704.36</v>
      </c>
      <c r="Q275" s="38">
        <v>0</v>
      </c>
      <c r="R275" s="38">
        <v>0</v>
      </c>
      <c r="S275" s="38">
        <f>P275-Q275-R275</f>
        <v>3128704.36</v>
      </c>
      <c r="T275" s="38">
        <f t="shared" si="32"/>
        <v>7526.35159971133</v>
      </c>
      <c r="U275" s="38">
        <v>14055.200019244649</v>
      </c>
      <c r="V275" s="458">
        <f t="shared" si="33"/>
        <v>6528.8484195333185</v>
      </c>
      <c r="W275" s="458">
        <f t="shared" ref="W275:W280" si="34">X275+Y275+Z275+AA275+AB275+AD275+AF275+AH275+AJ275+AL275+AN275+AO275</f>
        <v>14036.054674043782</v>
      </c>
      <c r="X275" s="458">
        <v>0</v>
      </c>
      <c r="Y275" s="459">
        <v>0</v>
      </c>
      <c r="Z275" s="459">
        <v>0</v>
      </c>
      <c r="AA275" s="459">
        <v>0</v>
      </c>
      <c r="AB275" s="459">
        <v>0</v>
      </c>
      <c r="AC275" s="459">
        <v>0</v>
      </c>
      <c r="AD275" s="459">
        <v>0</v>
      </c>
      <c r="AE275" s="459">
        <v>374</v>
      </c>
      <c r="AF275" s="458">
        <f>6238.91*AE275/I275</f>
        <v>5613.0679336059657</v>
      </c>
      <c r="AG275" s="459">
        <v>0</v>
      </c>
      <c r="AH275" s="458">
        <v>0</v>
      </c>
      <c r="AI275" s="459">
        <v>470.68</v>
      </c>
      <c r="AJ275" s="458">
        <f>7439.1*AI275/I275</f>
        <v>8422.9867404378165</v>
      </c>
      <c r="AK275" s="459">
        <v>0</v>
      </c>
      <c r="AL275" s="459">
        <v>0</v>
      </c>
      <c r="AM275" s="459">
        <v>0</v>
      </c>
      <c r="AN275" s="459"/>
      <c r="AO275" s="459">
        <v>0</v>
      </c>
      <c r="AP275" s="460"/>
      <c r="AQ275" s="460"/>
      <c r="AR275" s="460"/>
      <c r="AS275" s="460"/>
      <c r="AT275" s="460"/>
      <c r="AU275" s="460"/>
      <c r="AV275" s="460"/>
      <c r="AW275" s="460"/>
      <c r="AX275" s="460"/>
      <c r="AY275" s="460"/>
      <c r="AZ275" s="460"/>
      <c r="BA275" s="460"/>
      <c r="BB275" s="460"/>
      <c r="BC275" s="460"/>
      <c r="BD275" s="460"/>
      <c r="BE275" s="460"/>
      <c r="BF275" s="460"/>
      <c r="BG275" s="460"/>
      <c r="BH275" s="460"/>
      <c r="BI275" s="460"/>
      <c r="BJ275" s="460"/>
      <c r="BK275" s="460"/>
      <c r="BL275" s="460"/>
      <c r="BM275" s="460"/>
      <c r="BN275" s="460"/>
      <c r="BO275" s="460"/>
      <c r="BP275" s="460"/>
      <c r="BQ275" s="460"/>
      <c r="BR275" s="460"/>
      <c r="BS275" s="460"/>
      <c r="BT275" s="460"/>
      <c r="BU275" s="460"/>
      <c r="BV275" s="460"/>
      <c r="BW275" s="460"/>
      <c r="BX275" s="460"/>
      <c r="BY275" s="460"/>
      <c r="BZ275" s="460"/>
      <c r="CA275" s="460"/>
      <c r="CB275" s="460"/>
      <c r="CC275" s="460"/>
      <c r="CD275" s="460"/>
      <c r="CE275" s="460"/>
      <c r="CF275" s="460"/>
      <c r="CG275" s="460"/>
      <c r="CH275" s="460"/>
      <c r="CI275" s="460"/>
      <c r="CJ275" s="460"/>
      <c r="CK275" s="460"/>
    </row>
    <row r="276" spans="1:89" s="329" customFormat="1" ht="36" customHeight="1" x14ac:dyDescent="0.25">
      <c r="A276" s="329">
        <v>1</v>
      </c>
      <c r="B276" s="39">
        <f>SUBTOTAL(103,$A$16:A276)</f>
        <v>254</v>
      </c>
      <c r="C276" s="33" t="s">
        <v>1254</v>
      </c>
      <c r="D276" s="330">
        <v>1958</v>
      </c>
      <c r="E276" s="330"/>
      <c r="F276" s="331" t="s">
        <v>48</v>
      </c>
      <c r="G276" s="330">
        <v>3</v>
      </c>
      <c r="H276" s="330" t="s">
        <v>61</v>
      </c>
      <c r="I276" s="38">
        <v>1224.0999999999999</v>
      </c>
      <c r="J276" s="38">
        <v>1113.4000000000001</v>
      </c>
      <c r="K276" s="38">
        <v>1113.4000000000001</v>
      </c>
      <c r="L276" s="332">
        <v>48</v>
      </c>
      <c r="M276" s="330" t="s">
        <v>46</v>
      </c>
      <c r="N276" s="330" t="s">
        <v>50</v>
      </c>
      <c r="O276" s="333" t="s">
        <v>2037</v>
      </c>
      <c r="P276" s="38">
        <v>3151307.31</v>
      </c>
      <c r="Q276" s="38">
        <v>0</v>
      </c>
      <c r="R276" s="38">
        <v>0</v>
      </c>
      <c r="S276" s="38">
        <f>P276-Q276-R276</f>
        <v>3151307.31</v>
      </c>
      <c r="T276" s="38">
        <f t="shared" si="32"/>
        <v>2574.3871497426685</v>
      </c>
      <c r="U276" s="38">
        <v>3186.094575606568</v>
      </c>
      <c r="V276" s="458">
        <f t="shared" si="33"/>
        <v>611.70742586389952</v>
      </c>
      <c r="W276" s="458">
        <f t="shared" si="34"/>
        <v>3175.2642186095909</v>
      </c>
      <c r="X276" s="458">
        <v>0</v>
      </c>
      <c r="Y276" s="459">
        <v>0</v>
      </c>
      <c r="Z276" s="459">
        <v>0</v>
      </c>
      <c r="AA276" s="459">
        <v>0</v>
      </c>
      <c r="AB276" s="459">
        <v>0</v>
      </c>
      <c r="AC276" s="459">
        <v>0</v>
      </c>
      <c r="AD276" s="459">
        <v>0</v>
      </c>
      <c r="AE276" s="459">
        <v>623</v>
      </c>
      <c r="AF276" s="458">
        <f>6238.91*AE276/I276</f>
        <v>3175.2642186095909</v>
      </c>
      <c r="AG276" s="459">
        <v>0</v>
      </c>
      <c r="AH276" s="458">
        <v>0</v>
      </c>
      <c r="AI276" s="459">
        <v>0</v>
      </c>
      <c r="AJ276" s="458">
        <v>0</v>
      </c>
      <c r="AK276" s="459">
        <v>0</v>
      </c>
      <c r="AL276" s="459">
        <v>0</v>
      </c>
      <c r="AM276" s="459">
        <v>0</v>
      </c>
      <c r="AN276" s="459"/>
      <c r="AO276" s="459">
        <v>0</v>
      </c>
      <c r="AP276" s="460"/>
      <c r="AQ276" s="460"/>
      <c r="AR276" s="460"/>
      <c r="AS276" s="460"/>
      <c r="AT276" s="460"/>
      <c r="AU276" s="460"/>
      <c r="AV276" s="460"/>
      <c r="AW276" s="460"/>
      <c r="AX276" s="460"/>
      <c r="AY276" s="460"/>
      <c r="AZ276" s="460"/>
      <c r="BA276" s="460"/>
      <c r="BB276" s="460"/>
      <c r="BC276" s="460"/>
      <c r="BD276" s="460"/>
      <c r="BE276" s="460"/>
      <c r="BF276" s="460"/>
      <c r="BG276" s="460"/>
      <c r="BH276" s="460"/>
      <c r="BI276" s="460"/>
      <c r="BJ276" s="460"/>
      <c r="BK276" s="460"/>
      <c r="BL276" s="460"/>
      <c r="BM276" s="460"/>
      <c r="BN276" s="460"/>
      <c r="BO276" s="460"/>
      <c r="BP276" s="460"/>
      <c r="BQ276" s="460"/>
      <c r="BR276" s="460"/>
      <c r="BS276" s="460"/>
      <c r="BT276" s="460"/>
      <c r="BU276" s="460"/>
      <c r="BV276" s="460"/>
      <c r="BW276" s="460"/>
      <c r="BX276" s="460"/>
      <c r="BY276" s="460"/>
      <c r="BZ276" s="460"/>
      <c r="CA276" s="460"/>
      <c r="CB276" s="460"/>
      <c r="CC276" s="460"/>
      <c r="CD276" s="460"/>
      <c r="CE276" s="460"/>
      <c r="CF276" s="460"/>
      <c r="CG276" s="460"/>
      <c r="CH276" s="460"/>
      <c r="CI276" s="460"/>
      <c r="CJ276" s="460"/>
      <c r="CK276" s="460"/>
    </row>
    <row r="277" spans="1:89" s="329" customFormat="1" ht="36" customHeight="1" x14ac:dyDescent="0.25">
      <c r="A277" s="329">
        <v>1</v>
      </c>
      <c r="B277" s="39">
        <f>SUBTOTAL(103,$A$16:A277)</f>
        <v>255</v>
      </c>
      <c r="C277" s="33" t="s">
        <v>1255</v>
      </c>
      <c r="D277" s="330">
        <v>1984</v>
      </c>
      <c r="E277" s="330"/>
      <c r="F277" s="331" t="s">
        <v>48</v>
      </c>
      <c r="G277" s="330">
        <v>3</v>
      </c>
      <c r="H277" s="330" t="s">
        <v>61</v>
      </c>
      <c r="I277" s="38">
        <v>2162.5</v>
      </c>
      <c r="J277" s="38">
        <v>2047.6</v>
      </c>
      <c r="K277" s="38">
        <v>2047.6</v>
      </c>
      <c r="L277" s="332">
        <v>85</v>
      </c>
      <c r="M277" s="330" t="s">
        <v>46</v>
      </c>
      <c r="N277" s="330" t="s">
        <v>50</v>
      </c>
      <c r="O277" s="333" t="s">
        <v>2027</v>
      </c>
      <c r="P277" s="38">
        <v>4866736.68</v>
      </c>
      <c r="Q277" s="38">
        <v>0</v>
      </c>
      <c r="R277" s="38">
        <v>0</v>
      </c>
      <c r="S277" s="38">
        <f>P277-Q277-R277</f>
        <v>4866736.68</v>
      </c>
      <c r="T277" s="38">
        <f t="shared" si="32"/>
        <v>2250.5140716763003</v>
      </c>
      <c r="U277" s="38">
        <v>3006.9755175953755</v>
      </c>
      <c r="V277" s="458">
        <f t="shared" si="33"/>
        <v>756.46144591907523</v>
      </c>
      <c r="W277" s="458">
        <f t="shared" si="34"/>
        <v>2996.7540324624279</v>
      </c>
      <c r="X277" s="458">
        <v>0</v>
      </c>
      <c r="Y277" s="459">
        <v>0</v>
      </c>
      <c r="Z277" s="459">
        <v>0</v>
      </c>
      <c r="AA277" s="459">
        <v>0</v>
      </c>
      <c r="AB277" s="459">
        <v>0</v>
      </c>
      <c r="AC277" s="459">
        <v>0</v>
      </c>
      <c r="AD277" s="459">
        <v>0</v>
      </c>
      <c r="AE277" s="459">
        <v>1038.72</v>
      </c>
      <c r="AF277" s="458">
        <f>6238.91*AE277/I277</f>
        <v>2996.7540324624279</v>
      </c>
      <c r="AG277" s="459">
        <v>0</v>
      </c>
      <c r="AH277" s="458">
        <v>0</v>
      </c>
      <c r="AI277" s="459">
        <v>0</v>
      </c>
      <c r="AJ277" s="458">
        <v>0</v>
      </c>
      <c r="AK277" s="459">
        <v>0</v>
      </c>
      <c r="AL277" s="459">
        <v>0</v>
      </c>
      <c r="AM277" s="459">
        <v>0</v>
      </c>
      <c r="AN277" s="459"/>
      <c r="AO277" s="459">
        <v>0</v>
      </c>
      <c r="AP277" s="460"/>
      <c r="AQ277" s="460"/>
      <c r="AR277" s="460"/>
      <c r="AS277" s="460"/>
      <c r="AT277" s="460"/>
      <c r="AU277" s="460"/>
      <c r="AV277" s="460"/>
      <c r="AW277" s="460"/>
      <c r="AX277" s="460"/>
      <c r="AY277" s="460"/>
      <c r="AZ277" s="460"/>
      <c r="BA277" s="460"/>
      <c r="BB277" s="460"/>
      <c r="BC277" s="460"/>
      <c r="BD277" s="460"/>
      <c r="BE277" s="460"/>
      <c r="BF277" s="460"/>
      <c r="BG277" s="460"/>
      <c r="BH277" s="460"/>
      <c r="BI277" s="460"/>
      <c r="BJ277" s="460"/>
      <c r="BK277" s="460"/>
      <c r="BL277" s="460"/>
      <c r="BM277" s="460"/>
      <c r="BN277" s="460"/>
      <c r="BO277" s="460"/>
      <c r="BP277" s="460"/>
      <c r="BQ277" s="460"/>
      <c r="BR277" s="460"/>
      <c r="BS277" s="460"/>
      <c r="BT277" s="460"/>
      <c r="BU277" s="460"/>
      <c r="BV277" s="460"/>
      <c r="BW277" s="460"/>
      <c r="BX277" s="460"/>
      <c r="BY277" s="460"/>
      <c r="BZ277" s="460"/>
      <c r="CA277" s="460"/>
      <c r="CB277" s="460"/>
      <c r="CC277" s="460"/>
      <c r="CD277" s="460"/>
      <c r="CE277" s="460"/>
      <c r="CF277" s="460"/>
      <c r="CG277" s="460"/>
      <c r="CH277" s="460"/>
      <c r="CI277" s="460"/>
      <c r="CJ277" s="460"/>
      <c r="CK277" s="460"/>
    </row>
    <row r="278" spans="1:89" s="329" customFormat="1" ht="36" customHeight="1" x14ac:dyDescent="0.25">
      <c r="A278" s="329">
        <v>1</v>
      </c>
      <c r="B278" s="39">
        <f>SUBTOTAL(103,$A$16:A278)</f>
        <v>256</v>
      </c>
      <c r="C278" s="33" t="s">
        <v>1256</v>
      </c>
      <c r="D278" s="330">
        <v>1932</v>
      </c>
      <c r="E278" s="330"/>
      <c r="F278" s="331" t="s">
        <v>2038</v>
      </c>
      <c r="G278" s="330">
        <v>3</v>
      </c>
      <c r="H278" s="330" t="s">
        <v>75</v>
      </c>
      <c r="I278" s="38">
        <v>1954.2</v>
      </c>
      <c r="J278" s="38">
        <v>1319.3</v>
      </c>
      <c r="K278" s="38">
        <v>1319.3</v>
      </c>
      <c r="L278" s="332">
        <v>71</v>
      </c>
      <c r="M278" s="330" t="s">
        <v>46</v>
      </c>
      <c r="N278" s="330" t="s">
        <v>50</v>
      </c>
      <c r="O278" s="333" t="s">
        <v>2039</v>
      </c>
      <c r="P278" s="38">
        <v>6540486.5499999998</v>
      </c>
      <c r="Q278" s="38">
        <v>0</v>
      </c>
      <c r="R278" s="38">
        <v>0</v>
      </c>
      <c r="S278" s="38">
        <f>P278-Q278-R278</f>
        <v>6540486.5499999998</v>
      </c>
      <c r="T278" s="38">
        <f t="shared" si="32"/>
        <v>3346.8869870023536</v>
      </c>
      <c r="U278" s="38">
        <v>7382.7604851089964</v>
      </c>
      <c r="V278" s="458">
        <f t="shared" si="33"/>
        <v>4035.8734981066427</v>
      </c>
      <c r="W278" s="458">
        <f t="shared" si="34"/>
        <v>7382.7604851089964</v>
      </c>
      <c r="X278" s="458">
        <v>0</v>
      </c>
      <c r="Y278" s="459">
        <v>0</v>
      </c>
      <c r="Z278" s="459">
        <v>0</v>
      </c>
      <c r="AA278" s="459">
        <v>0</v>
      </c>
      <c r="AB278" s="459">
        <v>0</v>
      </c>
      <c r="AC278" s="459">
        <v>0</v>
      </c>
      <c r="AD278" s="459">
        <v>0</v>
      </c>
      <c r="AE278" s="459">
        <v>0</v>
      </c>
      <c r="AF278" s="458">
        <v>0</v>
      </c>
      <c r="AG278" s="459">
        <v>0</v>
      </c>
      <c r="AH278" s="458">
        <v>0</v>
      </c>
      <c r="AI278" s="459">
        <v>1939.4</v>
      </c>
      <c r="AJ278" s="458">
        <f>7439.1*AI278/I278</f>
        <v>7382.7604851089964</v>
      </c>
      <c r="AK278" s="459">
        <v>0</v>
      </c>
      <c r="AL278" s="459">
        <v>0</v>
      </c>
      <c r="AM278" s="459">
        <v>0</v>
      </c>
      <c r="AN278" s="459"/>
      <c r="AO278" s="459">
        <v>0</v>
      </c>
      <c r="AP278" s="460"/>
      <c r="AQ278" s="460"/>
      <c r="AR278" s="460"/>
      <c r="AS278" s="460"/>
      <c r="AT278" s="460"/>
      <c r="AU278" s="460"/>
      <c r="AV278" s="460"/>
      <c r="AW278" s="460"/>
      <c r="AX278" s="460"/>
      <c r="AY278" s="460"/>
      <c r="AZ278" s="460"/>
      <c r="BA278" s="460"/>
      <c r="BB278" s="460"/>
      <c r="BC278" s="460"/>
      <c r="BD278" s="460"/>
      <c r="BE278" s="460"/>
      <c r="BF278" s="460"/>
      <c r="BG278" s="460"/>
      <c r="BH278" s="460"/>
      <c r="BI278" s="460"/>
      <c r="BJ278" s="460"/>
      <c r="BK278" s="460"/>
      <c r="BL278" s="460"/>
      <c r="BM278" s="460"/>
      <c r="BN278" s="460"/>
      <c r="BO278" s="460"/>
      <c r="BP278" s="460"/>
      <c r="BQ278" s="460"/>
      <c r="BR278" s="460"/>
      <c r="BS278" s="460"/>
      <c r="BT278" s="460"/>
      <c r="BU278" s="460"/>
      <c r="BV278" s="460"/>
      <c r="BW278" s="460"/>
      <c r="BX278" s="460"/>
      <c r="BY278" s="460"/>
      <c r="BZ278" s="460"/>
      <c r="CA278" s="460"/>
      <c r="CB278" s="460"/>
      <c r="CC278" s="460"/>
      <c r="CD278" s="460"/>
      <c r="CE278" s="460"/>
      <c r="CF278" s="460"/>
      <c r="CG278" s="460"/>
      <c r="CH278" s="460"/>
      <c r="CI278" s="460"/>
      <c r="CJ278" s="460"/>
      <c r="CK278" s="460"/>
    </row>
    <row r="279" spans="1:89" s="329" customFormat="1" ht="36" customHeight="1" x14ac:dyDescent="0.25">
      <c r="A279" s="329">
        <v>1</v>
      </c>
      <c r="B279" s="39">
        <f>SUBTOTAL(103,$A$16:A279)</f>
        <v>257</v>
      </c>
      <c r="C279" s="33" t="s">
        <v>1020</v>
      </c>
      <c r="D279" s="330">
        <v>1882</v>
      </c>
      <c r="E279" s="330"/>
      <c r="F279" s="331" t="s">
        <v>48</v>
      </c>
      <c r="G279" s="330">
        <v>4</v>
      </c>
      <c r="H279" s="330" t="s">
        <v>56</v>
      </c>
      <c r="I279" s="38">
        <v>3453.2</v>
      </c>
      <c r="J279" s="38">
        <v>3230.8</v>
      </c>
      <c r="K279" s="38">
        <v>2382.5</v>
      </c>
      <c r="L279" s="332">
        <v>128</v>
      </c>
      <c r="M279" s="330" t="s">
        <v>46</v>
      </c>
      <c r="N279" s="330" t="s">
        <v>50</v>
      </c>
      <c r="O279" s="333" t="s">
        <v>2037</v>
      </c>
      <c r="P279" s="38">
        <v>10088677.58</v>
      </c>
      <c r="Q279" s="38">
        <v>0</v>
      </c>
      <c r="R279" s="38">
        <v>0</v>
      </c>
      <c r="S279" s="38">
        <f>P279-Q279-R279</f>
        <v>10088677.58</v>
      </c>
      <c r="T279" s="38">
        <f t="shared" si="32"/>
        <v>2921.5445326074368</v>
      </c>
      <c r="U279" s="38">
        <v>3404.8167631761848</v>
      </c>
      <c r="V279" s="458">
        <f t="shared" si="33"/>
        <v>483.272230568748</v>
      </c>
      <c r="W279" s="458">
        <f t="shared" si="34"/>
        <v>3500.7252560523575</v>
      </c>
      <c r="X279" s="458">
        <v>0</v>
      </c>
      <c r="Y279" s="459">
        <v>0</v>
      </c>
      <c r="Z279" s="459">
        <v>0</v>
      </c>
      <c r="AA279" s="459">
        <v>0</v>
      </c>
      <c r="AB279" s="459">
        <v>0</v>
      </c>
      <c r="AC279" s="459">
        <v>0</v>
      </c>
      <c r="AD279" s="459">
        <v>0</v>
      </c>
      <c r="AE279" s="459">
        <v>1878.14</v>
      </c>
      <c r="AF279" s="458">
        <f>6436.53*AE279/I279</f>
        <v>3500.7252560523575</v>
      </c>
      <c r="AG279" s="459">
        <v>0</v>
      </c>
      <c r="AH279" s="458">
        <v>0</v>
      </c>
      <c r="AI279" s="459">
        <v>0</v>
      </c>
      <c r="AJ279" s="458">
        <v>0</v>
      </c>
      <c r="AK279" s="459">
        <v>0</v>
      </c>
      <c r="AL279" s="459">
        <v>0</v>
      </c>
      <c r="AM279" s="459">
        <v>0</v>
      </c>
      <c r="AN279" s="459"/>
      <c r="AO279" s="459">
        <v>0</v>
      </c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  <c r="CH279" s="460"/>
      <c r="CI279" s="460"/>
      <c r="CJ279" s="460"/>
      <c r="CK279" s="460"/>
    </row>
    <row r="280" spans="1:89" s="329" customFormat="1" ht="36" customHeight="1" x14ac:dyDescent="0.25">
      <c r="A280" s="329">
        <v>1</v>
      </c>
      <c r="B280" s="39">
        <f>SUBTOTAL(103,$A$16:A280)</f>
        <v>258</v>
      </c>
      <c r="C280" s="33" t="s">
        <v>1257</v>
      </c>
      <c r="D280" s="330">
        <v>1939</v>
      </c>
      <c r="E280" s="330"/>
      <c r="F280" s="331" t="s">
        <v>1981</v>
      </c>
      <c r="G280" s="330">
        <v>3</v>
      </c>
      <c r="H280" s="330" t="s">
        <v>59</v>
      </c>
      <c r="I280" s="38">
        <v>1453.1</v>
      </c>
      <c r="J280" s="38">
        <v>1141.4000000000001</v>
      </c>
      <c r="K280" s="38">
        <v>1141.4000000000001</v>
      </c>
      <c r="L280" s="332">
        <v>49</v>
      </c>
      <c r="M280" s="330" t="s">
        <v>46</v>
      </c>
      <c r="N280" s="330" t="s">
        <v>50</v>
      </c>
      <c r="O280" s="333" t="s">
        <v>2037</v>
      </c>
      <c r="P280" s="38">
        <v>3215443.26</v>
      </c>
      <c r="Q280" s="38">
        <v>0</v>
      </c>
      <c r="R280" s="38">
        <v>0</v>
      </c>
      <c r="S280" s="38">
        <f>P280-R280-Q280</f>
        <v>3215443.26</v>
      </c>
      <c r="T280" s="38">
        <f t="shared" si="32"/>
        <v>2212.8162273759549</v>
      </c>
      <c r="U280" s="38">
        <v>3361.0986389787349</v>
      </c>
      <c r="V280" s="458">
        <f t="shared" si="33"/>
        <v>1148.28241160278</v>
      </c>
      <c r="W280" s="458">
        <f t="shared" si="34"/>
        <v>3349.6733980455579</v>
      </c>
      <c r="X280" s="458">
        <v>0</v>
      </c>
      <c r="Y280" s="459">
        <v>0</v>
      </c>
      <c r="Z280" s="459">
        <v>0</v>
      </c>
      <c r="AA280" s="459">
        <v>0</v>
      </c>
      <c r="AB280" s="459">
        <v>0</v>
      </c>
      <c r="AC280" s="459">
        <v>0</v>
      </c>
      <c r="AD280" s="459">
        <v>0</v>
      </c>
      <c r="AE280" s="459">
        <v>780.17</v>
      </c>
      <c r="AF280" s="458">
        <f>6238.91*AE280/I280</f>
        <v>3349.6733980455579</v>
      </c>
      <c r="AG280" s="459">
        <v>0</v>
      </c>
      <c r="AH280" s="458">
        <v>0</v>
      </c>
      <c r="AI280" s="459">
        <v>0</v>
      </c>
      <c r="AJ280" s="458">
        <v>0</v>
      </c>
      <c r="AK280" s="459">
        <v>0</v>
      </c>
      <c r="AL280" s="459">
        <v>0</v>
      </c>
      <c r="AM280" s="459">
        <v>0</v>
      </c>
      <c r="AN280" s="459"/>
      <c r="AO280" s="459">
        <v>0</v>
      </c>
      <c r="AP280" s="460"/>
      <c r="AQ280" s="460"/>
      <c r="AR280" s="460"/>
      <c r="AS280" s="460"/>
      <c r="AT280" s="460"/>
      <c r="AU280" s="460"/>
      <c r="AV280" s="460"/>
      <c r="AW280" s="460"/>
      <c r="AX280" s="460"/>
      <c r="AY280" s="460"/>
      <c r="AZ280" s="460"/>
      <c r="BA280" s="460"/>
      <c r="BB280" s="460"/>
      <c r="BC280" s="460"/>
      <c r="BD280" s="460"/>
      <c r="BE280" s="460"/>
      <c r="BF280" s="460"/>
      <c r="BG280" s="460"/>
      <c r="BH280" s="460"/>
      <c r="BI280" s="460"/>
      <c r="BJ280" s="460"/>
      <c r="BK280" s="460"/>
      <c r="BL280" s="460"/>
      <c r="BM280" s="460"/>
      <c r="BN280" s="460"/>
      <c r="BO280" s="460"/>
      <c r="BP280" s="460"/>
      <c r="BQ280" s="460"/>
      <c r="BR280" s="460"/>
      <c r="BS280" s="460"/>
      <c r="BT280" s="460"/>
      <c r="BU280" s="460"/>
      <c r="BV280" s="460"/>
      <c r="BW280" s="460"/>
      <c r="BX280" s="460"/>
      <c r="BY280" s="460"/>
      <c r="BZ280" s="460"/>
      <c r="CA280" s="460"/>
      <c r="CB280" s="460"/>
      <c r="CC280" s="460"/>
      <c r="CD280" s="460"/>
      <c r="CE280" s="460"/>
      <c r="CF280" s="460"/>
      <c r="CG280" s="460"/>
      <c r="CH280" s="460"/>
      <c r="CI280" s="460"/>
      <c r="CJ280" s="460"/>
      <c r="CK280" s="460"/>
    </row>
    <row r="281" spans="1:89" s="329" customFormat="1" ht="36" customHeight="1" x14ac:dyDescent="0.25">
      <c r="B281" s="33" t="s">
        <v>1258</v>
      </c>
      <c r="C281" s="33"/>
      <c r="D281" s="330" t="s">
        <v>131</v>
      </c>
      <c r="E281" s="330" t="s">
        <v>131</v>
      </c>
      <c r="F281" s="330" t="s">
        <v>131</v>
      </c>
      <c r="G281" s="330" t="s">
        <v>131</v>
      </c>
      <c r="H281" s="330" t="s">
        <v>131</v>
      </c>
      <c r="I281" s="334">
        <f>SUM(I282:I285)</f>
        <v>14970.710000000001</v>
      </c>
      <c r="J281" s="334">
        <f>SUM(J282:J285)</f>
        <v>11319.109999999999</v>
      </c>
      <c r="K281" s="334">
        <f>SUM(K282:K285)</f>
        <v>11319.109999999999</v>
      </c>
      <c r="L281" s="332">
        <f>SUM(L282:L285)</f>
        <v>518</v>
      </c>
      <c r="M281" s="330" t="s">
        <v>131</v>
      </c>
      <c r="N281" s="330" t="s">
        <v>131</v>
      </c>
      <c r="O281" s="333" t="s">
        <v>131</v>
      </c>
      <c r="P281" s="38">
        <v>12442442.430000002</v>
      </c>
      <c r="Q281" s="38">
        <f>SUM(Q282:Q285)</f>
        <v>0</v>
      </c>
      <c r="R281" s="38">
        <f>SUM(R282:R285)</f>
        <v>0</v>
      </c>
      <c r="S281" s="38">
        <f>SUM(S282:S285)</f>
        <v>12442442.430000002</v>
      </c>
      <c r="T281" s="38">
        <f t="shared" si="32"/>
        <v>831.11906048544131</v>
      </c>
      <c r="U281" s="38">
        <f>MAX(U282:U285)</f>
        <v>3608.58</v>
      </c>
      <c r="V281" s="458">
        <f t="shared" si="33"/>
        <v>2777.4609395145585</v>
      </c>
      <c r="W281" s="458"/>
      <c r="X281" s="458"/>
      <c r="Y281" s="459"/>
      <c r="Z281" s="459"/>
      <c r="AA281" s="459"/>
      <c r="AB281" s="459"/>
      <c r="AC281" s="459"/>
      <c r="AD281" s="459"/>
      <c r="AE281" s="459"/>
      <c r="AF281" s="459"/>
      <c r="AG281" s="459"/>
      <c r="AH281" s="459"/>
      <c r="AI281" s="459"/>
      <c r="AJ281" s="459"/>
      <c r="AK281" s="459"/>
      <c r="AL281" s="459"/>
      <c r="AM281" s="459"/>
      <c r="AN281" s="459"/>
      <c r="AO281" s="459"/>
      <c r="AP281" s="460"/>
      <c r="AQ281" s="460"/>
      <c r="AR281" s="460"/>
      <c r="AS281" s="460"/>
      <c r="AT281" s="460"/>
      <c r="AU281" s="460"/>
      <c r="AV281" s="460"/>
      <c r="AW281" s="460"/>
      <c r="AX281" s="460"/>
      <c r="AY281" s="460"/>
      <c r="AZ281" s="460"/>
      <c r="BA281" s="460"/>
      <c r="BB281" s="460"/>
      <c r="BC281" s="460"/>
      <c r="BD281" s="460"/>
      <c r="BE281" s="460"/>
      <c r="BF281" s="460"/>
      <c r="BG281" s="460"/>
      <c r="BH281" s="460"/>
      <c r="BI281" s="460"/>
      <c r="BJ281" s="460"/>
      <c r="BK281" s="460"/>
      <c r="BL281" s="460"/>
      <c r="BM281" s="460"/>
      <c r="BN281" s="460"/>
      <c r="BO281" s="460"/>
      <c r="BP281" s="460"/>
      <c r="BQ281" s="460"/>
      <c r="BR281" s="460"/>
      <c r="BS281" s="460"/>
      <c r="BT281" s="460"/>
      <c r="BU281" s="460"/>
      <c r="BV281" s="460"/>
      <c r="BW281" s="460"/>
      <c r="BX281" s="460"/>
      <c r="BY281" s="460"/>
      <c r="BZ281" s="460"/>
      <c r="CA281" s="460"/>
      <c r="CB281" s="460"/>
      <c r="CC281" s="460"/>
      <c r="CD281" s="460"/>
      <c r="CE281" s="460"/>
      <c r="CF281" s="460"/>
      <c r="CG281" s="460"/>
      <c r="CH281" s="460"/>
      <c r="CI281" s="460"/>
      <c r="CJ281" s="460"/>
      <c r="CK281" s="460"/>
    </row>
    <row r="282" spans="1:89" s="329" customFormat="1" ht="36" customHeight="1" x14ac:dyDescent="0.25">
      <c r="A282" s="329">
        <v>1</v>
      </c>
      <c r="B282" s="39">
        <f>SUBTOTAL(103,$A$16:A282)</f>
        <v>259</v>
      </c>
      <c r="C282" s="33" t="s">
        <v>1259</v>
      </c>
      <c r="D282" s="330">
        <v>1972</v>
      </c>
      <c r="E282" s="330"/>
      <c r="F282" s="331" t="s">
        <v>48</v>
      </c>
      <c r="G282" s="330">
        <v>5</v>
      </c>
      <c r="H282" s="330" t="s">
        <v>59</v>
      </c>
      <c r="I282" s="38">
        <v>4295.76</v>
      </c>
      <c r="J282" s="38">
        <v>3325.76</v>
      </c>
      <c r="K282" s="38">
        <v>3325.76</v>
      </c>
      <c r="L282" s="332">
        <v>137</v>
      </c>
      <c r="M282" s="330" t="s">
        <v>46</v>
      </c>
      <c r="N282" s="330" t="s">
        <v>50</v>
      </c>
      <c r="O282" s="333" t="s">
        <v>2040</v>
      </c>
      <c r="P282" s="38">
        <v>5056079.6400000006</v>
      </c>
      <c r="Q282" s="38">
        <v>0</v>
      </c>
      <c r="R282" s="38">
        <v>0</v>
      </c>
      <c r="S282" s="38">
        <f>P282-Q282-R282</f>
        <v>5056079.6400000006</v>
      </c>
      <c r="T282" s="38">
        <f t="shared" si="32"/>
        <v>1176.9930443041512</v>
      </c>
      <c r="U282" s="38">
        <v>1571.9842246773562</v>
      </c>
      <c r="V282" s="458">
        <f t="shared" si="33"/>
        <v>394.991180373205</v>
      </c>
      <c r="W282" s="458">
        <f t="shared" ref="W282:W285" si="35">X282+Y282+Z282+AA282+AB282+AD282+AF282+AH282+AJ282+AL282+AN282+AO282</f>
        <v>1725.3815576289178</v>
      </c>
      <c r="X282" s="458">
        <v>0</v>
      </c>
      <c r="Y282" s="459">
        <v>0</v>
      </c>
      <c r="Z282" s="459">
        <v>0</v>
      </c>
      <c r="AA282" s="459">
        <v>0</v>
      </c>
      <c r="AB282" s="459">
        <v>0</v>
      </c>
      <c r="AC282" s="459">
        <v>0</v>
      </c>
      <c r="AD282" s="459">
        <v>0</v>
      </c>
      <c r="AE282" s="459">
        <v>1188</v>
      </c>
      <c r="AF282" s="458">
        <f>6238.91*AE282/I282</f>
        <v>1725.3815576289178</v>
      </c>
      <c r="AG282" s="459">
        <v>0</v>
      </c>
      <c r="AH282" s="458">
        <v>0</v>
      </c>
      <c r="AI282" s="459">
        <v>0</v>
      </c>
      <c r="AJ282" s="458">
        <v>0</v>
      </c>
      <c r="AK282" s="459">
        <v>0</v>
      </c>
      <c r="AL282" s="459">
        <v>0</v>
      </c>
      <c r="AM282" s="459">
        <v>0</v>
      </c>
      <c r="AN282" s="459"/>
      <c r="AO282" s="459">
        <v>0</v>
      </c>
      <c r="AP282" s="460"/>
      <c r="AQ282" s="460"/>
      <c r="AR282" s="460"/>
      <c r="AS282" s="460"/>
      <c r="AT282" s="460"/>
      <c r="AU282" s="460"/>
      <c r="AV282" s="460"/>
      <c r="AW282" s="460"/>
      <c r="AX282" s="460"/>
      <c r="AY282" s="460"/>
      <c r="AZ282" s="460"/>
      <c r="BA282" s="460"/>
      <c r="BB282" s="460"/>
      <c r="BC282" s="460"/>
      <c r="BD282" s="460"/>
      <c r="BE282" s="460"/>
      <c r="BF282" s="460"/>
      <c r="BG282" s="460"/>
      <c r="BH282" s="460"/>
      <c r="BI282" s="460"/>
      <c r="BJ282" s="460"/>
      <c r="BK282" s="460"/>
      <c r="BL282" s="460"/>
      <c r="BM282" s="460"/>
      <c r="BN282" s="460"/>
      <c r="BO282" s="460"/>
      <c r="BP282" s="460"/>
      <c r="BQ282" s="460"/>
      <c r="BR282" s="460"/>
      <c r="BS282" s="460"/>
      <c r="BT282" s="460"/>
      <c r="BU282" s="460"/>
      <c r="BV282" s="460"/>
      <c r="BW282" s="460"/>
      <c r="BX282" s="460"/>
      <c r="BY282" s="460"/>
      <c r="BZ282" s="460"/>
      <c r="CA282" s="460"/>
      <c r="CB282" s="460"/>
      <c r="CC282" s="460"/>
      <c r="CD282" s="460"/>
      <c r="CE282" s="460"/>
      <c r="CF282" s="460"/>
      <c r="CG282" s="460"/>
      <c r="CH282" s="460"/>
      <c r="CI282" s="460"/>
      <c r="CJ282" s="460"/>
      <c r="CK282" s="460"/>
    </row>
    <row r="283" spans="1:89" s="329" customFormat="1" ht="36" customHeight="1" x14ac:dyDescent="0.25">
      <c r="A283" s="329">
        <v>1</v>
      </c>
      <c r="B283" s="39">
        <f>SUBTOTAL(103,$A$16:A283)</f>
        <v>260</v>
      </c>
      <c r="C283" s="33" t="s">
        <v>1260</v>
      </c>
      <c r="D283" s="330">
        <v>1978</v>
      </c>
      <c r="E283" s="330"/>
      <c r="F283" s="331" t="s">
        <v>48</v>
      </c>
      <c r="G283" s="330">
        <v>3</v>
      </c>
      <c r="H283" s="330" t="s">
        <v>56</v>
      </c>
      <c r="I283" s="38">
        <v>1569.6</v>
      </c>
      <c r="J283" s="38">
        <v>1094.4000000000001</v>
      </c>
      <c r="K283" s="38">
        <v>1094.4000000000001</v>
      </c>
      <c r="L283" s="332">
        <v>54</v>
      </c>
      <c r="M283" s="330" t="s">
        <v>46</v>
      </c>
      <c r="N283" s="330" t="s">
        <v>50</v>
      </c>
      <c r="O283" s="333" t="s">
        <v>2041</v>
      </c>
      <c r="P283" s="38">
        <v>1162332.27</v>
      </c>
      <c r="Q283" s="38">
        <v>0</v>
      </c>
      <c r="R283" s="38">
        <v>0</v>
      </c>
      <c r="S283" s="38">
        <f>P283-Q283-R283</f>
        <v>1162332.27</v>
      </c>
      <c r="T283" s="38">
        <f t="shared" si="32"/>
        <v>740.52769495412849</v>
      </c>
      <c r="U283" s="38">
        <v>3608.58</v>
      </c>
      <c r="V283" s="458">
        <f t="shared" si="33"/>
        <v>2868.0523050458714</v>
      </c>
      <c r="W283" s="458">
        <f t="shared" si="35"/>
        <v>3690.08</v>
      </c>
      <c r="X283" s="458">
        <v>0</v>
      </c>
      <c r="Y283" s="459">
        <v>245.44</v>
      </c>
      <c r="Z283" s="459">
        <v>3259.66</v>
      </c>
      <c r="AA283" s="459">
        <v>184.98</v>
      </c>
      <c r="AB283" s="459">
        <v>0</v>
      </c>
      <c r="AC283" s="459">
        <v>0</v>
      </c>
      <c r="AD283" s="459">
        <v>0</v>
      </c>
      <c r="AE283" s="459">
        <v>0</v>
      </c>
      <c r="AF283" s="458">
        <v>0</v>
      </c>
      <c r="AG283" s="459">
        <v>0</v>
      </c>
      <c r="AH283" s="458">
        <v>0</v>
      </c>
      <c r="AI283" s="459">
        <v>0</v>
      </c>
      <c r="AJ283" s="458">
        <v>0</v>
      </c>
      <c r="AK283" s="459">
        <v>0</v>
      </c>
      <c r="AL283" s="459">
        <v>0</v>
      </c>
      <c r="AM283" s="459">
        <v>0</v>
      </c>
      <c r="AN283" s="459"/>
      <c r="AO283" s="459">
        <v>0</v>
      </c>
      <c r="AP283" s="460"/>
      <c r="AQ283" s="460"/>
      <c r="AR283" s="460"/>
      <c r="AS283" s="460"/>
      <c r="AT283" s="460"/>
      <c r="AU283" s="460"/>
      <c r="AV283" s="460"/>
      <c r="AW283" s="460"/>
      <c r="AX283" s="460"/>
      <c r="AY283" s="460"/>
      <c r="AZ283" s="460"/>
      <c r="BA283" s="460"/>
      <c r="BB283" s="460"/>
      <c r="BC283" s="460"/>
      <c r="BD283" s="460"/>
      <c r="BE283" s="460"/>
      <c r="BF283" s="460"/>
      <c r="BG283" s="460"/>
      <c r="BH283" s="460"/>
      <c r="BI283" s="460"/>
      <c r="BJ283" s="460"/>
      <c r="BK283" s="460"/>
      <c r="BL283" s="460"/>
      <c r="BM283" s="460"/>
      <c r="BN283" s="460"/>
      <c r="BO283" s="460"/>
      <c r="BP283" s="460"/>
      <c r="BQ283" s="460"/>
      <c r="BR283" s="460"/>
      <c r="BS283" s="460"/>
      <c r="BT283" s="460"/>
      <c r="BU283" s="460"/>
      <c r="BV283" s="460"/>
      <c r="BW283" s="460"/>
      <c r="BX283" s="460"/>
      <c r="BY283" s="460"/>
      <c r="BZ283" s="460"/>
      <c r="CA283" s="460"/>
      <c r="CB283" s="460"/>
      <c r="CC283" s="460"/>
      <c r="CD283" s="460"/>
      <c r="CE283" s="460"/>
      <c r="CF283" s="460"/>
      <c r="CG283" s="460"/>
      <c r="CH283" s="460"/>
      <c r="CI283" s="460"/>
      <c r="CJ283" s="460"/>
      <c r="CK283" s="460"/>
    </row>
    <row r="284" spans="1:89" s="329" customFormat="1" ht="36" customHeight="1" x14ac:dyDescent="0.25">
      <c r="A284" s="329">
        <v>1</v>
      </c>
      <c r="B284" s="39">
        <f>SUBTOTAL(103,$A$16:A284)</f>
        <v>261</v>
      </c>
      <c r="C284" s="33" t="s">
        <v>1021</v>
      </c>
      <c r="D284" s="330">
        <v>1968</v>
      </c>
      <c r="E284" s="330"/>
      <c r="F284" s="331" t="s">
        <v>48</v>
      </c>
      <c r="G284" s="330">
        <v>5</v>
      </c>
      <c r="H284" s="330" t="s">
        <v>75</v>
      </c>
      <c r="I284" s="38">
        <v>3769.94</v>
      </c>
      <c r="J284" s="38">
        <v>2873.14</v>
      </c>
      <c r="K284" s="38">
        <v>2873.14</v>
      </c>
      <c r="L284" s="332">
        <v>116</v>
      </c>
      <c r="M284" s="330" t="s">
        <v>46</v>
      </c>
      <c r="N284" s="330" t="s">
        <v>50</v>
      </c>
      <c r="O284" s="333" t="s">
        <v>2042</v>
      </c>
      <c r="P284" s="38">
        <v>3164041.96</v>
      </c>
      <c r="Q284" s="38">
        <v>0</v>
      </c>
      <c r="R284" s="38">
        <v>0</v>
      </c>
      <c r="S284" s="38">
        <f>P284-Q284-R284</f>
        <v>3164041.96</v>
      </c>
      <c r="T284" s="38">
        <f t="shared" si="32"/>
        <v>839.28178167291787</v>
      </c>
      <c r="U284" s="38">
        <v>1310.7585204273807</v>
      </c>
      <c r="V284" s="458">
        <f t="shared" si="33"/>
        <v>471.47673875446287</v>
      </c>
      <c r="W284" s="458">
        <f t="shared" si="35"/>
        <v>1306.3029142373618</v>
      </c>
      <c r="X284" s="458">
        <v>0</v>
      </c>
      <c r="Y284" s="459">
        <v>0</v>
      </c>
      <c r="Z284" s="459">
        <v>0</v>
      </c>
      <c r="AA284" s="459">
        <v>0</v>
      </c>
      <c r="AB284" s="459">
        <v>0</v>
      </c>
      <c r="AC284" s="459">
        <v>0</v>
      </c>
      <c r="AD284" s="459">
        <v>0</v>
      </c>
      <c r="AE284" s="459">
        <v>789.35</v>
      </c>
      <c r="AF284" s="458">
        <f>6238.91*AE284/I284</f>
        <v>1306.3029142373618</v>
      </c>
      <c r="AG284" s="459">
        <v>0</v>
      </c>
      <c r="AH284" s="458">
        <v>0</v>
      </c>
      <c r="AI284" s="459">
        <v>0</v>
      </c>
      <c r="AJ284" s="458">
        <v>0</v>
      </c>
      <c r="AK284" s="459">
        <v>0</v>
      </c>
      <c r="AL284" s="459">
        <v>0</v>
      </c>
      <c r="AM284" s="459">
        <v>0</v>
      </c>
      <c r="AN284" s="459"/>
      <c r="AO284" s="459">
        <v>0</v>
      </c>
      <c r="AP284" s="460"/>
      <c r="AQ284" s="460"/>
      <c r="AR284" s="460"/>
      <c r="AS284" s="460"/>
      <c r="AT284" s="460"/>
      <c r="AU284" s="460"/>
      <c r="AV284" s="460"/>
      <c r="AW284" s="460"/>
      <c r="AX284" s="460"/>
      <c r="AY284" s="460"/>
      <c r="AZ284" s="460"/>
      <c r="BA284" s="460"/>
      <c r="BB284" s="460"/>
      <c r="BC284" s="460"/>
      <c r="BD284" s="460"/>
      <c r="BE284" s="460"/>
      <c r="BF284" s="460"/>
      <c r="BG284" s="460"/>
      <c r="BH284" s="460"/>
      <c r="BI284" s="460"/>
      <c r="BJ284" s="460"/>
      <c r="BK284" s="460"/>
      <c r="BL284" s="460"/>
      <c r="BM284" s="460"/>
      <c r="BN284" s="460"/>
      <c r="BO284" s="460"/>
      <c r="BP284" s="460"/>
      <c r="BQ284" s="460"/>
      <c r="BR284" s="460"/>
      <c r="BS284" s="460"/>
      <c r="BT284" s="460"/>
      <c r="BU284" s="460"/>
      <c r="BV284" s="460"/>
      <c r="BW284" s="460"/>
      <c r="BX284" s="460"/>
      <c r="BY284" s="460"/>
      <c r="BZ284" s="460"/>
      <c r="CA284" s="460"/>
      <c r="CB284" s="460"/>
      <c r="CC284" s="460"/>
      <c r="CD284" s="460"/>
      <c r="CE284" s="460"/>
      <c r="CF284" s="460"/>
      <c r="CG284" s="460"/>
      <c r="CH284" s="460"/>
      <c r="CI284" s="460"/>
      <c r="CJ284" s="460"/>
      <c r="CK284" s="460"/>
    </row>
    <row r="285" spans="1:89" s="329" customFormat="1" ht="36" customHeight="1" x14ac:dyDescent="0.25">
      <c r="A285" s="329">
        <v>1</v>
      </c>
      <c r="B285" s="39">
        <f>SUBTOTAL(103,$A$16:A285)</f>
        <v>262</v>
      </c>
      <c r="C285" s="33" t="s">
        <v>1023</v>
      </c>
      <c r="D285" s="330">
        <v>1990</v>
      </c>
      <c r="E285" s="330"/>
      <c r="F285" s="331" t="s">
        <v>48</v>
      </c>
      <c r="G285" s="330">
        <v>5</v>
      </c>
      <c r="H285" s="330" t="s">
        <v>1969</v>
      </c>
      <c r="I285" s="38">
        <v>5335.41</v>
      </c>
      <c r="J285" s="38">
        <v>4025.81</v>
      </c>
      <c r="K285" s="38">
        <v>4025.81</v>
      </c>
      <c r="L285" s="332">
        <v>211</v>
      </c>
      <c r="M285" s="330" t="s">
        <v>46</v>
      </c>
      <c r="N285" s="330" t="s">
        <v>50</v>
      </c>
      <c r="O285" s="333" t="s">
        <v>2043</v>
      </c>
      <c r="P285" s="38">
        <v>3059988.56</v>
      </c>
      <c r="Q285" s="38">
        <v>0</v>
      </c>
      <c r="R285" s="38">
        <v>0</v>
      </c>
      <c r="S285" s="38">
        <f>P285-Q285-R285</f>
        <v>3059988.56</v>
      </c>
      <c r="T285" s="38">
        <f t="shared" si="32"/>
        <v>573.52453888267257</v>
      </c>
      <c r="U285" s="38">
        <v>1311.4764883298565</v>
      </c>
      <c r="V285" s="458">
        <f t="shared" si="33"/>
        <v>737.95194944718389</v>
      </c>
      <c r="W285" s="458">
        <f t="shared" si="35"/>
        <v>1307.0184415818089</v>
      </c>
      <c r="X285" s="458">
        <v>0</v>
      </c>
      <c r="Y285" s="459">
        <v>0</v>
      </c>
      <c r="Z285" s="459">
        <v>0</v>
      </c>
      <c r="AA285" s="459">
        <v>0</v>
      </c>
      <c r="AB285" s="459">
        <v>0</v>
      </c>
      <c r="AC285" s="459">
        <v>0</v>
      </c>
      <c r="AD285" s="459">
        <v>0</v>
      </c>
      <c r="AE285" s="459">
        <v>1117.74</v>
      </c>
      <c r="AF285" s="458">
        <f>6238.91*AE285/I285</f>
        <v>1307.0184415818089</v>
      </c>
      <c r="AG285" s="459">
        <v>0</v>
      </c>
      <c r="AH285" s="458">
        <v>0</v>
      </c>
      <c r="AI285" s="459">
        <v>0</v>
      </c>
      <c r="AJ285" s="458">
        <v>0</v>
      </c>
      <c r="AK285" s="459">
        <v>0</v>
      </c>
      <c r="AL285" s="459">
        <v>0</v>
      </c>
      <c r="AM285" s="459">
        <v>0</v>
      </c>
      <c r="AN285" s="459"/>
      <c r="AO285" s="459">
        <v>0</v>
      </c>
      <c r="AP285" s="460"/>
      <c r="AQ285" s="460"/>
      <c r="AR285" s="460"/>
      <c r="AS285" s="460"/>
      <c r="AT285" s="460"/>
      <c r="AU285" s="460"/>
      <c r="AV285" s="460"/>
      <c r="AW285" s="460"/>
      <c r="AX285" s="460"/>
      <c r="AY285" s="460"/>
      <c r="AZ285" s="460"/>
      <c r="BA285" s="460"/>
      <c r="BB285" s="460"/>
      <c r="BC285" s="460"/>
      <c r="BD285" s="460"/>
      <c r="BE285" s="460"/>
      <c r="BF285" s="460"/>
      <c r="BG285" s="460"/>
      <c r="BH285" s="460"/>
      <c r="BI285" s="460"/>
      <c r="BJ285" s="460"/>
      <c r="BK285" s="460"/>
      <c r="BL285" s="460"/>
      <c r="BM285" s="460"/>
      <c r="BN285" s="460"/>
      <c r="BO285" s="460"/>
      <c r="BP285" s="460"/>
      <c r="BQ285" s="460"/>
      <c r="BR285" s="460"/>
      <c r="BS285" s="460"/>
      <c r="BT285" s="460"/>
      <c r="BU285" s="460"/>
      <c r="BV285" s="460"/>
      <c r="BW285" s="460"/>
      <c r="BX285" s="460"/>
      <c r="BY285" s="460"/>
      <c r="BZ285" s="460"/>
      <c r="CA285" s="460"/>
      <c r="CB285" s="460"/>
      <c r="CC285" s="460"/>
      <c r="CD285" s="460"/>
      <c r="CE285" s="460"/>
      <c r="CF285" s="460"/>
      <c r="CG285" s="460"/>
      <c r="CH285" s="460"/>
      <c r="CI285" s="460"/>
      <c r="CJ285" s="460"/>
      <c r="CK285" s="460"/>
    </row>
    <row r="286" spans="1:89" s="329" customFormat="1" ht="36" customHeight="1" x14ac:dyDescent="0.25">
      <c r="B286" s="33" t="s">
        <v>1261</v>
      </c>
      <c r="C286" s="33"/>
      <c r="D286" s="330" t="s">
        <v>131</v>
      </c>
      <c r="E286" s="330" t="s">
        <v>131</v>
      </c>
      <c r="F286" s="330" t="s">
        <v>131</v>
      </c>
      <c r="G286" s="330" t="s">
        <v>131</v>
      </c>
      <c r="H286" s="330" t="s">
        <v>131</v>
      </c>
      <c r="I286" s="334">
        <f>I287</f>
        <v>762</v>
      </c>
      <c r="J286" s="334">
        <f>J287</f>
        <v>540</v>
      </c>
      <c r="K286" s="334">
        <f>K287</f>
        <v>540</v>
      </c>
      <c r="L286" s="332">
        <f>L287</f>
        <v>42</v>
      </c>
      <c r="M286" s="330" t="s">
        <v>131</v>
      </c>
      <c r="N286" s="330" t="s">
        <v>131</v>
      </c>
      <c r="O286" s="333" t="s">
        <v>131</v>
      </c>
      <c r="P286" s="38">
        <v>345276.04000000004</v>
      </c>
      <c r="Q286" s="38">
        <f>Q287</f>
        <v>0</v>
      </c>
      <c r="R286" s="38">
        <f>R287</f>
        <v>0</v>
      </c>
      <c r="S286" s="38">
        <f>S287</f>
        <v>345276.04000000004</v>
      </c>
      <c r="T286" s="38">
        <f t="shared" si="32"/>
        <v>453.11816272965882</v>
      </c>
      <c r="U286" s="38">
        <f>MAX(U287)</f>
        <v>712.1</v>
      </c>
      <c r="V286" s="458">
        <f t="shared" si="33"/>
        <v>258.9818372703412</v>
      </c>
      <c r="W286" s="458"/>
      <c r="X286" s="458"/>
      <c r="Y286" s="459"/>
      <c r="Z286" s="459"/>
      <c r="AA286" s="459"/>
      <c r="AB286" s="459"/>
      <c r="AC286" s="459"/>
      <c r="AD286" s="459"/>
      <c r="AE286" s="459"/>
      <c r="AF286" s="459"/>
      <c r="AG286" s="459"/>
      <c r="AH286" s="459"/>
      <c r="AI286" s="459"/>
      <c r="AJ286" s="459"/>
      <c r="AK286" s="459"/>
      <c r="AL286" s="459"/>
      <c r="AM286" s="459"/>
      <c r="AN286" s="459"/>
      <c r="AO286" s="459"/>
      <c r="AP286" s="460"/>
      <c r="AQ286" s="460"/>
      <c r="AR286" s="460"/>
      <c r="AS286" s="460"/>
      <c r="AT286" s="460"/>
      <c r="AU286" s="460"/>
      <c r="AV286" s="460"/>
      <c r="AW286" s="460"/>
      <c r="AX286" s="460"/>
      <c r="AY286" s="460"/>
      <c r="AZ286" s="460"/>
      <c r="BA286" s="460"/>
      <c r="BB286" s="460"/>
      <c r="BC286" s="460"/>
      <c r="BD286" s="460"/>
      <c r="BE286" s="460"/>
      <c r="BF286" s="460"/>
      <c r="BG286" s="460"/>
      <c r="BH286" s="460"/>
      <c r="BI286" s="460"/>
      <c r="BJ286" s="460"/>
      <c r="BK286" s="460"/>
      <c r="BL286" s="460"/>
      <c r="BM286" s="460"/>
      <c r="BN286" s="460"/>
      <c r="BO286" s="460"/>
      <c r="BP286" s="460"/>
      <c r="BQ286" s="460"/>
      <c r="BR286" s="460"/>
      <c r="BS286" s="460"/>
      <c r="BT286" s="460"/>
      <c r="BU286" s="460"/>
      <c r="BV286" s="460"/>
      <c r="BW286" s="460"/>
      <c r="BX286" s="460"/>
      <c r="BY286" s="460"/>
      <c r="BZ286" s="460"/>
      <c r="CA286" s="460"/>
      <c r="CB286" s="460"/>
      <c r="CC286" s="460"/>
      <c r="CD286" s="460"/>
      <c r="CE286" s="460"/>
      <c r="CF286" s="460"/>
      <c r="CG286" s="460"/>
      <c r="CH286" s="460"/>
      <c r="CI286" s="460"/>
      <c r="CJ286" s="460"/>
      <c r="CK286" s="460"/>
    </row>
    <row r="287" spans="1:89" s="329" customFormat="1" ht="36" customHeight="1" x14ac:dyDescent="0.25">
      <c r="A287" s="329">
        <v>1</v>
      </c>
      <c r="B287" s="39">
        <f>SUBTOTAL(103,$A$16:A287)</f>
        <v>263</v>
      </c>
      <c r="C287" s="33" t="s">
        <v>1262</v>
      </c>
      <c r="D287" s="330">
        <v>1970</v>
      </c>
      <c r="E287" s="330"/>
      <c r="F287" s="331" t="s">
        <v>48</v>
      </c>
      <c r="G287" s="330">
        <v>2</v>
      </c>
      <c r="H287" s="330" t="s">
        <v>56</v>
      </c>
      <c r="I287" s="38">
        <v>762</v>
      </c>
      <c r="J287" s="38">
        <v>540</v>
      </c>
      <c r="K287" s="38">
        <v>540</v>
      </c>
      <c r="L287" s="332">
        <v>42</v>
      </c>
      <c r="M287" s="330" t="s">
        <v>46</v>
      </c>
      <c r="N287" s="330" t="s">
        <v>2031</v>
      </c>
      <c r="O287" s="333" t="s">
        <v>49</v>
      </c>
      <c r="P287" s="38">
        <v>345276.04000000004</v>
      </c>
      <c r="Q287" s="38">
        <v>0</v>
      </c>
      <c r="R287" s="38">
        <v>0</v>
      </c>
      <c r="S287" s="38">
        <f>P287-Q287-R287</f>
        <v>345276.04000000004</v>
      </c>
      <c r="T287" s="38">
        <f t="shared" si="32"/>
        <v>453.11816272965882</v>
      </c>
      <c r="U287" s="38">
        <v>712.1</v>
      </c>
      <c r="V287" s="458">
        <f>U287-T287</f>
        <v>258.9818372703412</v>
      </c>
      <c r="W287" s="458">
        <f>X287+Y287+Z287+AA287+AB287+AD287+AF287+AH287+AJ287+AL287+AN287+AO287</f>
        <v>712.1</v>
      </c>
      <c r="X287" s="458">
        <v>0</v>
      </c>
      <c r="Y287" s="459">
        <v>0</v>
      </c>
      <c r="Z287" s="459">
        <v>0</v>
      </c>
      <c r="AA287" s="459">
        <v>0</v>
      </c>
      <c r="AB287" s="459">
        <v>0</v>
      </c>
      <c r="AC287" s="459">
        <v>0</v>
      </c>
      <c r="AD287" s="459">
        <v>0</v>
      </c>
      <c r="AE287" s="459">
        <v>0</v>
      </c>
      <c r="AF287" s="458">
        <v>0</v>
      </c>
      <c r="AG287" s="459">
        <v>0</v>
      </c>
      <c r="AH287" s="458">
        <v>0</v>
      </c>
      <c r="AI287" s="459">
        <v>0</v>
      </c>
      <c r="AJ287" s="458">
        <v>0</v>
      </c>
      <c r="AK287" s="459">
        <v>0</v>
      </c>
      <c r="AL287" s="459">
        <v>0</v>
      </c>
      <c r="AM287" s="459">
        <v>0</v>
      </c>
      <c r="AN287" s="459"/>
      <c r="AO287" s="459">
        <v>712.1</v>
      </c>
      <c r="AP287" s="460"/>
      <c r="AQ287" s="460"/>
      <c r="AR287" s="460"/>
      <c r="AS287" s="460"/>
      <c r="AT287" s="460"/>
      <c r="AU287" s="460"/>
      <c r="AV287" s="460"/>
      <c r="AW287" s="460"/>
      <c r="AX287" s="460"/>
      <c r="AY287" s="460"/>
      <c r="AZ287" s="460"/>
      <c r="BA287" s="460"/>
      <c r="BB287" s="460"/>
      <c r="BC287" s="460"/>
      <c r="BD287" s="460"/>
      <c r="BE287" s="460"/>
      <c r="BF287" s="460"/>
      <c r="BG287" s="460"/>
      <c r="BH287" s="460"/>
      <c r="BI287" s="460"/>
      <c r="BJ287" s="460"/>
      <c r="BK287" s="460"/>
      <c r="BL287" s="460"/>
      <c r="BM287" s="460"/>
      <c r="BN287" s="460"/>
      <c r="BO287" s="460"/>
      <c r="BP287" s="460"/>
      <c r="BQ287" s="460"/>
      <c r="BR287" s="460"/>
      <c r="BS287" s="460"/>
      <c r="BT287" s="460"/>
      <c r="BU287" s="460"/>
      <c r="BV287" s="460"/>
      <c r="BW287" s="460"/>
      <c r="BX287" s="460"/>
      <c r="BY287" s="460"/>
      <c r="BZ287" s="460"/>
      <c r="CA287" s="460"/>
      <c r="CB287" s="460"/>
      <c r="CC287" s="460"/>
      <c r="CD287" s="460"/>
      <c r="CE287" s="460"/>
      <c r="CF287" s="460"/>
      <c r="CG287" s="460"/>
      <c r="CH287" s="460"/>
      <c r="CI287" s="460"/>
      <c r="CJ287" s="460"/>
      <c r="CK287" s="460"/>
    </row>
    <row r="288" spans="1:89" s="329" customFormat="1" ht="36" customHeight="1" x14ac:dyDescent="0.25">
      <c r="B288" s="33" t="s">
        <v>98</v>
      </c>
      <c r="C288" s="462"/>
      <c r="D288" s="330" t="s">
        <v>131</v>
      </c>
      <c r="E288" s="330" t="s">
        <v>131</v>
      </c>
      <c r="F288" s="330" t="s">
        <v>131</v>
      </c>
      <c r="G288" s="330" t="s">
        <v>131</v>
      </c>
      <c r="H288" s="330" t="s">
        <v>131</v>
      </c>
      <c r="I288" s="334">
        <f>SUM(I289:I290)</f>
        <v>2259.1</v>
      </c>
      <c r="J288" s="334">
        <f>SUM(J289:J290)</f>
        <v>2111.5</v>
      </c>
      <c r="K288" s="334">
        <f>SUM(K289:K290)</f>
        <v>2111.5</v>
      </c>
      <c r="L288" s="332">
        <f>SUM(L289:L290)</f>
        <v>104</v>
      </c>
      <c r="M288" s="330" t="s">
        <v>131</v>
      </c>
      <c r="N288" s="330" t="s">
        <v>131</v>
      </c>
      <c r="O288" s="333" t="s">
        <v>131</v>
      </c>
      <c r="P288" s="38">
        <v>6862295.4900000002</v>
      </c>
      <c r="Q288" s="38">
        <f>SUM(Q289:Q290)</f>
        <v>0</v>
      </c>
      <c r="R288" s="38">
        <f>SUM(R289:R290)</f>
        <v>0</v>
      </c>
      <c r="S288" s="38">
        <f>SUM(S289:S290)</f>
        <v>6862295.4900000002</v>
      </c>
      <c r="T288" s="38">
        <f t="shared" si="32"/>
        <v>3037.6236067460495</v>
      </c>
      <c r="U288" s="38">
        <f>MAX(U289:U290)</f>
        <v>5846.9982863705982</v>
      </c>
      <c r="V288" s="458">
        <f t="shared" si="33"/>
        <v>2809.3746796245487</v>
      </c>
      <c r="W288" s="458"/>
      <c r="X288" s="458"/>
      <c r="Y288" s="459"/>
      <c r="Z288" s="459"/>
      <c r="AA288" s="459"/>
      <c r="AB288" s="459"/>
      <c r="AC288" s="459"/>
      <c r="AD288" s="459"/>
      <c r="AE288" s="459"/>
      <c r="AF288" s="459"/>
      <c r="AG288" s="459"/>
      <c r="AH288" s="459"/>
      <c r="AI288" s="459"/>
      <c r="AJ288" s="459"/>
      <c r="AK288" s="459"/>
      <c r="AL288" s="459"/>
      <c r="AM288" s="459"/>
      <c r="AN288" s="459"/>
      <c r="AO288" s="459"/>
      <c r="AP288" s="460"/>
      <c r="AQ288" s="460"/>
      <c r="AR288" s="460"/>
      <c r="AS288" s="460"/>
      <c r="AT288" s="460"/>
      <c r="AU288" s="460"/>
      <c r="AV288" s="460"/>
      <c r="AW288" s="460"/>
      <c r="AX288" s="460"/>
      <c r="AY288" s="460"/>
      <c r="AZ288" s="460"/>
      <c r="BA288" s="460"/>
      <c r="BB288" s="460"/>
      <c r="BC288" s="460"/>
      <c r="BD288" s="460"/>
      <c r="BE288" s="460"/>
      <c r="BF288" s="460"/>
      <c r="BG288" s="460"/>
      <c r="BH288" s="460"/>
      <c r="BI288" s="460"/>
      <c r="BJ288" s="460"/>
      <c r="BK288" s="460"/>
      <c r="BL288" s="460"/>
      <c r="BM288" s="460"/>
      <c r="BN288" s="460"/>
      <c r="BO288" s="460"/>
      <c r="BP288" s="460"/>
      <c r="BQ288" s="460"/>
      <c r="BR288" s="460"/>
      <c r="BS288" s="460"/>
      <c r="BT288" s="460"/>
      <c r="BU288" s="460"/>
      <c r="BV288" s="460"/>
      <c r="BW288" s="460"/>
      <c r="BX288" s="460"/>
      <c r="BY288" s="460"/>
      <c r="BZ288" s="460"/>
      <c r="CA288" s="460"/>
      <c r="CB288" s="460"/>
      <c r="CC288" s="460"/>
      <c r="CD288" s="460"/>
      <c r="CE288" s="460"/>
      <c r="CF288" s="460"/>
      <c r="CG288" s="460"/>
      <c r="CH288" s="460"/>
      <c r="CI288" s="460"/>
      <c r="CJ288" s="460"/>
      <c r="CK288" s="460"/>
    </row>
    <row r="289" spans="1:89" s="329" customFormat="1" ht="36" customHeight="1" x14ac:dyDescent="0.25">
      <c r="A289" s="329">
        <v>1</v>
      </c>
      <c r="B289" s="39">
        <f>SUBTOTAL(103,$A$16:A289)</f>
        <v>264</v>
      </c>
      <c r="C289" s="33" t="s">
        <v>1025</v>
      </c>
      <c r="D289" s="330">
        <v>1982</v>
      </c>
      <c r="E289" s="330"/>
      <c r="F289" s="331" t="s">
        <v>48</v>
      </c>
      <c r="G289" s="330">
        <v>3</v>
      </c>
      <c r="H289" s="330" t="s">
        <v>61</v>
      </c>
      <c r="I289" s="38">
        <v>1997.9</v>
      </c>
      <c r="J289" s="38">
        <v>1878.3</v>
      </c>
      <c r="K289" s="38">
        <v>1878.3</v>
      </c>
      <c r="L289" s="332">
        <v>88</v>
      </c>
      <c r="M289" s="330" t="s">
        <v>46</v>
      </c>
      <c r="N289" s="330" t="s">
        <v>47</v>
      </c>
      <c r="O289" s="333" t="s">
        <v>49</v>
      </c>
      <c r="P289" s="38">
        <v>5673791.2400000002</v>
      </c>
      <c r="Q289" s="38">
        <v>0</v>
      </c>
      <c r="R289" s="38">
        <v>0</v>
      </c>
      <c r="S289" s="38">
        <f>P289-Q289-R289</f>
        <v>5673791.2400000002</v>
      </c>
      <c r="T289" s="38">
        <f t="shared" si="32"/>
        <v>2839.877491365934</v>
      </c>
      <c r="U289" s="38">
        <v>3202.3195255017768</v>
      </c>
      <c r="V289" s="458">
        <f t="shared" si="33"/>
        <v>362.44203413584273</v>
      </c>
      <c r="W289" s="458">
        <f t="shared" ref="W289:W290" si="36">X289+Y289+Z289+AA289+AB289+AD289+AF289+AH289+AJ289+AL289+AN289+AO289</f>
        <v>3191.434015716502</v>
      </c>
      <c r="X289" s="458">
        <v>0</v>
      </c>
      <c r="Y289" s="459">
        <v>0</v>
      </c>
      <c r="Z289" s="459">
        <v>0</v>
      </c>
      <c r="AA289" s="459">
        <v>0</v>
      </c>
      <c r="AB289" s="459">
        <v>0</v>
      </c>
      <c r="AC289" s="459">
        <v>0</v>
      </c>
      <c r="AD289" s="459">
        <v>0</v>
      </c>
      <c r="AE289" s="459">
        <v>1022</v>
      </c>
      <c r="AF289" s="458">
        <f>6238.91*AE289/I289</f>
        <v>3191.434015716502</v>
      </c>
      <c r="AG289" s="459">
        <v>0</v>
      </c>
      <c r="AH289" s="458">
        <v>0</v>
      </c>
      <c r="AI289" s="459">
        <v>0</v>
      </c>
      <c r="AJ289" s="458">
        <v>0</v>
      </c>
      <c r="AK289" s="459">
        <v>0</v>
      </c>
      <c r="AL289" s="459">
        <v>0</v>
      </c>
      <c r="AM289" s="459">
        <v>0</v>
      </c>
      <c r="AN289" s="459"/>
      <c r="AO289" s="459">
        <v>0</v>
      </c>
      <c r="AP289" s="460"/>
      <c r="AQ289" s="460"/>
      <c r="AR289" s="460"/>
      <c r="AS289" s="460"/>
      <c r="AT289" s="460"/>
      <c r="AU289" s="460"/>
      <c r="AV289" s="460"/>
      <c r="AW289" s="460"/>
      <c r="AX289" s="460"/>
      <c r="AY289" s="460"/>
      <c r="AZ289" s="460"/>
      <c r="BA289" s="460"/>
      <c r="BB289" s="460"/>
      <c r="BC289" s="460"/>
      <c r="BD289" s="460"/>
      <c r="BE289" s="460"/>
      <c r="BF289" s="460"/>
      <c r="BG289" s="460"/>
      <c r="BH289" s="460"/>
      <c r="BI289" s="460"/>
      <c r="BJ289" s="460"/>
      <c r="BK289" s="460"/>
      <c r="BL289" s="460"/>
      <c r="BM289" s="460"/>
      <c r="BN289" s="460"/>
      <c r="BO289" s="460"/>
      <c r="BP289" s="460"/>
      <c r="BQ289" s="460"/>
      <c r="BR289" s="460"/>
      <c r="BS289" s="460"/>
      <c r="BT289" s="460"/>
      <c r="BU289" s="460"/>
      <c r="BV289" s="460"/>
      <c r="BW289" s="460"/>
      <c r="BX289" s="460"/>
      <c r="BY289" s="460"/>
      <c r="BZ289" s="460"/>
      <c r="CA289" s="460"/>
      <c r="CB289" s="460"/>
      <c r="CC289" s="460"/>
      <c r="CD289" s="460"/>
      <c r="CE289" s="460"/>
      <c r="CF289" s="460"/>
      <c r="CG289" s="460"/>
      <c r="CH289" s="460"/>
      <c r="CI289" s="460"/>
      <c r="CJ289" s="460"/>
      <c r="CK289" s="460"/>
    </row>
    <row r="290" spans="1:89" s="329" customFormat="1" ht="36" customHeight="1" x14ac:dyDescent="0.25">
      <c r="A290" s="329">
        <v>1</v>
      </c>
      <c r="B290" s="39">
        <f>SUBTOTAL(103,$A$16:A290)</f>
        <v>265</v>
      </c>
      <c r="C290" s="33" t="s">
        <v>1263</v>
      </c>
      <c r="D290" s="330">
        <v>1972</v>
      </c>
      <c r="E290" s="330"/>
      <c r="F290" s="331" t="s">
        <v>48</v>
      </c>
      <c r="G290" s="330">
        <v>2</v>
      </c>
      <c r="H290" s="330" t="s">
        <v>57</v>
      </c>
      <c r="I290" s="38">
        <v>261.2</v>
      </c>
      <c r="J290" s="38">
        <v>233.2</v>
      </c>
      <c r="K290" s="38">
        <v>233.2</v>
      </c>
      <c r="L290" s="332">
        <v>16</v>
      </c>
      <c r="M290" s="330" t="s">
        <v>46</v>
      </c>
      <c r="N290" s="330" t="s">
        <v>47</v>
      </c>
      <c r="O290" s="333" t="s">
        <v>49</v>
      </c>
      <c r="P290" s="38">
        <v>1188504.2499999998</v>
      </c>
      <c r="Q290" s="38">
        <v>0</v>
      </c>
      <c r="R290" s="38">
        <v>0</v>
      </c>
      <c r="S290" s="38">
        <f>P290-Q290-R290</f>
        <v>1188504.2499999998</v>
      </c>
      <c r="T290" s="38">
        <f t="shared" si="32"/>
        <v>4550.1694104134758</v>
      </c>
      <c r="U290" s="38">
        <v>5846.9982863705982</v>
      </c>
      <c r="V290" s="458">
        <f t="shared" si="33"/>
        <v>1296.8288759571224</v>
      </c>
      <c r="W290" s="458">
        <f t="shared" si="36"/>
        <v>5827.1228315467079</v>
      </c>
      <c r="X290" s="458">
        <v>0</v>
      </c>
      <c r="Y290" s="459">
        <v>0</v>
      </c>
      <c r="Z290" s="459">
        <v>0</v>
      </c>
      <c r="AA290" s="459">
        <v>0</v>
      </c>
      <c r="AB290" s="459">
        <v>0</v>
      </c>
      <c r="AC290" s="459">
        <v>0</v>
      </c>
      <c r="AD290" s="459">
        <v>0</v>
      </c>
      <c r="AE290" s="459">
        <v>243.96</v>
      </c>
      <c r="AF290" s="458">
        <f>6238.91*AE290/I290</f>
        <v>5827.1228315467079</v>
      </c>
      <c r="AG290" s="459">
        <v>0</v>
      </c>
      <c r="AH290" s="458">
        <v>0</v>
      </c>
      <c r="AI290" s="459">
        <v>0</v>
      </c>
      <c r="AJ290" s="458">
        <v>0</v>
      </c>
      <c r="AK290" s="459">
        <v>0</v>
      </c>
      <c r="AL290" s="459">
        <v>0</v>
      </c>
      <c r="AM290" s="459">
        <v>0</v>
      </c>
      <c r="AN290" s="459"/>
      <c r="AO290" s="459">
        <v>0</v>
      </c>
      <c r="AP290" s="460"/>
      <c r="AQ290" s="460"/>
      <c r="AR290" s="460"/>
      <c r="AS290" s="460"/>
      <c r="AT290" s="460"/>
      <c r="AU290" s="460"/>
      <c r="AV290" s="460"/>
      <c r="AW290" s="460"/>
      <c r="AX290" s="460"/>
      <c r="AY290" s="460"/>
      <c r="AZ290" s="460"/>
      <c r="BA290" s="460"/>
      <c r="BB290" s="460"/>
      <c r="BC290" s="460"/>
      <c r="BD290" s="460"/>
      <c r="BE290" s="460"/>
      <c r="BF290" s="460"/>
      <c r="BG290" s="460"/>
      <c r="BH290" s="460"/>
      <c r="BI290" s="460"/>
      <c r="BJ290" s="460"/>
      <c r="BK290" s="460"/>
      <c r="BL290" s="460"/>
      <c r="BM290" s="460"/>
      <c r="BN290" s="460"/>
      <c r="BO290" s="460"/>
      <c r="BP290" s="460"/>
      <c r="BQ290" s="460"/>
      <c r="BR290" s="460"/>
      <c r="BS290" s="460"/>
      <c r="BT290" s="460"/>
      <c r="BU290" s="460"/>
      <c r="BV290" s="460"/>
      <c r="BW290" s="460"/>
      <c r="BX290" s="460"/>
      <c r="BY290" s="460"/>
      <c r="BZ290" s="460"/>
      <c r="CA290" s="460"/>
      <c r="CB290" s="460"/>
      <c r="CC290" s="460"/>
      <c r="CD290" s="460"/>
      <c r="CE290" s="460"/>
      <c r="CF290" s="460"/>
      <c r="CG290" s="460"/>
      <c r="CH290" s="460"/>
      <c r="CI290" s="460"/>
      <c r="CJ290" s="460"/>
      <c r="CK290" s="460"/>
    </row>
    <row r="291" spans="1:89" s="329" customFormat="1" ht="36" customHeight="1" x14ac:dyDescent="0.25">
      <c r="B291" s="33" t="s">
        <v>1264</v>
      </c>
      <c r="C291" s="33"/>
      <c r="D291" s="330" t="s">
        <v>131</v>
      </c>
      <c r="E291" s="330" t="s">
        <v>131</v>
      </c>
      <c r="F291" s="330" t="s">
        <v>131</v>
      </c>
      <c r="G291" s="330" t="s">
        <v>131</v>
      </c>
      <c r="H291" s="330" t="s">
        <v>131</v>
      </c>
      <c r="I291" s="334">
        <f>SUM(I292:I296)</f>
        <v>4271.2</v>
      </c>
      <c r="J291" s="334">
        <f>SUM(J292:J296)</f>
        <v>4205.7</v>
      </c>
      <c r="K291" s="334">
        <f>SUM(K292:K296)</f>
        <v>4205.7</v>
      </c>
      <c r="L291" s="332">
        <f>SUM(L292:L296)</f>
        <v>227</v>
      </c>
      <c r="M291" s="330" t="s">
        <v>131</v>
      </c>
      <c r="N291" s="330" t="s">
        <v>131</v>
      </c>
      <c r="O291" s="333" t="s">
        <v>131</v>
      </c>
      <c r="P291" s="38">
        <v>12631186.800000001</v>
      </c>
      <c r="Q291" s="38">
        <f>SUM(Q292:Q296)</f>
        <v>0</v>
      </c>
      <c r="R291" s="38">
        <f>SUM(R292:R296)</f>
        <v>0</v>
      </c>
      <c r="S291" s="38">
        <f>SUM(S292:S296)</f>
        <v>12631186.800000001</v>
      </c>
      <c r="T291" s="38">
        <f t="shared" si="32"/>
        <v>2957.2922831991013</v>
      </c>
      <c r="U291" s="38">
        <f>MAX(U292:U296)</f>
        <v>7158.3378593542693</v>
      </c>
      <c r="V291" s="458">
        <f t="shared" si="33"/>
        <v>4201.0455761551675</v>
      </c>
      <c r="W291" s="458"/>
      <c r="X291" s="458"/>
      <c r="Y291" s="459"/>
      <c r="Z291" s="459"/>
      <c r="AA291" s="459"/>
      <c r="AB291" s="459"/>
      <c r="AC291" s="459"/>
      <c r="AD291" s="459"/>
      <c r="AE291" s="459"/>
      <c r="AF291" s="459"/>
      <c r="AG291" s="459"/>
      <c r="AH291" s="459"/>
      <c r="AI291" s="459"/>
      <c r="AJ291" s="459"/>
      <c r="AK291" s="459"/>
      <c r="AL291" s="459"/>
      <c r="AM291" s="459"/>
      <c r="AN291" s="459"/>
      <c r="AO291" s="459"/>
      <c r="AP291" s="460"/>
      <c r="AQ291" s="460"/>
      <c r="AR291" s="460"/>
      <c r="AS291" s="460"/>
      <c r="AT291" s="460"/>
      <c r="AU291" s="460"/>
      <c r="AV291" s="460"/>
      <c r="AW291" s="460"/>
      <c r="AX291" s="460"/>
      <c r="AY291" s="460"/>
      <c r="AZ291" s="460"/>
      <c r="BA291" s="460"/>
      <c r="BB291" s="460"/>
      <c r="BC291" s="460"/>
      <c r="BD291" s="460"/>
      <c r="BE291" s="460"/>
      <c r="BF291" s="460"/>
      <c r="BG291" s="460"/>
      <c r="BH291" s="460"/>
      <c r="BI291" s="460"/>
      <c r="BJ291" s="460"/>
      <c r="BK291" s="460"/>
      <c r="BL291" s="460"/>
      <c r="BM291" s="460"/>
      <c r="BN291" s="460"/>
      <c r="BO291" s="460"/>
      <c r="BP291" s="460"/>
      <c r="BQ291" s="460"/>
      <c r="BR291" s="460"/>
      <c r="BS291" s="460"/>
      <c r="BT291" s="460"/>
      <c r="BU291" s="460"/>
      <c r="BV291" s="460"/>
      <c r="BW291" s="460"/>
      <c r="BX291" s="460"/>
      <c r="BY291" s="460"/>
      <c r="BZ291" s="460"/>
      <c r="CA291" s="460"/>
      <c r="CB291" s="460"/>
      <c r="CC291" s="460"/>
      <c r="CD291" s="460"/>
      <c r="CE291" s="460"/>
      <c r="CF291" s="460"/>
      <c r="CG291" s="460"/>
      <c r="CH291" s="460"/>
      <c r="CI291" s="460"/>
      <c r="CJ291" s="460"/>
      <c r="CK291" s="460"/>
    </row>
    <row r="292" spans="1:89" s="329" customFormat="1" ht="36" customHeight="1" x14ac:dyDescent="0.25">
      <c r="A292" s="329">
        <v>1</v>
      </c>
      <c r="B292" s="39">
        <f>SUBTOTAL(103,$A$16:A292)</f>
        <v>266</v>
      </c>
      <c r="C292" s="33" t="s">
        <v>1265</v>
      </c>
      <c r="D292" s="330">
        <v>1968</v>
      </c>
      <c r="E292" s="330">
        <v>2010</v>
      </c>
      <c r="F292" s="331" t="s">
        <v>48</v>
      </c>
      <c r="G292" s="330">
        <v>2</v>
      </c>
      <c r="H292" s="330" t="s">
        <v>56</v>
      </c>
      <c r="I292" s="38">
        <v>794.9</v>
      </c>
      <c r="J292" s="38">
        <v>734.9</v>
      </c>
      <c r="K292" s="38">
        <v>734.9</v>
      </c>
      <c r="L292" s="332">
        <v>32</v>
      </c>
      <c r="M292" s="330" t="s">
        <v>46</v>
      </c>
      <c r="N292" s="330" t="s">
        <v>71</v>
      </c>
      <c r="O292" s="333" t="s">
        <v>2044</v>
      </c>
      <c r="P292" s="38">
        <v>3534439.81</v>
      </c>
      <c r="Q292" s="38">
        <v>0</v>
      </c>
      <c r="R292" s="38">
        <v>0</v>
      </c>
      <c r="S292" s="38">
        <f>P292-Q292-R292</f>
        <v>3534439.81</v>
      </c>
      <c r="T292" s="38">
        <f t="shared" si="32"/>
        <v>4446.3955340294378</v>
      </c>
      <c r="U292" s="38">
        <v>5683.4387092716061</v>
      </c>
      <c r="V292" s="458">
        <f t="shared" si="33"/>
        <v>1237.0431752421682</v>
      </c>
      <c r="W292" s="458">
        <f t="shared" ref="W292:W296" si="37">X292+Y292+Z292+AA292+AB292+AD292+AF292+AH292+AJ292+AL292+AN292+AO292</f>
        <v>5683.4387092716061</v>
      </c>
      <c r="X292" s="458">
        <v>0</v>
      </c>
      <c r="Y292" s="459">
        <v>0</v>
      </c>
      <c r="Z292" s="459">
        <v>0</v>
      </c>
      <c r="AA292" s="459">
        <v>0</v>
      </c>
      <c r="AB292" s="459">
        <v>0</v>
      </c>
      <c r="AC292" s="459">
        <v>0</v>
      </c>
      <c r="AD292" s="459">
        <v>0</v>
      </c>
      <c r="AE292" s="459">
        <v>0</v>
      </c>
      <c r="AF292" s="458">
        <v>0</v>
      </c>
      <c r="AG292" s="459">
        <v>0</v>
      </c>
      <c r="AH292" s="458">
        <v>0</v>
      </c>
      <c r="AI292" s="459">
        <v>607.29999999999995</v>
      </c>
      <c r="AJ292" s="458">
        <f>7439.1*AI292/I292</f>
        <v>5683.4387092716061</v>
      </c>
      <c r="AK292" s="459">
        <v>0</v>
      </c>
      <c r="AL292" s="459">
        <v>0</v>
      </c>
      <c r="AM292" s="459">
        <v>0</v>
      </c>
      <c r="AN292" s="459"/>
      <c r="AO292" s="459">
        <v>0</v>
      </c>
      <c r="AP292" s="460"/>
      <c r="AQ292" s="460"/>
      <c r="AR292" s="460"/>
      <c r="AS292" s="460"/>
      <c r="AT292" s="460"/>
      <c r="AU292" s="460"/>
      <c r="AV292" s="460"/>
      <c r="AW292" s="460"/>
      <c r="AX292" s="460"/>
      <c r="AY292" s="460"/>
      <c r="AZ292" s="460"/>
      <c r="BA292" s="460"/>
      <c r="BB292" s="460"/>
      <c r="BC292" s="460"/>
      <c r="BD292" s="460"/>
      <c r="BE292" s="460"/>
      <c r="BF292" s="460"/>
      <c r="BG292" s="460"/>
      <c r="BH292" s="460"/>
      <c r="BI292" s="460"/>
      <c r="BJ292" s="460"/>
      <c r="BK292" s="460"/>
      <c r="BL292" s="460"/>
      <c r="BM292" s="460"/>
      <c r="BN292" s="460"/>
      <c r="BO292" s="460"/>
      <c r="BP292" s="460"/>
      <c r="BQ292" s="460"/>
      <c r="BR292" s="460"/>
      <c r="BS292" s="460"/>
      <c r="BT292" s="460"/>
      <c r="BU292" s="460"/>
      <c r="BV292" s="460"/>
      <c r="BW292" s="460"/>
      <c r="BX292" s="460"/>
      <c r="BY292" s="460"/>
      <c r="BZ292" s="460"/>
      <c r="CA292" s="460"/>
      <c r="CB292" s="460"/>
      <c r="CC292" s="460"/>
      <c r="CD292" s="460"/>
      <c r="CE292" s="460"/>
      <c r="CF292" s="460"/>
      <c r="CG292" s="460"/>
      <c r="CH292" s="460"/>
      <c r="CI292" s="460"/>
      <c r="CJ292" s="460"/>
      <c r="CK292" s="460"/>
    </row>
    <row r="293" spans="1:89" s="329" customFormat="1" ht="36" customHeight="1" x14ac:dyDescent="0.25">
      <c r="A293" s="329">
        <v>1</v>
      </c>
      <c r="B293" s="39">
        <f>SUBTOTAL(103,$A$16:A293)</f>
        <v>267</v>
      </c>
      <c r="C293" s="33" t="s">
        <v>1266</v>
      </c>
      <c r="D293" s="330">
        <v>1963</v>
      </c>
      <c r="E293" s="330"/>
      <c r="F293" s="331" t="s">
        <v>48</v>
      </c>
      <c r="G293" s="330">
        <v>2</v>
      </c>
      <c r="H293" s="330" t="s">
        <v>56</v>
      </c>
      <c r="I293" s="38">
        <v>722.8</v>
      </c>
      <c r="J293" s="38">
        <v>720.3</v>
      </c>
      <c r="K293" s="38">
        <v>720.3</v>
      </c>
      <c r="L293" s="332">
        <v>42</v>
      </c>
      <c r="M293" s="330" t="s">
        <v>46</v>
      </c>
      <c r="N293" s="330" t="s">
        <v>71</v>
      </c>
      <c r="O293" s="333" t="s">
        <v>2045</v>
      </c>
      <c r="P293" s="38">
        <v>2513294.65</v>
      </c>
      <c r="Q293" s="38">
        <v>0</v>
      </c>
      <c r="R293" s="38">
        <v>0</v>
      </c>
      <c r="S293" s="38">
        <f>P293-Q293-R293</f>
        <v>2513294.65</v>
      </c>
      <c r="T293" s="38">
        <f t="shared" si="32"/>
        <v>3477.1647066961814</v>
      </c>
      <c r="U293" s="38">
        <v>6661.020365246266</v>
      </c>
      <c r="V293" s="458">
        <f t="shared" si="33"/>
        <v>3183.8556585500846</v>
      </c>
      <c r="W293" s="458">
        <f t="shared" si="37"/>
        <v>6661.020365246266</v>
      </c>
      <c r="X293" s="458">
        <v>0</v>
      </c>
      <c r="Y293" s="459">
        <v>0</v>
      </c>
      <c r="Z293" s="459">
        <v>0</v>
      </c>
      <c r="AA293" s="459">
        <v>0</v>
      </c>
      <c r="AB293" s="459">
        <v>0</v>
      </c>
      <c r="AC293" s="459">
        <v>0</v>
      </c>
      <c r="AD293" s="459">
        <v>0</v>
      </c>
      <c r="AE293" s="459">
        <v>0</v>
      </c>
      <c r="AF293" s="458">
        <v>0</v>
      </c>
      <c r="AG293" s="459">
        <v>0</v>
      </c>
      <c r="AH293" s="458">
        <v>0</v>
      </c>
      <c r="AI293" s="459">
        <v>647.20000000000005</v>
      </c>
      <c r="AJ293" s="458">
        <f>7439.1*AI293/I293</f>
        <v>6661.020365246266</v>
      </c>
      <c r="AK293" s="459">
        <v>0</v>
      </c>
      <c r="AL293" s="459">
        <v>0</v>
      </c>
      <c r="AM293" s="459">
        <v>0</v>
      </c>
      <c r="AN293" s="459"/>
      <c r="AO293" s="459">
        <v>0</v>
      </c>
      <c r="AP293" s="460"/>
      <c r="AQ293" s="460"/>
      <c r="AR293" s="460"/>
      <c r="AS293" s="460"/>
      <c r="AT293" s="460"/>
      <c r="AU293" s="460"/>
      <c r="AV293" s="460"/>
      <c r="AW293" s="460"/>
      <c r="AX293" s="460"/>
      <c r="AY293" s="460"/>
      <c r="AZ293" s="460"/>
      <c r="BA293" s="460"/>
      <c r="BB293" s="460"/>
      <c r="BC293" s="460"/>
      <c r="BD293" s="460"/>
      <c r="BE293" s="460"/>
      <c r="BF293" s="460"/>
      <c r="BG293" s="460"/>
      <c r="BH293" s="460"/>
      <c r="BI293" s="460"/>
      <c r="BJ293" s="460"/>
      <c r="BK293" s="460"/>
      <c r="BL293" s="460"/>
      <c r="BM293" s="460"/>
      <c r="BN293" s="460"/>
      <c r="BO293" s="460"/>
      <c r="BP293" s="460"/>
      <c r="BQ293" s="460"/>
      <c r="BR293" s="460"/>
      <c r="BS293" s="460"/>
      <c r="BT293" s="460"/>
      <c r="BU293" s="460"/>
      <c r="BV293" s="460"/>
      <c r="BW293" s="460"/>
      <c r="BX293" s="460"/>
      <c r="BY293" s="460"/>
      <c r="BZ293" s="460"/>
      <c r="CA293" s="460"/>
      <c r="CB293" s="460"/>
      <c r="CC293" s="460"/>
      <c r="CD293" s="460"/>
      <c r="CE293" s="460"/>
      <c r="CF293" s="460"/>
      <c r="CG293" s="460"/>
      <c r="CH293" s="460"/>
      <c r="CI293" s="460"/>
      <c r="CJ293" s="460"/>
      <c r="CK293" s="460"/>
    </row>
    <row r="294" spans="1:89" s="329" customFormat="1" ht="36" customHeight="1" x14ac:dyDescent="0.25">
      <c r="A294" s="329">
        <v>1</v>
      </c>
      <c r="B294" s="39">
        <f>SUBTOTAL(103,$A$16:A294)</f>
        <v>268</v>
      </c>
      <c r="C294" s="33" t="s">
        <v>1267</v>
      </c>
      <c r="D294" s="330">
        <v>1973</v>
      </c>
      <c r="E294" s="330"/>
      <c r="F294" s="331" t="s">
        <v>48</v>
      </c>
      <c r="G294" s="330">
        <v>2</v>
      </c>
      <c r="H294" s="330" t="s">
        <v>57</v>
      </c>
      <c r="I294" s="38">
        <v>678.3</v>
      </c>
      <c r="J294" s="38">
        <v>678</v>
      </c>
      <c r="K294" s="38">
        <v>678</v>
      </c>
      <c r="L294" s="332">
        <v>57</v>
      </c>
      <c r="M294" s="330" t="s">
        <v>46</v>
      </c>
      <c r="N294" s="330" t="s">
        <v>71</v>
      </c>
      <c r="O294" s="333" t="s">
        <v>2045</v>
      </c>
      <c r="P294" s="38">
        <v>2534240.8800000004</v>
      </c>
      <c r="Q294" s="38">
        <v>0</v>
      </c>
      <c r="R294" s="38">
        <v>0</v>
      </c>
      <c r="S294" s="38">
        <f>P294-Q294-R294</f>
        <v>2534240.8800000004</v>
      </c>
      <c r="T294" s="38">
        <f t="shared" si="32"/>
        <v>3736.1652366209651</v>
      </c>
      <c r="U294" s="38">
        <v>7158.3378593542693</v>
      </c>
      <c r="V294" s="458">
        <f t="shared" si="33"/>
        <v>3422.1726227333043</v>
      </c>
      <c r="W294" s="458">
        <f t="shared" si="37"/>
        <v>7158.3378593542693</v>
      </c>
      <c r="X294" s="458">
        <v>0</v>
      </c>
      <c r="Y294" s="459">
        <v>0</v>
      </c>
      <c r="Z294" s="459">
        <v>0</v>
      </c>
      <c r="AA294" s="459">
        <v>0</v>
      </c>
      <c r="AB294" s="459">
        <v>0</v>
      </c>
      <c r="AC294" s="459">
        <v>0</v>
      </c>
      <c r="AD294" s="459">
        <v>0</v>
      </c>
      <c r="AE294" s="459">
        <v>0</v>
      </c>
      <c r="AF294" s="458">
        <v>0</v>
      </c>
      <c r="AG294" s="459">
        <v>0</v>
      </c>
      <c r="AH294" s="458">
        <v>0</v>
      </c>
      <c r="AI294" s="459">
        <v>652.70000000000005</v>
      </c>
      <c r="AJ294" s="458">
        <f>7439.1*AI294/I294</f>
        <v>7158.3378593542693</v>
      </c>
      <c r="AK294" s="459">
        <v>0</v>
      </c>
      <c r="AL294" s="459">
        <v>0</v>
      </c>
      <c r="AM294" s="459">
        <v>0</v>
      </c>
      <c r="AN294" s="459"/>
      <c r="AO294" s="459">
        <v>0</v>
      </c>
      <c r="AP294" s="460"/>
      <c r="AQ294" s="460"/>
      <c r="AR294" s="460"/>
      <c r="AS294" s="460"/>
      <c r="AT294" s="460"/>
      <c r="AU294" s="460"/>
      <c r="AV294" s="460"/>
      <c r="AW294" s="460"/>
      <c r="AX294" s="460"/>
      <c r="AY294" s="460"/>
      <c r="AZ294" s="460"/>
      <c r="BA294" s="460"/>
      <c r="BB294" s="460"/>
      <c r="BC294" s="460"/>
      <c r="BD294" s="460"/>
      <c r="BE294" s="460"/>
      <c r="BF294" s="460"/>
      <c r="BG294" s="460"/>
      <c r="BH294" s="460"/>
      <c r="BI294" s="460"/>
      <c r="BJ294" s="460"/>
      <c r="BK294" s="460"/>
      <c r="BL294" s="460"/>
      <c r="BM294" s="460"/>
      <c r="BN294" s="460"/>
      <c r="BO294" s="460"/>
      <c r="BP294" s="460"/>
      <c r="BQ294" s="460"/>
      <c r="BR294" s="460"/>
      <c r="BS294" s="460"/>
      <c r="BT294" s="460"/>
      <c r="BU294" s="460"/>
      <c r="BV294" s="460"/>
      <c r="BW294" s="460"/>
      <c r="BX294" s="460"/>
      <c r="BY294" s="460"/>
      <c r="BZ294" s="460"/>
      <c r="CA294" s="460"/>
      <c r="CB294" s="460"/>
      <c r="CC294" s="460"/>
      <c r="CD294" s="460"/>
      <c r="CE294" s="460"/>
      <c r="CF294" s="460"/>
      <c r="CG294" s="460"/>
      <c r="CH294" s="460"/>
      <c r="CI294" s="460"/>
      <c r="CJ294" s="460"/>
      <c r="CK294" s="460"/>
    </row>
    <row r="295" spans="1:89" s="329" customFormat="1" ht="36" customHeight="1" x14ac:dyDescent="0.25">
      <c r="A295" s="329">
        <v>1</v>
      </c>
      <c r="B295" s="39">
        <f>SUBTOTAL(103,$A$16:A295)</f>
        <v>269</v>
      </c>
      <c r="C295" s="33" t="s">
        <v>1268</v>
      </c>
      <c r="D295" s="330">
        <v>1975</v>
      </c>
      <c r="E295" s="330"/>
      <c r="F295" s="331" t="s">
        <v>48</v>
      </c>
      <c r="G295" s="330">
        <v>2</v>
      </c>
      <c r="H295" s="330" t="s">
        <v>61</v>
      </c>
      <c r="I295" s="38">
        <v>984.2</v>
      </c>
      <c r="J295" s="38">
        <v>981.5</v>
      </c>
      <c r="K295" s="38">
        <v>981.5</v>
      </c>
      <c r="L295" s="332">
        <v>57</v>
      </c>
      <c r="M295" s="330" t="s">
        <v>46</v>
      </c>
      <c r="N295" s="330" t="s">
        <v>71</v>
      </c>
      <c r="O295" s="333" t="s">
        <v>2045</v>
      </c>
      <c r="P295" s="38">
        <v>1391927.85</v>
      </c>
      <c r="Q295" s="38">
        <v>0</v>
      </c>
      <c r="R295" s="38">
        <v>0</v>
      </c>
      <c r="S295" s="38">
        <f>P295-Q295-R295</f>
        <v>1391927.85</v>
      </c>
      <c r="T295" s="38">
        <f t="shared" si="32"/>
        <v>1414.2733692338957</v>
      </c>
      <c r="U295" s="38">
        <v>3458.92</v>
      </c>
      <c r="V295" s="458">
        <f t="shared" si="33"/>
        <v>2044.6466307661044</v>
      </c>
      <c r="W295" s="458">
        <f t="shared" si="37"/>
        <v>3546.19</v>
      </c>
      <c r="X295" s="458">
        <v>101.55</v>
      </c>
      <c r="Y295" s="459">
        <v>0</v>
      </c>
      <c r="Z295" s="459">
        <v>3259.66</v>
      </c>
      <c r="AA295" s="459">
        <v>184.98</v>
      </c>
      <c r="AB295" s="459">
        <v>0</v>
      </c>
      <c r="AC295" s="459">
        <v>0</v>
      </c>
      <c r="AD295" s="459">
        <v>0</v>
      </c>
      <c r="AE295" s="459">
        <v>0</v>
      </c>
      <c r="AF295" s="458">
        <v>0</v>
      </c>
      <c r="AG295" s="459">
        <v>0</v>
      </c>
      <c r="AH295" s="458">
        <v>0</v>
      </c>
      <c r="AI295" s="459">
        <v>0</v>
      </c>
      <c r="AJ295" s="458">
        <v>0</v>
      </c>
      <c r="AK295" s="459">
        <v>0</v>
      </c>
      <c r="AL295" s="459">
        <v>0</v>
      </c>
      <c r="AM295" s="459">
        <v>0</v>
      </c>
      <c r="AN295" s="459"/>
      <c r="AO295" s="459">
        <v>0</v>
      </c>
      <c r="AP295" s="460"/>
      <c r="AQ295" s="460"/>
      <c r="AR295" s="460"/>
      <c r="AS295" s="460"/>
      <c r="AT295" s="460"/>
      <c r="AU295" s="460"/>
      <c r="AV295" s="460"/>
      <c r="AW295" s="460"/>
      <c r="AX295" s="460"/>
      <c r="AY295" s="460"/>
      <c r="AZ295" s="460"/>
      <c r="BA295" s="460"/>
      <c r="BB295" s="460"/>
      <c r="BC295" s="460"/>
      <c r="BD295" s="460"/>
      <c r="BE295" s="460"/>
      <c r="BF295" s="460"/>
      <c r="BG295" s="460"/>
      <c r="BH295" s="460"/>
      <c r="BI295" s="460"/>
      <c r="BJ295" s="460"/>
      <c r="BK295" s="460"/>
      <c r="BL295" s="460"/>
      <c r="BM295" s="460"/>
      <c r="BN295" s="460"/>
      <c r="BO295" s="460"/>
      <c r="BP295" s="460"/>
      <c r="BQ295" s="460"/>
      <c r="BR295" s="460"/>
      <c r="BS295" s="460"/>
      <c r="BT295" s="460"/>
      <c r="BU295" s="460"/>
      <c r="BV295" s="460"/>
      <c r="BW295" s="460"/>
      <c r="BX295" s="460"/>
      <c r="BY295" s="460"/>
      <c r="BZ295" s="460"/>
      <c r="CA295" s="460"/>
      <c r="CB295" s="460"/>
      <c r="CC295" s="460"/>
      <c r="CD295" s="460"/>
      <c r="CE295" s="460"/>
      <c r="CF295" s="460"/>
      <c r="CG295" s="460"/>
      <c r="CH295" s="460"/>
      <c r="CI295" s="460"/>
      <c r="CJ295" s="460"/>
      <c r="CK295" s="460"/>
    </row>
    <row r="296" spans="1:89" s="329" customFormat="1" ht="36" customHeight="1" x14ac:dyDescent="0.25">
      <c r="A296" s="329">
        <v>1</v>
      </c>
      <c r="B296" s="39">
        <f>SUBTOTAL(103,$A$16:A296)</f>
        <v>270</v>
      </c>
      <c r="C296" s="33" t="s">
        <v>1269</v>
      </c>
      <c r="D296" s="330">
        <v>1992</v>
      </c>
      <c r="E296" s="330"/>
      <c r="F296" s="331" t="s">
        <v>48</v>
      </c>
      <c r="G296" s="330">
        <v>3</v>
      </c>
      <c r="H296" s="330" t="s">
        <v>56</v>
      </c>
      <c r="I296" s="38">
        <v>1091</v>
      </c>
      <c r="J296" s="38">
        <v>1091</v>
      </c>
      <c r="K296" s="38">
        <v>1091</v>
      </c>
      <c r="L296" s="332">
        <v>39</v>
      </c>
      <c r="M296" s="330" t="s">
        <v>46</v>
      </c>
      <c r="N296" s="330" t="s">
        <v>50</v>
      </c>
      <c r="O296" s="333" t="s">
        <v>2046</v>
      </c>
      <c r="P296" s="38">
        <v>2657283.6100000003</v>
      </c>
      <c r="Q296" s="38">
        <v>0</v>
      </c>
      <c r="R296" s="38">
        <v>0</v>
      </c>
      <c r="S296" s="38">
        <f>P296-Q296-R296</f>
        <v>2657283.6100000003</v>
      </c>
      <c r="T296" s="38">
        <f t="shared" si="32"/>
        <v>2435.6403391384056</v>
      </c>
      <c r="U296" s="38">
        <v>2758.6738295142077</v>
      </c>
      <c r="V296" s="458">
        <f t="shared" si="33"/>
        <v>323.0334903758021</v>
      </c>
      <c r="W296" s="458">
        <f t="shared" si="37"/>
        <v>2758.6738295142077</v>
      </c>
      <c r="X296" s="458">
        <v>0</v>
      </c>
      <c r="Y296" s="459">
        <v>0</v>
      </c>
      <c r="Z296" s="459">
        <v>0</v>
      </c>
      <c r="AA296" s="459">
        <v>0</v>
      </c>
      <c r="AB296" s="459">
        <v>0</v>
      </c>
      <c r="AC296" s="459">
        <v>0</v>
      </c>
      <c r="AD296" s="459">
        <v>0</v>
      </c>
      <c r="AE296" s="459">
        <v>0</v>
      </c>
      <c r="AF296" s="458">
        <v>0</v>
      </c>
      <c r="AG296" s="459">
        <v>339.3</v>
      </c>
      <c r="AH296" s="458">
        <f>8870.36*AG296/I296</f>
        <v>2758.6738295142077</v>
      </c>
      <c r="AI296" s="459">
        <v>0</v>
      </c>
      <c r="AJ296" s="458">
        <v>0</v>
      </c>
      <c r="AK296" s="459">
        <v>0</v>
      </c>
      <c r="AL296" s="459">
        <v>0</v>
      </c>
      <c r="AM296" s="459">
        <v>0</v>
      </c>
      <c r="AN296" s="459"/>
      <c r="AO296" s="459">
        <v>0</v>
      </c>
      <c r="AP296" s="460"/>
      <c r="AQ296" s="460"/>
      <c r="AR296" s="460"/>
      <c r="AS296" s="460"/>
      <c r="AT296" s="460"/>
      <c r="AU296" s="460"/>
      <c r="AV296" s="460"/>
      <c r="AW296" s="460"/>
      <c r="AX296" s="460"/>
      <c r="AY296" s="460"/>
      <c r="AZ296" s="460"/>
      <c r="BA296" s="460"/>
      <c r="BB296" s="460"/>
      <c r="BC296" s="460"/>
      <c r="BD296" s="460"/>
      <c r="BE296" s="460"/>
      <c r="BF296" s="460"/>
      <c r="BG296" s="460"/>
      <c r="BH296" s="460"/>
      <c r="BI296" s="460"/>
      <c r="BJ296" s="460"/>
      <c r="BK296" s="460"/>
      <c r="BL296" s="460"/>
      <c r="BM296" s="460"/>
      <c r="BN296" s="460"/>
      <c r="BO296" s="460"/>
      <c r="BP296" s="460"/>
      <c r="BQ296" s="460"/>
      <c r="BR296" s="460"/>
      <c r="BS296" s="460"/>
      <c r="BT296" s="460"/>
      <c r="BU296" s="460"/>
      <c r="BV296" s="460"/>
      <c r="BW296" s="460"/>
      <c r="BX296" s="460"/>
      <c r="BY296" s="460"/>
      <c r="BZ296" s="460"/>
      <c r="CA296" s="460"/>
      <c r="CB296" s="460"/>
      <c r="CC296" s="460"/>
      <c r="CD296" s="460"/>
      <c r="CE296" s="460"/>
      <c r="CF296" s="460"/>
      <c r="CG296" s="460"/>
      <c r="CH296" s="460"/>
      <c r="CI296" s="460"/>
      <c r="CJ296" s="460"/>
      <c r="CK296" s="460"/>
    </row>
    <row r="297" spans="1:89" s="329" customFormat="1" ht="36" customHeight="1" x14ac:dyDescent="0.25">
      <c r="B297" s="33" t="s">
        <v>1270</v>
      </c>
      <c r="C297" s="33"/>
      <c r="D297" s="330" t="s">
        <v>131</v>
      </c>
      <c r="E297" s="330" t="s">
        <v>131</v>
      </c>
      <c r="F297" s="330" t="s">
        <v>131</v>
      </c>
      <c r="G297" s="330" t="s">
        <v>131</v>
      </c>
      <c r="H297" s="330" t="s">
        <v>131</v>
      </c>
      <c r="I297" s="334">
        <f>SUM(I298:I302)</f>
        <v>3135.5000000000005</v>
      </c>
      <c r="J297" s="334">
        <f>SUM(J298:J302)</f>
        <v>2599.5</v>
      </c>
      <c r="K297" s="334">
        <f>SUM(K298:K302)</f>
        <v>2599.5</v>
      </c>
      <c r="L297" s="332">
        <f>SUM(L298:L302)</f>
        <v>130</v>
      </c>
      <c r="M297" s="330" t="s">
        <v>131</v>
      </c>
      <c r="N297" s="330" t="s">
        <v>131</v>
      </c>
      <c r="O297" s="333" t="s">
        <v>131</v>
      </c>
      <c r="P297" s="38">
        <v>4870600.45</v>
      </c>
      <c r="Q297" s="38">
        <f>SUM(Q298:Q302)</f>
        <v>0</v>
      </c>
      <c r="R297" s="38">
        <f>SUM(R298:R302)</f>
        <v>0</v>
      </c>
      <c r="S297" s="38">
        <f>SUM(S298:S302)</f>
        <v>4870600.45</v>
      </c>
      <c r="T297" s="38">
        <f t="shared" si="32"/>
        <v>1553.3728113538509</v>
      </c>
      <c r="U297" s="38">
        <f>MAX(U298:U302)</f>
        <v>4864.1082382610775</v>
      </c>
      <c r="V297" s="458">
        <f t="shared" si="33"/>
        <v>3310.7354269072266</v>
      </c>
      <c r="W297" s="458"/>
      <c r="X297" s="458"/>
      <c r="Y297" s="459"/>
      <c r="Z297" s="459"/>
      <c r="AA297" s="459"/>
      <c r="AB297" s="459"/>
      <c r="AC297" s="459"/>
      <c r="AD297" s="459"/>
      <c r="AE297" s="459"/>
      <c r="AF297" s="459"/>
      <c r="AG297" s="459"/>
      <c r="AH297" s="459"/>
      <c r="AI297" s="459"/>
      <c r="AJ297" s="459"/>
      <c r="AK297" s="459"/>
      <c r="AL297" s="459"/>
      <c r="AM297" s="459"/>
      <c r="AN297" s="459"/>
      <c r="AO297" s="459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  <c r="CH297" s="460"/>
      <c r="CI297" s="460"/>
      <c r="CJ297" s="460"/>
      <c r="CK297" s="460"/>
    </row>
    <row r="298" spans="1:89" s="329" customFormat="1" ht="36" customHeight="1" x14ac:dyDescent="0.25">
      <c r="A298" s="329">
        <v>1</v>
      </c>
      <c r="B298" s="39">
        <f>SUBTOTAL(103,$A$16:A298)</f>
        <v>271</v>
      </c>
      <c r="C298" s="33" t="s">
        <v>1271</v>
      </c>
      <c r="D298" s="330">
        <v>1962</v>
      </c>
      <c r="E298" s="330"/>
      <c r="F298" s="331" t="s">
        <v>48</v>
      </c>
      <c r="G298" s="330">
        <v>2</v>
      </c>
      <c r="H298" s="330" t="s">
        <v>56</v>
      </c>
      <c r="I298" s="38">
        <v>832.7</v>
      </c>
      <c r="J298" s="38">
        <v>745</v>
      </c>
      <c r="K298" s="38">
        <v>745</v>
      </c>
      <c r="L298" s="332">
        <v>48</v>
      </c>
      <c r="M298" s="330" t="s">
        <v>46</v>
      </c>
      <c r="N298" s="330" t="s">
        <v>47</v>
      </c>
      <c r="O298" s="333" t="s">
        <v>49</v>
      </c>
      <c r="P298" s="38">
        <v>3466608.69</v>
      </c>
      <c r="Q298" s="38">
        <v>0</v>
      </c>
      <c r="R298" s="38">
        <v>0</v>
      </c>
      <c r="S298" s="38">
        <f>P298-Q298-R298</f>
        <v>3466608.69</v>
      </c>
      <c r="T298" s="38">
        <f t="shared" si="32"/>
        <v>4163.0943797285936</v>
      </c>
      <c r="U298" s="38">
        <v>4864.1082382610775</v>
      </c>
      <c r="V298" s="458">
        <f t="shared" si="33"/>
        <v>701.01385853248394</v>
      </c>
      <c r="W298" s="458">
        <f t="shared" ref="W298:W302" si="38">X298+Y298+Z298+AA298+AB298+AD298+AF298+AH298+AJ298+AL298+AN298+AO298</f>
        <v>4847.5738801489133</v>
      </c>
      <c r="X298" s="458">
        <v>0</v>
      </c>
      <c r="Y298" s="459">
        <v>0</v>
      </c>
      <c r="Z298" s="459">
        <v>0</v>
      </c>
      <c r="AA298" s="459">
        <v>0</v>
      </c>
      <c r="AB298" s="459">
        <v>0</v>
      </c>
      <c r="AC298" s="459">
        <v>0</v>
      </c>
      <c r="AD298" s="459">
        <v>0</v>
      </c>
      <c r="AE298" s="459">
        <v>647</v>
      </c>
      <c r="AF298" s="458">
        <f>6238.91*AE298/I298</f>
        <v>4847.5738801489133</v>
      </c>
      <c r="AG298" s="459">
        <v>0</v>
      </c>
      <c r="AH298" s="458">
        <v>0</v>
      </c>
      <c r="AI298" s="459">
        <v>0</v>
      </c>
      <c r="AJ298" s="458">
        <v>0</v>
      </c>
      <c r="AK298" s="459">
        <v>0</v>
      </c>
      <c r="AL298" s="459">
        <v>0</v>
      </c>
      <c r="AM298" s="459">
        <v>0</v>
      </c>
      <c r="AN298" s="459"/>
      <c r="AO298" s="459">
        <v>0</v>
      </c>
      <c r="AP298" s="460"/>
      <c r="AQ298" s="460"/>
      <c r="AR298" s="460"/>
      <c r="AS298" s="460"/>
      <c r="AT298" s="460"/>
      <c r="AU298" s="460"/>
      <c r="AV298" s="460"/>
      <c r="AW298" s="460"/>
      <c r="AX298" s="460"/>
      <c r="AY298" s="460"/>
      <c r="AZ298" s="460"/>
      <c r="BA298" s="460"/>
      <c r="BB298" s="460"/>
      <c r="BC298" s="460"/>
      <c r="BD298" s="460"/>
      <c r="BE298" s="460"/>
      <c r="BF298" s="460"/>
      <c r="BG298" s="460"/>
      <c r="BH298" s="460"/>
      <c r="BI298" s="460"/>
      <c r="BJ298" s="460"/>
      <c r="BK298" s="460"/>
      <c r="BL298" s="460"/>
      <c r="BM298" s="460"/>
      <c r="BN298" s="460"/>
      <c r="BO298" s="460"/>
      <c r="BP298" s="460"/>
      <c r="BQ298" s="460"/>
      <c r="BR298" s="460"/>
      <c r="BS298" s="460"/>
      <c r="BT298" s="460"/>
      <c r="BU298" s="460"/>
      <c r="BV298" s="460"/>
      <c r="BW298" s="460"/>
      <c r="BX298" s="460"/>
      <c r="BY298" s="460"/>
      <c r="BZ298" s="460"/>
      <c r="CA298" s="460"/>
      <c r="CB298" s="460"/>
      <c r="CC298" s="460"/>
      <c r="CD298" s="460"/>
      <c r="CE298" s="460"/>
      <c r="CF298" s="460"/>
      <c r="CG298" s="460"/>
      <c r="CH298" s="460"/>
      <c r="CI298" s="460"/>
      <c r="CJ298" s="460"/>
      <c r="CK298" s="460"/>
    </row>
    <row r="299" spans="1:89" s="329" customFormat="1" ht="36" customHeight="1" x14ac:dyDescent="0.25">
      <c r="A299" s="329">
        <v>1</v>
      </c>
      <c r="B299" s="39">
        <f>SUBTOTAL(103,$A$16:A299)</f>
        <v>272</v>
      </c>
      <c r="C299" s="33" t="s">
        <v>1272</v>
      </c>
      <c r="D299" s="330">
        <v>1938</v>
      </c>
      <c r="E299" s="330"/>
      <c r="F299" s="331" t="s">
        <v>68</v>
      </c>
      <c r="G299" s="330">
        <v>2</v>
      </c>
      <c r="H299" s="330" t="s">
        <v>57</v>
      </c>
      <c r="I299" s="38">
        <v>244.9</v>
      </c>
      <c r="J299" s="38">
        <v>223.9</v>
      </c>
      <c r="K299" s="38">
        <v>223.9</v>
      </c>
      <c r="L299" s="332">
        <v>15</v>
      </c>
      <c r="M299" s="330" t="s">
        <v>46</v>
      </c>
      <c r="N299" s="330" t="s">
        <v>47</v>
      </c>
      <c r="O299" s="333" t="s">
        <v>49</v>
      </c>
      <c r="P299" s="38">
        <v>34358.44</v>
      </c>
      <c r="Q299" s="38">
        <v>0</v>
      </c>
      <c r="R299" s="38">
        <v>0</v>
      </c>
      <c r="S299" s="38">
        <f>P299-Q299-R299</f>
        <v>34358.44</v>
      </c>
      <c r="T299" s="38">
        <f t="shared" si="32"/>
        <v>140.29579420171498</v>
      </c>
      <c r="U299" s="38">
        <v>140.29579420171498</v>
      </c>
      <c r="V299" s="458">
        <f t="shared" si="33"/>
        <v>0</v>
      </c>
      <c r="W299" s="458">
        <f t="shared" si="38"/>
        <v>795.31</v>
      </c>
      <c r="X299" s="458">
        <v>0</v>
      </c>
      <c r="Y299" s="459">
        <v>0</v>
      </c>
      <c r="Z299" s="459">
        <v>0</v>
      </c>
      <c r="AA299" s="459">
        <v>0</v>
      </c>
      <c r="AB299" s="459">
        <v>795.31</v>
      </c>
      <c r="AC299" s="459">
        <v>0</v>
      </c>
      <c r="AD299" s="459">
        <v>0</v>
      </c>
      <c r="AE299" s="459">
        <v>0</v>
      </c>
      <c r="AF299" s="458">
        <v>0</v>
      </c>
      <c r="AG299" s="459">
        <v>0</v>
      </c>
      <c r="AH299" s="458">
        <v>0</v>
      </c>
      <c r="AI299" s="459">
        <v>0</v>
      </c>
      <c r="AJ299" s="458">
        <v>0</v>
      </c>
      <c r="AK299" s="459">
        <v>0</v>
      </c>
      <c r="AL299" s="459">
        <v>0</v>
      </c>
      <c r="AM299" s="459">
        <v>0</v>
      </c>
      <c r="AN299" s="459"/>
      <c r="AO299" s="459">
        <v>0</v>
      </c>
      <c r="AP299" s="460"/>
      <c r="AQ299" s="460"/>
      <c r="AR299" s="460"/>
      <c r="AS299" s="460"/>
      <c r="AT299" s="460"/>
      <c r="AU299" s="460"/>
      <c r="AV299" s="460"/>
      <c r="AW299" s="460"/>
      <c r="AX299" s="460"/>
      <c r="AY299" s="460"/>
      <c r="AZ299" s="460"/>
      <c r="BA299" s="460"/>
      <c r="BB299" s="460"/>
      <c r="BC299" s="460"/>
      <c r="BD299" s="460"/>
      <c r="BE299" s="460"/>
      <c r="BF299" s="460"/>
      <c r="BG299" s="460"/>
      <c r="BH299" s="460"/>
      <c r="BI299" s="460"/>
      <c r="BJ299" s="460"/>
      <c r="BK299" s="460"/>
      <c r="BL299" s="460"/>
      <c r="BM299" s="460"/>
      <c r="BN299" s="460"/>
      <c r="BO299" s="460"/>
      <c r="BP299" s="460"/>
      <c r="BQ299" s="460"/>
      <c r="BR299" s="460"/>
      <c r="BS299" s="460"/>
      <c r="BT299" s="460"/>
      <c r="BU299" s="460"/>
      <c r="BV299" s="460"/>
      <c r="BW299" s="460"/>
      <c r="BX299" s="460"/>
      <c r="BY299" s="460"/>
      <c r="BZ299" s="460"/>
      <c r="CA299" s="460"/>
      <c r="CB299" s="460"/>
      <c r="CC299" s="460"/>
      <c r="CD299" s="460"/>
      <c r="CE299" s="460"/>
      <c r="CF299" s="460"/>
      <c r="CG299" s="460"/>
      <c r="CH299" s="460"/>
      <c r="CI299" s="460"/>
      <c r="CJ299" s="460"/>
      <c r="CK299" s="460"/>
    </row>
    <row r="300" spans="1:89" s="329" customFormat="1" ht="36" customHeight="1" x14ac:dyDescent="0.25">
      <c r="A300" s="329">
        <v>1</v>
      </c>
      <c r="B300" s="39">
        <f>SUBTOTAL(103,$A$16:A300)</f>
        <v>273</v>
      </c>
      <c r="C300" s="33" t="s">
        <v>1273</v>
      </c>
      <c r="D300" s="330">
        <v>1959</v>
      </c>
      <c r="E300" s="330"/>
      <c r="F300" s="331" t="s">
        <v>48</v>
      </c>
      <c r="G300" s="330">
        <v>3</v>
      </c>
      <c r="H300" s="330" t="s">
        <v>57</v>
      </c>
      <c r="I300" s="38">
        <v>989.5</v>
      </c>
      <c r="J300" s="38">
        <v>562.20000000000005</v>
      </c>
      <c r="K300" s="38">
        <v>562.20000000000005</v>
      </c>
      <c r="L300" s="332">
        <v>35</v>
      </c>
      <c r="M300" s="330" t="s">
        <v>46</v>
      </c>
      <c r="N300" s="330" t="s">
        <v>47</v>
      </c>
      <c r="O300" s="333" t="s">
        <v>49</v>
      </c>
      <c r="P300" s="38">
        <v>700445.75999999989</v>
      </c>
      <c r="Q300" s="38">
        <v>0</v>
      </c>
      <c r="R300" s="38">
        <v>0</v>
      </c>
      <c r="S300" s="38">
        <f>P300-Q300-R300</f>
        <v>700445.75999999989</v>
      </c>
      <c r="T300" s="38">
        <f t="shared" si="32"/>
        <v>707.87848408287005</v>
      </c>
      <c r="U300" s="38">
        <v>810.46</v>
      </c>
      <c r="V300" s="458">
        <f t="shared" si="33"/>
        <v>102.58151591712999</v>
      </c>
      <c r="W300" s="458">
        <f t="shared" si="38"/>
        <v>795.31</v>
      </c>
      <c r="X300" s="458">
        <v>0</v>
      </c>
      <c r="Y300" s="459">
        <v>0</v>
      </c>
      <c r="Z300" s="459">
        <v>0</v>
      </c>
      <c r="AA300" s="459">
        <v>0</v>
      </c>
      <c r="AB300" s="459">
        <v>795.31</v>
      </c>
      <c r="AC300" s="459">
        <v>0</v>
      </c>
      <c r="AD300" s="459">
        <v>0</v>
      </c>
      <c r="AE300" s="459">
        <v>0</v>
      </c>
      <c r="AF300" s="458">
        <v>0</v>
      </c>
      <c r="AG300" s="459">
        <v>0</v>
      </c>
      <c r="AH300" s="458">
        <v>0</v>
      </c>
      <c r="AI300" s="459">
        <v>0</v>
      </c>
      <c r="AJ300" s="458">
        <v>0</v>
      </c>
      <c r="AK300" s="459">
        <v>0</v>
      </c>
      <c r="AL300" s="459">
        <v>0</v>
      </c>
      <c r="AM300" s="459">
        <v>0</v>
      </c>
      <c r="AN300" s="459"/>
      <c r="AO300" s="459">
        <v>0</v>
      </c>
      <c r="AP300" s="460"/>
      <c r="AQ300" s="460"/>
      <c r="AR300" s="460"/>
      <c r="AS300" s="460"/>
      <c r="AT300" s="460"/>
      <c r="AU300" s="460"/>
      <c r="AV300" s="460"/>
      <c r="AW300" s="460"/>
      <c r="AX300" s="460"/>
      <c r="AY300" s="460"/>
      <c r="AZ300" s="460"/>
      <c r="BA300" s="460"/>
      <c r="BB300" s="460"/>
      <c r="BC300" s="460"/>
      <c r="BD300" s="460"/>
      <c r="BE300" s="460"/>
      <c r="BF300" s="460"/>
      <c r="BG300" s="460"/>
      <c r="BH300" s="460"/>
      <c r="BI300" s="460"/>
      <c r="BJ300" s="460"/>
      <c r="BK300" s="460"/>
      <c r="BL300" s="460"/>
      <c r="BM300" s="460"/>
      <c r="BN300" s="460"/>
      <c r="BO300" s="460"/>
      <c r="BP300" s="460"/>
      <c r="BQ300" s="460"/>
      <c r="BR300" s="460"/>
      <c r="BS300" s="460"/>
      <c r="BT300" s="460"/>
      <c r="BU300" s="460"/>
      <c r="BV300" s="460"/>
      <c r="BW300" s="460"/>
      <c r="BX300" s="460"/>
      <c r="BY300" s="460"/>
      <c r="BZ300" s="460"/>
      <c r="CA300" s="460"/>
      <c r="CB300" s="460"/>
      <c r="CC300" s="460"/>
      <c r="CD300" s="460"/>
      <c r="CE300" s="460"/>
      <c r="CF300" s="460"/>
      <c r="CG300" s="460"/>
      <c r="CH300" s="460"/>
      <c r="CI300" s="460"/>
      <c r="CJ300" s="460"/>
      <c r="CK300" s="460"/>
    </row>
    <row r="301" spans="1:89" s="329" customFormat="1" ht="36" customHeight="1" x14ac:dyDescent="0.25">
      <c r="A301" s="329">
        <v>1</v>
      </c>
      <c r="B301" s="39">
        <f>SUBTOTAL(103,$A$16:A301)</f>
        <v>274</v>
      </c>
      <c r="C301" s="33" t="s">
        <v>1274</v>
      </c>
      <c r="D301" s="330">
        <v>1971</v>
      </c>
      <c r="E301" s="330"/>
      <c r="F301" s="331" t="s">
        <v>48</v>
      </c>
      <c r="G301" s="330">
        <v>2</v>
      </c>
      <c r="H301" s="330" t="s">
        <v>56</v>
      </c>
      <c r="I301" s="38">
        <v>769.9</v>
      </c>
      <c r="J301" s="38">
        <v>769.9</v>
      </c>
      <c r="K301" s="38">
        <v>769.9</v>
      </c>
      <c r="L301" s="332">
        <v>21</v>
      </c>
      <c r="M301" s="330" t="s">
        <v>46</v>
      </c>
      <c r="N301" s="330" t="s">
        <v>50</v>
      </c>
      <c r="O301" s="333" t="s">
        <v>2047</v>
      </c>
      <c r="P301" s="38">
        <v>457734.2</v>
      </c>
      <c r="Q301" s="38">
        <v>0</v>
      </c>
      <c r="R301" s="38">
        <v>0</v>
      </c>
      <c r="S301" s="38">
        <f>P301-Q301-R301</f>
        <v>457734.2</v>
      </c>
      <c r="T301" s="38">
        <f t="shared" si="32"/>
        <v>594.53721262501631</v>
      </c>
      <c r="U301" s="38">
        <v>594.53721262501631</v>
      </c>
      <c r="V301" s="458">
        <f t="shared" si="33"/>
        <v>0</v>
      </c>
      <c r="W301" s="458">
        <f>T301</f>
        <v>594.53721262501631</v>
      </c>
      <c r="X301" s="458">
        <v>113.09</v>
      </c>
      <c r="Y301" s="459">
        <v>0</v>
      </c>
      <c r="Z301" s="459">
        <v>0</v>
      </c>
      <c r="AA301" s="459">
        <v>184.98</v>
      </c>
      <c r="AB301" s="459">
        <v>0</v>
      </c>
      <c r="AC301" s="459">
        <v>0</v>
      </c>
      <c r="AD301" s="459">
        <v>0</v>
      </c>
      <c r="AE301" s="459">
        <v>0</v>
      </c>
      <c r="AF301" s="458">
        <v>0</v>
      </c>
      <c r="AG301" s="459">
        <v>0</v>
      </c>
      <c r="AH301" s="458">
        <v>0</v>
      </c>
      <c r="AI301" s="459">
        <v>0</v>
      </c>
      <c r="AJ301" s="458">
        <v>0</v>
      </c>
      <c r="AK301" s="459">
        <v>0</v>
      </c>
      <c r="AL301" s="459">
        <v>0</v>
      </c>
      <c r="AM301" s="459">
        <v>0</v>
      </c>
      <c r="AN301" s="459"/>
      <c r="AO301" s="459">
        <v>0</v>
      </c>
      <c r="AP301" s="460"/>
      <c r="AQ301" s="460"/>
      <c r="AR301" s="460"/>
      <c r="AS301" s="460"/>
      <c r="AT301" s="460"/>
      <c r="AU301" s="460"/>
      <c r="AV301" s="460"/>
      <c r="AW301" s="460"/>
      <c r="AX301" s="460"/>
      <c r="AY301" s="460"/>
      <c r="AZ301" s="460"/>
      <c r="BA301" s="460"/>
      <c r="BB301" s="460"/>
      <c r="BC301" s="460"/>
      <c r="BD301" s="460"/>
      <c r="BE301" s="460"/>
      <c r="BF301" s="460"/>
      <c r="BG301" s="460"/>
      <c r="BH301" s="460"/>
      <c r="BI301" s="460"/>
      <c r="BJ301" s="460"/>
      <c r="BK301" s="460"/>
      <c r="BL301" s="460"/>
      <c r="BM301" s="460"/>
      <c r="BN301" s="460"/>
      <c r="BO301" s="460"/>
      <c r="BP301" s="460"/>
      <c r="BQ301" s="460"/>
      <c r="BR301" s="460"/>
      <c r="BS301" s="460"/>
      <c r="BT301" s="460"/>
      <c r="BU301" s="460"/>
      <c r="BV301" s="460"/>
      <c r="BW301" s="460"/>
      <c r="BX301" s="460"/>
      <c r="BY301" s="460"/>
      <c r="BZ301" s="460"/>
      <c r="CA301" s="460"/>
      <c r="CB301" s="460"/>
      <c r="CC301" s="460"/>
      <c r="CD301" s="460"/>
      <c r="CE301" s="460"/>
      <c r="CF301" s="460"/>
      <c r="CG301" s="460"/>
      <c r="CH301" s="460"/>
      <c r="CI301" s="460"/>
      <c r="CJ301" s="460"/>
      <c r="CK301" s="460"/>
    </row>
    <row r="302" spans="1:89" s="329" customFormat="1" ht="36" customHeight="1" x14ac:dyDescent="0.25">
      <c r="A302" s="329">
        <v>1</v>
      </c>
      <c r="B302" s="39">
        <f>SUBTOTAL(103,$A$16:A302)</f>
        <v>275</v>
      </c>
      <c r="C302" s="33" t="s">
        <v>1275</v>
      </c>
      <c r="D302" s="330" t="s">
        <v>2048</v>
      </c>
      <c r="E302" s="330"/>
      <c r="F302" s="331" t="s">
        <v>48</v>
      </c>
      <c r="G302" s="330">
        <v>2</v>
      </c>
      <c r="H302" s="330" t="s">
        <v>57</v>
      </c>
      <c r="I302" s="38">
        <v>298.5</v>
      </c>
      <c r="J302" s="38">
        <v>298.5</v>
      </c>
      <c r="K302" s="38">
        <v>298.5</v>
      </c>
      <c r="L302" s="332">
        <v>11</v>
      </c>
      <c r="M302" s="330" t="s">
        <v>46</v>
      </c>
      <c r="N302" s="330" t="s">
        <v>50</v>
      </c>
      <c r="O302" s="333" t="s">
        <v>2049</v>
      </c>
      <c r="P302" s="38">
        <v>211453.36</v>
      </c>
      <c r="Q302" s="38">
        <v>0</v>
      </c>
      <c r="R302" s="38">
        <v>0</v>
      </c>
      <c r="S302" s="38">
        <f>P302-Q302-R302</f>
        <v>211453.36</v>
      </c>
      <c r="T302" s="38">
        <f t="shared" si="32"/>
        <v>708.38646566164152</v>
      </c>
      <c r="U302" s="38">
        <v>896.63</v>
      </c>
      <c r="V302" s="458">
        <f t="shared" si="33"/>
        <v>188.24353433835847</v>
      </c>
      <c r="W302" s="458">
        <f t="shared" si="38"/>
        <v>980.29</v>
      </c>
      <c r="X302" s="458">
        <v>0</v>
      </c>
      <c r="Y302" s="459">
        <v>0</v>
      </c>
      <c r="Z302" s="459">
        <v>0</v>
      </c>
      <c r="AA302" s="459">
        <v>184.98</v>
      </c>
      <c r="AB302" s="459">
        <v>795.31</v>
      </c>
      <c r="AC302" s="459">
        <v>0</v>
      </c>
      <c r="AD302" s="459">
        <v>0</v>
      </c>
      <c r="AE302" s="459">
        <v>0</v>
      </c>
      <c r="AF302" s="458">
        <v>0</v>
      </c>
      <c r="AG302" s="459">
        <v>0</v>
      </c>
      <c r="AH302" s="458">
        <v>0</v>
      </c>
      <c r="AI302" s="459">
        <v>0</v>
      </c>
      <c r="AJ302" s="458">
        <v>0</v>
      </c>
      <c r="AK302" s="459">
        <v>0</v>
      </c>
      <c r="AL302" s="459">
        <v>0</v>
      </c>
      <c r="AM302" s="459">
        <v>0</v>
      </c>
      <c r="AN302" s="459"/>
      <c r="AO302" s="459">
        <v>0</v>
      </c>
      <c r="AP302" s="460"/>
      <c r="AQ302" s="460"/>
      <c r="AR302" s="460"/>
      <c r="AS302" s="460"/>
      <c r="AT302" s="460"/>
      <c r="AU302" s="460"/>
      <c r="AV302" s="460"/>
      <c r="AW302" s="460"/>
      <c r="AX302" s="460"/>
      <c r="AY302" s="460"/>
      <c r="AZ302" s="460"/>
      <c r="BA302" s="460"/>
      <c r="BB302" s="460"/>
      <c r="BC302" s="460"/>
      <c r="BD302" s="460"/>
      <c r="BE302" s="460"/>
      <c r="BF302" s="460"/>
      <c r="BG302" s="460"/>
      <c r="BH302" s="460"/>
      <c r="BI302" s="460"/>
      <c r="BJ302" s="460"/>
      <c r="BK302" s="460"/>
      <c r="BL302" s="460"/>
      <c r="BM302" s="460"/>
      <c r="BN302" s="460"/>
      <c r="BO302" s="460"/>
      <c r="BP302" s="460"/>
      <c r="BQ302" s="460"/>
      <c r="BR302" s="460"/>
      <c r="BS302" s="460"/>
      <c r="BT302" s="460"/>
      <c r="BU302" s="460"/>
      <c r="BV302" s="460"/>
      <c r="BW302" s="460"/>
      <c r="BX302" s="460"/>
      <c r="BY302" s="460"/>
      <c r="BZ302" s="460"/>
      <c r="CA302" s="460"/>
      <c r="CB302" s="460"/>
      <c r="CC302" s="460"/>
      <c r="CD302" s="460"/>
      <c r="CE302" s="460"/>
      <c r="CF302" s="460"/>
      <c r="CG302" s="460"/>
      <c r="CH302" s="460"/>
      <c r="CI302" s="460"/>
      <c r="CJ302" s="460"/>
      <c r="CK302" s="460"/>
    </row>
    <row r="303" spans="1:89" s="329" customFormat="1" ht="36" customHeight="1" x14ac:dyDescent="0.25">
      <c r="B303" s="33" t="s">
        <v>99</v>
      </c>
      <c r="C303" s="33"/>
      <c r="D303" s="330" t="s">
        <v>131</v>
      </c>
      <c r="E303" s="330" t="s">
        <v>131</v>
      </c>
      <c r="F303" s="330" t="s">
        <v>131</v>
      </c>
      <c r="G303" s="330" t="s">
        <v>131</v>
      </c>
      <c r="H303" s="330" t="s">
        <v>131</v>
      </c>
      <c r="I303" s="334">
        <f>I304</f>
        <v>3504.3</v>
      </c>
      <c r="J303" s="334">
        <f>J304</f>
        <v>3162.4</v>
      </c>
      <c r="K303" s="334">
        <f>K304</f>
        <v>3162.4</v>
      </c>
      <c r="L303" s="332">
        <f>L304</f>
        <v>178</v>
      </c>
      <c r="M303" s="330" t="s">
        <v>131</v>
      </c>
      <c r="N303" s="330" t="s">
        <v>131</v>
      </c>
      <c r="O303" s="333" t="s">
        <v>131</v>
      </c>
      <c r="P303" s="38">
        <v>1997229.1400000001</v>
      </c>
      <c r="Q303" s="38">
        <f>Q304</f>
        <v>0</v>
      </c>
      <c r="R303" s="38">
        <f>R304</f>
        <v>0</v>
      </c>
      <c r="S303" s="38">
        <f>S304</f>
        <v>1997229.1400000001</v>
      </c>
      <c r="T303" s="38">
        <f t="shared" si="32"/>
        <v>569.93668921039864</v>
      </c>
      <c r="U303" s="38">
        <f>MAX(U304)</f>
        <v>1386.1453718859684</v>
      </c>
      <c r="V303" s="458">
        <f t="shared" si="33"/>
        <v>816.20868267556978</v>
      </c>
      <c r="W303" s="458"/>
      <c r="X303" s="458"/>
      <c r="Y303" s="459"/>
      <c r="Z303" s="459"/>
      <c r="AA303" s="459"/>
      <c r="AB303" s="459"/>
      <c r="AC303" s="459"/>
      <c r="AD303" s="459"/>
      <c r="AE303" s="459"/>
      <c r="AF303" s="459"/>
      <c r="AG303" s="459"/>
      <c r="AH303" s="459"/>
      <c r="AI303" s="459"/>
      <c r="AJ303" s="459"/>
      <c r="AK303" s="459"/>
      <c r="AL303" s="459"/>
      <c r="AM303" s="459"/>
      <c r="AN303" s="459"/>
      <c r="AO303" s="459"/>
      <c r="AP303" s="460"/>
      <c r="AQ303" s="460"/>
      <c r="AR303" s="460"/>
      <c r="AS303" s="460"/>
      <c r="AT303" s="460"/>
      <c r="AU303" s="460"/>
      <c r="AV303" s="460"/>
      <c r="AW303" s="460"/>
      <c r="AX303" s="460"/>
      <c r="AY303" s="460"/>
      <c r="AZ303" s="460"/>
      <c r="BA303" s="460"/>
      <c r="BB303" s="460"/>
      <c r="BC303" s="460"/>
      <c r="BD303" s="460"/>
      <c r="BE303" s="460"/>
      <c r="BF303" s="460"/>
      <c r="BG303" s="460"/>
      <c r="BH303" s="460"/>
      <c r="BI303" s="460"/>
      <c r="BJ303" s="460"/>
      <c r="BK303" s="460"/>
      <c r="BL303" s="460"/>
      <c r="BM303" s="460"/>
      <c r="BN303" s="460"/>
      <c r="BO303" s="460"/>
      <c r="BP303" s="460"/>
      <c r="BQ303" s="460"/>
      <c r="BR303" s="460"/>
      <c r="BS303" s="460"/>
      <c r="BT303" s="460"/>
      <c r="BU303" s="460"/>
      <c r="BV303" s="460"/>
      <c r="BW303" s="460"/>
      <c r="BX303" s="460"/>
      <c r="BY303" s="460"/>
      <c r="BZ303" s="460"/>
      <c r="CA303" s="460"/>
      <c r="CB303" s="460"/>
      <c r="CC303" s="460"/>
      <c r="CD303" s="460"/>
      <c r="CE303" s="460"/>
      <c r="CF303" s="460"/>
      <c r="CG303" s="460"/>
      <c r="CH303" s="460"/>
      <c r="CI303" s="460"/>
      <c r="CJ303" s="460"/>
      <c r="CK303" s="460"/>
    </row>
    <row r="304" spans="1:89" s="329" customFormat="1" ht="36" customHeight="1" x14ac:dyDescent="0.25">
      <c r="A304" s="329">
        <v>1</v>
      </c>
      <c r="B304" s="39">
        <f>SUBTOTAL(103,$A$16:A304)</f>
        <v>276</v>
      </c>
      <c r="C304" s="33" t="s">
        <v>1276</v>
      </c>
      <c r="D304" s="330">
        <v>1984</v>
      </c>
      <c r="E304" s="330"/>
      <c r="F304" s="331" t="s">
        <v>70</v>
      </c>
      <c r="G304" s="330">
        <v>5</v>
      </c>
      <c r="H304" s="330" t="s">
        <v>59</v>
      </c>
      <c r="I304" s="38">
        <v>3504.3</v>
      </c>
      <c r="J304" s="38">
        <v>3162.4</v>
      </c>
      <c r="K304" s="38">
        <v>3162.4</v>
      </c>
      <c r="L304" s="332">
        <v>178</v>
      </c>
      <c r="M304" s="330" t="s">
        <v>46</v>
      </c>
      <c r="N304" s="330" t="s">
        <v>50</v>
      </c>
      <c r="O304" s="333" t="s">
        <v>2049</v>
      </c>
      <c r="P304" s="38">
        <v>1997229.1400000001</v>
      </c>
      <c r="Q304" s="38">
        <v>0</v>
      </c>
      <c r="R304" s="38">
        <v>0</v>
      </c>
      <c r="S304" s="38">
        <f>P304-Q304-R304</f>
        <v>1997229.1400000001</v>
      </c>
      <c r="T304" s="38">
        <f t="shared" si="32"/>
        <v>569.93668921039864</v>
      </c>
      <c r="U304" s="38">
        <v>1386.1453718859684</v>
      </c>
      <c r="V304" s="458">
        <f>U304-T304</f>
        <v>816.20868267556978</v>
      </c>
      <c r="W304" s="458">
        <f>X304+Y304+Z304+AA304+AB304+AD304+AF304+AH304+AJ304+AL304+AN304+AO304</f>
        <v>1381.433506349342</v>
      </c>
      <c r="X304" s="458">
        <v>0</v>
      </c>
      <c r="Y304" s="459">
        <v>0</v>
      </c>
      <c r="Z304" s="459">
        <v>0</v>
      </c>
      <c r="AA304" s="459">
        <v>0</v>
      </c>
      <c r="AB304" s="459">
        <v>0</v>
      </c>
      <c r="AC304" s="459">
        <v>0</v>
      </c>
      <c r="AD304" s="459">
        <v>0</v>
      </c>
      <c r="AE304" s="459">
        <v>775.93</v>
      </c>
      <c r="AF304" s="458">
        <f>6238.91*AE304/I304</f>
        <v>1381.433506349342</v>
      </c>
      <c r="AG304" s="459">
        <v>0</v>
      </c>
      <c r="AH304" s="458">
        <v>0</v>
      </c>
      <c r="AI304" s="459">
        <v>0</v>
      </c>
      <c r="AJ304" s="458">
        <v>0</v>
      </c>
      <c r="AK304" s="459">
        <v>0</v>
      </c>
      <c r="AL304" s="459">
        <v>0</v>
      </c>
      <c r="AM304" s="459">
        <v>0</v>
      </c>
      <c r="AN304" s="459"/>
      <c r="AO304" s="459">
        <v>0</v>
      </c>
      <c r="AP304" s="460"/>
      <c r="AQ304" s="460"/>
      <c r="AR304" s="460"/>
      <c r="AS304" s="460"/>
      <c r="AT304" s="460"/>
      <c r="AU304" s="460"/>
      <c r="AV304" s="460"/>
      <c r="AW304" s="460"/>
      <c r="AX304" s="460"/>
      <c r="AY304" s="460"/>
      <c r="AZ304" s="460"/>
      <c r="BA304" s="460"/>
      <c r="BB304" s="460"/>
      <c r="BC304" s="460"/>
      <c r="BD304" s="460"/>
      <c r="BE304" s="460"/>
      <c r="BF304" s="460"/>
      <c r="BG304" s="460"/>
      <c r="BH304" s="460"/>
      <c r="BI304" s="460"/>
      <c r="BJ304" s="460"/>
      <c r="BK304" s="460"/>
      <c r="BL304" s="460"/>
      <c r="BM304" s="460"/>
      <c r="BN304" s="460"/>
      <c r="BO304" s="460"/>
      <c r="BP304" s="460"/>
      <c r="BQ304" s="460"/>
      <c r="BR304" s="460"/>
      <c r="BS304" s="460"/>
      <c r="BT304" s="460"/>
      <c r="BU304" s="460"/>
      <c r="BV304" s="460"/>
      <c r="BW304" s="460"/>
      <c r="BX304" s="460"/>
      <c r="BY304" s="460"/>
      <c r="BZ304" s="460"/>
      <c r="CA304" s="460"/>
      <c r="CB304" s="460"/>
      <c r="CC304" s="460"/>
      <c r="CD304" s="460"/>
      <c r="CE304" s="460"/>
      <c r="CF304" s="460"/>
      <c r="CG304" s="460"/>
      <c r="CH304" s="460"/>
      <c r="CI304" s="460"/>
      <c r="CJ304" s="460"/>
      <c r="CK304" s="460"/>
    </row>
    <row r="305" spans="1:89" s="329" customFormat="1" ht="36" customHeight="1" x14ac:dyDescent="0.25">
      <c r="B305" s="33" t="s">
        <v>100</v>
      </c>
      <c r="C305" s="33"/>
      <c r="D305" s="330" t="s">
        <v>131</v>
      </c>
      <c r="E305" s="330" t="s">
        <v>131</v>
      </c>
      <c r="F305" s="330" t="s">
        <v>131</v>
      </c>
      <c r="G305" s="330" t="s">
        <v>131</v>
      </c>
      <c r="H305" s="330" t="s">
        <v>131</v>
      </c>
      <c r="I305" s="334">
        <f>SUM(I306:I320)</f>
        <v>37828.900000000009</v>
      </c>
      <c r="J305" s="334">
        <f>SUM(J306:J320)</f>
        <v>30630.800000000003</v>
      </c>
      <c r="K305" s="334">
        <f>SUM(K306:K320)</f>
        <v>30630.800000000003</v>
      </c>
      <c r="L305" s="332">
        <f>SUM(L306:L320)</f>
        <v>1989</v>
      </c>
      <c r="M305" s="330" t="s">
        <v>131</v>
      </c>
      <c r="N305" s="330" t="s">
        <v>131</v>
      </c>
      <c r="O305" s="333" t="s">
        <v>131</v>
      </c>
      <c r="P305" s="334">
        <v>30613647.209999997</v>
      </c>
      <c r="Q305" s="334">
        <f>SUM(Q306:Q320)</f>
        <v>0</v>
      </c>
      <c r="R305" s="334">
        <f>SUM(R306:R320)</f>
        <v>0</v>
      </c>
      <c r="S305" s="334">
        <f>SUM(S306:S320)</f>
        <v>30613647.209999997</v>
      </c>
      <c r="T305" s="38">
        <f t="shared" si="32"/>
        <v>809.26612219757885</v>
      </c>
      <c r="U305" s="38">
        <f>MAX(U306:U320)</f>
        <v>12723.513008849557</v>
      </c>
      <c r="V305" s="458">
        <f t="shared" si="33"/>
        <v>11914.246886651978</v>
      </c>
      <c r="W305" s="458"/>
      <c r="X305" s="458"/>
      <c r="Y305" s="459"/>
      <c r="Z305" s="459"/>
      <c r="AA305" s="459"/>
      <c r="AB305" s="459"/>
      <c r="AC305" s="459"/>
      <c r="AD305" s="459"/>
      <c r="AE305" s="459"/>
      <c r="AF305" s="459"/>
      <c r="AG305" s="459"/>
      <c r="AH305" s="459"/>
      <c r="AI305" s="459"/>
      <c r="AJ305" s="459"/>
      <c r="AK305" s="459"/>
      <c r="AL305" s="459"/>
      <c r="AM305" s="459"/>
      <c r="AN305" s="459"/>
      <c r="AO305" s="459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  <c r="CH305" s="460"/>
      <c r="CI305" s="460"/>
      <c r="CJ305" s="460"/>
      <c r="CK305" s="460"/>
    </row>
    <row r="306" spans="1:89" s="329" customFormat="1" ht="36" customHeight="1" x14ac:dyDescent="0.25">
      <c r="A306" s="329">
        <v>1</v>
      </c>
      <c r="B306" s="39">
        <f>SUBTOTAL(103,$A$16:A306)</f>
        <v>277</v>
      </c>
      <c r="C306" s="33" t="s">
        <v>1277</v>
      </c>
      <c r="D306" s="330">
        <v>1981</v>
      </c>
      <c r="E306" s="330"/>
      <c r="F306" s="331" t="s">
        <v>48</v>
      </c>
      <c r="G306" s="330">
        <v>2</v>
      </c>
      <c r="H306" s="330">
        <v>3</v>
      </c>
      <c r="I306" s="38">
        <v>975</v>
      </c>
      <c r="J306" s="38">
        <v>975</v>
      </c>
      <c r="K306" s="38">
        <v>975</v>
      </c>
      <c r="L306" s="332">
        <v>47</v>
      </c>
      <c r="M306" s="330" t="s">
        <v>46</v>
      </c>
      <c r="N306" s="330" t="s">
        <v>47</v>
      </c>
      <c r="O306" s="333" t="s">
        <v>49</v>
      </c>
      <c r="P306" s="38">
        <v>95474.18</v>
      </c>
      <c r="Q306" s="38">
        <v>0</v>
      </c>
      <c r="R306" s="38">
        <v>0</v>
      </c>
      <c r="S306" s="38">
        <f t="shared" ref="S306:S318" si="39">P306-Q306-R306</f>
        <v>95474.18</v>
      </c>
      <c r="T306" s="38">
        <f t="shared" si="32"/>
        <v>97.922235897435897</v>
      </c>
      <c r="U306" s="38">
        <v>97.922235897435897</v>
      </c>
      <c r="V306" s="458">
        <f t="shared" si="33"/>
        <v>0</v>
      </c>
      <c r="W306" s="458">
        <f t="shared" ref="W306:W320" si="40">X306+Y306+Z306+AA306+AB306+AD306+AF306+AH306+AJ306+AL306+AN306+AO306</f>
        <v>5567.027384615385</v>
      </c>
      <c r="X306" s="458">
        <v>0</v>
      </c>
      <c r="Y306" s="459">
        <v>0</v>
      </c>
      <c r="Z306" s="459">
        <v>0</v>
      </c>
      <c r="AA306" s="459">
        <v>0</v>
      </c>
      <c r="AB306" s="459">
        <v>0</v>
      </c>
      <c r="AC306" s="459">
        <v>0</v>
      </c>
      <c r="AD306" s="459">
        <v>0</v>
      </c>
      <c r="AE306" s="459">
        <v>870</v>
      </c>
      <c r="AF306" s="458">
        <f>6238.91*AE306/I306</f>
        <v>5567.027384615385</v>
      </c>
      <c r="AG306" s="459">
        <v>0</v>
      </c>
      <c r="AH306" s="458">
        <v>0</v>
      </c>
      <c r="AI306" s="459">
        <v>0</v>
      </c>
      <c r="AJ306" s="458">
        <v>0</v>
      </c>
      <c r="AK306" s="459">
        <v>0</v>
      </c>
      <c r="AL306" s="459">
        <v>0</v>
      </c>
      <c r="AM306" s="459">
        <v>0</v>
      </c>
      <c r="AN306" s="459"/>
      <c r="AO306" s="459">
        <v>0</v>
      </c>
      <c r="AP306" s="460"/>
      <c r="AQ306" s="460"/>
      <c r="AR306" s="460"/>
      <c r="AS306" s="460"/>
      <c r="AT306" s="460"/>
      <c r="AU306" s="460"/>
      <c r="AV306" s="460"/>
      <c r="AW306" s="460"/>
      <c r="AX306" s="460"/>
      <c r="AY306" s="460"/>
      <c r="AZ306" s="460"/>
      <c r="BA306" s="460"/>
      <c r="BB306" s="460"/>
      <c r="BC306" s="460"/>
      <c r="BD306" s="460"/>
      <c r="BE306" s="460"/>
      <c r="BF306" s="460"/>
      <c r="BG306" s="460"/>
      <c r="BH306" s="460"/>
      <c r="BI306" s="460"/>
      <c r="BJ306" s="460"/>
      <c r="BK306" s="460"/>
      <c r="BL306" s="460"/>
      <c r="BM306" s="460"/>
      <c r="BN306" s="460"/>
      <c r="BO306" s="460"/>
      <c r="BP306" s="460"/>
      <c r="BQ306" s="460"/>
      <c r="BR306" s="460"/>
      <c r="BS306" s="460"/>
      <c r="BT306" s="460"/>
      <c r="BU306" s="460"/>
      <c r="BV306" s="460"/>
      <c r="BW306" s="460"/>
      <c r="BX306" s="460"/>
      <c r="BY306" s="460"/>
      <c r="BZ306" s="460"/>
      <c r="CA306" s="460"/>
      <c r="CB306" s="460"/>
      <c r="CC306" s="460"/>
      <c r="CD306" s="460"/>
      <c r="CE306" s="460"/>
      <c r="CF306" s="460"/>
      <c r="CG306" s="460"/>
      <c r="CH306" s="460"/>
      <c r="CI306" s="460"/>
      <c r="CJ306" s="460"/>
      <c r="CK306" s="460"/>
    </row>
    <row r="307" spans="1:89" s="329" customFormat="1" ht="36" customHeight="1" x14ac:dyDescent="0.25">
      <c r="A307" s="329">
        <v>1</v>
      </c>
      <c r="B307" s="39">
        <f>SUBTOTAL(103,$A$16:A307)</f>
        <v>278</v>
      </c>
      <c r="C307" s="33" t="s">
        <v>1278</v>
      </c>
      <c r="D307" s="330">
        <v>1976</v>
      </c>
      <c r="E307" s="330"/>
      <c r="F307" s="331" t="s">
        <v>48</v>
      </c>
      <c r="G307" s="330">
        <v>5</v>
      </c>
      <c r="H307" s="330" t="s">
        <v>56</v>
      </c>
      <c r="I307" s="38">
        <v>3568.3</v>
      </c>
      <c r="J307" s="38">
        <v>1361.4</v>
      </c>
      <c r="K307" s="38">
        <v>1361.4</v>
      </c>
      <c r="L307" s="332">
        <v>30</v>
      </c>
      <c r="M307" s="330" t="s">
        <v>46</v>
      </c>
      <c r="N307" s="330" t="s">
        <v>50</v>
      </c>
      <c r="O307" s="333" t="s">
        <v>2050</v>
      </c>
      <c r="P307" s="38">
        <v>6906704.6500000004</v>
      </c>
      <c r="Q307" s="38">
        <v>0</v>
      </c>
      <c r="R307" s="38">
        <v>0</v>
      </c>
      <c r="S307" s="38">
        <f t="shared" si="39"/>
        <v>6906704.6500000004</v>
      </c>
      <c r="T307" s="38">
        <f t="shared" si="32"/>
        <v>1935.5728638287139</v>
      </c>
      <c r="U307" s="38">
        <v>2210.5314575568195</v>
      </c>
      <c r="V307" s="458">
        <f t="shared" si="33"/>
        <v>274.9585937281056</v>
      </c>
      <c r="W307" s="458">
        <f t="shared" si="40"/>
        <v>2197.7720118824091</v>
      </c>
      <c r="X307" s="458">
        <v>0</v>
      </c>
      <c r="Y307" s="459">
        <v>0</v>
      </c>
      <c r="Z307" s="459">
        <v>0</v>
      </c>
      <c r="AA307" s="459">
        <v>0</v>
      </c>
      <c r="AB307" s="459">
        <v>0</v>
      </c>
      <c r="AC307" s="459">
        <v>0</v>
      </c>
      <c r="AD307" s="459">
        <v>0</v>
      </c>
      <c r="AE307" s="459">
        <v>1257</v>
      </c>
      <c r="AF307" s="458">
        <f>6238.91*AE307/I307</f>
        <v>2197.7720118824091</v>
      </c>
      <c r="AG307" s="459">
        <v>0</v>
      </c>
      <c r="AH307" s="458">
        <v>0</v>
      </c>
      <c r="AI307" s="459">
        <v>0</v>
      </c>
      <c r="AJ307" s="458">
        <v>0</v>
      </c>
      <c r="AK307" s="459">
        <v>0</v>
      </c>
      <c r="AL307" s="459">
        <v>0</v>
      </c>
      <c r="AM307" s="459">
        <v>0</v>
      </c>
      <c r="AN307" s="459"/>
      <c r="AO307" s="459">
        <v>0</v>
      </c>
      <c r="AP307" s="460"/>
      <c r="AQ307" s="460"/>
      <c r="AR307" s="460"/>
      <c r="AS307" s="460"/>
      <c r="AT307" s="460"/>
      <c r="AU307" s="460"/>
      <c r="AV307" s="460"/>
      <c r="AW307" s="460"/>
      <c r="AX307" s="460"/>
      <c r="AY307" s="460"/>
      <c r="AZ307" s="460"/>
      <c r="BA307" s="460"/>
      <c r="BB307" s="460"/>
      <c r="BC307" s="460"/>
      <c r="BD307" s="460"/>
      <c r="BE307" s="460"/>
      <c r="BF307" s="460"/>
      <c r="BG307" s="460"/>
      <c r="BH307" s="460"/>
      <c r="BI307" s="460"/>
      <c r="BJ307" s="460"/>
      <c r="BK307" s="460"/>
      <c r="BL307" s="460"/>
      <c r="BM307" s="460"/>
      <c r="BN307" s="460"/>
      <c r="BO307" s="460"/>
      <c r="BP307" s="460"/>
      <c r="BQ307" s="460"/>
      <c r="BR307" s="460"/>
      <c r="BS307" s="460"/>
      <c r="BT307" s="460"/>
      <c r="BU307" s="460"/>
      <c r="BV307" s="460"/>
      <c r="BW307" s="460"/>
      <c r="BX307" s="460"/>
      <c r="BY307" s="460"/>
      <c r="BZ307" s="460"/>
      <c r="CA307" s="460"/>
      <c r="CB307" s="460"/>
      <c r="CC307" s="460"/>
      <c r="CD307" s="460"/>
      <c r="CE307" s="460"/>
      <c r="CF307" s="460"/>
      <c r="CG307" s="460"/>
      <c r="CH307" s="460"/>
      <c r="CI307" s="460"/>
      <c r="CJ307" s="460"/>
      <c r="CK307" s="460"/>
    </row>
    <row r="308" spans="1:89" s="329" customFormat="1" ht="36" customHeight="1" x14ac:dyDescent="0.25">
      <c r="A308" s="329">
        <v>1</v>
      </c>
      <c r="B308" s="39">
        <f>SUBTOTAL(103,$A$16:A308)</f>
        <v>279</v>
      </c>
      <c r="C308" s="33" t="s">
        <v>1279</v>
      </c>
      <c r="D308" s="330">
        <v>1985</v>
      </c>
      <c r="E308" s="330"/>
      <c r="F308" s="331" t="s">
        <v>48</v>
      </c>
      <c r="G308" s="330">
        <v>9</v>
      </c>
      <c r="H308" s="330" t="s">
        <v>57</v>
      </c>
      <c r="I308" s="38">
        <v>4900.3</v>
      </c>
      <c r="J308" s="38">
        <v>4900.3</v>
      </c>
      <c r="K308" s="38">
        <v>4900.3</v>
      </c>
      <c r="L308" s="332">
        <v>361</v>
      </c>
      <c r="M308" s="330" t="s">
        <v>46</v>
      </c>
      <c r="N308" s="330" t="s">
        <v>50</v>
      </c>
      <c r="O308" s="333" t="s">
        <v>2050</v>
      </c>
      <c r="P308" s="38">
        <v>1863696.8900000001</v>
      </c>
      <c r="Q308" s="38">
        <v>0</v>
      </c>
      <c r="R308" s="38">
        <v>0</v>
      </c>
      <c r="S308" s="38">
        <f t="shared" si="39"/>
        <v>1863696.8900000001</v>
      </c>
      <c r="T308" s="38">
        <f t="shared" si="32"/>
        <v>380.3230189988368</v>
      </c>
      <c r="U308" s="38">
        <v>1149.7604228312553</v>
      </c>
      <c r="V308" s="458">
        <f t="shared" si="33"/>
        <v>769.43740383241845</v>
      </c>
      <c r="W308" s="458">
        <f t="shared" si="40"/>
        <v>1145.8520906883252</v>
      </c>
      <c r="X308" s="458">
        <v>0</v>
      </c>
      <c r="Y308" s="459">
        <v>0</v>
      </c>
      <c r="Z308" s="459">
        <v>0</v>
      </c>
      <c r="AA308" s="459">
        <v>0</v>
      </c>
      <c r="AB308" s="459">
        <v>0</v>
      </c>
      <c r="AC308" s="459">
        <v>0</v>
      </c>
      <c r="AD308" s="459">
        <v>0</v>
      </c>
      <c r="AE308" s="459">
        <v>900</v>
      </c>
      <c r="AF308" s="458">
        <f>6238.91*AE308/I308</f>
        <v>1145.8520906883252</v>
      </c>
      <c r="AG308" s="459">
        <v>0</v>
      </c>
      <c r="AH308" s="458">
        <v>0</v>
      </c>
      <c r="AI308" s="459">
        <v>0</v>
      </c>
      <c r="AJ308" s="458">
        <v>0</v>
      </c>
      <c r="AK308" s="459">
        <v>0</v>
      </c>
      <c r="AL308" s="459">
        <v>0</v>
      </c>
      <c r="AM308" s="459">
        <v>0</v>
      </c>
      <c r="AN308" s="459"/>
      <c r="AO308" s="459">
        <v>0</v>
      </c>
      <c r="AP308" s="460"/>
      <c r="AQ308" s="460"/>
      <c r="AR308" s="460"/>
      <c r="AS308" s="460"/>
      <c r="AT308" s="460"/>
      <c r="AU308" s="460"/>
      <c r="AV308" s="460"/>
      <c r="AW308" s="460"/>
      <c r="AX308" s="460"/>
      <c r="AY308" s="460"/>
      <c r="AZ308" s="460"/>
      <c r="BA308" s="460"/>
      <c r="BB308" s="460"/>
      <c r="BC308" s="460"/>
      <c r="BD308" s="460"/>
      <c r="BE308" s="460"/>
      <c r="BF308" s="460"/>
      <c r="BG308" s="460"/>
      <c r="BH308" s="460"/>
      <c r="BI308" s="460"/>
      <c r="BJ308" s="460"/>
      <c r="BK308" s="460"/>
      <c r="BL308" s="460"/>
      <c r="BM308" s="460"/>
      <c r="BN308" s="460"/>
      <c r="BO308" s="460"/>
      <c r="BP308" s="460"/>
      <c r="BQ308" s="460"/>
      <c r="BR308" s="460"/>
      <c r="BS308" s="460"/>
      <c r="BT308" s="460"/>
      <c r="BU308" s="460"/>
      <c r="BV308" s="460"/>
      <c r="BW308" s="460"/>
      <c r="BX308" s="460"/>
      <c r="BY308" s="460"/>
      <c r="BZ308" s="460"/>
      <c r="CA308" s="460"/>
      <c r="CB308" s="460"/>
      <c r="CC308" s="460"/>
      <c r="CD308" s="460"/>
      <c r="CE308" s="460"/>
      <c r="CF308" s="460"/>
      <c r="CG308" s="460"/>
      <c r="CH308" s="460"/>
      <c r="CI308" s="460"/>
      <c r="CJ308" s="460"/>
      <c r="CK308" s="460"/>
    </row>
    <row r="309" spans="1:89" s="329" customFormat="1" ht="36" customHeight="1" x14ac:dyDescent="0.25">
      <c r="A309" s="329">
        <v>1</v>
      </c>
      <c r="B309" s="39">
        <f>SUBTOTAL(103,$A$16:A309)</f>
        <v>280</v>
      </c>
      <c r="C309" s="33" t="s">
        <v>946</v>
      </c>
      <c r="D309" s="330">
        <v>1992</v>
      </c>
      <c r="E309" s="330"/>
      <c r="F309" s="331" t="s">
        <v>48</v>
      </c>
      <c r="G309" s="330">
        <v>9</v>
      </c>
      <c r="H309" s="330" t="s">
        <v>57</v>
      </c>
      <c r="I309" s="38">
        <v>4865.3</v>
      </c>
      <c r="J309" s="38">
        <v>4865.3</v>
      </c>
      <c r="K309" s="38">
        <v>4865.3</v>
      </c>
      <c r="L309" s="332">
        <v>369</v>
      </c>
      <c r="M309" s="330" t="s">
        <v>46</v>
      </c>
      <c r="N309" s="330" t="s">
        <v>50</v>
      </c>
      <c r="O309" s="333" t="s">
        <v>2050</v>
      </c>
      <c r="P309" s="38">
        <v>1501509.27</v>
      </c>
      <c r="Q309" s="38">
        <v>0</v>
      </c>
      <c r="R309" s="38">
        <v>0</v>
      </c>
      <c r="S309" s="38">
        <f t="shared" si="39"/>
        <v>1501509.27</v>
      </c>
      <c r="T309" s="38">
        <f t="shared" si="32"/>
        <v>308.61596818284585</v>
      </c>
      <c r="U309" s="38">
        <v>1012.7629434978314</v>
      </c>
      <c r="V309" s="458">
        <f t="shared" si="33"/>
        <v>704.14697531498564</v>
      </c>
      <c r="W309" s="458">
        <f t="shared" si="40"/>
        <v>1154.0951226029226</v>
      </c>
      <c r="X309" s="458">
        <v>0</v>
      </c>
      <c r="Y309" s="459">
        <v>0</v>
      </c>
      <c r="Z309" s="459">
        <v>0</v>
      </c>
      <c r="AA309" s="459">
        <v>0</v>
      </c>
      <c r="AB309" s="459">
        <v>0</v>
      </c>
      <c r="AC309" s="459">
        <v>0</v>
      </c>
      <c r="AD309" s="459">
        <v>0</v>
      </c>
      <c r="AE309" s="459">
        <v>900</v>
      </c>
      <c r="AF309" s="458">
        <f>6238.91*AE309/I309</f>
        <v>1154.0951226029226</v>
      </c>
      <c r="AG309" s="459">
        <v>0</v>
      </c>
      <c r="AH309" s="458">
        <v>0</v>
      </c>
      <c r="AI309" s="459">
        <v>0</v>
      </c>
      <c r="AJ309" s="458">
        <v>0</v>
      </c>
      <c r="AK309" s="459">
        <v>0</v>
      </c>
      <c r="AL309" s="459">
        <v>0</v>
      </c>
      <c r="AM309" s="459">
        <v>0</v>
      </c>
      <c r="AN309" s="459"/>
      <c r="AO309" s="459">
        <v>0</v>
      </c>
      <c r="AP309" s="460"/>
      <c r="AQ309" s="460"/>
      <c r="AR309" s="460"/>
      <c r="AS309" s="460"/>
      <c r="AT309" s="460"/>
      <c r="AU309" s="460"/>
      <c r="AV309" s="460"/>
      <c r="AW309" s="460"/>
      <c r="AX309" s="460"/>
      <c r="AY309" s="460"/>
      <c r="AZ309" s="460"/>
      <c r="BA309" s="460"/>
      <c r="BB309" s="460"/>
      <c r="BC309" s="460"/>
      <c r="BD309" s="460"/>
      <c r="BE309" s="460"/>
      <c r="BF309" s="460"/>
      <c r="BG309" s="460"/>
      <c r="BH309" s="460"/>
      <c r="BI309" s="460"/>
      <c r="BJ309" s="460"/>
      <c r="BK309" s="460"/>
      <c r="BL309" s="460"/>
      <c r="BM309" s="460"/>
      <c r="BN309" s="460"/>
      <c r="BO309" s="460"/>
      <c r="BP309" s="460"/>
      <c r="BQ309" s="460"/>
      <c r="BR309" s="460"/>
      <c r="BS309" s="460"/>
      <c r="BT309" s="460"/>
      <c r="BU309" s="460"/>
      <c r="BV309" s="460"/>
      <c r="BW309" s="460"/>
      <c r="BX309" s="460"/>
      <c r="BY309" s="460"/>
      <c r="BZ309" s="460"/>
      <c r="CA309" s="460"/>
      <c r="CB309" s="460"/>
      <c r="CC309" s="460"/>
      <c r="CD309" s="460"/>
      <c r="CE309" s="460"/>
      <c r="CF309" s="460"/>
      <c r="CG309" s="460"/>
      <c r="CH309" s="460"/>
      <c r="CI309" s="460"/>
      <c r="CJ309" s="460"/>
      <c r="CK309" s="460"/>
    </row>
    <row r="310" spans="1:89" s="329" customFormat="1" ht="36" customHeight="1" x14ac:dyDescent="0.25">
      <c r="A310" s="329">
        <v>1</v>
      </c>
      <c r="B310" s="39">
        <f>SUBTOTAL(103,$A$16:A310)</f>
        <v>281</v>
      </c>
      <c r="C310" s="33" t="s">
        <v>949</v>
      </c>
      <c r="D310" s="330">
        <v>1982</v>
      </c>
      <c r="E310" s="330"/>
      <c r="F310" s="331" t="s">
        <v>48</v>
      </c>
      <c r="G310" s="330">
        <v>9</v>
      </c>
      <c r="H310" s="330" t="s">
        <v>57</v>
      </c>
      <c r="I310" s="38">
        <v>4912.2</v>
      </c>
      <c r="J310" s="38">
        <v>2461.6999999999998</v>
      </c>
      <c r="K310" s="38">
        <v>2461.6999999999998</v>
      </c>
      <c r="L310" s="332">
        <v>369</v>
      </c>
      <c r="M310" s="330" t="s">
        <v>46</v>
      </c>
      <c r="N310" s="330" t="s">
        <v>50</v>
      </c>
      <c r="O310" s="333" t="s">
        <v>2050</v>
      </c>
      <c r="P310" s="38">
        <v>1863696.87</v>
      </c>
      <c r="Q310" s="38">
        <v>0</v>
      </c>
      <c r="R310" s="38">
        <v>0</v>
      </c>
      <c r="S310" s="38">
        <f t="shared" si="39"/>
        <v>1863696.87</v>
      </c>
      <c r="T310" s="38">
        <f t="shared" si="32"/>
        <v>379.40166727739103</v>
      </c>
      <c r="U310" s="38">
        <v>1146.9750824477831</v>
      </c>
      <c r="V310" s="458">
        <f t="shared" si="33"/>
        <v>767.57341517039208</v>
      </c>
      <c r="W310" s="458">
        <f t="shared" si="40"/>
        <v>1143.0762183950164</v>
      </c>
      <c r="X310" s="458">
        <v>0</v>
      </c>
      <c r="Y310" s="459">
        <v>0</v>
      </c>
      <c r="Z310" s="459">
        <v>0</v>
      </c>
      <c r="AA310" s="459">
        <v>0</v>
      </c>
      <c r="AB310" s="459">
        <v>0</v>
      </c>
      <c r="AC310" s="459">
        <v>0</v>
      </c>
      <c r="AD310" s="459">
        <v>0</v>
      </c>
      <c r="AE310" s="459">
        <v>900</v>
      </c>
      <c r="AF310" s="458">
        <f>6238.91*AE310/I310</f>
        <v>1143.0762183950164</v>
      </c>
      <c r="AG310" s="459">
        <v>0</v>
      </c>
      <c r="AH310" s="458">
        <v>0</v>
      </c>
      <c r="AI310" s="459">
        <v>0</v>
      </c>
      <c r="AJ310" s="458">
        <v>0</v>
      </c>
      <c r="AK310" s="459">
        <v>0</v>
      </c>
      <c r="AL310" s="459">
        <v>0</v>
      </c>
      <c r="AM310" s="459">
        <v>0</v>
      </c>
      <c r="AN310" s="459"/>
      <c r="AO310" s="459">
        <v>0</v>
      </c>
      <c r="AP310" s="460"/>
      <c r="AQ310" s="460"/>
      <c r="AR310" s="460"/>
      <c r="AS310" s="460"/>
      <c r="AT310" s="460"/>
      <c r="AU310" s="460"/>
      <c r="AV310" s="460"/>
      <c r="AW310" s="460"/>
      <c r="AX310" s="460"/>
      <c r="AY310" s="460"/>
      <c r="AZ310" s="460"/>
      <c r="BA310" s="460"/>
      <c r="BB310" s="460"/>
      <c r="BC310" s="460"/>
      <c r="BD310" s="460"/>
      <c r="BE310" s="460"/>
      <c r="BF310" s="460"/>
      <c r="BG310" s="460"/>
      <c r="BH310" s="460"/>
      <c r="BI310" s="460"/>
      <c r="BJ310" s="460"/>
      <c r="BK310" s="460"/>
      <c r="BL310" s="460"/>
      <c r="BM310" s="460"/>
      <c r="BN310" s="460"/>
      <c r="BO310" s="460"/>
      <c r="BP310" s="460"/>
      <c r="BQ310" s="460"/>
      <c r="BR310" s="460"/>
      <c r="BS310" s="460"/>
      <c r="BT310" s="460"/>
      <c r="BU310" s="460"/>
      <c r="BV310" s="460"/>
      <c r="BW310" s="460"/>
      <c r="BX310" s="460"/>
      <c r="BY310" s="460"/>
      <c r="BZ310" s="460"/>
      <c r="CA310" s="460"/>
      <c r="CB310" s="460"/>
      <c r="CC310" s="460"/>
      <c r="CD310" s="460"/>
      <c r="CE310" s="460"/>
      <c r="CF310" s="460"/>
      <c r="CG310" s="460"/>
      <c r="CH310" s="460"/>
      <c r="CI310" s="460"/>
      <c r="CJ310" s="460"/>
      <c r="CK310" s="460"/>
    </row>
    <row r="311" spans="1:89" s="329" customFormat="1" ht="36" customHeight="1" x14ac:dyDescent="0.25">
      <c r="A311" s="329">
        <v>1</v>
      </c>
      <c r="B311" s="39">
        <f>SUBTOTAL(103,$A$16:A311)</f>
        <v>282</v>
      </c>
      <c r="C311" s="33" t="s">
        <v>1280</v>
      </c>
      <c r="D311" s="330">
        <v>1994</v>
      </c>
      <c r="E311" s="330"/>
      <c r="F311" s="331" t="s">
        <v>48</v>
      </c>
      <c r="G311" s="330">
        <v>9</v>
      </c>
      <c r="H311" s="330">
        <v>1</v>
      </c>
      <c r="I311" s="38">
        <v>4455.3</v>
      </c>
      <c r="J311" s="38">
        <v>2847.7</v>
      </c>
      <c r="K311" s="38">
        <v>2847.7</v>
      </c>
      <c r="L311" s="332">
        <v>211</v>
      </c>
      <c r="M311" s="330" t="s">
        <v>46</v>
      </c>
      <c r="N311" s="330" t="s">
        <v>71</v>
      </c>
      <c r="O311" s="333" t="s">
        <v>2051</v>
      </c>
      <c r="P311" s="38">
        <v>3346564.4</v>
      </c>
      <c r="Q311" s="38">
        <v>0</v>
      </c>
      <c r="R311" s="38">
        <v>0</v>
      </c>
      <c r="S311" s="38">
        <f t="shared" si="39"/>
        <v>3346564.4</v>
      </c>
      <c r="T311" s="38">
        <f t="shared" si="32"/>
        <v>751.14232487150127</v>
      </c>
      <c r="U311" s="38">
        <v>1103.3151527394339</v>
      </c>
      <c r="V311" s="458">
        <f t="shared" si="33"/>
        <v>352.1728278679326</v>
      </c>
      <c r="W311" s="458">
        <f t="shared" si="40"/>
        <v>1103.3151527394339</v>
      </c>
      <c r="X311" s="458">
        <v>0</v>
      </c>
      <c r="Y311" s="459">
        <v>0</v>
      </c>
      <c r="Z311" s="459">
        <v>0</v>
      </c>
      <c r="AA311" s="459">
        <v>0</v>
      </c>
      <c r="AB311" s="459">
        <v>0</v>
      </c>
      <c r="AC311" s="459">
        <v>2</v>
      </c>
      <c r="AD311" s="458">
        <f>2457800*AC311/I311</f>
        <v>1103.3151527394339</v>
      </c>
      <c r="AE311" s="459">
        <v>0</v>
      </c>
      <c r="AF311" s="458">
        <v>0</v>
      </c>
      <c r="AG311" s="459">
        <v>0</v>
      </c>
      <c r="AH311" s="458">
        <v>0</v>
      </c>
      <c r="AI311" s="459">
        <v>0</v>
      </c>
      <c r="AJ311" s="458">
        <v>0</v>
      </c>
      <c r="AK311" s="459">
        <v>0</v>
      </c>
      <c r="AL311" s="459">
        <v>0</v>
      </c>
      <c r="AM311" s="459">
        <v>0</v>
      </c>
      <c r="AN311" s="459"/>
      <c r="AO311" s="459">
        <v>0</v>
      </c>
      <c r="AP311" s="460"/>
      <c r="AQ311" s="460"/>
      <c r="AR311" s="460"/>
      <c r="AS311" s="460"/>
      <c r="AT311" s="460"/>
      <c r="AU311" s="460"/>
      <c r="AV311" s="460"/>
      <c r="AW311" s="460"/>
      <c r="AX311" s="460"/>
      <c r="AY311" s="460"/>
      <c r="AZ311" s="460"/>
      <c r="BA311" s="460"/>
      <c r="BB311" s="460"/>
      <c r="BC311" s="460"/>
      <c r="BD311" s="460"/>
      <c r="BE311" s="460"/>
      <c r="BF311" s="460"/>
      <c r="BG311" s="460"/>
      <c r="BH311" s="460"/>
      <c r="BI311" s="460"/>
      <c r="BJ311" s="460"/>
      <c r="BK311" s="460"/>
      <c r="BL311" s="460"/>
      <c r="BM311" s="460"/>
      <c r="BN311" s="460"/>
      <c r="BO311" s="460"/>
      <c r="BP311" s="460"/>
      <c r="BQ311" s="460"/>
      <c r="BR311" s="460"/>
      <c r="BS311" s="460"/>
      <c r="BT311" s="460"/>
      <c r="BU311" s="460"/>
      <c r="BV311" s="460"/>
      <c r="BW311" s="460"/>
      <c r="BX311" s="460"/>
      <c r="BY311" s="460"/>
      <c r="BZ311" s="460"/>
      <c r="CA311" s="460"/>
      <c r="CB311" s="460"/>
      <c r="CC311" s="460"/>
      <c r="CD311" s="460"/>
      <c r="CE311" s="460"/>
      <c r="CF311" s="460"/>
      <c r="CG311" s="460"/>
      <c r="CH311" s="460"/>
      <c r="CI311" s="460"/>
      <c r="CJ311" s="460"/>
      <c r="CK311" s="460"/>
    </row>
    <row r="312" spans="1:89" s="329" customFormat="1" ht="36" customHeight="1" x14ac:dyDescent="0.25">
      <c r="A312" s="329">
        <v>1</v>
      </c>
      <c r="B312" s="39">
        <f>SUBTOTAL(103,$A$16:A312)</f>
        <v>283</v>
      </c>
      <c r="C312" s="33" t="s">
        <v>1281</v>
      </c>
      <c r="D312" s="330">
        <v>1917</v>
      </c>
      <c r="E312" s="330"/>
      <c r="F312" s="331" t="s">
        <v>48</v>
      </c>
      <c r="G312" s="330">
        <v>2</v>
      </c>
      <c r="H312" s="330" t="s">
        <v>56</v>
      </c>
      <c r="I312" s="38">
        <v>722.2</v>
      </c>
      <c r="J312" s="38">
        <v>514</v>
      </c>
      <c r="K312" s="38">
        <v>514</v>
      </c>
      <c r="L312" s="332">
        <v>21</v>
      </c>
      <c r="M312" s="330" t="s">
        <v>46</v>
      </c>
      <c r="N312" s="330" t="s">
        <v>47</v>
      </c>
      <c r="O312" s="333" t="s">
        <v>49</v>
      </c>
      <c r="P312" s="38">
        <v>101554.75</v>
      </c>
      <c r="Q312" s="38">
        <v>0</v>
      </c>
      <c r="R312" s="38">
        <v>0</v>
      </c>
      <c r="S312" s="38">
        <f t="shared" si="39"/>
        <v>101554.75</v>
      </c>
      <c r="T312" s="38">
        <f t="shared" si="32"/>
        <v>140.61859595679866</v>
      </c>
      <c r="U312" s="38">
        <v>140.61859595679866</v>
      </c>
      <c r="V312" s="458">
        <f t="shared" si="33"/>
        <v>0</v>
      </c>
      <c r="W312" s="458">
        <f>T312</f>
        <v>140.61859595679866</v>
      </c>
      <c r="X312" s="458">
        <v>0</v>
      </c>
      <c r="Y312" s="459">
        <v>0</v>
      </c>
      <c r="Z312" s="459">
        <v>0</v>
      </c>
      <c r="AA312" s="459">
        <v>0</v>
      </c>
      <c r="AB312" s="459">
        <v>0</v>
      </c>
      <c r="AC312" s="459">
        <v>0</v>
      </c>
      <c r="AD312" s="459">
        <v>0</v>
      </c>
      <c r="AE312" s="459">
        <v>0</v>
      </c>
      <c r="AF312" s="458">
        <v>0</v>
      </c>
      <c r="AG312" s="459">
        <v>0</v>
      </c>
      <c r="AH312" s="458">
        <v>0</v>
      </c>
      <c r="AI312" s="459">
        <v>0</v>
      </c>
      <c r="AJ312" s="458">
        <v>0</v>
      </c>
      <c r="AK312" s="459">
        <v>0</v>
      </c>
      <c r="AL312" s="459">
        <v>0</v>
      </c>
      <c r="AM312" s="459">
        <v>0</v>
      </c>
      <c r="AN312" s="459"/>
      <c r="AO312" s="459">
        <v>0</v>
      </c>
      <c r="AP312" s="460"/>
      <c r="AQ312" s="460"/>
      <c r="AR312" s="460"/>
      <c r="AS312" s="460"/>
      <c r="AT312" s="460"/>
      <c r="AU312" s="460"/>
      <c r="AV312" s="460"/>
      <c r="AW312" s="460"/>
      <c r="AX312" s="460"/>
      <c r="AY312" s="460"/>
      <c r="AZ312" s="460"/>
      <c r="BA312" s="460"/>
      <c r="BB312" s="460"/>
      <c r="BC312" s="460"/>
      <c r="BD312" s="460"/>
      <c r="BE312" s="460"/>
      <c r="BF312" s="460"/>
      <c r="BG312" s="460"/>
      <c r="BH312" s="460"/>
      <c r="BI312" s="460"/>
      <c r="BJ312" s="460"/>
      <c r="BK312" s="460"/>
      <c r="BL312" s="460"/>
      <c r="BM312" s="460"/>
      <c r="BN312" s="460"/>
      <c r="BO312" s="460"/>
      <c r="BP312" s="460"/>
      <c r="BQ312" s="460"/>
      <c r="BR312" s="460"/>
      <c r="BS312" s="460"/>
      <c r="BT312" s="460"/>
      <c r="BU312" s="460"/>
      <c r="BV312" s="460"/>
      <c r="BW312" s="460"/>
      <c r="BX312" s="460"/>
      <c r="BY312" s="460"/>
      <c r="BZ312" s="460"/>
      <c r="CA312" s="460"/>
      <c r="CB312" s="460"/>
      <c r="CC312" s="460"/>
      <c r="CD312" s="460"/>
      <c r="CE312" s="460"/>
      <c r="CF312" s="460"/>
      <c r="CG312" s="460"/>
      <c r="CH312" s="460"/>
      <c r="CI312" s="460"/>
      <c r="CJ312" s="460"/>
      <c r="CK312" s="460"/>
    </row>
    <row r="313" spans="1:89" s="329" customFormat="1" ht="36" customHeight="1" x14ac:dyDescent="0.25">
      <c r="A313" s="329">
        <v>1</v>
      </c>
      <c r="B313" s="39">
        <f>SUBTOTAL(103,$A$16:A313)</f>
        <v>284</v>
      </c>
      <c r="C313" s="33" t="s">
        <v>1282</v>
      </c>
      <c r="D313" s="330">
        <v>1963</v>
      </c>
      <c r="E313" s="330"/>
      <c r="F313" s="331" t="s">
        <v>48</v>
      </c>
      <c r="G313" s="330">
        <v>3</v>
      </c>
      <c r="H313" s="330" t="s">
        <v>56</v>
      </c>
      <c r="I313" s="38">
        <v>1703.8</v>
      </c>
      <c r="J313" s="38">
        <v>1339.8</v>
      </c>
      <c r="K313" s="38">
        <v>1339.8</v>
      </c>
      <c r="L313" s="332">
        <v>62</v>
      </c>
      <c r="M313" s="330" t="s">
        <v>46</v>
      </c>
      <c r="N313" s="330" t="s">
        <v>50</v>
      </c>
      <c r="O313" s="333" t="s">
        <v>2052</v>
      </c>
      <c r="P313" s="38">
        <v>104089.37</v>
      </c>
      <c r="Q313" s="38">
        <v>0</v>
      </c>
      <c r="R313" s="38">
        <v>0</v>
      </c>
      <c r="S313" s="38">
        <f t="shared" si="39"/>
        <v>104089.37</v>
      </c>
      <c r="T313" s="38">
        <f t="shared" si="32"/>
        <v>61.092481511914542</v>
      </c>
      <c r="U313" s="38">
        <v>61.092481511914542</v>
      </c>
      <c r="V313" s="458">
        <f t="shared" si="33"/>
        <v>0</v>
      </c>
      <c r="W313" s="458">
        <f t="shared" si="40"/>
        <v>3630.636967367062</v>
      </c>
      <c r="X313" s="458">
        <v>0</v>
      </c>
      <c r="Y313" s="459">
        <v>0</v>
      </c>
      <c r="Z313" s="459">
        <v>0</v>
      </c>
      <c r="AA313" s="459">
        <v>0</v>
      </c>
      <c r="AB313" s="459">
        <v>0</v>
      </c>
      <c r="AC313" s="459">
        <v>0</v>
      </c>
      <c r="AD313" s="459">
        <v>0</v>
      </c>
      <c r="AE313" s="459">
        <v>991.5</v>
      </c>
      <c r="AF313" s="458">
        <f>6238.91*AE313/I313</f>
        <v>3630.636967367062</v>
      </c>
      <c r="AG313" s="459">
        <v>0</v>
      </c>
      <c r="AH313" s="458">
        <v>0</v>
      </c>
      <c r="AI313" s="459">
        <v>0</v>
      </c>
      <c r="AJ313" s="458">
        <v>0</v>
      </c>
      <c r="AK313" s="459">
        <v>0</v>
      </c>
      <c r="AL313" s="459">
        <v>0</v>
      </c>
      <c r="AM313" s="459">
        <v>0</v>
      </c>
      <c r="AN313" s="459"/>
      <c r="AO313" s="459">
        <v>0</v>
      </c>
      <c r="AP313" s="460"/>
      <c r="AQ313" s="460"/>
      <c r="AR313" s="460"/>
      <c r="AS313" s="460"/>
      <c r="AT313" s="460"/>
      <c r="AU313" s="460"/>
      <c r="AV313" s="460"/>
      <c r="AW313" s="460"/>
      <c r="AX313" s="460"/>
      <c r="AY313" s="460"/>
      <c r="AZ313" s="460"/>
      <c r="BA313" s="460"/>
      <c r="BB313" s="460"/>
      <c r="BC313" s="460"/>
      <c r="BD313" s="460"/>
      <c r="BE313" s="460"/>
      <c r="BF313" s="460"/>
      <c r="BG313" s="460"/>
      <c r="BH313" s="460"/>
      <c r="BI313" s="460"/>
      <c r="BJ313" s="460"/>
      <c r="BK313" s="460"/>
      <c r="BL313" s="460"/>
      <c r="BM313" s="460"/>
      <c r="BN313" s="460"/>
      <c r="BO313" s="460"/>
      <c r="BP313" s="460"/>
      <c r="BQ313" s="460"/>
      <c r="BR313" s="460"/>
      <c r="BS313" s="460"/>
      <c r="BT313" s="460"/>
      <c r="BU313" s="460"/>
      <c r="BV313" s="460"/>
      <c r="BW313" s="460"/>
      <c r="BX313" s="460"/>
      <c r="BY313" s="460"/>
      <c r="BZ313" s="460"/>
      <c r="CA313" s="460"/>
      <c r="CB313" s="460"/>
      <c r="CC313" s="460"/>
      <c r="CD313" s="460"/>
      <c r="CE313" s="460"/>
      <c r="CF313" s="460"/>
      <c r="CG313" s="460"/>
      <c r="CH313" s="460"/>
      <c r="CI313" s="460"/>
      <c r="CJ313" s="460"/>
      <c r="CK313" s="460"/>
    </row>
    <row r="314" spans="1:89" s="329" customFormat="1" ht="36" customHeight="1" x14ac:dyDescent="0.25">
      <c r="A314" s="329">
        <v>1</v>
      </c>
      <c r="B314" s="39">
        <f>SUBTOTAL(103,$A$16:A314)</f>
        <v>285</v>
      </c>
      <c r="C314" s="33" t="s">
        <v>1029</v>
      </c>
      <c r="D314" s="330">
        <v>1900</v>
      </c>
      <c r="E314" s="330"/>
      <c r="F314" s="331" t="s">
        <v>48</v>
      </c>
      <c r="G314" s="330">
        <v>2</v>
      </c>
      <c r="H314" s="330" t="s">
        <v>1977</v>
      </c>
      <c r="I314" s="38">
        <v>520.9</v>
      </c>
      <c r="J314" s="38">
        <v>520.9</v>
      </c>
      <c r="K314" s="38">
        <v>520.9</v>
      </c>
      <c r="L314" s="332">
        <v>26</v>
      </c>
      <c r="M314" s="330" t="s">
        <v>46</v>
      </c>
      <c r="N314" s="330" t="s">
        <v>47</v>
      </c>
      <c r="O314" s="333" t="s">
        <v>49</v>
      </c>
      <c r="P314" s="38">
        <v>4250155.2699999996</v>
      </c>
      <c r="Q314" s="38">
        <v>0</v>
      </c>
      <c r="R314" s="38">
        <v>0</v>
      </c>
      <c r="S314" s="38">
        <f t="shared" si="39"/>
        <v>4250155.2699999996</v>
      </c>
      <c r="T314" s="38">
        <f t="shared" si="32"/>
        <v>8159.2537339220571</v>
      </c>
      <c r="U314" s="38">
        <v>11459.188260702631</v>
      </c>
      <c r="V314" s="458">
        <f t="shared" si="33"/>
        <v>3299.9345267805738</v>
      </c>
      <c r="W314" s="458">
        <f t="shared" si="40"/>
        <v>11420.235525052793</v>
      </c>
      <c r="X314" s="458">
        <v>0</v>
      </c>
      <c r="Y314" s="459">
        <v>0</v>
      </c>
      <c r="Z314" s="459">
        <v>0</v>
      </c>
      <c r="AA314" s="459">
        <v>0</v>
      </c>
      <c r="AB314" s="459">
        <v>0</v>
      </c>
      <c r="AC314" s="459">
        <v>0</v>
      </c>
      <c r="AD314" s="459">
        <v>0</v>
      </c>
      <c r="AE314" s="459">
        <v>953.5</v>
      </c>
      <c r="AF314" s="458">
        <f>6238.91*AE314/I314</f>
        <v>11420.235525052793</v>
      </c>
      <c r="AG314" s="459">
        <v>0</v>
      </c>
      <c r="AH314" s="458">
        <v>0</v>
      </c>
      <c r="AI314" s="459">
        <v>0</v>
      </c>
      <c r="AJ314" s="458">
        <v>0</v>
      </c>
      <c r="AK314" s="459">
        <v>0</v>
      </c>
      <c r="AL314" s="459">
        <v>0</v>
      </c>
      <c r="AM314" s="459">
        <v>0</v>
      </c>
      <c r="AN314" s="459"/>
      <c r="AO314" s="459">
        <v>0</v>
      </c>
      <c r="AP314" s="460"/>
      <c r="AQ314" s="460"/>
      <c r="AR314" s="460"/>
      <c r="AS314" s="460"/>
      <c r="AT314" s="460"/>
      <c r="AU314" s="460"/>
      <c r="AV314" s="460"/>
      <c r="AW314" s="460"/>
      <c r="AX314" s="460"/>
      <c r="AY314" s="460"/>
      <c r="AZ314" s="460"/>
      <c r="BA314" s="460"/>
      <c r="BB314" s="460"/>
      <c r="BC314" s="460"/>
      <c r="BD314" s="460"/>
      <c r="BE314" s="460"/>
      <c r="BF314" s="460"/>
      <c r="BG314" s="460"/>
      <c r="BH314" s="460"/>
      <c r="BI314" s="460"/>
      <c r="BJ314" s="460"/>
      <c r="BK314" s="460"/>
      <c r="BL314" s="460"/>
      <c r="BM314" s="460"/>
      <c r="BN314" s="460"/>
      <c r="BO314" s="460"/>
      <c r="BP314" s="460"/>
      <c r="BQ314" s="460"/>
      <c r="BR314" s="460"/>
      <c r="BS314" s="460"/>
      <c r="BT314" s="460"/>
      <c r="BU314" s="460"/>
      <c r="BV314" s="460"/>
      <c r="BW314" s="460"/>
      <c r="BX314" s="460"/>
      <c r="BY314" s="460"/>
      <c r="BZ314" s="460"/>
      <c r="CA314" s="460"/>
      <c r="CB314" s="460"/>
      <c r="CC314" s="460"/>
      <c r="CD314" s="460"/>
      <c r="CE314" s="460"/>
      <c r="CF314" s="460"/>
      <c r="CG314" s="460"/>
      <c r="CH314" s="460"/>
      <c r="CI314" s="460"/>
      <c r="CJ314" s="460"/>
      <c r="CK314" s="460"/>
    </row>
    <row r="315" spans="1:89" s="329" customFormat="1" ht="36" customHeight="1" x14ac:dyDescent="0.25">
      <c r="A315" s="329">
        <v>1</v>
      </c>
      <c r="B315" s="39">
        <f>SUBTOTAL(103,$A$16:A315)</f>
        <v>286</v>
      </c>
      <c r="C315" s="33" t="s">
        <v>1283</v>
      </c>
      <c r="D315" s="330" t="s">
        <v>2006</v>
      </c>
      <c r="E315" s="330">
        <v>2016</v>
      </c>
      <c r="F315" s="331" t="s">
        <v>48</v>
      </c>
      <c r="G315" s="330">
        <v>9</v>
      </c>
      <c r="H315" s="330" t="s">
        <v>59</v>
      </c>
      <c r="I315" s="38">
        <v>8964.4</v>
      </c>
      <c r="J315" s="38">
        <v>8964.4</v>
      </c>
      <c r="K315" s="38">
        <v>8964.4</v>
      </c>
      <c r="L315" s="332">
        <v>344</v>
      </c>
      <c r="M315" s="330" t="s">
        <v>46</v>
      </c>
      <c r="N315" s="330" t="s">
        <v>50</v>
      </c>
      <c r="O315" s="333" t="s">
        <v>2053</v>
      </c>
      <c r="P315" s="38">
        <v>5425723.8799999999</v>
      </c>
      <c r="Q315" s="38">
        <v>0</v>
      </c>
      <c r="R315" s="38">
        <v>0</v>
      </c>
      <c r="S315" s="38">
        <f t="shared" si="39"/>
        <v>5425723.8799999999</v>
      </c>
      <c r="T315" s="38">
        <f t="shared" si="32"/>
        <v>605.25231805809653</v>
      </c>
      <c r="U315" s="38">
        <v>1096.6935879701932</v>
      </c>
      <c r="V315" s="458">
        <f t="shared" si="33"/>
        <v>491.44126991209669</v>
      </c>
      <c r="W315" s="458">
        <f t="shared" si="40"/>
        <v>1096.6935879701932</v>
      </c>
      <c r="X315" s="458">
        <v>0</v>
      </c>
      <c r="Y315" s="459">
        <v>0</v>
      </c>
      <c r="Z315" s="459">
        <v>0</v>
      </c>
      <c r="AA315" s="459">
        <v>0</v>
      </c>
      <c r="AB315" s="459">
        <v>0</v>
      </c>
      <c r="AC315" s="459">
        <v>4</v>
      </c>
      <c r="AD315" s="458">
        <f>2457800*AC315/I315</f>
        <v>1096.6935879701932</v>
      </c>
      <c r="AE315" s="459">
        <v>0</v>
      </c>
      <c r="AF315" s="458">
        <v>0</v>
      </c>
      <c r="AG315" s="459">
        <v>0</v>
      </c>
      <c r="AH315" s="458">
        <v>0</v>
      </c>
      <c r="AI315" s="459">
        <v>0</v>
      </c>
      <c r="AJ315" s="458">
        <v>0</v>
      </c>
      <c r="AK315" s="459">
        <v>0</v>
      </c>
      <c r="AL315" s="459">
        <v>0</v>
      </c>
      <c r="AM315" s="459">
        <v>0</v>
      </c>
      <c r="AN315" s="459"/>
      <c r="AO315" s="459">
        <v>0</v>
      </c>
      <c r="AP315" s="460"/>
      <c r="AQ315" s="460"/>
      <c r="AR315" s="460"/>
      <c r="AS315" s="460"/>
      <c r="AT315" s="460"/>
      <c r="AU315" s="460"/>
      <c r="AV315" s="460"/>
      <c r="AW315" s="460"/>
      <c r="AX315" s="460"/>
      <c r="AY315" s="460"/>
      <c r="AZ315" s="460"/>
      <c r="BA315" s="460"/>
      <c r="BB315" s="460"/>
      <c r="BC315" s="460"/>
      <c r="BD315" s="460"/>
      <c r="BE315" s="460"/>
      <c r="BF315" s="460"/>
      <c r="BG315" s="460"/>
      <c r="BH315" s="460"/>
      <c r="BI315" s="460"/>
      <c r="BJ315" s="460"/>
      <c r="BK315" s="460"/>
      <c r="BL315" s="460"/>
      <c r="BM315" s="460"/>
      <c r="BN315" s="460"/>
      <c r="BO315" s="460"/>
      <c r="BP315" s="460"/>
      <c r="BQ315" s="460"/>
      <c r="BR315" s="460"/>
      <c r="BS315" s="460"/>
      <c r="BT315" s="460"/>
      <c r="BU315" s="460"/>
      <c r="BV315" s="460"/>
      <c r="BW315" s="460"/>
      <c r="BX315" s="460"/>
      <c r="BY315" s="460"/>
      <c r="BZ315" s="460"/>
      <c r="CA315" s="460"/>
      <c r="CB315" s="460"/>
      <c r="CC315" s="460"/>
      <c r="CD315" s="460"/>
      <c r="CE315" s="460"/>
      <c r="CF315" s="460"/>
      <c r="CG315" s="460"/>
      <c r="CH315" s="460"/>
      <c r="CI315" s="460"/>
      <c r="CJ315" s="460"/>
      <c r="CK315" s="460"/>
    </row>
    <row r="316" spans="1:89" s="329" customFormat="1" ht="36" customHeight="1" x14ac:dyDescent="0.25">
      <c r="A316" s="329">
        <v>1</v>
      </c>
      <c r="B316" s="39">
        <f>SUBTOTAL(103,$A$16:A316)</f>
        <v>287</v>
      </c>
      <c r="C316" s="33" t="s">
        <v>1284</v>
      </c>
      <c r="D316" s="330" t="s">
        <v>2054</v>
      </c>
      <c r="E316" s="330"/>
      <c r="F316" s="331" t="s">
        <v>48</v>
      </c>
      <c r="G316" s="330" t="s">
        <v>61</v>
      </c>
      <c r="H316" s="330" t="s">
        <v>56</v>
      </c>
      <c r="I316" s="38">
        <v>270.39999999999998</v>
      </c>
      <c r="J316" s="38">
        <v>270.39999999999998</v>
      </c>
      <c r="K316" s="38">
        <v>270.39999999999998</v>
      </c>
      <c r="L316" s="332">
        <v>18</v>
      </c>
      <c r="M316" s="330" t="s">
        <v>46</v>
      </c>
      <c r="N316" s="330" t="s">
        <v>47</v>
      </c>
      <c r="O316" s="333" t="s">
        <v>49</v>
      </c>
      <c r="P316" s="38">
        <v>839089.99</v>
      </c>
      <c r="Q316" s="38">
        <v>0</v>
      </c>
      <c r="R316" s="38">
        <v>0</v>
      </c>
      <c r="S316" s="38">
        <f t="shared" si="39"/>
        <v>839089.99</v>
      </c>
      <c r="T316" s="38">
        <f t="shared" si="32"/>
        <v>3103.1434541420122</v>
      </c>
      <c r="U316" s="38">
        <v>7537.6460658284041</v>
      </c>
      <c r="V316" s="458">
        <f t="shared" si="33"/>
        <v>4434.5026116863919</v>
      </c>
      <c r="W316" s="458">
        <f t="shared" si="40"/>
        <v>11421.109371301776</v>
      </c>
      <c r="X316" s="458">
        <v>0</v>
      </c>
      <c r="Y316" s="459">
        <v>0</v>
      </c>
      <c r="Z316" s="459">
        <v>0</v>
      </c>
      <c r="AA316" s="459">
        <v>0</v>
      </c>
      <c r="AB316" s="459">
        <v>0</v>
      </c>
      <c r="AC316" s="459">
        <v>0</v>
      </c>
      <c r="AD316" s="459">
        <v>0</v>
      </c>
      <c r="AE316" s="459">
        <v>0</v>
      </c>
      <c r="AF316" s="458">
        <v>0</v>
      </c>
      <c r="AG316" s="459">
        <v>0</v>
      </c>
      <c r="AH316" s="458">
        <v>0</v>
      </c>
      <c r="AI316" s="459">
        <v>415.14</v>
      </c>
      <c r="AJ316" s="458">
        <f>7439.1*AI316/I316</f>
        <v>11421.109371301776</v>
      </c>
      <c r="AK316" s="459">
        <v>0</v>
      </c>
      <c r="AL316" s="459">
        <v>0</v>
      </c>
      <c r="AM316" s="459">
        <v>0</v>
      </c>
      <c r="AN316" s="459"/>
      <c r="AO316" s="459">
        <v>0</v>
      </c>
      <c r="AP316" s="460"/>
      <c r="AQ316" s="460"/>
      <c r="AR316" s="460"/>
      <c r="AS316" s="460"/>
      <c r="AT316" s="460"/>
      <c r="AU316" s="460"/>
      <c r="AV316" s="460"/>
      <c r="AW316" s="460"/>
      <c r="AX316" s="460"/>
      <c r="AY316" s="460"/>
      <c r="AZ316" s="460"/>
      <c r="BA316" s="460"/>
      <c r="BB316" s="460"/>
      <c r="BC316" s="460"/>
      <c r="BD316" s="460"/>
      <c r="BE316" s="460"/>
      <c r="BF316" s="460"/>
      <c r="BG316" s="460"/>
      <c r="BH316" s="460"/>
      <c r="BI316" s="460"/>
      <c r="BJ316" s="460"/>
      <c r="BK316" s="460"/>
      <c r="BL316" s="460"/>
      <c r="BM316" s="460"/>
      <c r="BN316" s="460"/>
      <c r="BO316" s="460"/>
      <c r="BP316" s="460"/>
      <c r="BQ316" s="460"/>
      <c r="BR316" s="460"/>
      <c r="BS316" s="460"/>
      <c r="BT316" s="460"/>
      <c r="BU316" s="460"/>
      <c r="BV316" s="460"/>
      <c r="BW316" s="460"/>
      <c r="BX316" s="460"/>
      <c r="BY316" s="460"/>
      <c r="BZ316" s="460"/>
      <c r="CA316" s="460"/>
      <c r="CB316" s="460"/>
      <c r="CC316" s="460"/>
      <c r="CD316" s="460"/>
      <c r="CE316" s="460"/>
      <c r="CF316" s="460"/>
      <c r="CG316" s="460"/>
      <c r="CH316" s="460"/>
      <c r="CI316" s="460"/>
      <c r="CJ316" s="460"/>
      <c r="CK316" s="460"/>
    </row>
    <row r="317" spans="1:89" s="329" customFormat="1" ht="36" customHeight="1" x14ac:dyDescent="0.25">
      <c r="A317" s="329">
        <v>1</v>
      </c>
      <c r="B317" s="39">
        <f>SUBTOTAL(103,$A$16:A317)</f>
        <v>288</v>
      </c>
      <c r="C317" s="33" t="s">
        <v>1285</v>
      </c>
      <c r="D317" s="330" t="s">
        <v>2055</v>
      </c>
      <c r="E317" s="330"/>
      <c r="F317" s="331" t="s">
        <v>48</v>
      </c>
      <c r="G317" s="330">
        <v>2</v>
      </c>
      <c r="H317" s="330" t="s">
        <v>57</v>
      </c>
      <c r="I317" s="38">
        <v>282.39999999999998</v>
      </c>
      <c r="J317" s="38">
        <v>282.39999999999998</v>
      </c>
      <c r="K317" s="38">
        <v>282.39999999999998</v>
      </c>
      <c r="L317" s="332">
        <v>21</v>
      </c>
      <c r="M317" s="330" t="s">
        <v>46</v>
      </c>
      <c r="N317" s="330" t="s">
        <v>50</v>
      </c>
      <c r="O317" s="333" t="s">
        <v>2052</v>
      </c>
      <c r="P317" s="38">
        <v>1265154.3400000001</v>
      </c>
      <c r="Q317" s="38">
        <v>0</v>
      </c>
      <c r="R317" s="38">
        <v>0</v>
      </c>
      <c r="S317" s="38">
        <f t="shared" si="39"/>
        <v>1265154.3400000001</v>
      </c>
      <c r="T317" s="38">
        <f t="shared" si="32"/>
        <v>4480.0082861189812</v>
      </c>
      <c r="U317" s="38">
        <v>10291.194040368273</v>
      </c>
      <c r="V317" s="458">
        <f t="shared" si="33"/>
        <v>5811.1857542492917</v>
      </c>
      <c r="W317" s="458">
        <f t="shared" si="40"/>
        <v>10291.194040368273</v>
      </c>
      <c r="X317" s="458">
        <v>0</v>
      </c>
      <c r="Y317" s="459">
        <v>0</v>
      </c>
      <c r="Z317" s="459">
        <v>0</v>
      </c>
      <c r="AA317" s="459">
        <v>0</v>
      </c>
      <c r="AB317" s="459">
        <v>0</v>
      </c>
      <c r="AC317" s="459">
        <v>0</v>
      </c>
      <c r="AD317" s="459">
        <v>0</v>
      </c>
      <c r="AE317" s="459">
        <v>0</v>
      </c>
      <c r="AF317" s="458">
        <v>0</v>
      </c>
      <c r="AG317" s="459">
        <v>0</v>
      </c>
      <c r="AH317" s="458">
        <v>0</v>
      </c>
      <c r="AI317" s="459">
        <v>390.67</v>
      </c>
      <c r="AJ317" s="458">
        <f>7439.1*AI317/I317</f>
        <v>10291.194040368273</v>
      </c>
      <c r="AK317" s="459">
        <v>0</v>
      </c>
      <c r="AL317" s="459">
        <v>0</v>
      </c>
      <c r="AM317" s="459">
        <v>0</v>
      </c>
      <c r="AN317" s="459"/>
      <c r="AO317" s="459">
        <v>0</v>
      </c>
      <c r="AP317" s="460"/>
      <c r="AQ317" s="460"/>
      <c r="AR317" s="460"/>
      <c r="AS317" s="460"/>
      <c r="AT317" s="460"/>
      <c r="AU317" s="460"/>
      <c r="AV317" s="460"/>
      <c r="AW317" s="460"/>
      <c r="AX317" s="460"/>
      <c r="AY317" s="460"/>
      <c r="AZ317" s="460"/>
      <c r="BA317" s="460"/>
      <c r="BB317" s="460"/>
      <c r="BC317" s="460"/>
      <c r="BD317" s="460"/>
      <c r="BE317" s="460"/>
      <c r="BF317" s="460"/>
      <c r="BG317" s="460"/>
      <c r="BH317" s="460"/>
      <c r="BI317" s="460"/>
      <c r="BJ317" s="460"/>
      <c r="BK317" s="460"/>
      <c r="BL317" s="460"/>
      <c r="BM317" s="460"/>
      <c r="BN317" s="460"/>
      <c r="BO317" s="460"/>
      <c r="BP317" s="460"/>
      <c r="BQ317" s="460"/>
      <c r="BR317" s="460"/>
      <c r="BS317" s="460"/>
      <c r="BT317" s="460"/>
      <c r="BU317" s="460"/>
      <c r="BV317" s="460"/>
      <c r="BW317" s="460"/>
      <c r="BX317" s="460"/>
      <c r="BY317" s="460"/>
      <c r="BZ317" s="460"/>
      <c r="CA317" s="460"/>
      <c r="CB317" s="460"/>
      <c r="CC317" s="460"/>
      <c r="CD317" s="460"/>
      <c r="CE317" s="460"/>
      <c r="CF317" s="460"/>
      <c r="CG317" s="460"/>
      <c r="CH317" s="460"/>
      <c r="CI317" s="460"/>
      <c r="CJ317" s="460"/>
      <c r="CK317" s="460"/>
    </row>
    <row r="318" spans="1:89" s="329" customFormat="1" ht="36" customHeight="1" x14ac:dyDescent="0.25">
      <c r="A318" s="329">
        <v>1</v>
      </c>
      <c r="B318" s="39">
        <f>SUBTOTAL(103,$A$16:A318)</f>
        <v>289</v>
      </c>
      <c r="C318" s="33" t="s">
        <v>1031</v>
      </c>
      <c r="D318" s="330">
        <v>1957</v>
      </c>
      <c r="E318" s="330"/>
      <c r="F318" s="331" t="s">
        <v>48</v>
      </c>
      <c r="G318" s="330" t="s">
        <v>61</v>
      </c>
      <c r="H318" s="330" t="s">
        <v>61</v>
      </c>
      <c r="I318" s="38">
        <v>988</v>
      </c>
      <c r="J318" s="38">
        <v>627.1</v>
      </c>
      <c r="K318" s="38">
        <v>627.1</v>
      </c>
      <c r="L318" s="332">
        <v>55</v>
      </c>
      <c r="M318" s="330" t="s">
        <v>46</v>
      </c>
      <c r="N318" s="330" t="s">
        <v>50</v>
      </c>
      <c r="O318" s="333" t="s">
        <v>227</v>
      </c>
      <c r="P318" s="38">
        <v>73200.320000000007</v>
      </c>
      <c r="Q318" s="38">
        <v>0</v>
      </c>
      <c r="R318" s="38">
        <v>0</v>
      </c>
      <c r="S318" s="38">
        <f t="shared" si="39"/>
        <v>73200.320000000007</v>
      </c>
      <c r="T318" s="38">
        <f t="shared" si="32"/>
        <v>74.08939271255062</v>
      </c>
      <c r="U318" s="38">
        <v>74.08939271255062</v>
      </c>
      <c r="V318" s="458">
        <f t="shared" si="33"/>
        <v>0</v>
      </c>
      <c r="W318" s="458">
        <f t="shared" si="40"/>
        <v>4666.0479526315785</v>
      </c>
      <c r="X318" s="458">
        <v>0</v>
      </c>
      <c r="Y318" s="459">
        <v>0</v>
      </c>
      <c r="Z318" s="459">
        <v>0</v>
      </c>
      <c r="AA318" s="459">
        <v>0</v>
      </c>
      <c r="AB318" s="459">
        <v>0</v>
      </c>
      <c r="AC318" s="459">
        <v>0</v>
      </c>
      <c r="AD318" s="459">
        <v>0</v>
      </c>
      <c r="AE318" s="459">
        <v>738.92</v>
      </c>
      <c r="AF318" s="458">
        <f>6238.91*AE318/I318</f>
        <v>4666.0479526315785</v>
      </c>
      <c r="AG318" s="459">
        <v>0</v>
      </c>
      <c r="AH318" s="458">
        <v>0</v>
      </c>
      <c r="AI318" s="459">
        <v>0</v>
      </c>
      <c r="AJ318" s="458">
        <v>0</v>
      </c>
      <c r="AK318" s="459">
        <v>0</v>
      </c>
      <c r="AL318" s="459">
        <v>0</v>
      </c>
      <c r="AM318" s="459">
        <v>0</v>
      </c>
      <c r="AN318" s="459"/>
      <c r="AO318" s="459">
        <v>0</v>
      </c>
      <c r="AP318" s="460"/>
      <c r="AQ318" s="460"/>
      <c r="AR318" s="460"/>
      <c r="AS318" s="460"/>
      <c r="AT318" s="460"/>
      <c r="AU318" s="460"/>
      <c r="AV318" s="460"/>
      <c r="AW318" s="460"/>
      <c r="AX318" s="460"/>
      <c r="AY318" s="460"/>
      <c r="AZ318" s="460"/>
      <c r="BA318" s="460"/>
      <c r="BB318" s="460"/>
      <c r="BC318" s="460"/>
      <c r="BD318" s="460"/>
      <c r="BE318" s="460"/>
      <c r="BF318" s="460"/>
      <c r="BG318" s="460"/>
      <c r="BH318" s="460"/>
      <c r="BI318" s="460"/>
      <c r="BJ318" s="460"/>
      <c r="BK318" s="460"/>
      <c r="BL318" s="460"/>
      <c r="BM318" s="460"/>
      <c r="BN318" s="460"/>
      <c r="BO318" s="460"/>
      <c r="BP318" s="460"/>
      <c r="BQ318" s="460"/>
      <c r="BR318" s="460"/>
      <c r="BS318" s="460"/>
      <c r="BT318" s="460"/>
      <c r="BU318" s="460"/>
      <c r="BV318" s="460"/>
      <c r="BW318" s="460"/>
      <c r="BX318" s="460"/>
      <c r="BY318" s="460"/>
      <c r="BZ318" s="460"/>
      <c r="CA318" s="460"/>
      <c r="CB318" s="460"/>
      <c r="CC318" s="460"/>
      <c r="CD318" s="460"/>
      <c r="CE318" s="460"/>
      <c r="CF318" s="460"/>
      <c r="CG318" s="460"/>
      <c r="CH318" s="460"/>
      <c r="CI318" s="460"/>
      <c r="CJ318" s="460"/>
      <c r="CK318" s="460"/>
    </row>
    <row r="319" spans="1:89" s="329" customFormat="1" ht="36" customHeight="1" x14ac:dyDescent="0.25">
      <c r="A319" s="329">
        <v>1</v>
      </c>
      <c r="B319" s="39">
        <f>SUBTOTAL(103,$A$16:A319)</f>
        <v>290</v>
      </c>
      <c r="C319" s="33" t="s">
        <v>1033</v>
      </c>
      <c r="D319" s="330">
        <v>1926</v>
      </c>
      <c r="E319" s="330"/>
      <c r="F319" s="331" t="s">
        <v>48</v>
      </c>
      <c r="G319" s="330">
        <v>2</v>
      </c>
      <c r="H319" s="330" t="s">
        <v>56</v>
      </c>
      <c r="I319" s="38">
        <v>530.9</v>
      </c>
      <c r="J319" s="38">
        <v>530.9</v>
      </c>
      <c r="K319" s="38">
        <v>530.9</v>
      </c>
      <c r="L319" s="332">
        <v>26</v>
      </c>
      <c r="M319" s="330" t="s">
        <v>46</v>
      </c>
      <c r="N319" s="330" t="s">
        <v>47</v>
      </c>
      <c r="O319" s="333" t="s">
        <v>49</v>
      </c>
      <c r="P319" s="38">
        <v>1322373.3</v>
      </c>
      <c r="Q319" s="38">
        <v>0</v>
      </c>
      <c r="R319" s="38">
        <v>0</v>
      </c>
      <c r="S319" s="38">
        <f>P319-R319-Q319</f>
        <v>1322373.3</v>
      </c>
      <c r="T319" s="38">
        <f t="shared" si="32"/>
        <v>2490.8142776417408</v>
      </c>
      <c r="U319" s="38">
        <v>3247.4219740064036</v>
      </c>
      <c r="V319" s="458">
        <f t="shared" si="33"/>
        <v>756.60769636466284</v>
      </c>
      <c r="W319" s="458">
        <f t="shared" si="40"/>
        <v>3236.3831493689959</v>
      </c>
      <c r="X319" s="458">
        <v>0</v>
      </c>
      <c r="Y319" s="459">
        <v>0</v>
      </c>
      <c r="Z319" s="459">
        <v>0</v>
      </c>
      <c r="AA319" s="459">
        <v>0</v>
      </c>
      <c r="AB319" s="459">
        <v>0</v>
      </c>
      <c r="AC319" s="459">
        <v>0</v>
      </c>
      <c r="AD319" s="459">
        <v>0</v>
      </c>
      <c r="AE319" s="459">
        <v>275.39999999999998</v>
      </c>
      <c r="AF319" s="458">
        <f>6238.91*AE319/I319</f>
        <v>3236.3831493689959</v>
      </c>
      <c r="AG319" s="459">
        <v>0</v>
      </c>
      <c r="AH319" s="458">
        <v>0</v>
      </c>
      <c r="AI319" s="459">
        <v>0</v>
      </c>
      <c r="AJ319" s="458">
        <v>0</v>
      </c>
      <c r="AK319" s="459">
        <v>0</v>
      </c>
      <c r="AL319" s="459">
        <v>0</v>
      </c>
      <c r="AM319" s="459">
        <v>0</v>
      </c>
      <c r="AN319" s="459"/>
      <c r="AO319" s="459">
        <v>0</v>
      </c>
      <c r="AP319" s="460"/>
      <c r="AQ319" s="460"/>
      <c r="AR319" s="460"/>
      <c r="AS319" s="460"/>
      <c r="AT319" s="460"/>
      <c r="AU319" s="460"/>
      <c r="AV319" s="460"/>
      <c r="AW319" s="460"/>
      <c r="AX319" s="460"/>
      <c r="AY319" s="460"/>
      <c r="AZ319" s="460"/>
      <c r="BA319" s="460"/>
      <c r="BB319" s="460"/>
      <c r="BC319" s="460"/>
      <c r="BD319" s="460"/>
      <c r="BE319" s="460"/>
      <c r="BF319" s="460"/>
      <c r="BG319" s="460"/>
      <c r="BH319" s="460"/>
      <c r="BI319" s="460"/>
      <c r="BJ319" s="460"/>
      <c r="BK319" s="460"/>
      <c r="BL319" s="460"/>
      <c r="BM319" s="460"/>
      <c r="BN319" s="460"/>
      <c r="BO319" s="460"/>
      <c r="BP319" s="460"/>
      <c r="BQ319" s="460"/>
      <c r="BR319" s="460"/>
      <c r="BS319" s="460"/>
      <c r="BT319" s="460"/>
      <c r="BU319" s="460"/>
      <c r="BV319" s="460"/>
      <c r="BW319" s="460"/>
      <c r="BX319" s="460"/>
      <c r="BY319" s="460"/>
      <c r="BZ319" s="460"/>
      <c r="CA319" s="460"/>
      <c r="CB319" s="460"/>
      <c r="CC319" s="460"/>
      <c r="CD319" s="460"/>
      <c r="CE319" s="460"/>
      <c r="CF319" s="460"/>
      <c r="CG319" s="460"/>
      <c r="CH319" s="460"/>
      <c r="CI319" s="460"/>
      <c r="CJ319" s="460"/>
      <c r="CK319" s="460"/>
    </row>
    <row r="320" spans="1:89" s="329" customFormat="1" ht="36" customHeight="1" x14ac:dyDescent="0.25">
      <c r="A320" s="329">
        <v>1</v>
      </c>
      <c r="B320" s="39">
        <f>SUBTOTAL(103,$A$16:A320)</f>
        <v>291</v>
      </c>
      <c r="C320" s="33" t="s">
        <v>1034</v>
      </c>
      <c r="D320" s="330" t="s">
        <v>2056</v>
      </c>
      <c r="E320" s="330"/>
      <c r="F320" s="331" t="s">
        <v>48</v>
      </c>
      <c r="G320" s="330">
        <v>2</v>
      </c>
      <c r="H320" s="330" t="s">
        <v>56</v>
      </c>
      <c r="I320" s="38">
        <v>169.5</v>
      </c>
      <c r="J320" s="38">
        <v>169.5</v>
      </c>
      <c r="K320" s="38">
        <v>169.5</v>
      </c>
      <c r="L320" s="332">
        <v>29</v>
      </c>
      <c r="M320" s="330" t="s">
        <v>46</v>
      </c>
      <c r="N320" s="330" t="s">
        <v>47</v>
      </c>
      <c r="O320" s="333" t="s">
        <v>49</v>
      </c>
      <c r="P320" s="38">
        <v>1654659.73</v>
      </c>
      <c r="Q320" s="38">
        <v>0</v>
      </c>
      <c r="R320" s="38">
        <v>0</v>
      </c>
      <c r="S320" s="38">
        <f>P320-R320-Q320</f>
        <v>1654659.73</v>
      </c>
      <c r="T320" s="38">
        <f t="shared" si="32"/>
        <v>9762.00430678466</v>
      </c>
      <c r="U320" s="38">
        <v>12723.513008849557</v>
      </c>
      <c r="V320" s="458">
        <f t="shared" si="33"/>
        <v>2961.5087020648971</v>
      </c>
      <c r="W320" s="458">
        <f t="shared" si="40"/>
        <v>12680.262507374631</v>
      </c>
      <c r="X320" s="458">
        <v>0</v>
      </c>
      <c r="Y320" s="459">
        <v>0</v>
      </c>
      <c r="Z320" s="459">
        <v>0</v>
      </c>
      <c r="AA320" s="459">
        <v>0</v>
      </c>
      <c r="AB320" s="459">
        <v>0</v>
      </c>
      <c r="AC320" s="459">
        <v>0</v>
      </c>
      <c r="AD320" s="459">
        <v>0</v>
      </c>
      <c r="AE320" s="459">
        <v>344.5</v>
      </c>
      <c r="AF320" s="458">
        <f>6238.91*AE320/I320</f>
        <v>12680.262507374631</v>
      </c>
      <c r="AG320" s="459">
        <v>0</v>
      </c>
      <c r="AH320" s="458">
        <v>0</v>
      </c>
      <c r="AI320" s="459">
        <v>0</v>
      </c>
      <c r="AJ320" s="458">
        <v>0</v>
      </c>
      <c r="AK320" s="459">
        <v>0</v>
      </c>
      <c r="AL320" s="459">
        <v>0</v>
      </c>
      <c r="AM320" s="459">
        <v>0</v>
      </c>
      <c r="AN320" s="459"/>
      <c r="AO320" s="459">
        <v>0</v>
      </c>
      <c r="AP320" s="460"/>
      <c r="AQ320" s="460"/>
      <c r="AR320" s="460"/>
      <c r="AS320" s="460"/>
      <c r="AT320" s="460"/>
      <c r="AU320" s="460"/>
      <c r="AV320" s="460"/>
      <c r="AW320" s="460"/>
      <c r="AX320" s="460"/>
      <c r="AY320" s="460"/>
      <c r="AZ320" s="460"/>
      <c r="BA320" s="460"/>
      <c r="BB320" s="460"/>
      <c r="BC320" s="460"/>
      <c r="BD320" s="460"/>
      <c r="BE320" s="460"/>
      <c r="BF320" s="460"/>
      <c r="BG320" s="460"/>
      <c r="BH320" s="460"/>
      <c r="BI320" s="460"/>
      <c r="BJ320" s="460"/>
      <c r="BK320" s="460"/>
      <c r="BL320" s="460"/>
      <c r="BM320" s="460"/>
      <c r="BN320" s="460"/>
      <c r="BO320" s="460"/>
      <c r="BP320" s="460"/>
      <c r="BQ320" s="460"/>
      <c r="BR320" s="460"/>
      <c r="BS320" s="460"/>
      <c r="BT320" s="460"/>
      <c r="BU320" s="460"/>
      <c r="BV320" s="460"/>
      <c r="BW320" s="460"/>
      <c r="BX320" s="460"/>
      <c r="BY320" s="460"/>
      <c r="BZ320" s="460"/>
      <c r="CA320" s="460"/>
      <c r="CB320" s="460"/>
      <c r="CC320" s="460"/>
      <c r="CD320" s="460"/>
      <c r="CE320" s="460"/>
      <c r="CF320" s="460"/>
      <c r="CG320" s="460"/>
      <c r="CH320" s="460"/>
      <c r="CI320" s="460"/>
      <c r="CJ320" s="460"/>
      <c r="CK320" s="460"/>
    </row>
    <row r="321" spans="1:89" s="329" customFormat="1" ht="36" customHeight="1" x14ac:dyDescent="0.25">
      <c r="B321" s="33" t="s">
        <v>101</v>
      </c>
      <c r="C321" s="462"/>
      <c r="D321" s="330" t="s">
        <v>131</v>
      </c>
      <c r="E321" s="330" t="s">
        <v>131</v>
      </c>
      <c r="F321" s="330" t="s">
        <v>131</v>
      </c>
      <c r="G321" s="330" t="s">
        <v>131</v>
      </c>
      <c r="H321" s="330" t="s">
        <v>131</v>
      </c>
      <c r="I321" s="334">
        <f>SUM(I322:I337)</f>
        <v>12766.299999999997</v>
      </c>
      <c r="J321" s="334">
        <f>SUM(J322:J337)</f>
        <v>11356.699999999999</v>
      </c>
      <c r="K321" s="334">
        <f>SUM(K322:K337)</f>
        <v>10304.099999999999</v>
      </c>
      <c r="L321" s="332">
        <f>SUM(L322:L337)</f>
        <v>777</v>
      </c>
      <c r="M321" s="330" t="s">
        <v>131</v>
      </c>
      <c r="N321" s="330" t="s">
        <v>131</v>
      </c>
      <c r="O321" s="333" t="s">
        <v>131</v>
      </c>
      <c r="P321" s="334">
        <v>23747458.66</v>
      </c>
      <c r="Q321" s="334">
        <f>SUM(Q322:Q337)</f>
        <v>0</v>
      </c>
      <c r="R321" s="334">
        <f>SUM(R322:R337)</f>
        <v>0</v>
      </c>
      <c r="S321" s="334">
        <f>SUM(S322:S337)</f>
        <v>23747458.66</v>
      </c>
      <c r="T321" s="38">
        <f t="shared" si="32"/>
        <v>1860.1676805339062</v>
      </c>
      <c r="U321" s="38">
        <f>MAX(U322:U337)</f>
        <v>7701.696592298289</v>
      </c>
      <c r="V321" s="458">
        <f t="shared" si="33"/>
        <v>5841.5289117643824</v>
      </c>
      <c r="W321" s="458"/>
      <c r="X321" s="458"/>
      <c r="Y321" s="459"/>
      <c r="Z321" s="459"/>
      <c r="AA321" s="459"/>
      <c r="AB321" s="459"/>
      <c r="AC321" s="459"/>
      <c r="AD321" s="459"/>
      <c r="AE321" s="459"/>
      <c r="AF321" s="459"/>
      <c r="AG321" s="459"/>
      <c r="AH321" s="459"/>
      <c r="AI321" s="459"/>
      <c r="AJ321" s="459"/>
      <c r="AK321" s="459"/>
      <c r="AL321" s="459"/>
      <c r="AM321" s="459"/>
      <c r="AN321" s="459"/>
      <c r="AO321" s="459"/>
      <c r="AP321" s="460"/>
      <c r="AQ321" s="460"/>
      <c r="AR321" s="460"/>
      <c r="AS321" s="460"/>
      <c r="AT321" s="460"/>
      <c r="AU321" s="460"/>
      <c r="AV321" s="460"/>
      <c r="AW321" s="460"/>
      <c r="AX321" s="460"/>
      <c r="AY321" s="460"/>
      <c r="AZ321" s="460"/>
      <c r="BA321" s="460"/>
      <c r="BB321" s="460"/>
      <c r="BC321" s="460"/>
      <c r="BD321" s="460"/>
      <c r="BE321" s="460"/>
      <c r="BF321" s="460"/>
      <c r="BG321" s="460"/>
      <c r="BH321" s="460"/>
      <c r="BI321" s="460"/>
      <c r="BJ321" s="460"/>
      <c r="BK321" s="460"/>
      <c r="BL321" s="460"/>
      <c r="BM321" s="460"/>
      <c r="BN321" s="460"/>
      <c r="BO321" s="460"/>
      <c r="BP321" s="460"/>
      <c r="BQ321" s="460"/>
      <c r="BR321" s="460"/>
      <c r="BS321" s="460"/>
      <c r="BT321" s="460"/>
      <c r="BU321" s="460"/>
      <c r="BV321" s="460"/>
      <c r="BW321" s="460"/>
      <c r="BX321" s="460"/>
      <c r="BY321" s="460"/>
      <c r="BZ321" s="460"/>
      <c r="CA321" s="460"/>
      <c r="CB321" s="460"/>
      <c r="CC321" s="460"/>
      <c r="CD321" s="460"/>
      <c r="CE321" s="460"/>
      <c r="CF321" s="460"/>
      <c r="CG321" s="460"/>
      <c r="CH321" s="460"/>
      <c r="CI321" s="460"/>
      <c r="CJ321" s="460"/>
      <c r="CK321" s="460"/>
    </row>
    <row r="322" spans="1:89" s="329" customFormat="1" ht="36" customHeight="1" x14ac:dyDescent="0.25">
      <c r="A322" s="329">
        <v>1</v>
      </c>
      <c r="B322" s="39">
        <f>SUBTOTAL(103,$A$16:A322)</f>
        <v>292</v>
      </c>
      <c r="C322" s="33" t="s">
        <v>1286</v>
      </c>
      <c r="D322" s="330">
        <v>1970</v>
      </c>
      <c r="E322" s="330"/>
      <c r="F322" s="331" t="s">
        <v>48</v>
      </c>
      <c r="G322" s="330">
        <v>2</v>
      </c>
      <c r="H322" s="330" t="s">
        <v>57</v>
      </c>
      <c r="I322" s="38">
        <v>404.7</v>
      </c>
      <c r="J322" s="38">
        <v>372.6</v>
      </c>
      <c r="K322" s="38">
        <v>372.6</v>
      </c>
      <c r="L322" s="332">
        <v>20</v>
      </c>
      <c r="M322" s="330" t="s">
        <v>46</v>
      </c>
      <c r="N322" s="330" t="s">
        <v>50</v>
      </c>
      <c r="O322" s="333" t="s">
        <v>69</v>
      </c>
      <c r="P322" s="38">
        <v>1420092.6900000002</v>
      </c>
      <c r="Q322" s="38">
        <v>0</v>
      </c>
      <c r="R322" s="38">
        <v>0</v>
      </c>
      <c r="S322" s="38">
        <f t="shared" ref="S322:S333" si="41">P322-Q322-R322</f>
        <v>1420092.6900000002</v>
      </c>
      <c r="T322" s="38">
        <f t="shared" si="32"/>
        <v>3509.0009636767982</v>
      </c>
      <c r="U322" s="38">
        <v>5305.7701260192734</v>
      </c>
      <c r="V322" s="458">
        <f t="shared" si="33"/>
        <v>1796.7691623424753</v>
      </c>
      <c r="W322" s="458">
        <f t="shared" ref="W322:W337" si="42">X322+Y322+Z322+AA322+AB322+AD322+AF322+AH322+AJ322+AL322+AN322+AO322</f>
        <v>4913.1223548307389</v>
      </c>
      <c r="X322" s="458">
        <v>0</v>
      </c>
      <c r="Y322" s="459">
        <v>0</v>
      </c>
      <c r="Z322" s="459">
        <v>0</v>
      </c>
      <c r="AA322" s="459">
        <v>0</v>
      </c>
      <c r="AB322" s="459">
        <v>0</v>
      </c>
      <c r="AC322" s="459">
        <v>0</v>
      </c>
      <c r="AD322" s="459">
        <v>0</v>
      </c>
      <c r="AE322" s="459">
        <v>318.7</v>
      </c>
      <c r="AF322" s="458">
        <f>6238.91*AE322/I322</f>
        <v>4913.1223548307389</v>
      </c>
      <c r="AG322" s="459">
        <v>0</v>
      </c>
      <c r="AH322" s="458">
        <v>0</v>
      </c>
      <c r="AI322" s="459">
        <v>0</v>
      </c>
      <c r="AJ322" s="458">
        <v>0</v>
      </c>
      <c r="AK322" s="459">
        <v>0</v>
      </c>
      <c r="AL322" s="459">
        <v>0</v>
      </c>
      <c r="AM322" s="459">
        <v>0</v>
      </c>
      <c r="AN322" s="459"/>
      <c r="AO322" s="459">
        <v>0</v>
      </c>
      <c r="AP322" s="460"/>
      <c r="AQ322" s="460"/>
      <c r="AR322" s="460"/>
      <c r="AS322" s="460"/>
      <c r="AT322" s="460"/>
      <c r="AU322" s="460"/>
      <c r="AV322" s="460"/>
      <c r="AW322" s="460"/>
      <c r="AX322" s="460"/>
      <c r="AY322" s="460"/>
      <c r="AZ322" s="460"/>
      <c r="BA322" s="460"/>
      <c r="BB322" s="460"/>
      <c r="BC322" s="460"/>
      <c r="BD322" s="460"/>
      <c r="BE322" s="460"/>
      <c r="BF322" s="460"/>
      <c r="BG322" s="460"/>
      <c r="BH322" s="460"/>
      <c r="BI322" s="460"/>
      <c r="BJ322" s="460"/>
      <c r="BK322" s="460"/>
      <c r="BL322" s="460"/>
      <c r="BM322" s="460"/>
      <c r="BN322" s="460"/>
      <c r="BO322" s="460"/>
      <c r="BP322" s="460"/>
      <c r="BQ322" s="460"/>
      <c r="BR322" s="460"/>
      <c r="BS322" s="460"/>
      <c r="BT322" s="460"/>
      <c r="BU322" s="460"/>
      <c r="BV322" s="460"/>
      <c r="BW322" s="460"/>
      <c r="BX322" s="460"/>
      <c r="BY322" s="460"/>
      <c r="BZ322" s="460"/>
      <c r="CA322" s="460"/>
      <c r="CB322" s="460"/>
      <c r="CC322" s="460"/>
      <c r="CD322" s="460"/>
      <c r="CE322" s="460"/>
      <c r="CF322" s="460"/>
      <c r="CG322" s="460"/>
      <c r="CH322" s="460"/>
      <c r="CI322" s="460"/>
      <c r="CJ322" s="460"/>
      <c r="CK322" s="460"/>
    </row>
    <row r="323" spans="1:89" s="329" customFormat="1" ht="36" customHeight="1" x14ac:dyDescent="0.25">
      <c r="A323" s="329">
        <v>1</v>
      </c>
      <c r="B323" s="39">
        <f>SUBTOTAL(103,$A$16:A323)</f>
        <v>293</v>
      </c>
      <c r="C323" s="33" t="s">
        <v>1287</v>
      </c>
      <c r="D323" s="330">
        <v>1964</v>
      </c>
      <c r="E323" s="330"/>
      <c r="F323" s="331" t="s">
        <v>48</v>
      </c>
      <c r="G323" s="330">
        <v>2</v>
      </c>
      <c r="H323" s="330" t="s">
        <v>56</v>
      </c>
      <c r="I323" s="38">
        <v>645.4</v>
      </c>
      <c r="J323" s="38">
        <v>597.4</v>
      </c>
      <c r="K323" s="38">
        <v>597.4</v>
      </c>
      <c r="L323" s="332">
        <v>42</v>
      </c>
      <c r="M323" s="330" t="s">
        <v>46</v>
      </c>
      <c r="N323" s="330" t="s">
        <v>50</v>
      </c>
      <c r="O323" s="333" t="s">
        <v>2057</v>
      </c>
      <c r="P323" s="38">
        <v>93019.16</v>
      </c>
      <c r="Q323" s="38">
        <v>0</v>
      </c>
      <c r="R323" s="38">
        <v>0</v>
      </c>
      <c r="S323" s="38">
        <f t="shared" si="41"/>
        <v>93019.16</v>
      </c>
      <c r="T323" s="38">
        <f t="shared" si="32"/>
        <v>144.12637124264023</v>
      </c>
      <c r="U323" s="38">
        <v>133.82190889370935</v>
      </c>
      <c r="V323" s="458">
        <f t="shared" si="33"/>
        <v>-10.304462348930883</v>
      </c>
      <c r="W323" s="458">
        <f t="shared" si="42"/>
        <v>5184.5478462968704</v>
      </c>
      <c r="X323" s="458">
        <v>0</v>
      </c>
      <c r="Y323" s="459">
        <v>0</v>
      </c>
      <c r="Z323" s="459">
        <v>0</v>
      </c>
      <c r="AA323" s="459">
        <v>0</v>
      </c>
      <c r="AB323" s="459">
        <v>0</v>
      </c>
      <c r="AC323" s="459">
        <v>0</v>
      </c>
      <c r="AD323" s="459">
        <v>0</v>
      </c>
      <c r="AE323" s="459">
        <v>0</v>
      </c>
      <c r="AF323" s="458">
        <v>0</v>
      </c>
      <c r="AG323" s="459">
        <v>0</v>
      </c>
      <c r="AH323" s="458">
        <v>0</v>
      </c>
      <c r="AI323" s="459">
        <v>449.8</v>
      </c>
      <c r="AJ323" s="458">
        <f>7439.1*AI323/I323</f>
        <v>5184.5478462968704</v>
      </c>
      <c r="AK323" s="459">
        <v>0</v>
      </c>
      <c r="AL323" s="459">
        <v>0</v>
      </c>
      <c r="AM323" s="459">
        <v>0</v>
      </c>
      <c r="AN323" s="459"/>
      <c r="AO323" s="459">
        <v>0</v>
      </c>
      <c r="AP323" s="460"/>
      <c r="AQ323" s="460"/>
      <c r="AR323" s="460"/>
      <c r="AS323" s="460"/>
      <c r="AT323" s="460"/>
      <c r="AU323" s="460"/>
      <c r="AV323" s="460"/>
      <c r="AW323" s="460"/>
      <c r="AX323" s="460"/>
      <c r="AY323" s="460"/>
      <c r="AZ323" s="460"/>
      <c r="BA323" s="460"/>
      <c r="BB323" s="460"/>
      <c r="BC323" s="460"/>
      <c r="BD323" s="460"/>
      <c r="BE323" s="460"/>
      <c r="BF323" s="460"/>
      <c r="BG323" s="460"/>
      <c r="BH323" s="460"/>
      <c r="BI323" s="460"/>
      <c r="BJ323" s="460"/>
      <c r="BK323" s="460"/>
      <c r="BL323" s="460"/>
      <c r="BM323" s="460"/>
      <c r="BN323" s="460"/>
      <c r="BO323" s="460"/>
      <c r="BP323" s="460"/>
      <c r="BQ323" s="460"/>
      <c r="BR323" s="460"/>
      <c r="BS323" s="460"/>
      <c r="BT323" s="460"/>
      <c r="BU323" s="460"/>
      <c r="BV323" s="460"/>
      <c r="BW323" s="460"/>
      <c r="BX323" s="460"/>
      <c r="BY323" s="460"/>
      <c r="BZ323" s="460"/>
      <c r="CA323" s="460"/>
      <c r="CB323" s="460"/>
      <c r="CC323" s="460"/>
      <c r="CD323" s="460"/>
      <c r="CE323" s="460"/>
      <c r="CF323" s="460"/>
      <c r="CG323" s="460"/>
      <c r="CH323" s="460"/>
      <c r="CI323" s="460"/>
      <c r="CJ323" s="460"/>
      <c r="CK323" s="460"/>
    </row>
    <row r="324" spans="1:89" s="329" customFormat="1" ht="36" customHeight="1" x14ac:dyDescent="0.25">
      <c r="A324" s="329">
        <v>1</v>
      </c>
      <c r="B324" s="39">
        <f>SUBTOTAL(103,$A$16:A324)</f>
        <v>294</v>
      </c>
      <c r="C324" s="33" t="s">
        <v>1288</v>
      </c>
      <c r="D324" s="330">
        <v>1961</v>
      </c>
      <c r="E324" s="330"/>
      <c r="F324" s="331" t="s">
        <v>70</v>
      </c>
      <c r="G324" s="330">
        <v>2</v>
      </c>
      <c r="H324" s="330" t="s">
        <v>56</v>
      </c>
      <c r="I324" s="38">
        <v>605.1</v>
      </c>
      <c r="J324" s="38">
        <v>560.20000000000005</v>
      </c>
      <c r="K324" s="38">
        <v>560.20000000000005</v>
      </c>
      <c r="L324" s="332">
        <v>35</v>
      </c>
      <c r="M324" s="330" t="s">
        <v>46</v>
      </c>
      <c r="N324" s="330" t="s">
        <v>50</v>
      </c>
      <c r="O324" s="333" t="s">
        <v>69</v>
      </c>
      <c r="P324" s="38">
        <v>2317822.98</v>
      </c>
      <c r="Q324" s="38">
        <v>0</v>
      </c>
      <c r="R324" s="38">
        <v>0</v>
      </c>
      <c r="S324" s="38">
        <f t="shared" si="41"/>
        <v>2317822.98</v>
      </c>
      <c r="T324" s="38">
        <f t="shared" si="32"/>
        <v>3830.4792265741198</v>
      </c>
      <c r="U324" s="38">
        <v>4803.5138274665342</v>
      </c>
      <c r="V324" s="458">
        <f t="shared" si="33"/>
        <v>973.03460089241435</v>
      </c>
      <c r="W324" s="458">
        <f t="shared" si="42"/>
        <v>4787.1854453809292</v>
      </c>
      <c r="X324" s="458">
        <v>0</v>
      </c>
      <c r="Y324" s="459">
        <v>0</v>
      </c>
      <c r="Z324" s="459">
        <v>0</v>
      </c>
      <c r="AA324" s="459">
        <v>0</v>
      </c>
      <c r="AB324" s="459">
        <v>0</v>
      </c>
      <c r="AC324" s="459">
        <v>0</v>
      </c>
      <c r="AD324" s="459">
        <v>0</v>
      </c>
      <c r="AE324" s="459">
        <v>464.3</v>
      </c>
      <c r="AF324" s="458">
        <f>6238.91*AE324/I324</f>
        <v>4787.1854453809292</v>
      </c>
      <c r="AG324" s="459">
        <v>0</v>
      </c>
      <c r="AH324" s="458">
        <v>0</v>
      </c>
      <c r="AI324" s="459">
        <v>0</v>
      </c>
      <c r="AJ324" s="458">
        <v>0</v>
      </c>
      <c r="AK324" s="459">
        <v>0</v>
      </c>
      <c r="AL324" s="459">
        <v>0</v>
      </c>
      <c r="AM324" s="459">
        <v>0</v>
      </c>
      <c r="AN324" s="459"/>
      <c r="AO324" s="459">
        <v>0</v>
      </c>
      <c r="AP324" s="460"/>
      <c r="AQ324" s="460"/>
      <c r="AR324" s="460"/>
      <c r="AS324" s="460"/>
      <c r="AT324" s="460"/>
      <c r="AU324" s="460"/>
      <c r="AV324" s="460"/>
      <c r="AW324" s="460"/>
      <c r="AX324" s="460"/>
      <c r="AY324" s="460"/>
      <c r="AZ324" s="460"/>
      <c r="BA324" s="460"/>
      <c r="BB324" s="460"/>
      <c r="BC324" s="460"/>
      <c r="BD324" s="460"/>
      <c r="BE324" s="460"/>
      <c r="BF324" s="460"/>
      <c r="BG324" s="460"/>
      <c r="BH324" s="460"/>
      <c r="BI324" s="460"/>
      <c r="BJ324" s="460"/>
      <c r="BK324" s="460"/>
      <c r="BL324" s="460"/>
      <c r="BM324" s="460"/>
      <c r="BN324" s="460"/>
      <c r="BO324" s="460"/>
      <c r="BP324" s="460"/>
      <c r="BQ324" s="460"/>
      <c r="BR324" s="460"/>
      <c r="BS324" s="460"/>
      <c r="BT324" s="460"/>
      <c r="BU324" s="460"/>
      <c r="BV324" s="460"/>
      <c r="BW324" s="460"/>
      <c r="BX324" s="460"/>
      <c r="BY324" s="460"/>
      <c r="BZ324" s="460"/>
      <c r="CA324" s="460"/>
      <c r="CB324" s="460"/>
      <c r="CC324" s="460"/>
      <c r="CD324" s="460"/>
      <c r="CE324" s="460"/>
      <c r="CF324" s="460"/>
      <c r="CG324" s="460"/>
      <c r="CH324" s="460"/>
      <c r="CI324" s="460"/>
      <c r="CJ324" s="460"/>
      <c r="CK324" s="460"/>
    </row>
    <row r="325" spans="1:89" s="329" customFormat="1" ht="36" customHeight="1" x14ac:dyDescent="0.25">
      <c r="A325" s="329">
        <v>1</v>
      </c>
      <c r="B325" s="39">
        <f>SUBTOTAL(103,$A$16:A325)</f>
        <v>295</v>
      </c>
      <c r="C325" s="33" t="s">
        <v>1289</v>
      </c>
      <c r="D325" s="330">
        <v>1963</v>
      </c>
      <c r="E325" s="330"/>
      <c r="F325" s="331" t="s">
        <v>48</v>
      </c>
      <c r="G325" s="330">
        <v>2</v>
      </c>
      <c r="H325" s="330" t="s">
        <v>57</v>
      </c>
      <c r="I325" s="38">
        <v>336.7</v>
      </c>
      <c r="J325" s="38">
        <v>304.3</v>
      </c>
      <c r="K325" s="38">
        <v>304.3</v>
      </c>
      <c r="L325" s="332">
        <v>15</v>
      </c>
      <c r="M325" s="330" t="s">
        <v>46</v>
      </c>
      <c r="N325" s="330" t="s">
        <v>50</v>
      </c>
      <c r="O325" s="333" t="s">
        <v>69</v>
      </c>
      <c r="P325" s="38">
        <v>48252.34</v>
      </c>
      <c r="Q325" s="38">
        <v>0</v>
      </c>
      <c r="R325" s="38">
        <v>0</v>
      </c>
      <c r="S325" s="38">
        <f t="shared" si="41"/>
        <v>48252.34</v>
      </c>
      <c r="T325" s="38">
        <f t="shared" si="32"/>
        <v>143.3095931095931</v>
      </c>
      <c r="U325" s="38">
        <v>163.06159786159785</v>
      </c>
      <c r="V325" s="458">
        <f t="shared" si="33"/>
        <v>19.752004752004751</v>
      </c>
      <c r="W325" s="458">
        <f t="shared" si="42"/>
        <v>5021.516513216513</v>
      </c>
      <c r="X325" s="458">
        <v>0</v>
      </c>
      <c r="Y325" s="459">
        <v>0</v>
      </c>
      <c r="Z325" s="459">
        <v>0</v>
      </c>
      <c r="AA325" s="459">
        <v>0</v>
      </c>
      <c r="AB325" s="459">
        <v>0</v>
      </c>
      <c r="AC325" s="459">
        <v>0</v>
      </c>
      <c r="AD325" s="459">
        <v>0</v>
      </c>
      <c r="AE325" s="459">
        <v>271</v>
      </c>
      <c r="AF325" s="458">
        <f>6238.91*AE325/I325</f>
        <v>5021.516513216513</v>
      </c>
      <c r="AG325" s="459">
        <v>0</v>
      </c>
      <c r="AH325" s="458">
        <v>0</v>
      </c>
      <c r="AI325" s="459">
        <v>0</v>
      </c>
      <c r="AJ325" s="458">
        <v>0</v>
      </c>
      <c r="AK325" s="459">
        <v>0</v>
      </c>
      <c r="AL325" s="459">
        <v>0</v>
      </c>
      <c r="AM325" s="459">
        <v>0</v>
      </c>
      <c r="AN325" s="459"/>
      <c r="AO325" s="459">
        <v>0</v>
      </c>
      <c r="AP325" s="460"/>
      <c r="AQ325" s="460"/>
      <c r="AR325" s="460"/>
      <c r="AS325" s="460"/>
      <c r="AT325" s="460"/>
      <c r="AU325" s="460"/>
      <c r="AV325" s="460"/>
      <c r="AW325" s="460"/>
      <c r="AX325" s="460"/>
      <c r="AY325" s="460"/>
      <c r="AZ325" s="460"/>
      <c r="BA325" s="460"/>
      <c r="BB325" s="460"/>
      <c r="BC325" s="460"/>
      <c r="BD325" s="460"/>
      <c r="BE325" s="460"/>
      <c r="BF325" s="460"/>
      <c r="BG325" s="460"/>
      <c r="BH325" s="460"/>
      <c r="BI325" s="460"/>
      <c r="BJ325" s="460"/>
      <c r="BK325" s="460"/>
      <c r="BL325" s="460"/>
      <c r="BM325" s="460"/>
      <c r="BN325" s="460"/>
      <c r="BO325" s="460"/>
      <c r="BP325" s="460"/>
      <c r="BQ325" s="460"/>
      <c r="BR325" s="460"/>
      <c r="BS325" s="460"/>
      <c r="BT325" s="460"/>
      <c r="BU325" s="460"/>
      <c r="BV325" s="460"/>
      <c r="BW325" s="460"/>
      <c r="BX325" s="460"/>
      <c r="BY325" s="460"/>
      <c r="BZ325" s="460"/>
      <c r="CA325" s="460"/>
      <c r="CB325" s="460"/>
      <c r="CC325" s="460"/>
      <c r="CD325" s="460"/>
      <c r="CE325" s="460"/>
      <c r="CF325" s="460"/>
      <c r="CG325" s="460"/>
      <c r="CH325" s="460"/>
      <c r="CI325" s="460"/>
      <c r="CJ325" s="460"/>
      <c r="CK325" s="460"/>
    </row>
    <row r="326" spans="1:89" s="329" customFormat="1" ht="36" customHeight="1" x14ac:dyDescent="0.25">
      <c r="A326" s="329">
        <v>1</v>
      </c>
      <c r="B326" s="39">
        <f>SUBTOTAL(103,$A$16:A326)</f>
        <v>296</v>
      </c>
      <c r="C326" s="33" t="s">
        <v>1290</v>
      </c>
      <c r="D326" s="335">
        <v>1970</v>
      </c>
      <c r="E326" s="330"/>
      <c r="F326" s="331" t="s">
        <v>48</v>
      </c>
      <c r="G326" s="330">
        <v>2</v>
      </c>
      <c r="H326" s="330" t="s">
        <v>57</v>
      </c>
      <c r="I326" s="38">
        <v>351.6</v>
      </c>
      <c r="J326" s="38">
        <v>320.60000000000002</v>
      </c>
      <c r="K326" s="38">
        <v>320.60000000000002</v>
      </c>
      <c r="L326" s="332">
        <v>14</v>
      </c>
      <c r="M326" s="330" t="s">
        <v>46</v>
      </c>
      <c r="N326" s="330" t="s">
        <v>50</v>
      </c>
      <c r="O326" s="333" t="s">
        <v>2058</v>
      </c>
      <c r="P326" s="38">
        <v>1368172.96</v>
      </c>
      <c r="Q326" s="38">
        <v>0</v>
      </c>
      <c r="R326" s="38">
        <v>0</v>
      </c>
      <c r="S326" s="38">
        <f t="shared" si="41"/>
        <v>1368172.96</v>
      </c>
      <c r="T326" s="38">
        <f t="shared" si="32"/>
        <v>3891.2769055745161</v>
      </c>
      <c r="U326" s="38">
        <v>5275.9371467576784</v>
      </c>
      <c r="V326" s="458">
        <f t="shared" si="33"/>
        <v>1384.6602411831623</v>
      </c>
      <c r="W326" s="458">
        <f t="shared" si="42"/>
        <v>3711.7610745164957</v>
      </c>
      <c r="X326" s="458">
        <v>0</v>
      </c>
      <c r="Y326" s="459">
        <v>0</v>
      </c>
      <c r="Z326" s="459">
        <v>0</v>
      </c>
      <c r="AA326" s="459">
        <v>0</v>
      </c>
      <c r="AB326" s="459">
        <v>0</v>
      </c>
      <c r="AC326" s="459">
        <v>0</v>
      </c>
      <c r="AD326" s="459">
        <v>0</v>
      </c>
      <c r="AE326" s="459">
        <v>209.18</v>
      </c>
      <c r="AF326" s="458">
        <f>6238.91*AE326/I326</f>
        <v>3711.7610745164957</v>
      </c>
      <c r="AG326" s="459">
        <v>0</v>
      </c>
      <c r="AH326" s="458">
        <v>0</v>
      </c>
      <c r="AI326" s="459">
        <v>0</v>
      </c>
      <c r="AJ326" s="458">
        <v>0</v>
      </c>
      <c r="AK326" s="459">
        <v>0</v>
      </c>
      <c r="AL326" s="459">
        <v>0</v>
      </c>
      <c r="AM326" s="459">
        <v>0</v>
      </c>
      <c r="AN326" s="459"/>
      <c r="AO326" s="459">
        <v>0</v>
      </c>
      <c r="AP326" s="460"/>
      <c r="AQ326" s="460"/>
      <c r="AR326" s="460"/>
      <c r="AS326" s="460"/>
      <c r="AT326" s="460"/>
      <c r="AU326" s="460"/>
      <c r="AV326" s="460"/>
      <c r="AW326" s="460"/>
      <c r="AX326" s="460"/>
      <c r="AY326" s="460"/>
      <c r="AZ326" s="460"/>
      <c r="BA326" s="460"/>
      <c r="BB326" s="460"/>
      <c r="BC326" s="460"/>
      <c r="BD326" s="460"/>
      <c r="BE326" s="460"/>
      <c r="BF326" s="460"/>
      <c r="BG326" s="460"/>
      <c r="BH326" s="460"/>
      <c r="BI326" s="460"/>
      <c r="BJ326" s="460"/>
      <c r="BK326" s="460"/>
      <c r="BL326" s="460"/>
      <c r="BM326" s="460"/>
      <c r="BN326" s="460"/>
      <c r="BO326" s="460"/>
      <c r="BP326" s="460"/>
      <c r="BQ326" s="460"/>
      <c r="BR326" s="460"/>
      <c r="BS326" s="460"/>
      <c r="BT326" s="460"/>
      <c r="BU326" s="460"/>
      <c r="BV326" s="460"/>
      <c r="BW326" s="460"/>
      <c r="BX326" s="460"/>
      <c r="BY326" s="460"/>
      <c r="BZ326" s="460"/>
      <c r="CA326" s="460"/>
      <c r="CB326" s="460"/>
      <c r="CC326" s="460"/>
      <c r="CD326" s="460"/>
      <c r="CE326" s="460"/>
      <c r="CF326" s="460"/>
      <c r="CG326" s="460"/>
      <c r="CH326" s="460"/>
      <c r="CI326" s="460"/>
      <c r="CJ326" s="460"/>
      <c r="CK326" s="460"/>
    </row>
    <row r="327" spans="1:89" s="329" customFormat="1" ht="36" customHeight="1" x14ac:dyDescent="0.25">
      <c r="A327" s="329">
        <v>1</v>
      </c>
      <c r="B327" s="39">
        <f>SUBTOTAL(103,$A$16:A327)</f>
        <v>297</v>
      </c>
      <c r="C327" s="33" t="s">
        <v>1291</v>
      </c>
      <c r="D327" s="330">
        <v>1972</v>
      </c>
      <c r="E327" s="330"/>
      <c r="F327" s="331" t="s">
        <v>48</v>
      </c>
      <c r="G327" s="330">
        <v>2</v>
      </c>
      <c r="H327" s="330" t="s">
        <v>61</v>
      </c>
      <c r="I327" s="38">
        <v>899</v>
      </c>
      <c r="J327" s="38">
        <v>843.9</v>
      </c>
      <c r="K327" s="38">
        <v>843.9</v>
      </c>
      <c r="L327" s="332">
        <v>54</v>
      </c>
      <c r="M327" s="330" t="s">
        <v>46</v>
      </c>
      <c r="N327" s="330" t="s">
        <v>50</v>
      </c>
      <c r="O327" s="333" t="s">
        <v>69</v>
      </c>
      <c r="P327" s="38">
        <v>82017.66</v>
      </c>
      <c r="Q327" s="38">
        <v>0</v>
      </c>
      <c r="R327" s="38">
        <v>0</v>
      </c>
      <c r="S327" s="38">
        <f t="shared" si="41"/>
        <v>82017.66</v>
      </c>
      <c r="T327" s="38">
        <f t="shared" si="32"/>
        <v>91.232102335928815</v>
      </c>
      <c r="U327" s="38">
        <v>91.232102335928815</v>
      </c>
      <c r="V327" s="458">
        <f t="shared" si="33"/>
        <v>0</v>
      </c>
      <c r="W327" s="458">
        <f t="shared" si="42"/>
        <v>3743.346</v>
      </c>
      <c r="X327" s="458">
        <v>0</v>
      </c>
      <c r="Y327" s="459">
        <v>0</v>
      </c>
      <c r="Z327" s="459">
        <v>0</v>
      </c>
      <c r="AA327" s="459">
        <v>0</v>
      </c>
      <c r="AB327" s="459">
        <v>0</v>
      </c>
      <c r="AC327" s="459">
        <v>0</v>
      </c>
      <c r="AD327" s="459">
        <v>0</v>
      </c>
      <c r="AE327" s="459">
        <v>539.4</v>
      </c>
      <c r="AF327" s="458">
        <f>6238.91*AE327/I327</f>
        <v>3743.346</v>
      </c>
      <c r="AG327" s="459">
        <v>0</v>
      </c>
      <c r="AH327" s="458">
        <v>0</v>
      </c>
      <c r="AI327" s="459">
        <v>0</v>
      </c>
      <c r="AJ327" s="458">
        <v>0</v>
      </c>
      <c r="AK327" s="459">
        <v>0</v>
      </c>
      <c r="AL327" s="459">
        <v>0</v>
      </c>
      <c r="AM327" s="459">
        <v>0</v>
      </c>
      <c r="AN327" s="459"/>
      <c r="AO327" s="459">
        <v>0</v>
      </c>
      <c r="AP327" s="460"/>
      <c r="AQ327" s="460"/>
      <c r="AR327" s="460"/>
      <c r="AS327" s="460"/>
      <c r="AT327" s="460"/>
      <c r="AU327" s="460"/>
      <c r="AV327" s="460"/>
      <c r="AW327" s="460"/>
      <c r="AX327" s="460"/>
      <c r="AY327" s="460"/>
      <c r="AZ327" s="460"/>
      <c r="BA327" s="460"/>
      <c r="BB327" s="460"/>
      <c r="BC327" s="460"/>
      <c r="BD327" s="460"/>
      <c r="BE327" s="460"/>
      <c r="BF327" s="460"/>
      <c r="BG327" s="460"/>
      <c r="BH327" s="460"/>
      <c r="BI327" s="460"/>
      <c r="BJ327" s="460"/>
      <c r="BK327" s="460"/>
      <c r="BL327" s="460"/>
      <c r="BM327" s="460"/>
      <c r="BN327" s="460"/>
      <c r="BO327" s="460"/>
      <c r="BP327" s="460"/>
      <c r="BQ327" s="460"/>
      <c r="BR327" s="460"/>
      <c r="BS327" s="460"/>
      <c r="BT327" s="460"/>
      <c r="BU327" s="460"/>
      <c r="BV327" s="460"/>
      <c r="BW327" s="460"/>
      <c r="BX327" s="460"/>
      <c r="BY327" s="460"/>
      <c r="BZ327" s="460"/>
      <c r="CA327" s="460"/>
      <c r="CB327" s="460"/>
      <c r="CC327" s="460"/>
      <c r="CD327" s="460"/>
      <c r="CE327" s="460"/>
      <c r="CF327" s="460"/>
      <c r="CG327" s="460"/>
      <c r="CH327" s="460"/>
      <c r="CI327" s="460"/>
      <c r="CJ327" s="460"/>
      <c r="CK327" s="460"/>
    </row>
    <row r="328" spans="1:89" s="329" customFormat="1" ht="36" customHeight="1" x14ac:dyDescent="0.25">
      <c r="A328" s="329">
        <v>1</v>
      </c>
      <c r="B328" s="39">
        <f>SUBTOTAL(103,$A$16:A328)</f>
        <v>298</v>
      </c>
      <c r="C328" s="33" t="s">
        <v>1292</v>
      </c>
      <c r="D328" s="330">
        <v>1959</v>
      </c>
      <c r="E328" s="330"/>
      <c r="F328" s="331" t="s">
        <v>70</v>
      </c>
      <c r="G328" s="330">
        <v>2</v>
      </c>
      <c r="H328" s="330" t="s">
        <v>56</v>
      </c>
      <c r="I328" s="334">
        <v>654.4</v>
      </c>
      <c r="J328" s="334">
        <v>551.4</v>
      </c>
      <c r="K328" s="334">
        <v>551.4</v>
      </c>
      <c r="L328" s="332">
        <v>40</v>
      </c>
      <c r="M328" s="330" t="s">
        <v>46</v>
      </c>
      <c r="N328" s="330" t="s">
        <v>50</v>
      </c>
      <c r="O328" s="333" t="s">
        <v>2057</v>
      </c>
      <c r="P328" s="38">
        <v>2822499.7699999996</v>
      </c>
      <c r="Q328" s="38">
        <v>0</v>
      </c>
      <c r="R328" s="38">
        <v>0</v>
      </c>
      <c r="S328" s="38">
        <f t="shared" si="41"/>
        <v>2822499.7699999996</v>
      </c>
      <c r="T328" s="38">
        <f t="shared" si="32"/>
        <v>4313.1108954767724</v>
      </c>
      <c r="U328" s="38">
        <v>7701.696592298289</v>
      </c>
      <c r="V328" s="458">
        <f t="shared" si="33"/>
        <v>3388.5856968215166</v>
      </c>
      <c r="W328" s="458">
        <f t="shared" si="42"/>
        <v>6841.4995721271398</v>
      </c>
      <c r="X328" s="458">
        <v>0</v>
      </c>
      <c r="Y328" s="459">
        <v>0</v>
      </c>
      <c r="Z328" s="459">
        <v>0</v>
      </c>
      <c r="AA328" s="459">
        <v>0</v>
      </c>
      <c r="AB328" s="459">
        <v>0</v>
      </c>
      <c r="AC328" s="459">
        <v>0</v>
      </c>
      <c r="AD328" s="459">
        <v>0</v>
      </c>
      <c r="AE328" s="459">
        <v>0</v>
      </c>
      <c r="AF328" s="458">
        <v>0</v>
      </c>
      <c r="AG328" s="459">
        <v>0</v>
      </c>
      <c r="AH328" s="458">
        <v>0</v>
      </c>
      <c r="AI328" s="459">
        <v>0</v>
      </c>
      <c r="AJ328" s="458">
        <v>0</v>
      </c>
      <c r="AK328" s="459">
        <v>0</v>
      </c>
      <c r="AL328" s="459">
        <v>0</v>
      </c>
      <c r="AM328" s="459">
        <v>641</v>
      </c>
      <c r="AN328" s="459">
        <f>6984.52*AM328/I328</f>
        <v>6841.4995721271398</v>
      </c>
      <c r="AO328" s="459">
        <v>0</v>
      </c>
      <c r="AP328" s="460"/>
      <c r="AQ328" s="460"/>
      <c r="AR328" s="460"/>
      <c r="AS328" s="460"/>
      <c r="AT328" s="460"/>
      <c r="AU328" s="460"/>
      <c r="AV328" s="460"/>
      <c r="AW328" s="460"/>
      <c r="AX328" s="460"/>
      <c r="AY328" s="460"/>
      <c r="AZ328" s="460"/>
      <c r="BA328" s="460"/>
      <c r="BB328" s="460"/>
      <c r="BC328" s="460"/>
      <c r="BD328" s="460"/>
      <c r="BE328" s="460"/>
      <c r="BF328" s="460"/>
      <c r="BG328" s="460"/>
      <c r="BH328" s="460"/>
      <c r="BI328" s="460"/>
      <c r="BJ328" s="460"/>
      <c r="BK328" s="460"/>
      <c r="BL328" s="460"/>
      <c r="BM328" s="460"/>
      <c r="BN328" s="460"/>
      <c r="BO328" s="460"/>
      <c r="BP328" s="460"/>
      <c r="BQ328" s="460"/>
      <c r="BR328" s="460"/>
      <c r="BS328" s="460"/>
      <c r="BT328" s="460"/>
      <c r="BU328" s="460"/>
      <c r="BV328" s="460"/>
      <c r="BW328" s="460"/>
      <c r="BX328" s="460"/>
      <c r="BY328" s="460"/>
      <c r="BZ328" s="460"/>
      <c r="CA328" s="460"/>
      <c r="CB328" s="460"/>
      <c r="CC328" s="460"/>
      <c r="CD328" s="460"/>
      <c r="CE328" s="460"/>
      <c r="CF328" s="460"/>
      <c r="CG328" s="460"/>
      <c r="CH328" s="460"/>
      <c r="CI328" s="460"/>
      <c r="CJ328" s="460"/>
      <c r="CK328" s="460"/>
    </row>
    <row r="329" spans="1:89" s="329" customFormat="1" ht="36" customHeight="1" x14ac:dyDescent="0.25">
      <c r="A329" s="329">
        <v>1</v>
      </c>
      <c r="B329" s="39">
        <f>SUBTOTAL(103,$A$16:A329)</f>
        <v>299</v>
      </c>
      <c r="C329" s="33" t="s">
        <v>1293</v>
      </c>
      <c r="D329" s="330">
        <v>1977</v>
      </c>
      <c r="E329" s="330"/>
      <c r="F329" s="331" t="s">
        <v>48</v>
      </c>
      <c r="G329" s="330">
        <v>5</v>
      </c>
      <c r="H329" s="330" t="s">
        <v>57</v>
      </c>
      <c r="I329" s="38">
        <v>3019</v>
      </c>
      <c r="J329" s="38">
        <v>3019</v>
      </c>
      <c r="K329" s="38">
        <v>2048</v>
      </c>
      <c r="L329" s="332">
        <v>333</v>
      </c>
      <c r="M329" s="330" t="s">
        <v>46</v>
      </c>
      <c r="N329" s="330" t="s">
        <v>50</v>
      </c>
      <c r="O329" s="333" t="s">
        <v>2059</v>
      </c>
      <c r="P329" s="38">
        <v>2302494.9500000002</v>
      </c>
      <c r="Q329" s="38">
        <v>0</v>
      </c>
      <c r="R329" s="38">
        <v>0</v>
      </c>
      <c r="S329" s="38">
        <f t="shared" si="41"/>
        <v>2302494.9500000002</v>
      </c>
      <c r="T329" s="38">
        <f t="shared" si="32"/>
        <v>762.6680854587612</v>
      </c>
      <c r="U329" s="38">
        <v>810.46</v>
      </c>
      <c r="V329" s="458">
        <f t="shared" si="33"/>
        <v>47.791914541238839</v>
      </c>
      <c r="W329" s="458">
        <f t="shared" si="42"/>
        <v>1750.9997598542561</v>
      </c>
      <c r="X329" s="458">
        <v>0</v>
      </c>
      <c r="Y329" s="459">
        <v>0</v>
      </c>
      <c r="Z329" s="459">
        <v>0</v>
      </c>
      <c r="AA329" s="459">
        <v>0</v>
      </c>
      <c r="AB329" s="459">
        <v>0</v>
      </c>
      <c r="AC329" s="459">
        <v>0</v>
      </c>
      <c r="AD329" s="459">
        <v>0</v>
      </c>
      <c r="AE329" s="459">
        <v>0</v>
      </c>
      <c r="AF329" s="458">
        <v>0</v>
      </c>
      <c r="AG329" s="459">
        <v>0</v>
      </c>
      <c r="AH329" s="458">
        <v>0</v>
      </c>
      <c r="AI329" s="459">
        <v>677.5</v>
      </c>
      <c r="AJ329" s="458">
        <f>7802.61*AI329/I329</f>
        <v>1750.9997598542561</v>
      </c>
      <c r="AK329" s="459">
        <v>0</v>
      </c>
      <c r="AL329" s="459">
        <v>0</v>
      </c>
      <c r="AM329" s="459">
        <v>0</v>
      </c>
      <c r="AN329" s="459"/>
      <c r="AO329" s="459">
        <v>0</v>
      </c>
      <c r="AP329" s="460"/>
      <c r="AQ329" s="460"/>
      <c r="AR329" s="460"/>
      <c r="AS329" s="460"/>
      <c r="AT329" s="460"/>
      <c r="AU329" s="460"/>
      <c r="AV329" s="460"/>
      <c r="AW329" s="460"/>
      <c r="AX329" s="460"/>
      <c r="AY329" s="460"/>
      <c r="AZ329" s="460"/>
      <c r="BA329" s="460"/>
      <c r="BB329" s="460"/>
      <c r="BC329" s="460"/>
      <c r="BD329" s="460"/>
      <c r="BE329" s="460"/>
      <c r="BF329" s="460"/>
      <c r="BG329" s="460"/>
      <c r="BH329" s="460"/>
      <c r="BI329" s="460"/>
      <c r="BJ329" s="460"/>
      <c r="BK329" s="460"/>
      <c r="BL329" s="460"/>
      <c r="BM329" s="460"/>
      <c r="BN329" s="460"/>
      <c r="BO329" s="460"/>
      <c r="BP329" s="460"/>
      <c r="BQ329" s="460"/>
      <c r="BR329" s="460"/>
      <c r="BS329" s="460"/>
      <c r="BT329" s="460"/>
      <c r="BU329" s="460"/>
      <c r="BV329" s="460"/>
      <c r="BW329" s="460"/>
      <c r="BX329" s="460"/>
      <c r="BY329" s="460"/>
      <c r="BZ329" s="460"/>
      <c r="CA329" s="460"/>
      <c r="CB329" s="460"/>
      <c r="CC329" s="460"/>
      <c r="CD329" s="460"/>
      <c r="CE329" s="460"/>
      <c r="CF329" s="460"/>
      <c r="CG329" s="460"/>
      <c r="CH329" s="460"/>
      <c r="CI329" s="460"/>
      <c r="CJ329" s="460"/>
      <c r="CK329" s="460"/>
    </row>
    <row r="330" spans="1:89" s="329" customFormat="1" ht="36" customHeight="1" x14ac:dyDescent="0.25">
      <c r="A330" s="329">
        <v>1</v>
      </c>
      <c r="B330" s="39">
        <f>SUBTOTAL(103,$A$16:A330)</f>
        <v>300</v>
      </c>
      <c r="C330" s="33" t="s">
        <v>1294</v>
      </c>
      <c r="D330" s="330">
        <v>1951</v>
      </c>
      <c r="E330" s="330"/>
      <c r="F330" s="331" t="s">
        <v>70</v>
      </c>
      <c r="G330" s="330">
        <v>2</v>
      </c>
      <c r="H330" s="330" t="s">
        <v>56</v>
      </c>
      <c r="I330" s="38">
        <v>859.4</v>
      </c>
      <c r="J330" s="38">
        <v>812.4</v>
      </c>
      <c r="K330" s="38">
        <v>812.4</v>
      </c>
      <c r="L330" s="332">
        <v>38</v>
      </c>
      <c r="M330" s="330" t="s">
        <v>46</v>
      </c>
      <c r="N330" s="330" t="s">
        <v>50</v>
      </c>
      <c r="O330" s="333" t="s">
        <v>69</v>
      </c>
      <c r="P330" s="38">
        <v>2904879.9699999997</v>
      </c>
      <c r="Q330" s="38">
        <v>0</v>
      </c>
      <c r="R330" s="38">
        <v>0</v>
      </c>
      <c r="S330" s="38">
        <f t="shared" si="41"/>
        <v>2904879.9699999997</v>
      </c>
      <c r="T330" s="38">
        <f t="shared" si="32"/>
        <v>3380.1256341633698</v>
      </c>
      <c r="U330" s="38">
        <v>6535.3973702583198</v>
      </c>
      <c r="V330" s="458">
        <f t="shared" si="33"/>
        <v>3155.27173609495</v>
      </c>
      <c r="W330" s="458">
        <f t="shared" si="42"/>
        <v>1081.8399999999999</v>
      </c>
      <c r="X330" s="458">
        <v>101.55</v>
      </c>
      <c r="Y330" s="459">
        <v>0</v>
      </c>
      <c r="Z330" s="459">
        <v>0</v>
      </c>
      <c r="AA330" s="459">
        <v>184.98</v>
      </c>
      <c r="AB330" s="459">
        <v>795.31</v>
      </c>
      <c r="AC330" s="459">
        <v>0</v>
      </c>
      <c r="AD330" s="459">
        <v>0</v>
      </c>
      <c r="AE330" s="459">
        <v>0</v>
      </c>
      <c r="AF330" s="458">
        <v>0</v>
      </c>
      <c r="AG330" s="459">
        <v>0</v>
      </c>
      <c r="AH330" s="458">
        <v>0</v>
      </c>
      <c r="AI330" s="459">
        <v>0</v>
      </c>
      <c r="AJ330" s="458">
        <v>0</v>
      </c>
      <c r="AK330" s="459">
        <v>0</v>
      </c>
      <c r="AL330" s="459">
        <v>0</v>
      </c>
      <c r="AM330" s="459">
        <v>0</v>
      </c>
      <c r="AN330" s="459"/>
      <c r="AO330" s="459">
        <v>0</v>
      </c>
      <c r="AP330" s="460"/>
      <c r="AQ330" s="460"/>
      <c r="AR330" s="460"/>
      <c r="AS330" s="460"/>
      <c r="AT330" s="460"/>
      <c r="AU330" s="460"/>
      <c r="AV330" s="460"/>
      <c r="AW330" s="460"/>
      <c r="AX330" s="460"/>
      <c r="AY330" s="460"/>
      <c r="AZ330" s="460"/>
      <c r="BA330" s="460"/>
      <c r="BB330" s="460"/>
      <c r="BC330" s="460"/>
      <c r="BD330" s="460"/>
      <c r="BE330" s="460"/>
      <c r="BF330" s="460"/>
      <c r="BG330" s="460"/>
      <c r="BH330" s="460"/>
      <c r="BI330" s="460"/>
      <c r="BJ330" s="460"/>
      <c r="BK330" s="460"/>
      <c r="BL330" s="460"/>
      <c r="BM330" s="460"/>
      <c r="BN330" s="460"/>
      <c r="BO330" s="460"/>
      <c r="BP330" s="460"/>
      <c r="BQ330" s="460"/>
      <c r="BR330" s="460"/>
      <c r="BS330" s="460"/>
      <c r="BT330" s="460"/>
      <c r="BU330" s="460"/>
      <c r="BV330" s="460"/>
      <c r="BW330" s="460"/>
      <c r="BX330" s="460"/>
      <c r="BY330" s="460"/>
      <c r="BZ330" s="460"/>
      <c r="CA330" s="460"/>
      <c r="CB330" s="460"/>
      <c r="CC330" s="460"/>
      <c r="CD330" s="460"/>
      <c r="CE330" s="460"/>
      <c r="CF330" s="460"/>
      <c r="CG330" s="460"/>
      <c r="CH330" s="460"/>
      <c r="CI330" s="460"/>
      <c r="CJ330" s="460"/>
      <c r="CK330" s="460"/>
    </row>
    <row r="331" spans="1:89" s="329" customFormat="1" ht="36" customHeight="1" x14ac:dyDescent="0.25">
      <c r="A331" s="329">
        <v>1</v>
      </c>
      <c r="B331" s="39">
        <f>SUBTOTAL(103,$A$16:A331)</f>
        <v>301</v>
      </c>
      <c r="C331" s="33" t="s">
        <v>1036</v>
      </c>
      <c r="D331" s="330">
        <v>1917</v>
      </c>
      <c r="E331" s="330"/>
      <c r="F331" s="331" t="s">
        <v>48</v>
      </c>
      <c r="G331" s="330">
        <v>2</v>
      </c>
      <c r="H331" s="330" t="s">
        <v>56</v>
      </c>
      <c r="I331" s="38">
        <v>389.7</v>
      </c>
      <c r="J331" s="38">
        <v>385</v>
      </c>
      <c r="K331" s="38">
        <v>385</v>
      </c>
      <c r="L331" s="332">
        <v>11</v>
      </c>
      <c r="M331" s="330" t="s">
        <v>46</v>
      </c>
      <c r="N331" s="330" t="s">
        <v>50</v>
      </c>
      <c r="O331" s="333" t="s">
        <v>69</v>
      </c>
      <c r="P331" s="38">
        <v>1882894.5999999999</v>
      </c>
      <c r="Q331" s="38">
        <v>0</v>
      </c>
      <c r="R331" s="38">
        <v>0</v>
      </c>
      <c r="S331" s="38">
        <f t="shared" si="41"/>
        <v>1882894.5999999999</v>
      </c>
      <c r="T331" s="38">
        <f t="shared" si="32"/>
        <v>4831.651526815499</v>
      </c>
      <c r="U331" s="38">
        <v>6012.802455735181</v>
      </c>
      <c r="V331" s="458">
        <f t="shared" si="33"/>
        <v>1181.150928919682</v>
      </c>
      <c r="W331" s="458">
        <f t="shared" si="42"/>
        <v>15116.68090839107</v>
      </c>
      <c r="X331" s="458">
        <v>0</v>
      </c>
      <c r="Y331" s="459">
        <v>0</v>
      </c>
      <c r="Z331" s="459">
        <v>0</v>
      </c>
      <c r="AA331" s="459">
        <v>0</v>
      </c>
      <c r="AB331" s="459">
        <v>0</v>
      </c>
      <c r="AC331" s="459">
        <v>0</v>
      </c>
      <c r="AD331" s="459">
        <v>0</v>
      </c>
      <c r="AE331" s="459">
        <v>0</v>
      </c>
      <c r="AF331" s="458">
        <v>0</v>
      </c>
      <c r="AG331" s="459">
        <v>0</v>
      </c>
      <c r="AH331" s="458">
        <v>0</v>
      </c>
      <c r="AI331" s="459">
        <v>755</v>
      </c>
      <c r="AJ331" s="458">
        <f>7802.61*AI331/I331</f>
        <v>15116.68090839107</v>
      </c>
      <c r="AK331" s="459">
        <v>0</v>
      </c>
      <c r="AL331" s="459">
        <v>0</v>
      </c>
      <c r="AM331" s="459">
        <v>0</v>
      </c>
      <c r="AN331" s="459"/>
      <c r="AO331" s="459">
        <v>0</v>
      </c>
      <c r="AP331" s="460"/>
      <c r="AQ331" s="460"/>
      <c r="AR331" s="460"/>
      <c r="AS331" s="460"/>
      <c r="AT331" s="460"/>
      <c r="AU331" s="460"/>
      <c r="AV331" s="460"/>
      <c r="AW331" s="460"/>
      <c r="AX331" s="460"/>
      <c r="AY331" s="460"/>
      <c r="AZ331" s="460"/>
      <c r="BA331" s="460"/>
      <c r="BB331" s="460"/>
      <c r="BC331" s="460"/>
      <c r="BD331" s="460"/>
      <c r="BE331" s="460"/>
      <c r="BF331" s="460"/>
      <c r="BG331" s="460"/>
      <c r="BH331" s="460"/>
      <c r="BI331" s="460"/>
      <c r="BJ331" s="460"/>
      <c r="BK331" s="460"/>
      <c r="BL331" s="460"/>
      <c r="BM331" s="460"/>
      <c r="BN331" s="460"/>
      <c r="BO331" s="460"/>
      <c r="BP331" s="460"/>
      <c r="BQ331" s="460"/>
      <c r="BR331" s="460"/>
      <c r="BS331" s="460"/>
      <c r="BT331" s="460"/>
      <c r="BU331" s="460"/>
      <c r="BV331" s="460"/>
      <c r="BW331" s="460"/>
      <c r="BX331" s="460"/>
      <c r="BY331" s="460"/>
      <c r="BZ331" s="460"/>
      <c r="CA331" s="460"/>
      <c r="CB331" s="460"/>
      <c r="CC331" s="460"/>
      <c r="CD331" s="460"/>
      <c r="CE331" s="460"/>
      <c r="CF331" s="460"/>
      <c r="CG331" s="460"/>
      <c r="CH331" s="460"/>
      <c r="CI331" s="460"/>
      <c r="CJ331" s="460"/>
      <c r="CK331" s="460"/>
    </row>
    <row r="332" spans="1:89" s="329" customFormat="1" ht="36" customHeight="1" x14ac:dyDescent="0.25">
      <c r="A332" s="329">
        <v>1</v>
      </c>
      <c r="B332" s="39">
        <f>SUBTOTAL(103,$A$16:A332)</f>
        <v>302</v>
      </c>
      <c r="C332" s="33" t="s">
        <v>1038</v>
      </c>
      <c r="D332" s="330">
        <v>1967</v>
      </c>
      <c r="E332" s="330"/>
      <c r="F332" s="331" t="s">
        <v>48</v>
      </c>
      <c r="G332" s="330">
        <v>2</v>
      </c>
      <c r="H332" s="330" t="s">
        <v>57</v>
      </c>
      <c r="I332" s="38">
        <v>391.7</v>
      </c>
      <c r="J332" s="38">
        <v>362.7</v>
      </c>
      <c r="K332" s="38">
        <v>362.7</v>
      </c>
      <c r="L332" s="332">
        <v>18</v>
      </c>
      <c r="M332" s="330" t="s">
        <v>46</v>
      </c>
      <c r="N332" s="330" t="s">
        <v>50</v>
      </c>
      <c r="O332" s="333" t="s">
        <v>2057</v>
      </c>
      <c r="P332" s="38">
        <v>1422597.9100000001</v>
      </c>
      <c r="Q332" s="38">
        <v>0</v>
      </c>
      <c r="R332" s="38">
        <v>0</v>
      </c>
      <c r="S332" s="38">
        <f t="shared" si="41"/>
        <v>1422597.9100000001</v>
      </c>
      <c r="T332" s="38">
        <f t="shared" si="32"/>
        <v>3631.8557824865975</v>
      </c>
      <c r="U332" s="38">
        <v>5240.052323972428</v>
      </c>
      <c r="V332" s="458">
        <f t="shared" si="33"/>
        <v>1608.1965414858305</v>
      </c>
      <c r="W332" s="458">
        <f t="shared" si="42"/>
        <v>16522.761261169264</v>
      </c>
      <c r="X332" s="458">
        <v>0</v>
      </c>
      <c r="Y332" s="459">
        <v>0</v>
      </c>
      <c r="Z332" s="459">
        <v>0</v>
      </c>
      <c r="AA332" s="459">
        <v>0</v>
      </c>
      <c r="AB332" s="459">
        <v>0</v>
      </c>
      <c r="AC332" s="459">
        <v>0</v>
      </c>
      <c r="AD332" s="459">
        <v>0</v>
      </c>
      <c r="AE332" s="459">
        <v>0</v>
      </c>
      <c r="AF332" s="458">
        <v>0</v>
      </c>
      <c r="AG332" s="459">
        <v>0</v>
      </c>
      <c r="AH332" s="458">
        <v>0</v>
      </c>
      <c r="AI332" s="459">
        <v>0</v>
      </c>
      <c r="AJ332" s="458">
        <v>0</v>
      </c>
      <c r="AK332" s="459">
        <v>84.3</v>
      </c>
      <c r="AL332" s="458">
        <f>76773.02*AK332/I332</f>
        <v>16522.761261169264</v>
      </c>
      <c r="AM332" s="459">
        <v>0</v>
      </c>
      <c r="AN332" s="459"/>
      <c r="AO332" s="459">
        <v>0</v>
      </c>
      <c r="AP332" s="460"/>
      <c r="AQ332" s="460"/>
      <c r="AR332" s="460"/>
      <c r="AS332" s="460"/>
      <c r="AT332" s="460"/>
      <c r="AU332" s="460"/>
      <c r="AV332" s="460"/>
      <c r="AW332" s="460"/>
      <c r="AX332" s="460"/>
      <c r="AY332" s="460"/>
      <c r="AZ332" s="460"/>
      <c r="BA332" s="460"/>
      <c r="BB332" s="460"/>
      <c r="BC332" s="460"/>
      <c r="BD332" s="460"/>
      <c r="BE332" s="460"/>
      <c r="BF332" s="460"/>
      <c r="BG332" s="460"/>
      <c r="BH332" s="460"/>
      <c r="BI332" s="460"/>
      <c r="BJ332" s="460"/>
      <c r="BK332" s="460"/>
      <c r="BL332" s="460"/>
      <c r="BM332" s="460"/>
      <c r="BN332" s="460"/>
      <c r="BO332" s="460"/>
      <c r="BP332" s="460"/>
      <c r="BQ332" s="460"/>
      <c r="BR332" s="460"/>
      <c r="BS332" s="460"/>
      <c r="BT332" s="460"/>
      <c r="BU332" s="460"/>
      <c r="BV332" s="460"/>
      <c r="BW332" s="460"/>
      <c r="BX332" s="460"/>
      <c r="BY332" s="460"/>
      <c r="BZ332" s="460"/>
      <c r="CA332" s="460"/>
      <c r="CB332" s="460"/>
      <c r="CC332" s="460"/>
      <c r="CD332" s="460"/>
      <c r="CE332" s="460"/>
      <c r="CF332" s="460"/>
      <c r="CG332" s="460"/>
      <c r="CH332" s="460"/>
      <c r="CI332" s="460"/>
      <c r="CJ332" s="460"/>
      <c r="CK332" s="460"/>
    </row>
    <row r="333" spans="1:89" s="329" customFormat="1" ht="36" customHeight="1" x14ac:dyDescent="0.25">
      <c r="A333" s="329">
        <v>1</v>
      </c>
      <c r="B333" s="39">
        <f>SUBTOTAL(103,$A$16:A333)</f>
        <v>303</v>
      </c>
      <c r="C333" s="33" t="s">
        <v>1040</v>
      </c>
      <c r="D333" s="330">
        <v>1969</v>
      </c>
      <c r="E333" s="330"/>
      <c r="F333" s="331" t="s">
        <v>48</v>
      </c>
      <c r="G333" s="330">
        <v>2</v>
      </c>
      <c r="H333" s="330" t="s">
        <v>56</v>
      </c>
      <c r="I333" s="38">
        <v>1229.8</v>
      </c>
      <c r="J333" s="38">
        <v>730</v>
      </c>
      <c r="K333" s="38">
        <v>648.4</v>
      </c>
      <c r="L333" s="332">
        <v>31</v>
      </c>
      <c r="M333" s="330" t="s">
        <v>46</v>
      </c>
      <c r="N333" s="330" t="s">
        <v>50</v>
      </c>
      <c r="O333" s="333" t="s">
        <v>69</v>
      </c>
      <c r="P333" s="38">
        <v>2288055.7799999998</v>
      </c>
      <c r="Q333" s="38">
        <v>0</v>
      </c>
      <c r="R333" s="38">
        <v>0</v>
      </c>
      <c r="S333" s="38">
        <f t="shared" si="41"/>
        <v>2288055.7799999998</v>
      </c>
      <c r="T333" s="38">
        <f t="shared" si="32"/>
        <v>1860.5104732476825</v>
      </c>
      <c r="U333" s="38">
        <v>3056.9457641079848</v>
      </c>
      <c r="V333" s="458">
        <f t="shared" si="33"/>
        <v>1196.4352908603023</v>
      </c>
      <c r="W333" s="458">
        <f t="shared" si="42"/>
        <v>1898.8648666449828</v>
      </c>
      <c r="X333" s="458">
        <v>0</v>
      </c>
      <c r="Y333" s="459">
        <v>0</v>
      </c>
      <c r="Z333" s="459">
        <v>0</v>
      </c>
      <c r="AA333" s="459">
        <v>0</v>
      </c>
      <c r="AB333" s="459">
        <v>0</v>
      </c>
      <c r="AC333" s="459">
        <v>0</v>
      </c>
      <c r="AD333" s="459">
        <v>0</v>
      </c>
      <c r="AE333" s="459">
        <v>374.3</v>
      </c>
      <c r="AF333" s="458">
        <f>6238.91*AE333/I333</f>
        <v>1898.8648666449828</v>
      </c>
      <c r="AG333" s="459">
        <v>0</v>
      </c>
      <c r="AH333" s="458">
        <v>0</v>
      </c>
      <c r="AI333" s="459">
        <v>0</v>
      </c>
      <c r="AJ333" s="458">
        <v>0</v>
      </c>
      <c r="AK333" s="459">
        <v>0</v>
      </c>
      <c r="AL333" s="459">
        <v>0</v>
      </c>
      <c r="AM333" s="459">
        <v>0</v>
      </c>
      <c r="AN333" s="459"/>
      <c r="AO333" s="459">
        <v>0</v>
      </c>
      <c r="AP333" s="460"/>
      <c r="AQ333" s="460"/>
      <c r="AR333" s="460"/>
      <c r="AS333" s="460"/>
      <c r="AT333" s="460"/>
      <c r="AU333" s="460"/>
      <c r="AV333" s="460"/>
      <c r="AW333" s="460"/>
      <c r="AX333" s="460"/>
      <c r="AY333" s="460"/>
      <c r="AZ333" s="460"/>
      <c r="BA333" s="460"/>
      <c r="BB333" s="460"/>
      <c r="BC333" s="460"/>
      <c r="BD333" s="460"/>
      <c r="BE333" s="460"/>
      <c r="BF333" s="460"/>
      <c r="BG333" s="460"/>
      <c r="BH333" s="460"/>
      <c r="BI333" s="460"/>
      <c r="BJ333" s="460"/>
      <c r="BK333" s="460"/>
      <c r="BL333" s="460"/>
      <c r="BM333" s="460"/>
      <c r="BN333" s="460"/>
      <c r="BO333" s="460"/>
      <c r="BP333" s="460"/>
      <c r="BQ333" s="460"/>
      <c r="BR333" s="460"/>
      <c r="BS333" s="460"/>
      <c r="BT333" s="460"/>
      <c r="BU333" s="460"/>
      <c r="BV333" s="460"/>
      <c r="BW333" s="460"/>
      <c r="BX333" s="460"/>
      <c r="BY333" s="460"/>
      <c r="BZ333" s="460"/>
      <c r="CA333" s="460"/>
      <c r="CB333" s="460"/>
      <c r="CC333" s="460"/>
      <c r="CD333" s="460"/>
      <c r="CE333" s="460"/>
      <c r="CF333" s="460"/>
      <c r="CG333" s="460"/>
      <c r="CH333" s="460"/>
      <c r="CI333" s="460"/>
      <c r="CJ333" s="460"/>
      <c r="CK333" s="460"/>
    </row>
    <row r="334" spans="1:89" s="329" customFormat="1" ht="36" customHeight="1" x14ac:dyDescent="0.25">
      <c r="A334" s="329">
        <v>1</v>
      </c>
      <c r="B334" s="39">
        <f>SUBTOTAL(103,$A$16:A334)</f>
        <v>304</v>
      </c>
      <c r="C334" s="33" t="s">
        <v>1042</v>
      </c>
      <c r="D334" s="330">
        <v>1949</v>
      </c>
      <c r="E334" s="330"/>
      <c r="F334" s="331" t="s">
        <v>2060</v>
      </c>
      <c r="G334" s="330">
        <v>2</v>
      </c>
      <c r="H334" s="330" t="s">
        <v>56</v>
      </c>
      <c r="I334" s="38">
        <v>760.8</v>
      </c>
      <c r="J334" s="38">
        <v>760.8</v>
      </c>
      <c r="K334" s="38">
        <v>760.8</v>
      </c>
      <c r="L334" s="332">
        <v>40</v>
      </c>
      <c r="M334" s="330" t="s">
        <v>46</v>
      </c>
      <c r="N334" s="330" t="s">
        <v>50</v>
      </c>
      <c r="O334" s="333" t="s">
        <v>2057</v>
      </c>
      <c r="P334" s="38">
        <v>2360181.94</v>
      </c>
      <c r="Q334" s="38">
        <v>0</v>
      </c>
      <c r="R334" s="38">
        <v>0</v>
      </c>
      <c r="S334" s="38">
        <f>P334-R334-Q334</f>
        <v>2360181.94</v>
      </c>
      <c r="T334" s="38">
        <f t="shared" si="32"/>
        <v>3102.237039957939</v>
      </c>
      <c r="U334" s="38">
        <v>5189.5888947160884</v>
      </c>
      <c r="V334" s="458">
        <f t="shared" si="33"/>
        <v>2087.3518547581493</v>
      </c>
      <c r="W334" s="458">
        <f t="shared" si="42"/>
        <v>2688.6848339905364</v>
      </c>
      <c r="X334" s="458">
        <v>0</v>
      </c>
      <c r="Y334" s="459">
        <v>0</v>
      </c>
      <c r="Z334" s="459">
        <v>0</v>
      </c>
      <c r="AA334" s="459">
        <v>0</v>
      </c>
      <c r="AB334" s="459">
        <v>0</v>
      </c>
      <c r="AC334" s="459">
        <v>0</v>
      </c>
      <c r="AD334" s="459">
        <v>0</v>
      </c>
      <c r="AE334" s="459">
        <v>327.87</v>
      </c>
      <c r="AF334" s="458">
        <f>6238.91*AE334/I334</f>
        <v>2688.6848339905364</v>
      </c>
      <c r="AG334" s="459">
        <v>0</v>
      </c>
      <c r="AH334" s="458">
        <v>0</v>
      </c>
      <c r="AI334" s="459">
        <v>0</v>
      </c>
      <c r="AJ334" s="458">
        <v>0</v>
      </c>
      <c r="AK334" s="459">
        <v>0</v>
      </c>
      <c r="AL334" s="459">
        <v>0</v>
      </c>
      <c r="AM334" s="459">
        <v>0</v>
      </c>
      <c r="AN334" s="459"/>
      <c r="AO334" s="459">
        <v>0</v>
      </c>
      <c r="AP334" s="460"/>
      <c r="AQ334" s="460"/>
      <c r="AR334" s="460"/>
      <c r="AS334" s="460"/>
      <c r="AT334" s="460"/>
      <c r="AU334" s="460"/>
      <c r="AV334" s="460"/>
      <c r="AW334" s="460"/>
      <c r="AX334" s="460"/>
      <c r="AY334" s="460"/>
      <c r="AZ334" s="460"/>
      <c r="BA334" s="460"/>
      <c r="BB334" s="460"/>
      <c r="BC334" s="460"/>
      <c r="BD334" s="460"/>
      <c r="BE334" s="460"/>
      <c r="BF334" s="460"/>
      <c r="BG334" s="460"/>
      <c r="BH334" s="460"/>
      <c r="BI334" s="460"/>
      <c r="BJ334" s="460"/>
      <c r="BK334" s="460"/>
      <c r="BL334" s="460"/>
      <c r="BM334" s="460"/>
      <c r="BN334" s="460"/>
      <c r="BO334" s="460"/>
      <c r="BP334" s="460"/>
      <c r="BQ334" s="460"/>
      <c r="BR334" s="460"/>
      <c r="BS334" s="460"/>
      <c r="BT334" s="460"/>
      <c r="BU334" s="460"/>
      <c r="BV334" s="460"/>
      <c r="BW334" s="460"/>
      <c r="BX334" s="460"/>
      <c r="BY334" s="460"/>
      <c r="BZ334" s="460"/>
      <c r="CA334" s="460"/>
      <c r="CB334" s="460"/>
      <c r="CC334" s="460"/>
      <c r="CD334" s="460"/>
      <c r="CE334" s="460"/>
      <c r="CF334" s="460"/>
      <c r="CG334" s="460"/>
      <c r="CH334" s="460"/>
      <c r="CI334" s="460"/>
      <c r="CJ334" s="460"/>
      <c r="CK334" s="460"/>
    </row>
    <row r="335" spans="1:89" s="329" customFormat="1" ht="36" customHeight="1" x14ac:dyDescent="0.25">
      <c r="A335" s="329">
        <v>1</v>
      </c>
      <c r="B335" s="39">
        <f>SUBTOTAL(103,$A$16:A335)</f>
        <v>305</v>
      </c>
      <c r="C335" s="33" t="s">
        <v>1164</v>
      </c>
      <c r="D335" s="330">
        <v>1961</v>
      </c>
      <c r="E335" s="330"/>
      <c r="F335" s="331" t="s">
        <v>48</v>
      </c>
      <c r="G335" s="330">
        <v>2</v>
      </c>
      <c r="H335" s="330" t="s">
        <v>56</v>
      </c>
      <c r="I335" s="38">
        <v>755.3</v>
      </c>
      <c r="J335" s="38">
        <v>755.3</v>
      </c>
      <c r="K335" s="38">
        <v>755.3</v>
      </c>
      <c r="L335" s="332">
        <v>28</v>
      </c>
      <c r="M335" s="330" t="s">
        <v>46</v>
      </c>
      <c r="N335" s="330" t="s">
        <v>50</v>
      </c>
      <c r="O335" s="333" t="s">
        <v>69</v>
      </c>
      <c r="P335" s="38">
        <v>2304536.62</v>
      </c>
      <c r="Q335" s="38">
        <v>0</v>
      </c>
      <c r="R335" s="38">
        <v>0</v>
      </c>
      <c r="S335" s="38">
        <f>P335-R335-Q335</f>
        <v>2304536.62</v>
      </c>
      <c r="T335" s="38">
        <f t="shared" ref="T335:T398" si="43">P335/I335</f>
        <v>3051.1540050311137</v>
      </c>
      <c r="U335" s="38">
        <v>4907.2827926651662</v>
      </c>
      <c r="V335" s="458">
        <f t="shared" si="33"/>
        <v>1856.1287876340525</v>
      </c>
      <c r="W335" s="458">
        <f t="shared" si="42"/>
        <v>4960.482751621872</v>
      </c>
      <c r="X335" s="458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600.53</v>
      </c>
      <c r="AF335" s="458">
        <f>6238.91*AE335/I335</f>
        <v>4960.482751621872</v>
      </c>
      <c r="AG335" s="459">
        <v>0</v>
      </c>
      <c r="AH335" s="458">
        <v>0</v>
      </c>
      <c r="AI335" s="459">
        <v>0</v>
      </c>
      <c r="AJ335" s="458">
        <v>0</v>
      </c>
      <c r="AK335" s="459">
        <v>0</v>
      </c>
      <c r="AL335" s="459">
        <v>0</v>
      </c>
      <c r="AM335" s="459">
        <v>0</v>
      </c>
      <c r="AN335" s="459"/>
      <c r="AO335" s="459">
        <v>0</v>
      </c>
      <c r="AP335" s="460"/>
      <c r="AQ335" s="460"/>
      <c r="AR335" s="460"/>
      <c r="AS335" s="460"/>
      <c r="AT335" s="460"/>
      <c r="AU335" s="460"/>
      <c r="AV335" s="460"/>
      <c r="AW335" s="460"/>
      <c r="AX335" s="460"/>
      <c r="AY335" s="460"/>
      <c r="AZ335" s="460"/>
      <c r="BA335" s="460"/>
      <c r="BB335" s="460"/>
      <c r="BC335" s="460"/>
      <c r="BD335" s="460"/>
      <c r="BE335" s="460"/>
      <c r="BF335" s="460"/>
      <c r="BG335" s="460"/>
      <c r="BH335" s="460"/>
      <c r="BI335" s="460"/>
      <c r="BJ335" s="460"/>
      <c r="BK335" s="460"/>
      <c r="BL335" s="460"/>
      <c r="BM335" s="460"/>
      <c r="BN335" s="460"/>
      <c r="BO335" s="460"/>
      <c r="BP335" s="460"/>
      <c r="BQ335" s="460"/>
      <c r="BR335" s="460"/>
      <c r="BS335" s="460"/>
      <c r="BT335" s="460"/>
      <c r="BU335" s="460"/>
      <c r="BV335" s="460"/>
      <c r="BW335" s="460"/>
      <c r="BX335" s="460"/>
      <c r="BY335" s="460"/>
      <c r="BZ335" s="460"/>
      <c r="CA335" s="460"/>
      <c r="CB335" s="460"/>
      <c r="CC335" s="460"/>
      <c r="CD335" s="460"/>
      <c r="CE335" s="460"/>
      <c r="CF335" s="460"/>
      <c r="CG335" s="460"/>
      <c r="CH335" s="460"/>
      <c r="CI335" s="460"/>
      <c r="CJ335" s="460"/>
      <c r="CK335" s="460"/>
    </row>
    <row r="336" spans="1:89" s="329" customFormat="1" ht="36" customHeight="1" x14ac:dyDescent="0.25">
      <c r="A336" s="329">
        <v>1</v>
      </c>
      <c r="B336" s="39">
        <f>SUBTOTAL(103,$A$16:A336)</f>
        <v>306</v>
      </c>
      <c r="C336" s="33" t="s">
        <v>1295</v>
      </c>
      <c r="D336" s="330">
        <v>1958</v>
      </c>
      <c r="E336" s="330"/>
      <c r="F336" s="331" t="s">
        <v>68</v>
      </c>
      <c r="G336" s="330">
        <v>2</v>
      </c>
      <c r="H336" s="330" t="s">
        <v>57</v>
      </c>
      <c r="I336" s="38">
        <v>658</v>
      </c>
      <c r="J336" s="38">
        <v>250.1</v>
      </c>
      <c r="K336" s="38">
        <v>250.1</v>
      </c>
      <c r="L336" s="332">
        <v>21</v>
      </c>
      <c r="M336" s="330" t="s">
        <v>46</v>
      </c>
      <c r="N336" s="330" t="s">
        <v>50</v>
      </c>
      <c r="O336" s="333" t="s">
        <v>69</v>
      </c>
      <c r="P336" s="38">
        <v>40603.629999999997</v>
      </c>
      <c r="Q336" s="38">
        <v>0</v>
      </c>
      <c r="R336" s="38">
        <v>0</v>
      </c>
      <c r="S336" s="38">
        <f>P336-R336-Q336</f>
        <v>40603.629999999997</v>
      </c>
      <c r="T336" s="38">
        <f t="shared" si="43"/>
        <v>61.707644376899694</v>
      </c>
      <c r="U336" s="38">
        <v>61.707644376899694</v>
      </c>
      <c r="V336" s="458">
        <f t="shared" si="33"/>
        <v>0</v>
      </c>
      <c r="W336" s="458">
        <f t="shared" si="42"/>
        <v>5745.8654407294835</v>
      </c>
      <c r="X336" s="458">
        <v>0</v>
      </c>
      <c r="Y336" s="459">
        <v>0</v>
      </c>
      <c r="Z336" s="459">
        <v>0</v>
      </c>
      <c r="AA336" s="459">
        <v>0</v>
      </c>
      <c r="AB336" s="459">
        <v>0</v>
      </c>
      <c r="AC336" s="459">
        <v>0</v>
      </c>
      <c r="AD336" s="459">
        <v>0</v>
      </c>
      <c r="AE336" s="459">
        <v>606</v>
      </c>
      <c r="AF336" s="458">
        <f>6238.91*AE336/I336</f>
        <v>5745.8654407294835</v>
      </c>
      <c r="AG336" s="459">
        <v>0</v>
      </c>
      <c r="AH336" s="458">
        <v>0</v>
      </c>
      <c r="AI336" s="459">
        <v>0</v>
      </c>
      <c r="AJ336" s="458">
        <v>0</v>
      </c>
      <c r="AK336" s="459">
        <v>0</v>
      </c>
      <c r="AL336" s="459">
        <v>0</v>
      </c>
      <c r="AM336" s="459">
        <v>0</v>
      </c>
      <c r="AN336" s="459"/>
      <c r="AO336" s="459">
        <v>0</v>
      </c>
      <c r="AP336" s="460"/>
      <c r="AQ336" s="460"/>
      <c r="AR336" s="460"/>
      <c r="AS336" s="460"/>
      <c r="AT336" s="460"/>
      <c r="AU336" s="460"/>
      <c r="AV336" s="460"/>
      <c r="AW336" s="460"/>
      <c r="AX336" s="460"/>
      <c r="AY336" s="460"/>
      <c r="AZ336" s="460"/>
      <c r="BA336" s="460"/>
      <c r="BB336" s="460"/>
      <c r="BC336" s="460"/>
      <c r="BD336" s="460"/>
      <c r="BE336" s="460"/>
      <c r="BF336" s="460"/>
      <c r="BG336" s="460"/>
      <c r="BH336" s="460"/>
      <c r="BI336" s="460"/>
      <c r="BJ336" s="460"/>
      <c r="BK336" s="460"/>
      <c r="BL336" s="460"/>
      <c r="BM336" s="460"/>
      <c r="BN336" s="460"/>
      <c r="BO336" s="460"/>
      <c r="BP336" s="460"/>
      <c r="BQ336" s="460"/>
      <c r="BR336" s="460"/>
      <c r="BS336" s="460"/>
      <c r="BT336" s="460"/>
      <c r="BU336" s="460"/>
      <c r="BV336" s="460"/>
      <c r="BW336" s="460"/>
      <c r="BX336" s="460"/>
      <c r="BY336" s="460"/>
      <c r="BZ336" s="460"/>
      <c r="CA336" s="460"/>
      <c r="CB336" s="460"/>
      <c r="CC336" s="460"/>
      <c r="CD336" s="460"/>
      <c r="CE336" s="460"/>
      <c r="CF336" s="460"/>
      <c r="CG336" s="460"/>
      <c r="CH336" s="460"/>
      <c r="CI336" s="460"/>
      <c r="CJ336" s="460"/>
      <c r="CK336" s="460"/>
    </row>
    <row r="337" spans="1:89" s="329" customFormat="1" ht="36" customHeight="1" x14ac:dyDescent="0.25">
      <c r="A337" s="329">
        <v>1</v>
      </c>
      <c r="B337" s="39">
        <f>SUBTOTAL(103,$A$16:A337)</f>
        <v>307</v>
      </c>
      <c r="C337" s="33" t="s">
        <v>1296</v>
      </c>
      <c r="D337" s="330">
        <v>1955</v>
      </c>
      <c r="E337" s="330"/>
      <c r="F337" s="331" t="s">
        <v>2060</v>
      </c>
      <c r="G337" s="330">
        <v>2</v>
      </c>
      <c r="H337" s="330" t="s">
        <v>56</v>
      </c>
      <c r="I337" s="38">
        <v>805.7</v>
      </c>
      <c r="J337" s="38">
        <v>731</v>
      </c>
      <c r="K337" s="38">
        <v>731</v>
      </c>
      <c r="L337" s="332">
        <v>37</v>
      </c>
      <c r="M337" s="330" t="s">
        <v>46</v>
      </c>
      <c r="N337" s="330" t="s">
        <v>50</v>
      </c>
      <c r="O337" s="333" t="s">
        <v>69</v>
      </c>
      <c r="P337" s="38">
        <v>89335.7</v>
      </c>
      <c r="Q337" s="38">
        <v>0</v>
      </c>
      <c r="R337" s="38">
        <v>0</v>
      </c>
      <c r="S337" s="38">
        <f>P337-R337-Q337</f>
        <v>89335.7</v>
      </c>
      <c r="T337" s="38">
        <f t="shared" si="43"/>
        <v>110.87960779446443</v>
      </c>
      <c r="U337" s="38">
        <v>110.87960779446443</v>
      </c>
      <c r="V337" s="458">
        <f t="shared" ref="V337:V400" si="44">U337-T337</f>
        <v>0</v>
      </c>
      <c r="W337" s="458">
        <f t="shared" si="42"/>
        <v>1866.4986148690577</v>
      </c>
      <c r="X337" s="458">
        <v>0</v>
      </c>
      <c r="Y337" s="459">
        <v>0</v>
      </c>
      <c r="Z337" s="459">
        <v>0</v>
      </c>
      <c r="AA337" s="459">
        <v>0</v>
      </c>
      <c r="AB337" s="459">
        <v>0</v>
      </c>
      <c r="AC337" s="459">
        <v>0</v>
      </c>
      <c r="AD337" s="459">
        <v>0</v>
      </c>
      <c r="AE337" s="459">
        <v>0</v>
      </c>
      <c r="AF337" s="458">
        <v>0</v>
      </c>
      <c r="AG337" s="459">
        <v>0</v>
      </c>
      <c r="AH337" s="458">
        <v>0</v>
      </c>
      <c r="AI337" s="459">
        <v>377.9</v>
      </c>
      <c r="AJ337" s="458">
        <f>3979.46*AI337/I337</f>
        <v>1866.4986148690577</v>
      </c>
      <c r="AK337" s="459">
        <v>0</v>
      </c>
      <c r="AL337" s="459">
        <v>0</v>
      </c>
      <c r="AM337" s="459">
        <v>0</v>
      </c>
      <c r="AN337" s="459"/>
      <c r="AO337" s="459">
        <v>0</v>
      </c>
      <c r="AP337" s="460"/>
      <c r="AQ337" s="460"/>
      <c r="AR337" s="460"/>
      <c r="AS337" s="460"/>
      <c r="AT337" s="460"/>
      <c r="AU337" s="460"/>
      <c r="AV337" s="460"/>
      <c r="AW337" s="460"/>
      <c r="AX337" s="460"/>
      <c r="AY337" s="460"/>
      <c r="AZ337" s="460"/>
      <c r="BA337" s="460"/>
      <c r="BB337" s="460"/>
      <c r="BC337" s="460"/>
      <c r="BD337" s="460"/>
      <c r="BE337" s="460"/>
      <c r="BF337" s="460"/>
      <c r="BG337" s="460"/>
      <c r="BH337" s="460"/>
      <c r="BI337" s="460"/>
      <c r="BJ337" s="460"/>
      <c r="BK337" s="460"/>
      <c r="BL337" s="460"/>
      <c r="BM337" s="460"/>
      <c r="BN337" s="460"/>
      <c r="BO337" s="460"/>
      <c r="BP337" s="460"/>
      <c r="BQ337" s="460"/>
      <c r="BR337" s="460"/>
      <c r="BS337" s="460"/>
      <c r="BT337" s="460"/>
      <c r="BU337" s="460"/>
      <c r="BV337" s="460"/>
      <c r="BW337" s="460"/>
      <c r="BX337" s="460"/>
      <c r="BY337" s="460"/>
      <c r="BZ337" s="460"/>
      <c r="CA337" s="460"/>
      <c r="CB337" s="460"/>
      <c r="CC337" s="460"/>
      <c r="CD337" s="460"/>
      <c r="CE337" s="460"/>
      <c r="CF337" s="460"/>
      <c r="CG337" s="460"/>
      <c r="CH337" s="460"/>
      <c r="CI337" s="460"/>
      <c r="CJ337" s="460"/>
      <c r="CK337" s="460"/>
    </row>
    <row r="338" spans="1:89" s="329" customFormat="1" ht="36" customHeight="1" x14ac:dyDescent="0.25">
      <c r="B338" s="33" t="s">
        <v>102</v>
      </c>
      <c r="C338" s="33"/>
      <c r="D338" s="330" t="s">
        <v>131</v>
      </c>
      <c r="E338" s="330" t="s">
        <v>131</v>
      </c>
      <c r="F338" s="330" t="s">
        <v>131</v>
      </c>
      <c r="G338" s="330" t="s">
        <v>131</v>
      </c>
      <c r="H338" s="330" t="s">
        <v>131</v>
      </c>
      <c r="I338" s="334">
        <f>SUM(I339:I343)</f>
        <v>1768.6000000000001</v>
      </c>
      <c r="J338" s="334">
        <f>SUM(J339:J343)</f>
        <v>1496.2</v>
      </c>
      <c r="K338" s="334">
        <f>SUM(K339:K343)</f>
        <v>1496.2</v>
      </c>
      <c r="L338" s="332">
        <f>SUM(L339:L343)</f>
        <v>65</v>
      </c>
      <c r="M338" s="330" t="s">
        <v>131</v>
      </c>
      <c r="N338" s="330" t="s">
        <v>131</v>
      </c>
      <c r="O338" s="333" t="s">
        <v>131</v>
      </c>
      <c r="P338" s="334">
        <v>2260405.9900000002</v>
      </c>
      <c r="Q338" s="334">
        <f>SUM(Q339:Q343)</f>
        <v>0</v>
      </c>
      <c r="R338" s="334">
        <f>SUM(R339:R343)</f>
        <v>0</v>
      </c>
      <c r="S338" s="334">
        <f>SUM(S339:S343)</f>
        <v>2260405.9900000002</v>
      </c>
      <c r="T338" s="38">
        <f t="shared" si="43"/>
        <v>1278.0764389912927</v>
      </c>
      <c r="U338" s="38">
        <f>MAX(U339:U343)</f>
        <v>5745.1699138699141</v>
      </c>
      <c r="V338" s="458">
        <f t="shared" si="44"/>
        <v>4467.0934748786212</v>
      </c>
      <c r="W338" s="458"/>
      <c r="X338" s="458"/>
      <c r="Y338" s="459"/>
      <c r="Z338" s="459"/>
      <c r="AA338" s="459"/>
      <c r="AB338" s="459"/>
      <c r="AC338" s="459"/>
      <c r="AD338" s="459"/>
      <c r="AE338" s="459"/>
      <c r="AF338" s="459"/>
      <c r="AG338" s="459"/>
      <c r="AH338" s="459"/>
      <c r="AI338" s="459"/>
      <c r="AJ338" s="459"/>
      <c r="AK338" s="459"/>
      <c r="AL338" s="459"/>
      <c r="AM338" s="459"/>
      <c r="AN338" s="459"/>
      <c r="AO338" s="459"/>
      <c r="AP338" s="460"/>
      <c r="AQ338" s="460"/>
      <c r="AR338" s="460"/>
      <c r="AS338" s="460"/>
      <c r="AT338" s="460"/>
      <c r="AU338" s="460"/>
      <c r="AV338" s="460"/>
      <c r="AW338" s="460"/>
      <c r="AX338" s="460"/>
      <c r="AY338" s="460"/>
      <c r="AZ338" s="460"/>
      <c r="BA338" s="460"/>
      <c r="BB338" s="460"/>
      <c r="BC338" s="460"/>
      <c r="BD338" s="460"/>
      <c r="BE338" s="460"/>
      <c r="BF338" s="460"/>
      <c r="BG338" s="460"/>
      <c r="BH338" s="460"/>
      <c r="BI338" s="460"/>
      <c r="BJ338" s="460"/>
      <c r="BK338" s="460"/>
      <c r="BL338" s="460"/>
      <c r="BM338" s="460"/>
      <c r="BN338" s="460"/>
      <c r="BO338" s="460"/>
      <c r="BP338" s="460"/>
      <c r="BQ338" s="460"/>
      <c r="BR338" s="460"/>
      <c r="BS338" s="460"/>
      <c r="BT338" s="460"/>
      <c r="BU338" s="460"/>
      <c r="BV338" s="460"/>
      <c r="BW338" s="460"/>
      <c r="BX338" s="460"/>
      <c r="BY338" s="460"/>
      <c r="BZ338" s="460"/>
      <c r="CA338" s="460"/>
      <c r="CB338" s="460"/>
      <c r="CC338" s="460"/>
      <c r="CD338" s="460"/>
      <c r="CE338" s="460"/>
      <c r="CF338" s="460"/>
      <c r="CG338" s="460"/>
      <c r="CH338" s="460"/>
      <c r="CI338" s="460"/>
      <c r="CJ338" s="460"/>
      <c r="CK338" s="460"/>
    </row>
    <row r="339" spans="1:89" s="329" customFormat="1" ht="36" customHeight="1" x14ac:dyDescent="0.25">
      <c r="A339" s="329">
        <v>1</v>
      </c>
      <c r="B339" s="39">
        <f>SUBTOTAL(103,$A$16:A339)</f>
        <v>308</v>
      </c>
      <c r="C339" s="33" t="s">
        <v>1297</v>
      </c>
      <c r="D339" s="330">
        <v>1955</v>
      </c>
      <c r="E339" s="330"/>
      <c r="F339" s="331" t="s">
        <v>68</v>
      </c>
      <c r="G339" s="330">
        <v>2</v>
      </c>
      <c r="H339" s="330" t="s">
        <v>56</v>
      </c>
      <c r="I339" s="38">
        <v>374.6</v>
      </c>
      <c r="J339" s="38">
        <v>343.4</v>
      </c>
      <c r="K339" s="38">
        <v>343.4</v>
      </c>
      <c r="L339" s="332">
        <v>9</v>
      </c>
      <c r="M339" s="330" t="s">
        <v>46</v>
      </c>
      <c r="N339" s="330" t="s">
        <v>47</v>
      </c>
      <c r="O339" s="333" t="s">
        <v>49</v>
      </c>
      <c r="P339" s="38">
        <v>9547.9500000000007</v>
      </c>
      <c r="Q339" s="38">
        <v>0</v>
      </c>
      <c r="R339" s="38">
        <v>0</v>
      </c>
      <c r="S339" s="38">
        <f>P339-Q339-R339</f>
        <v>9547.9500000000007</v>
      </c>
      <c r="T339" s="38">
        <f t="shared" si="43"/>
        <v>25.488387613454353</v>
      </c>
      <c r="U339" s="38">
        <v>25.488387613454353</v>
      </c>
      <c r="V339" s="458">
        <f t="shared" si="44"/>
        <v>0</v>
      </c>
      <c r="W339" s="458">
        <f>T339</f>
        <v>25.488387613454353</v>
      </c>
      <c r="X339" s="458">
        <v>0</v>
      </c>
      <c r="Y339" s="459">
        <v>0</v>
      </c>
      <c r="Z339" s="459">
        <v>0</v>
      </c>
      <c r="AA339" s="459">
        <v>0</v>
      </c>
      <c r="AB339" s="459">
        <v>0</v>
      </c>
      <c r="AC339" s="459">
        <v>0</v>
      </c>
      <c r="AD339" s="459">
        <v>0</v>
      </c>
      <c r="AE339" s="459">
        <v>0</v>
      </c>
      <c r="AF339" s="458">
        <v>0</v>
      </c>
      <c r="AG339" s="459">
        <v>0</v>
      </c>
      <c r="AH339" s="458">
        <v>0</v>
      </c>
      <c r="AI339" s="459">
        <v>0</v>
      </c>
      <c r="AJ339" s="458">
        <v>0</v>
      </c>
      <c r="AK339" s="459">
        <v>0</v>
      </c>
      <c r="AL339" s="459">
        <v>0</v>
      </c>
      <c r="AM339" s="459">
        <v>0</v>
      </c>
      <c r="AN339" s="459"/>
      <c r="AO339" s="459">
        <v>0</v>
      </c>
      <c r="AP339" s="460"/>
      <c r="AQ339" s="460"/>
      <c r="AR339" s="460"/>
      <c r="AS339" s="460"/>
      <c r="AT339" s="460"/>
      <c r="AU339" s="460"/>
      <c r="AV339" s="460"/>
      <c r="AW339" s="460"/>
      <c r="AX339" s="460"/>
      <c r="AY339" s="460"/>
      <c r="AZ339" s="460"/>
      <c r="BA339" s="460"/>
      <c r="BB339" s="460"/>
      <c r="BC339" s="460"/>
      <c r="BD339" s="460"/>
      <c r="BE339" s="460"/>
      <c r="BF339" s="460"/>
      <c r="BG339" s="460"/>
      <c r="BH339" s="460"/>
      <c r="BI339" s="460"/>
      <c r="BJ339" s="460"/>
      <c r="BK339" s="460"/>
      <c r="BL339" s="460"/>
      <c r="BM339" s="460"/>
      <c r="BN339" s="460"/>
      <c r="BO339" s="460"/>
      <c r="BP339" s="460"/>
      <c r="BQ339" s="460"/>
      <c r="BR339" s="460"/>
      <c r="BS339" s="460"/>
      <c r="BT339" s="460"/>
      <c r="BU339" s="460"/>
      <c r="BV339" s="460"/>
      <c r="BW339" s="460"/>
      <c r="BX339" s="460"/>
      <c r="BY339" s="460"/>
      <c r="BZ339" s="460"/>
      <c r="CA339" s="460"/>
      <c r="CB339" s="460"/>
      <c r="CC339" s="460"/>
      <c r="CD339" s="460"/>
      <c r="CE339" s="460"/>
      <c r="CF339" s="460"/>
      <c r="CG339" s="460"/>
      <c r="CH339" s="460"/>
      <c r="CI339" s="460"/>
      <c r="CJ339" s="460"/>
      <c r="CK339" s="460"/>
    </row>
    <row r="340" spans="1:89" s="329" customFormat="1" ht="36" customHeight="1" x14ac:dyDescent="0.25">
      <c r="A340" s="329">
        <v>1</v>
      </c>
      <c r="B340" s="39">
        <f>SUBTOTAL(103,$A$16:A340)</f>
        <v>309</v>
      </c>
      <c r="C340" s="33" t="s">
        <v>1298</v>
      </c>
      <c r="D340" s="330">
        <v>1954</v>
      </c>
      <c r="E340" s="330"/>
      <c r="F340" s="331" t="s">
        <v>48</v>
      </c>
      <c r="G340" s="330">
        <v>2</v>
      </c>
      <c r="H340" s="330" t="s">
        <v>57</v>
      </c>
      <c r="I340" s="38">
        <v>373.6</v>
      </c>
      <c r="J340" s="38">
        <v>342.5</v>
      </c>
      <c r="K340" s="38">
        <v>342.5</v>
      </c>
      <c r="L340" s="332">
        <v>9</v>
      </c>
      <c r="M340" s="330" t="s">
        <v>46</v>
      </c>
      <c r="N340" s="330" t="s">
        <v>47</v>
      </c>
      <c r="O340" s="333" t="s">
        <v>49</v>
      </c>
      <c r="P340" s="38">
        <v>31750.52</v>
      </c>
      <c r="Q340" s="38">
        <v>0</v>
      </c>
      <c r="R340" s="38">
        <v>0</v>
      </c>
      <c r="S340" s="38">
        <f>P340-Q340-R340</f>
        <v>31750.52</v>
      </c>
      <c r="T340" s="38">
        <f t="shared" si="43"/>
        <v>84.985331905781578</v>
      </c>
      <c r="U340" s="38">
        <v>84.985331905781578</v>
      </c>
      <c r="V340" s="458">
        <f t="shared" si="44"/>
        <v>0</v>
      </c>
      <c r="W340" s="458">
        <f>T340</f>
        <v>84.985331905781578</v>
      </c>
      <c r="X340" s="458">
        <v>0</v>
      </c>
      <c r="Y340" s="459">
        <v>0</v>
      </c>
      <c r="Z340" s="459">
        <v>0</v>
      </c>
      <c r="AA340" s="459">
        <v>184.98</v>
      </c>
      <c r="AB340" s="459">
        <v>0</v>
      </c>
      <c r="AC340" s="459">
        <v>0</v>
      </c>
      <c r="AD340" s="459">
        <v>0</v>
      </c>
      <c r="AE340" s="459">
        <v>0</v>
      </c>
      <c r="AF340" s="458">
        <v>0</v>
      </c>
      <c r="AG340" s="459">
        <v>0</v>
      </c>
      <c r="AH340" s="458">
        <v>0</v>
      </c>
      <c r="AI340" s="459">
        <v>0</v>
      </c>
      <c r="AJ340" s="458">
        <v>0</v>
      </c>
      <c r="AK340" s="459">
        <v>0</v>
      </c>
      <c r="AL340" s="459">
        <v>0</v>
      </c>
      <c r="AM340" s="459">
        <v>0</v>
      </c>
      <c r="AN340" s="459"/>
      <c r="AO340" s="459">
        <v>0</v>
      </c>
      <c r="AP340" s="460"/>
      <c r="AQ340" s="460"/>
      <c r="AR340" s="460"/>
      <c r="AS340" s="460"/>
      <c r="AT340" s="460"/>
      <c r="AU340" s="460"/>
      <c r="AV340" s="460"/>
      <c r="AW340" s="460"/>
      <c r="AX340" s="460"/>
      <c r="AY340" s="460"/>
      <c r="AZ340" s="460"/>
      <c r="BA340" s="460"/>
      <c r="BB340" s="460"/>
      <c r="BC340" s="460"/>
      <c r="BD340" s="460"/>
      <c r="BE340" s="460"/>
      <c r="BF340" s="460"/>
      <c r="BG340" s="460"/>
      <c r="BH340" s="460"/>
      <c r="BI340" s="460"/>
      <c r="BJ340" s="460"/>
      <c r="BK340" s="460"/>
      <c r="BL340" s="460"/>
      <c r="BM340" s="460"/>
      <c r="BN340" s="460"/>
      <c r="BO340" s="460"/>
      <c r="BP340" s="460"/>
      <c r="BQ340" s="460"/>
      <c r="BR340" s="460"/>
      <c r="BS340" s="460"/>
      <c r="BT340" s="460"/>
      <c r="BU340" s="460"/>
      <c r="BV340" s="460"/>
      <c r="BW340" s="460"/>
      <c r="BX340" s="460"/>
      <c r="BY340" s="460"/>
      <c r="BZ340" s="460"/>
      <c r="CA340" s="460"/>
      <c r="CB340" s="460"/>
      <c r="CC340" s="460"/>
      <c r="CD340" s="460"/>
      <c r="CE340" s="460"/>
      <c r="CF340" s="460"/>
      <c r="CG340" s="460"/>
      <c r="CH340" s="460"/>
      <c r="CI340" s="460"/>
      <c r="CJ340" s="460"/>
      <c r="CK340" s="460"/>
    </row>
    <row r="341" spans="1:89" s="329" customFormat="1" ht="36" customHeight="1" x14ac:dyDescent="0.25">
      <c r="A341" s="329">
        <v>1</v>
      </c>
      <c r="B341" s="39">
        <f>SUBTOTAL(103,$A$16:A341)</f>
        <v>310</v>
      </c>
      <c r="C341" s="33" t="s">
        <v>1299</v>
      </c>
      <c r="D341" s="330">
        <v>1969</v>
      </c>
      <c r="E341" s="330"/>
      <c r="F341" s="331" t="s">
        <v>48</v>
      </c>
      <c r="G341" s="330">
        <v>2</v>
      </c>
      <c r="H341" s="330" t="s">
        <v>57</v>
      </c>
      <c r="I341" s="38">
        <v>384.6</v>
      </c>
      <c r="J341" s="38">
        <v>229.2</v>
      </c>
      <c r="K341" s="38">
        <v>229.2</v>
      </c>
      <c r="L341" s="332">
        <v>18</v>
      </c>
      <c r="M341" s="330" t="s">
        <v>46</v>
      </c>
      <c r="N341" s="330" t="s">
        <v>47</v>
      </c>
      <c r="O341" s="333" t="s">
        <v>49</v>
      </c>
      <c r="P341" s="38">
        <v>60499.25</v>
      </c>
      <c r="Q341" s="38">
        <v>0</v>
      </c>
      <c r="R341" s="38">
        <v>0</v>
      </c>
      <c r="S341" s="38">
        <f>P341-Q341-R341</f>
        <v>60499.25</v>
      </c>
      <c r="T341" s="38">
        <f t="shared" si="43"/>
        <v>157.30434217368693</v>
      </c>
      <c r="U341" s="38">
        <v>157.30434217368693</v>
      </c>
      <c r="V341" s="458">
        <f t="shared" si="44"/>
        <v>0</v>
      </c>
      <c r="W341" s="458">
        <f t="shared" ref="W341:W343" si="45">X341+Y341+Z341+AA341+AB341+AD341+AF341+AH341+AJ341+AL341+AN341+AO341</f>
        <v>8304.1020072802912</v>
      </c>
      <c r="X341" s="458">
        <v>0</v>
      </c>
      <c r="Y341" s="459">
        <v>0</v>
      </c>
      <c r="Z341" s="459">
        <v>0</v>
      </c>
      <c r="AA341" s="459">
        <v>0</v>
      </c>
      <c r="AB341" s="459">
        <v>0</v>
      </c>
      <c r="AC341" s="459">
        <v>0</v>
      </c>
      <c r="AD341" s="459">
        <v>0</v>
      </c>
      <c r="AE341" s="459">
        <v>0</v>
      </c>
      <c r="AF341" s="458">
        <v>0</v>
      </c>
      <c r="AG341" s="459">
        <v>0</v>
      </c>
      <c r="AH341" s="458">
        <v>0</v>
      </c>
      <c r="AI341" s="459">
        <v>0</v>
      </c>
      <c r="AJ341" s="458">
        <v>0</v>
      </c>
      <c r="AK341" s="459">
        <v>41.6</v>
      </c>
      <c r="AL341" s="458">
        <f>76773.02*AK341/I341</f>
        <v>8304.1020072802912</v>
      </c>
      <c r="AM341" s="459">
        <v>0</v>
      </c>
      <c r="AN341" s="459"/>
      <c r="AO341" s="459">
        <v>0</v>
      </c>
      <c r="AP341" s="460"/>
      <c r="AQ341" s="460"/>
      <c r="AR341" s="460"/>
      <c r="AS341" s="460"/>
      <c r="AT341" s="460"/>
      <c r="AU341" s="460"/>
      <c r="AV341" s="460"/>
      <c r="AW341" s="460"/>
      <c r="AX341" s="460"/>
      <c r="AY341" s="460"/>
      <c r="AZ341" s="460"/>
      <c r="BA341" s="460"/>
      <c r="BB341" s="460"/>
      <c r="BC341" s="460"/>
      <c r="BD341" s="460"/>
      <c r="BE341" s="460"/>
      <c r="BF341" s="460"/>
      <c r="BG341" s="460"/>
      <c r="BH341" s="460"/>
      <c r="BI341" s="460"/>
      <c r="BJ341" s="460"/>
      <c r="BK341" s="460"/>
      <c r="BL341" s="460"/>
      <c r="BM341" s="460"/>
      <c r="BN341" s="460"/>
      <c r="BO341" s="460"/>
      <c r="BP341" s="460"/>
      <c r="BQ341" s="460"/>
      <c r="BR341" s="460"/>
      <c r="BS341" s="460"/>
      <c r="BT341" s="460"/>
      <c r="BU341" s="460"/>
      <c r="BV341" s="460"/>
      <c r="BW341" s="460"/>
      <c r="BX341" s="460"/>
      <c r="BY341" s="460"/>
      <c r="BZ341" s="460"/>
      <c r="CA341" s="460"/>
      <c r="CB341" s="460"/>
      <c r="CC341" s="460"/>
      <c r="CD341" s="460"/>
      <c r="CE341" s="460"/>
      <c r="CF341" s="460"/>
      <c r="CG341" s="460"/>
      <c r="CH341" s="460"/>
      <c r="CI341" s="460"/>
      <c r="CJ341" s="460"/>
      <c r="CK341" s="460"/>
    </row>
    <row r="342" spans="1:89" s="329" customFormat="1" ht="36" customHeight="1" x14ac:dyDescent="0.25">
      <c r="A342" s="329">
        <v>1</v>
      </c>
      <c r="B342" s="39">
        <f>SUBTOTAL(103,$A$16:A342)</f>
        <v>311</v>
      </c>
      <c r="C342" s="33" t="s">
        <v>1044</v>
      </c>
      <c r="D342" s="330">
        <v>1960</v>
      </c>
      <c r="E342" s="330"/>
      <c r="F342" s="331" t="s">
        <v>48</v>
      </c>
      <c r="G342" s="330">
        <v>2</v>
      </c>
      <c r="H342" s="330" t="s">
        <v>57</v>
      </c>
      <c r="I342" s="38">
        <v>299.10000000000002</v>
      </c>
      <c r="J342" s="38">
        <v>244.4</v>
      </c>
      <c r="K342" s="38">
        <v>244.4</v>
      </c>
      <c r="L342" s="332">
        <v>16</v>
      </c>
      <c r="M342" s="330" t="s">
        <v>46</v>
      </c>
      <c r="N342" s="330" t="s">
        <v>47</v>
      </c>
      <c r="O342" s="333" t="s">
        <v>49</v>
      </c>
      <c r="P342" s="38">
        <v>944609.1</v>
      </c>
      <c r="Q342" s="38">
        <v>0</v>
      </c>
      <c r="R342" s="38">
        <v>0</v>
      </c>
      <c r="S342" s="38">
        <f>P342-Q342-R342</f>
        <v>944609.1</v>
      </c>
      <c r="T342" s="38">
        <f t="shared" si="43"/>
        <v>3158.1715145436306</v>
      </c>
      <c r="U342" s="38">
        <v>5436.8002487462381</v>
      </c>
      <c r="V342" s="458">
        <f t="shared" si="44"/>
        <v>2278.6287342026076</v>
      </c>
      <c r="W342" s="458">
        <f t="shared" si="45"/>
        <v>9180.1130391173538</v>
      </c>
      <c r="X342" s="458">
        <v>0</v>
      </c>
      <c r="Y342" s="459">
        <v>0</v>
      </c>
      <c r="Z342" s="459">
        <v>0</v>
      </c>
      <c r="AA342" s="459">
        <v>0</v>
      </c>
      <c r="AB342" s="459">
        <v>0</v>
      </c>
      <c r="AC342" s="459">
        <v>0</v>
      </c>
      <c r="AD342" s="459">
        <v>0</v>
      </c>
      <c r="AE342" s="459">
        <v>0</v>
      </c>
      <c r="AF342" s="458">
        <v>0</v>
      </c>
      <c r="AG342" s="459">
        <v>0</v>
      </c>
      <c r="AH342" s="458">
        <v>0</v>
      </c>
      <c r="AI342" s="459">
        <v>369.1</v>
      </c>
      <c r="AJ342" s="458">
        <f>7439.1*AI342/I342</f>
        <v>9180.1130391173538</v>
      </c>
      <c r="AK342" s="459">
        <v>0</v>
      </c>
      <c r="AL342" s="459">
        <v>0</v>
      </c>
      <c r="AM342" s="459">
        <v>0</v>
      </c>
      <c r="AN342" s="459"/>
      <c r="AO342" s="459">
        <v>0</v>
      </c>
      <c r="AP342" s="460"/>
      <c r="AQ342" s="460"/>
      <c r="AR342" s="460"/>
      <c r="AS342" s="460"/>
      <c r="AT342" s="460"/>
      <c r="AU342" s="460"/>
      <c r="AV342" s="460"/>
      <c r="AW342" s="460"/>
      <c r="AX342" s="460"/>
      <c r="AY342" s="460"/>
      <c r="AZ342" s="460"/>
      <c r="BA342" s="460"/>
      <c r="BB342" s="460"/>
      <c r="BC342" s="460"/>
      <c r="BD342" s="460"/>
      <c r="BE342" s="460"/>
      <c r="BF342" s="460"/>
      <c r="BG342" s="460"/>
      <c r="BH342" s="460"/>
      <c r="BI342" s="460"/>
      <c r="BJ342" s="460"/>
      <c r="BK342" s="460"/>
      <c r="BL342" s="460"/>
      <c r="BM342" s="460"/>
      <c r="BN342" s="460"/>
      <c r="BO342" s="460"/>
      <c r="BP342" s="460"/>
      <c r="BQ342" s="460"/>
      <c r="BR342" s="460"/>
      <c r="BS342" s="460"/>
      <c r="BT342" s="460"/>
      <c r="BU342" s="460"/>
      <c r="BV342" s="460"/>
      <c r="BW342" s="460"/>
      <c r="BX342" s="460"/>
      <c r="BY342" s="460"/>
      <c r="BZ342" s="460"/>
      <c r="CA342" s="460"/>
      <c r="CB342" s="460"/>
      <c r="CC342" s="460"/>
      <c r="CD342" s="460"/>
      <c r="CE342" s="460"/>
      <c r="CF342" s="460"/>
      <c r="CG342" s="460"/>
      <c r="CH342" s="460"/>
      <c r="CI342" s="460"/>
      <c r="CJ342" s="460"/>
      <c r="CK342" s="460"/>
    </row>
    <row r="343" spans="1:89" s="329" customFormat="1" ht="36" customHeight="1" x14ac:dyDescent="0.25">
      <c r="A343" s="329">
        <v>1</v>
      </c>
      <c r="B343" s="39">
        <f>SUBTOTAL(103,$A$16:A343)</f>
        <v>312</v>
      </c>
      <c r="C343" s="33" t="s">
        <v>1046</v>
      </c>
      <c r="D343" s="330">
        <v>1962</v>
      </c>
      <c r="E343" s="330"/>
      <c r="F343" s="331" t="s">
        <v>48</v>
      </c>
      <c r="G343" s="330">
        <v>2</v>
      </c>
      <c r="H343" s="330" t="s">
        <v>57</v>
      </c>
      <c r="I343" s="38">
        <v>336.7</v>
      </c>
      <c r="J343" s="38">
        <v>336.7</v>
      </c>
      <c r="K343" s="38">
        <v>336.7</v>
      </c>
      <c r="L343" s="332">
        <v>13</v>
      </c>
      <c r="M343" s="330" t="s">
        <v>46</v>
      </c>
      <c r="N343" s="330" t="s">
        <v>71</v>
      </c>
      <c r="O343" s="333" t="s">
        <v>2061</v>
      </c>
      <c r="P343" s="38">
        <v>1213999.1700000002</v>
      </c>
      <c r="Q343" s="38">
        <v>0</v>
      </c>
      <c r="R343" s="38">
        <v>0</v>
      </c>
      <c r="S343" s="38">
        <f>P343-R343-Q343</f>
        <v>1213999.1700000002</v>
      </c>
      <c r="T343" s="38">
        <f t="shared" si="43"/>
        <v>3605.5811404811411</v>
      </c>
      <c r="U343" s="38">
        <v>5745.1699138699141</v>
      </c>
      <c r="V343" s="458">
        <f t="shared" si="44"/>
        <v>2139.588773388773</v>
      </c>
      <c r="W343" s="458">
        <f t="shared" si="45"/>
        <v>4813.2440201960198</v>
      </c>
      <c r="X343" s="458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259.76</v>
      </c>
      <c r="AF343" s="458">
        <f>6238.91*AE343/I343</f>
        <v>4813.2440201960198</v>
      </c>
      <c r="AG343" s="459">
        <v>0</v>
      </c>
      <c r="AH343" s="458">
        <v>0</v>
      </c>
      <c r="AI343" s="459">
        <v>0</v>
      </c>
      <c r="AJ343" s="458">
        <v>0</v>
      </c>
      <c r="AK343" s="459">
        <v>0</v>
      </c>
      <c r="AL343" s="459">
        <v>0</v>
      </c>
      <c r="AM343" s="459">
        <v>0</v>
      </c>
      <c r="AN343" s="459"/>
      <c r="AO343" s="459">
        <v>0</v>
      </c>
      <c r="AP343" s="460"/>
      <c r="AQ343" s="460"/>
      <c r="AR343" s="460"/>
      <c r="AS343" s="460"/>
      <c r="AT343" s="460"/>
      <c r="AU343" s="460"/>
      <c r="AV343" s="460"/>
      <c r="AW343" s="460"/>
      <c r="AX343" s="460"/>
      <c r="AY343" s="460"/>
      <c r="AZ343" s="460"/>
      <c r="BA343" s="460"/>
      <c r="BB343" s="460"/>
      <c r="BC343" s="460"/>
      <c r="BD343" s="460"/>
      <c r="BE343" s="460"/>
      <c r="BF343" s="460"/>
      <c r="BG343" s="460"/>
      <c r="BH343" s="460"/>
      <c r="BI343" s="460"/>
      <c r="BJ343" s="460"/>
      <c r="BK343" s="460"/>
      <c r="BL343" s="460"/>
      <c r="BM343" s="460"/>
      <c r="BN343" s="460"/>
      <c r="BO343" s="460"/>
      <c r="BP343" s="460"/>
      <c r="BQ343" s="460"/>
      <c r="BR343" s="460"/>
      <c r="BS343" s="460"/>
      <c r="BT343" s="460"/>
      <c r="BU343" s="460"/>
      <c r="BV343" s="460"/>
      <c r="BW343" s="460"/>
      <c r="BX343" s="460"/>
      <c r="BY343" s="460"/>
      <c r="BZ343" s="460"/>
      <c r="CA343" s="460"/>
      <c r="CB343" s="460"/>
      <c r="CC343" s="460"/>
      <c r="CD343" s="460"/>
      <c r="CE343" s="460"/>
      <c r="CF343" s="460"/>
      <c r="CG343" s="460"/>
      <c r="CH343" s="460"/>
      <c r="CI343" s="460"/>
      <c r="CJ343" s="460"/>
      <c r="CK343" s="460"/>
    </row>
    <row r="344" spans="1:89" s="329" customFormat="1" ht="36" customHeight="1" x14ac:dyDescent="0.25">
      <c r="B344" s="33" t="s">
        <v>1300</v>
      </c>
      <c r="C344" s="33"/>
      <c r="D344" s="330" t="s">
        <v>131</v>
      </c>
      <c r="E344" s="330" t="s">
        <v>131</v>
      </c>
      <c r="F344" s="330" t="s">
        <v>131</v>
      </c>
      <c r="G344" s="330" t="s">
        <v>131</v>
      </c>
      <c r="H344" s="330" t="s">
        <v>131</v>
      </c>
      <c r="I344" s="334">
        <f>SUM(I345:I346)</f>
        <v>1222.4000000000001</v>
      </c>
      <c r="J344" s="334">
        <f t="shared" ref="J344:L344" si="46">SUM(J345:J346)</f>
        <v>1166.8</v>
      </c>
      <c r="K344" s="334">
        <f t="shared" si="46"/>
        <v>1166.8</v>
      </c>
      <c r="L344" s="332">
        <f t="shared" si="46"/>
        <v>44</v>
      </c>
      <c r="M344" s="330" t="s">
        <v>131</v>
      </c>
      <c r="N344" s="330" t="s">
        <v>131</v>
      </c>
      <c r="O344" s="333" t="s">
        <v>131</v>
      </c>
      <c r="P344" s="38">
        <v>4429525.8800000008</v>
      </c>
      <c r="Q344" s="38">
        <f t="shared" ref="Q344:S344" si="47">SUM(Q345:Q346)</f>
        <v>0</v>
      </c>
      <c r="R344" s="38">
        <f t="shared" si="47"/>
        <v>0</v>
      </c>
      <c r="S344" s="38">
        <f t="shared" si="47"/>
        <v>4429525.8800000008</v>
      </c>
      <c r="T344" s="38">
        <f t="shared" si="43"/>
        <v>3623.6304646596864</v>
      </c>
      <c r="U344" s="38">
        <f>MAX(U345:U346)</f>
        <v>7880.8422347740689</v>
      </c>
      <c r="V344" s="458">
        <f t="shared" si="44"/>
        <v>4257.2117701143825</v>
      </c>
      <c r="W344" s="458"/>
      <c r="X344" s="458"/>
      <c r="Y344" s="459"/>
      <c r="Z344" s="459"/>
      <c r="AA344" s="459"/>
      <c r="AB344" s="459"/>
      <c r="AC344" s="459"/>
      <c r="AD344" s="459"/>
      <c r="AE344" s="459"/>
      <c r="AF344" s="459"/>
      <c r="AG344" s="459"/>
      <c r="AH344" s="459"/>
      <c r="AI344" s="459"/>
      <c r="AJ344" s="459"/>
      <c r="AK344" s="459"/>
      <c r="AL344" s="459"/>
      <c r="AM344" s="459"/>
      <c r="AN344" s="459"/>
      <c r="AO344" s="459"/>
      <c r="AP344" s="460"/>
      <c r="AQ344" s="460"/>
      <c r="AR344" s="460"/>
      <c r="AS344" s="460"/>
      <c r="AT344" s="460"/>
      <c r="AU344" s="460"/>
      <c r="AV344" s="460"/>
      <c r="AW344" s="460"/>
      <c r="AX344" s="460"/>
      <c r="AY344" s="460"/>
      <c r="AZ344" s="460"/>
      <c r="BA344" s="460"/>
      <c r="BB344" s="460"/>
      <c r="BC344" s="460"/>
      <c r="BD344" s="460"/>
      <c r="BE344" s="460"/>
      <c r="BF344" s="460"/>
      <c r="BG344" s="460"/>
      <c r="BH344" s="460"/>
      <c r="BI344" s="460"/>
      <c r="BJ344" s="460"/>
      <c r="BK344" s="460"/>
      <c r="BL344" s="460"/>
      <c r="BM344" s="460"/>
      <c r="BN344" s="460"/>
      <c r="BO344" s="460"/>
      <c r="BP344" s="460"/>
      <c r="BQ344" s="460"/>
      <c r="BR344" s="460"/>
      <c r="BS344" s="460"/>
      <c r="BT344" s="460"/>
      <c r="BU344" s="460"/>
      <c r="BV344" s="460"/>
      <c r="BW344" s="460"/>
      <c r="BX344" s="460"/>
      <c r="BY344" s="460"/>
      <c r="BZ344" s="460"/>
      <c r="CA344" s="460"/>
      <c r="CB344" s="460"/>
      <c r="CC344" s="460"/>
      <c r="CD344" s="460"/>
      <c r="CE344" s="460"/>
      <c r="CF344" s="460"/>
      <c r="CG344" s="460"/>
      <c r="CH344" s="460"/>
      <c r="CI344" s="460"/>
      <c r="CJ344" s="460"/>
      <c r="CK344" s="460"/>
    </row>
    <row r="345" spans="1:89" s="329" customFormat="1" ht="36" customHeight="1" x14ac:dyDescent="0.25">
      <c r="A345" s="329">
        <v>1</v>
      </c>
      <c r="B345" s="39">
        <f>SUBTOTAL(103,$A$16:A345)</f>
        <v>313</v>
      </c>
      <c r="C345" s="33" t="s">
        <v>1301</v>
      </c>
      <c r="D345" s="330">
        <v>1984</v>
      </c>
      <c r="E345" s="330"/>
      <c r="F345" s="331" t="s">
        <v>60</v>
      </c>
      <c r="G345" s="330">
        <v>2</v>
      </c>
      <c r="H345" s="330" t="s">
        <v>56</v>
      </c>
      <c r="I345" s="38">
        <v>611.6</v>
      </c>
      <c r="J345" s="38">
        <v>556</v>
      </c>
      <c r="K345" s="38">
        <v>556</v>
      </c>
      <c r="L345" s="332">
        <v>22</v>
      </c>
      <c r="M345" s="330" t="s">
        <v>46</v>
      </c>
      <c r="N345" s="330" t="s">
        <v>47</v>
      </c>
      <c r="O345" s="333" t="s">
        <v>49</v>
      </c>
      <c r="P345" s="38">
        <v>2286802.33</v>
      </c>
      <c r="Q345" s="38">
        <v>0</v>
      </c>
      <c r="R345" s="38">
        <v>0</v>
      </c>
      <c r="S345" s="38">
        <f>P345-Q345-R345</f>
        <v>2286802.33</v>
      </c>
      <c r="T345" s="38">
        <f t="shared" si="43"/>
        <v>3739.0489372138654</v>
      </c>
      <c r="U345" s="38">
        <v>5967.3356115107918</v>
      </c>
      <c r="V345" s="458">
        <f t="shared" si="44"/>
        <v>2228.2866742969263</v>
      </c>
      <c r="W345" s="458">
        <f t="shared" ref="W345:W346" si="48">X345+Y345+Z345+AA345+AB345+AD345+AF345+AH345+AJ345+AL345+AN345+AO345</f>
        <v>6258.9281654676261</v>
      </c>
      <c r="X345" s="458">
        <v>0</v>
      </c>
      <c r="Y345" s="459">
        <v>0</v>
      </c>
      <c r="Z345" s="459">
        <v>0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8">
        <v>0</v>
      </c>
      <c r="AG345" s="459">
        <v>0</v>
      </c>
      <c r="AH345" s="458">
        <v>0</v>
      </c>
      <c r="AI345" s="459">
        <v>490.6</v>
      </c>
      <c r="AJ345" s="458">
        <f>7802.61*AI345/I345</f>
        <v>6258.9281654676261</v>
      </c>
      <c r="AK345" s="459">
        <v>0</v>
      </c>
      <c r="AL345" s="459">
        <v>0</v>
      </c>
      <c r="AM345" s="459">
        <v>0</v>
      </c>
      <c r="AN345" s="459"/>
      <c r="AO345" s="459">
        <v>0</v>
      </c>
      <c r="AP345" s="460"/>
      <c r="AQ345" s="460"/>
      <c r="AR345" s="460"/>
      <c r="AS345" s="460"/>
      <c r="AT345" s="460"/>
      <c r="AU345" s="460"/>
      <c r="AV345" s="460"/>
      <c r="AW345" s="460"/>
      <c r="AX345" s="460"/>
      <c r="AY345" s="460"/>
      <c r="AZ345" s="460"/>
      <c r="BA345" s="460"/>
      <c r="BB345" s="460"/>
      <c r="BC345" s="460"/>
      <c r="BD345" s="460"/>
      <c r="BE345" s="460"/>
      <c r="BF345" s="460"/>
      <c r="BG345" s="460"/>
      <c r="BH345" s="460"/>
      <c r="BI345" s="460"/>
      <c r="BJ345" s="460"/>
      <c r="BK345" s="460"/>
      <c r="BL345" s="460"/>
      <c r="BM345" s="460"/>
      <c r="BN345" s="460"/>
      <c r="BO345" s="460"/>
      <c r="BP345" s="460"/>
      <c r="BQ345" s="460"/>
      <c r="BR345" s="460"/>
      <c r="BS345" s="460"/>
      <c r="BT345" s="460"/>
      <c r="BU345" s="460"/>
      <c r="BV345" s="460"/>
      <c r="BW345" s="460"/>
      <c r="BX345" s="460"/>
      <c r="BY345" s="460"/>
      <c r="BZ345" s="460"/>
      <c r="CA345" s="460"/>
      <c r="CB345" s="460"/>
      <c r="CC345" s="460"/>
      <c r="CD345" s="460"/>
      <c r="CE345" s="460"/>
      <c r="CF345" s="460"/>
      <c r="CG345" s="460"/>
      <c r="CH345" s="460"/>
      <c r="CI345" s="460"/>
      <c r="CJ345" s="460"/>
      <c r="CK345" s="460"/>
    </row>
    <row r="346" spans="1:89" s="329" customFormat="1" ht="36" customHeight="1" x14ac:dyDescent="0.25">
      <c r="A346" s="329">
        <v>1</v>
      </c>
      <c r="B346" s="39">
        <f>SUBTOTAL(103,$A$16:A346)</f>
        <v>314</v>
      </c>
      <c r="C346" s="33" t="s">
        <v>1302</v>
      </c>
      <c r="D346" s="330">
        <v>1984</v>
      </c>
      <c r="E346" s="330"/>
      <c r="F346" s="331" t="s">
        <v>63</v>
      </c>
      <c r="G346" s="330">
        <v>2</v>
      </c>
      <c r="H346" s="330" t="s">
        <v>56</v>
      </c>
      <c r="I346" s="38">
        <v>610.79999999999995</v>
      </c>
      <c r="J346" s="38">
        <v>610.79999999999995</v>
      </c>
      <c r="K346" s="38">
        <v>610.79999999999995</v>
      </c>
      <c r="L346" s="332">
        <v>22</v>
      </c>
      <c r="M346" s="330" t="s">
        <v>46</v>
      </c>
      <c r="N346" s="330" t="s">
        <v>47</v>
      </c>
      <c r="O346" s="333" t="s">
        <v>49</v>
      </c>
      <c r="P346" s="38">
        <v>2142723.5500000003</v>
      </c>
      <c r="Q346" s="38">
        <v>0</v>
      </c>
      <c r="R346" s="38">
        <v>0</v>
      </c>
      <c r="S346" s="38">
        <f>P346-Q346-R346</f>
        <v>2142723.5500000003</v>
      </c>
      <c r="T346" s="38">
        <f t="shared" si="43"/>
        <v>3508.0608218729544</v>
      </c>
      <c r="U346" s="38">
        <v>7880.8422347740689</v>
      </c>
      <c r="V346" s="458">
        <f t="shared" si="44"/>
        <v>4372.7814129011149</v>
      </c>
      <c r="W346" s="458">
        <f t="shared" si="48"/>
        <v>8407.3505982318275</v>
      </c>
      <c r="X346" s="458">
        <v>0</v>
      </c>
      <c r="Y346" s="459">
        <v>0</v>
      </c>
      <c r="Z346" s="459">
        <v>0</v>
      </c>
      <c r="AA346" s="459">
        <v>0</v>
      </c>
      <c r="AB346" s="459">
        <v>0</v>
      </c>
      <c r="AC346" s="459">
        <v>0</v>
      </c>
      <c r="AD346" s="459">
        <v>0</v>
      </c>
      <c r="AE346" s="459">
        <v>0</v>
      </c>
      <c r="AF346" s="458">
        <v>0</v>
      </c>
      <c r="AG346" s="459">
        <v>0</v>
      </c>
      <c r="AH346" s="458">
        <v>0</v>
      </c>
      <c r="AI346" s="459">
        <v>658.14</v>
      </c>
      <c r="AJ346" s="458">
        <f>7802.61*AI346/I346</f>
        <v>8407.3505982318275</v>
      </c>
      <c r="AK346" s="459">
        <v>0</v>
      </c>
      <c r="AL346" s="459">
        <v>0</v>
      </c>
      <c r="AM346" s="459">
        <v>0</v>
      </c>
      <c r="AN346" s="459"/>
      <c r="AO346" s="459">
        <v>0</v>
      </c>
      <c r="AP346" s="460"/>
      <c r="AQ346" s="460"/>
      <c r="AR346" s="460"/>
      <c r="AS346" s="460"/>
      <c r="AT346" s="460"/>
      <c r="AU346" s="460"/>
      <c r="AV346" s="460"/>
      <c r="AW346" s="460"/>
      <c r="AX346" s="460"/>
      <c r="AY346" s="460"/>
      <c r="AZ346" s="460"/>
      <c r="BA346" s="460"/>
      <c r="BB346" s="460"/>
      <c r="BC346" s="460"/>
      <c r="BD346" s="460"/>
      <c r="BE346" s="460"/>
      <c r="BF346" s="460"/>
      <c r="BG346" s="460"/>
      <c r="BH346" s="460"/>
      <c r="BI346" s="460"/>
      <c r="BJ346" s="460"/>
      <c r="BK346" s="460"/>
      <c r="BL346" s="460"/>
      <c r="BM346" s="460"/>
      <c r="BN346" s="460"/>
      <c r="BO346" s="460"/>
      <c r="BP346" s="460"/>
      <c r="BQ346" s="460"/>
      <c r="BR346" s="460"/>
      <c r="BS346" s="460"/>
      <c r="BT346" s="460"/>
      <c r="BU346" s="460"/>
      <c r="BV346" s="460"/>
      <c r="BW346" s="460"/>
      <c r="BX346" s="460"/>
      <c r="BY346" s="460"/>
      <c r="BZ346" s="460"/>
      <c r="CA346" s="460"/>
      <c r="CB346" s="460"/>
      <c r="CC346" s="460"/>
      <c r="CD346" s="460"/>
      <c r="CE346" s="460"/>
      <c r="CF346" s="460"/>
      <c r="CG346" s="460"/>
      <c r="CH346" s="460"/>
      <c r="CI346" s="460"/>
      <c r="CJ346" s="460"/>
      <c r="CK346" s="460"/>
    </row>
    <row r="347" spans="1:89" s="329" customFormat="1" ht="36" customHeight="1" x14ac:dyDescent="0.25">
      <c r="B347" s="33" t="s">
        <v>1303</v>
      </c>
      <c r="C347" s="463"/>
      <c r="D347" s="330" t="s">
        <v>131</v>
      </c>
      <c r="E347" s="330" t="s">
        <v>131</v>
      </c>
      <c r="F347" s="330" t="s">
        <v>131</v>
      </c>
      <c r="G347" s="330" t="s">
        <v>131</v>
      </c>
      <c r="H347" s="330" t="s">
        <v>131</v>
      </c>
      <c r="I347" s="334">
        <f>SUM(I348:I349)</f>
        <v>1746.5</v>
      </c>
      <c r="J347" s="334">
        <f>SUM(J348:J349)</f>
        <v>1598.5</v>
      </c>
      <c r="K347" s="334">
        <f>SUM(K348:K349)</f>
        <v>1598.5</v>
      </c>
      <c r="L347" s="332">
        <f>SUM(L348:L349)</f>
        <v>78</v>
      </c>
      <c r="M347" s="330" t="s">
        <v>131</v>
      </c>
      <c r="N347" s="330" t="s">
        <v>131</v>
      </c>
      <c r="O347" s="333" t="s">
        <v>131</v>
      </c>
      <c r="P347" s="38">
        <v>7840990.7699999996</v>
      </c>
      <c r="Q347" s="38">
        <f>SUM(Q348:Q349)</f>
        <v>0</v>
      </c>
      <c r="R347" s="38">
        <f>SUM(R348:R349)</f>
        <v>0</v>
      </c>
      <c r="S347" s="38">
        <f>SUM(S348:S349)</f>
        <v>7840990.7699999996</v>
      </c>
      <c r="T347" s="38">
        <f t="shared" si="43"/>
        <v>4489.5452447752641</v>
      </c>
      <c r="U347" s="38">
        <f>MAX(U348:U349)</f>
        <v>5266.7086997685665</v>
      </c>
      <c r="V347" s="458">
        <f t="shared" si="44"/>
        <v>777.16345499330237</v>
      </c>
      <c r="W347" s="458"/>
      <c r="X347" s="458"/>
      <c r="Y347" s="459"/>
      <c r="Z347" s="459"/>
      <c r="AA347" s="459"/>
      <c r="AB347" s="459"/>
      <c r="AC347" s="459"/>
      <c r="AD347" s="459"/>
      <c r="AE347" s="459"/>
      <c r="AF347" s="459"/>
      <c r="AG347" s="459"/>
      <c r="AH347" s="459"/>
      <c r="AI347" s="459"/>
      <c r="AJ347" s="459"/>
      <c r="AK347" s="459"/>
      <c r="AL347" s="459"/>
      <c r="AM347" s="459"/>
      <c r="AN347" s="459"/>
      <c r="AO347" s="459"/>
      <c r="AP347" s="460"/>
      <c r="AQ347" s="460"/>
      <c r="AR347" s="460"/>
      <c r="AS347" s="460"/>
      <c r="AT347" s="460"/>
      <c r="AU347" s="460"/>
      <c r="AV347" s="460"/>
      <c r="AW347" s="460"/>
      <c r="AX347" s="460"/>
      <c r="AY347" s="460"/>
      <c r="AZ347" s="460"/>
      <c r="BA347" s="460"/>
      <c r="BB347" s="460"/>
      <c r="BC347" s="460"/>
      <c r="BD347" s="460"/>
      <c r="BE347" s="460"/>
      <c r="BF347" s="460"/>
      <c r="BG347" s="460"/>
      <c r="BH347" s="460"/>
      <c r="BI347" s="460"/>
      <c r="BJ347" s="460"/>
      <c r="BK347" s="460"/>
      <c r="BL347" s="460"/>
      <c r="BM347" s="460"/>
      <c r="BN347" s="460"/>
      <c r="BO347" s="460"/>
      <c r="BP347" s="460"/>
      <c r="BQ347" s="460"/>
      <c r="BR347" s="460"/>
      <c r="BS347" s="460"/>
      <c r="BT347" s="460"/>
      <c r="BU347" s="460"/>
      <c r="BV347" s="460"/>
      <c r="BW347" s="460"/>
      <c r="BX347" s="460"/>
      <c r="BY347" s="460"/>
      <c r="BZ347" s="460"/>
      <c r="CA347" s="460"/>
      <c r="CB347" s="460"/>
      <c r="CC347" s="460"/>
      <c r="CD347" s="460"/>
      <c r="CE347" s="460"/>
      <c r="CF347" s="460"/>
      <c r="CG347" s="460"/>
      <c r="CH347" s="460"/>
      <c r="CI347" s="460"/>
      <c r="CJ347" s="460"/>
      <c r="CK347" s="460"/>
    </row>
    <row r="348" spans="1:89" s="329" customFormat="1" ht="36" customHeight="1" x14ac:dyDescent="0.25">
      <c r="A348" s="329">
        <v>1</v>
      </c>
      <c r="B348" s="39">
        <f>SUBTOTAL(103,$A$16:A348)</f>
        <v>315</v>
      </c>
      <c r="C348" s="343" t="s">
        <v>1165</v>
      </c>
      <c r="D348" s="330">
        <v>1975</v>
      </c>
      <c r="E348" s="330"/>
      <c r="F348" s="331" t="s">
        <v>48</v>
      </c>
      <c r="G348" s="330">
        <v>2</v>
      </c>
      <c r="H348" s="330" t="s">
        <v>56</v>
      </c>
      <c r="I348" s="38">
        <v>795.9</v>
      </c>
      <c r="J348" s="38">
        <v>735.5</v>
      </c>
      <c r="K348" s="38">
        <v>735.5</v>
      </c>
      <c r="L348" s="332">
        <v>42</v>
      </c>
      <c r="M348" s="330" t="s">
        <v>46</v>
      </c>
      <c r="N348" s="330" t="s">
        <v>47</v>
      </c>
      <c r="O348" s="333" t="s">
        <v>49</v>
      </c>
      <c r="P348" s="38">
        <v>2834457.48</v>
      </c>
      <c r="Q348" s="38">
        <v>0</v>
      </c>
      <c r="R348" s="38">
        <v>0</v>
      </c>
      <c r="S348" s="38">
        <f>P348-Q348-R348</f>
        <v>2834457.48</v>
      </c>
      <c r="T348" s="38">
        <f t="shared" si="43"/>
        <v>3561.3236336223144</v>
      </c>
      <c r="U348" s="38">
        <v>4861.6954881266493</v>
      </c>
      <c r="V348" s="458">
        <f t="shared" si="44"/>
        <v>1300.3718545043348</v>
      </c>
      <c r="W348" s="458">
        <f t="shared" ref="W348" si="49">X348+Y348+Z348+AA348+AB348+AD348+AF348+AH348+AJ348+AL348+AN348+AO348</f>
        <v>4845.1693315743187</v>
      </c>
      <c r="X348" s="458">
        <v>0</v>
      </c>
      <c r="Y348" s="459">
        <v>0</v>
      </c>
      <c r="Z348" s="459">
        <v>0</v>
      </c>
      <c r="AA348" s="459">
        <v>0</v>
      </c>
      <c r="AB348" s="459">
        <v>0</v>
      </c>
      <c r="AC348" s="459">
        <v>0</v>
      </c>
      <c r="AD348" s="459">
        <v>0</v>
      </c>
      <c r="AE348" s="459">
        <v>618.1</v>
      </c>
      <c r="AF348" s="458">
        <f>6238.91*AE348/I348</f>
        <v>4845.1693315743187</v>
      </c>
      <c r="AG348" s="459">
        <v>0</v>
      </c>
      <c r="AH348" s="458">
        <v>0</v>
      </c>
      <c r="AI348" s="459">
        <v>0</v>
      </c>
      <c r="AJ348" s="458">
        <v>0</v>
      </c>
      <c r="AK348" s="459">
        <v>0</v>
      </c>
      <c r="AL348" s="459">
        <v>0</v>
      </c>
      <c r="AM348" s="459">
        <v>0</v>
      </c>
      <c r="AN348" s="459"/>
      <c r="AO348" s="459">
        <v>0</v>
      </c>
      <c r="AP348" s="460"/>
      <c r="AQ348" s="460"/>
      <c r="AR348" s="460"/>
      <c r="AS348" s="460"/>
      <c r="AT348" s="460"/>
      <c r="AU348" s="460"/>
      <c r="AV348" s="460"/>
      <c r="AW348" s="460"/>
      <c r="AX348" s="460"/>
      <c r="AY348" s="460"/>
      <c r="AZ348" s="460"/>
      <c r="BA348" s="460"/>
      <c r="BB348" s="460"/>
      <c r="BC348" s="460"/>
      <c r="BD348" s="460"/>
      <c r="BE348" s="460"/>
      <c r="BF348" s="460"/>
      <c r="BG348" s="460"/>
      <c r="BH348" s="460"/>
      <c r="BI348" s="460"/>
      <c r="BJ348" s="460"/>
      <c r="BK348" s="460"/>
      <c r="BL348" s="460"/>
      <c r="BM348" s="460"/>
      <c r="BN348" s="460"/>
      <c r="BO348" s="460"/>
      <c r="BP348" s="460"/>
      <c r="BQ348" s="460"/>
      <c r="BR348" s="460"/>
      <c r="BS348" s="460"/>
      <c r="BT348" s="460"/>
      <c r="BU348" s="460"/>
      <c r="BV348" s="460"/>
      <c r="BW348" s="460"/>
      <c r="BX348" s="460"/>
      <c r="BY348" s="460"/>
      <c r="BZ348" s="460"/>
      <c r="CA348" s="460"/>
      <c r="CB348" s="460"/>
      <c r="CC348" s="460"/>
      <c r="CD348" s="460"/>
      <c r="CE348" s="460"/>
      <c r="CF348" s="460"/>
      <c r="CG348" s="460"/>
      <c r="CH348" s="460"/>
      <c r="CI348" s="460"/>
      <c r="CJ348" s="460"/>
      <c r="CK348" s="460"/>
    </row>
    <row r="349" spans="1:89" s="329" customFormat="1" ht="36" customHeight="1" x14ac:dyDescent="0.25">
      <c r="A349" s="329">
        <v>1</v>
      </c>
      <c r="B349" s="39">
        <f>SUBTOTAL(103,$A$16:A349)</f>
        <v>316</v>
      </c>
      <c r="C349" s="33" t="s">
        <v>1304</v>
      </c>
      <c r="D349" s="330">
        <v>1979</v>
      </c>
      <c r="E349" s="330"/>
      <c r="F349" s="331" t="s">
        <v>48</v>
      </c>
      <c r="G349" s="330">
        <v>2</v>
      </c>
      <c r="H349" s="330" t="s">
        <v>61</v>
      </c>
      <c r="I349" s="38">
        <v>950.6</v>
      </c>
      <c r="J349" s="38">
        <v>863</v>
      </c>
      <c r="K349" s="38">
        <v>863</v>
      </c>
      <c r="L349" s="332">
        <v>36</v>
      </c>
      <c r="M349" s="330" t="s">
        <v>46</v>
      </c>
      <c r="N349" s="330" t="s">
        <v>47</v>
      </c>
      <c r="O349" s="333" t="s">
        <v>49</v>
      </c>
      <c r="P349" s="38">
        <v>5006533.2899999991</v>
      </c>
      <c r="Q349" s="38">
        <v>0</v>
      </c>
      <c r="R349" s="38">
        <v>0</v>
      </c>
      <c r="S349" s="38">
        <f>P349-Q349-R349</f>
        <v>5006533.2899999991</v>
      </c>
      <c r="T349" s="38">
        <f t="shared" si="43"/>
        <v>5266.7086997685665</v>
      </c>
      <c r="U349" s="38">
        <v>5266.7086997685665</v>
      </c>
      <c r="V349" s="458">
        <f t="shared" si="44"/>
        <v>0</v>
      </c>
      <c r="W349" s="458">
        <f>T349</f>
        <v>5266.7086997685665</v>
      </c>
      <c r="X349" s="458">
        <v>0</v>
      </c>
      <c r="Y349" s="459">
        <v>0</v>
      </c>
      <c r="Z349" s="459">
        <v>0</v>
      </c>
      <c r="AA349" s="459">
        <v>0</v>
      </c>
      <c r="AB349" s="459">
        <v>0</v>
      </c>
      <c r="AC349" s="459">
        <v>0</v>
      </c>
      <c r="AD349" s="459">
        <v>0</v>
      </c>
      <c r="AE349" s="459">
        <v>722.14</v>
      </c>
      <c r="AF349" s="458">
        <f>6436.53*AE349/I349</f>
        <v>4889.6231582158634</v>
      </c>
      <c r="AG349" s="459">
        <v>0</v>
      </c>
      <c r="AH349" s="458">
        <v>0</v>
      </c>
      <c r="AI349" s="459">
        <v>0</v>
      </c>
      <c r="AJ349" s="458">
        <v>0</v>
      </c>
      <c r="AK349" s="459">
        <v>0</v>
      </c>
      <c r="AL349" s="459">
        <v>0</v>
      </c>
      <c r="AM349" s="459">
        <v>0</v>
      </c>
      <c r="AN349" s="459"/>
      <c r="AO349" s="459">
        <v>0</v>
      </c>
      <c r="AP349" s="460"/>
      <c r="AQ349" s="460"/>
      <c r="AR349" s="460"/>
      <c r="AS349" s="460"/>
      <c r="AT349" s="460"/>
      <c r="AU349" s="460"/>
      <c r="AV349" s="460"/>
      <c r="AW349" s="460"/>
      <c r="AX349" s="460"/>
      <c r="AY349" s="460"/>
      <c r="AZ349" s="460"/>
      <c r="BA349" s="460"/>
      <c r="BB349" s="460"/>
      <c r="BC349" s="460"/>
      <c r="BD349" s="460"/>
      <c r="BE349" s="460"/>
      <c r="BF349" s="460"/>
      <c r="BG349" s="460"/>
      <c r="BH349" s="460"/>
      <c r="BI349" s="460"/>
      <c r="BJ349" s="460"/>
      <c r="BK349" s="460"/>
      <c r="BL349" s="460"/>
      <c r="BM349" s="460"/>
      <c r="BN349" s="460"/>
      <c r="BO349" s="460"/>
      <c r="BP349" s="460"/>
      <c r="BQ349" s="460"/>
      <c r="BR349" s="460"/>
      <c r="BS349" s="460"/>
      <c r="BT349" s="460"/>
      <c r="BU349" s="460"/>
      <c r="BV349" s="460"/>
      <c r="BW349" s="460"/>
      <c r="BX349" s="460"/>
      <c r="BY349" s="460"/>
      <c r="BZ349" s="460"/>
      <c r="CA349" s="460"/>
      <c r="CB349" s="460"/>
      <c r="CC349" s="460"/>
      <c r="CD349" s="460"/>
      <c r="CE349" s="460"/>
      <c r="CF349" s="460"/>
      <c r="CG349" s="460"/>
      <c r="CH349" s="460"/>
      <c r="CI349" s="460"/>
      <c r="CJ349" s="460"/>
      <c r="CK349" s="460"/>
    </row>
    <row r="350" spans="1:89" s="329" customFormat="1" ht="36" customHeight="1" x14ac:dyDescent="0.25">
      <c r="B350" s="33" t="s">
        <v>103</v>
      </c>
      <c r="C350" s="462"/>
      <c r="D350" s="330" t="s">
        <v>131</v>
      </c>
      <c r="E350" s="330" t="s">
        <v>131</v>
      </c>
      <c r="F350" s="330" t="s">
        <v>131</v>
      </c>
      <c r="G350" s="330" t="s">
        <v>131</v>
      </c>
      <c r="H350" s="330" t="s">
        <v>131</v>
      </c>
      <c r="I350" s="334">
        <f>SUM(I351:I353)</f>
        <v>5843.6</v>
      </c>
      <c r="J350" s="334">
        <f>SUM(J351:J353)</f>
        <v>5341</v>
      </c>
      <c r="K350" s="334">
        <f>SUM(K351:K353)</f>
        <v>4976.3</v>
      </c>
      <c r="L350" s="332">
        <f>SUM(L351:L353)</f>
        <v>224</v>
      </c>
      <c r="M350" s="330" t="s">
        <v>131</v>
      </c>
      <c r="N350" s="330" t="s">
        <v>131</v>
      </c>
      <c r="O350" s="333" t="s">
        <v>131</v>
      </c>
      <c r="P350" s="334">
        <v>8426851.959999999</v>
      </c>
      <c r="Q350" s="334">
        <f>SUM(Q351:Q353)</f>
        <v>0</v>
      </c>
      <c r="R350" s="334">
        <f>SUM(R351:R353)</f>
        <v>0</v>
      </c>
      <c r="S350" s="334">
        <f>SUM(S351:S353)</f>
        <v>8426851.959999999</v>
      </c>
      <c r="T350" s="38">
        <f t="shared" si="43"/>
        <v>1442.0651584639604</v>
      </c>
      <c r="U350" s="38">
        <f>MAX(U351:U353)</f>
        <v>5635.5559977876101</v>
      </c>
      <c r="V350" s="458">
        <f t="shared" si="44"/>
        <v>4193.4908393236492</v>
      </c>
      <c r="W350" s="458"/>
      <c r="X350" s="458"/>
      <c r="Y350" s="459"/>
      <c r="Z350" s="459"/>
      <c r="AA350" s="459"/>
      <c r="AB350" s="459"/>
      <c r="AC350" s="459"/>
      <c r="AD350" s="459"/>
      <c r="AE350" s="459"/>
      <c r="AF350" s="459"/>
      <c r="AG350" s="459"/>
      <c r="AH350" s="459"/>
      <c r="AI350" s="459"/>
      <c r="AJ350" s="459"/>
      <c r="AK350" s="459"/>
      <c r="AL350" s="459"/>
      <c r="AM350" s="459"/>
      <c r="AN350" s="459"/>
      <c r="AO350" s="459"/>
      <c r="AP350" s="460"/>
      <c r="AQ350" s="460"/>
      <c r="AR350" s="460"/>
      <c r="AS350" s="460"/>
      <c r="AT350" s="460"/>
      <c r="AU350" s="460"/>
      <c r="AV350" s="460"/>
      <c r="AW350" s="460"/>
      <c r="AX350" s="460"/>
      <c r="AY350" s="460"/>
      <c r="AZ350" s="460"/>
      <c r="BA350" s="460"/>
      <c r="BB350" s="460"/>
      <c r="BC350" s="460"/>
      <c r="BD350" s="460"/>
      <c r="BE350" s="460"/>
      <c r="BF350" s="460"/>
      <c r="BG350" s="460"/>
      <c r="BH350" s="460"/>
      <c r="BI350" s="460"/>
      <c r="BJ350" s="460"/>
      <c r="BK350" s="460"/>
      <c r="BL350" s="460"/>
      <c r="BM350" s="460"/>
      <c r="BN350" s="460"/>
      <c r="BO350" s="460"/>
      <c r="BP350" s="460"/>
      <c r="BQ350" s="460"/>
      <c r="BR350" s="460"/>
      <c r="BS350" s="460"/>
      <c r="BT350" s="460"/>
      <c r="BU350" s="460"/>
      <c r="BV350" s="460"/>
      <c r="BW350" s="460"/>
      <c r="BX350" s="460"/>
      <c r="BY350" s="460"/>
      <c r="BZ350" s="460"/>
      <c r="CA350" s="460"/>
      <c r="CB350" s="460"/>
      <c r="CC350" s="460"/>
      <c r="CD350" s="460"/>
      <c r="CE350" s="460"/>
      <c r="CF350" s="460"/>
      <c r="CG350" s="460"/>
      <c r="CH350" s="460"/>
      <c r="CI350" s="460"/>
      <c r="CJ350" s="460"/>
      <c r="CK350" s="460"/>
    </row>
    <row r="351" spans="1:89" s="329" customFormat="1" ht="36" customHeight="1" x14ac:dyDescent="0.25">
      <c r="A351" s="329">
        <v>1</v>
      </c>
      <c r="B351" s="39">
        <f>SUBTOTAL(103,$A$16:A351)</f>
        <v>317</v>
      </c>
      <c r="C351" s="33" t="s">
        <v>1305</v>
      </c>
      <c r="D351" s="330">
        <v>1928</v>
      </c>
      <c r="E351" s="330"/>
      <c r="F351" s="331" t="s">
        <v>68</v>
      </c>
      <c r="G351" s="330" t="s">
        <v>56</v>
      </c>
      <c r="H351" s="330" t="s">
        <v>57</v>
      </c>
      <c r="I351" s="38">
        <v>253.1</v>
      </c>
      <c r="J351" s="38">
        <v>231.8</v>
      </c>
      <c r="K351" s="38">
        <v>231.8</v>
      </c>
      <c r="L351" s="332">
        <v>14</v>
      </c>
      <c r="M351" s="330" t="s">
        <v>46</v>
      </c>
      <c r="N351" s="330" t="s">
        <v>50</v>
      </c>
      <c r="O351" s="333" t="s">
        <v>2062</v>
      </c>
      <c r="P351" s="38">
        <v>51949.1</v>
      </c>
      <c r="Q351" s="38">
        <v>0</v>
      </c>
      <c r="R351" s="38">
        <v>0</v>
      </c>
      <c r="S351" s="38">
        <f>P351-Q351-R351</f>
        <v>51949.1</v>
      </c>
      <c r="T351" s="38">
        <f t="shared" si="43"/>
        <v>205.25128407743975</v>
      </c>
      <c r="U351" s="38">
        <v>205.25128407743975</v>
      </c>
      <c r="V351" s="458">
        <f t="shared" si="44"/>
        <v>0</v>
      </c>
      <c r="W351" s="458">
        <f>T351</f>
        <v>205.25128407743975</v>
      </c>
      <c r="X351" s="458">
        <v>0</v>
      </c>
      <c r="Y351" s="459">
        <v>0</v>
      </c>
      <c r="Z351" s="459">
        <v>0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8">
        <v>0</v>
      </c>
      <c r="AG351" s="459">
        <v>0</v>
      </c>
      <c r="AH351" s="458">
        <v>0</v>
      </c>
      <c r="AI351" s="459">
        <v>0</v>
      </c>
      <c r="AJ351" s="458">
        <v>0</v>
      </c>
      <c r="AK351" s="459">
        <v>0</v>
      </c>
      <c r="AL351" s="459">
        <v>0</v>
      </c>
      <c r="AM351" s="459">
        <v>0</v>
      </c>
      <c r="AN351" s="459"/>
      <c r="AO351" s="459">
        <v>0</v>
      </c>
      <c r="AP351" s="460"/>
      <c r="AQ351" s="460"/>
      <c r="AR351" s="460"/>
      <c r="AS351" s="460"/>
      <c r="AT351" s="460"/>
      <c r="AU351" s="460"/>
      <c r="AV351" s="460"/>
      <c r="AW351" s="460"/>
      <c r="AX351" s="460"/>
      <c r="AY351" s="460"/>
      <c r="AZ351" s="460"/>
      <c r="BA351" s="460"/>
      <c r="BB351" s="460"/>
      <c r="BC351" s="460"/>
      <c r="BD351" s="460"/>
      <c r="BE351" s="460"/>
      <c r="BF351" s="460"/>
      <c r="BG351" s="460"/>
      <c r="BH351" s="460"/>
      <c r="BI351" s="460"/>
      <c r="BJ351" s="460"/>
      <c r="BK351" s="460"/>
      <c r="BL351" s="460"/>
      <c r="BM351" s="460"/>
      <c r="BN351" s="460"/>
      <c r="BO351" s="460"/>
      <c r="BP351" s="460"/>
      <c r="BQ351" s="460"/>
      <c r="BR351" s="460"/>
      <c r="BS351" s="460"/>
      <c r="BT351" s="460"/>
      <c r="BU351" s="460"/>
      <c r="BV351" s="460"/>
      <c r="BW351" s="460"/>
      <c r="BX351" s="460"/>
      <c r="BY351" s="460"/>
      <c r="BZ351" s="460"/>
      <c r="CA351" s="460"/>
      <c r="CB351" s="460"/>
      <c r="CC351" s="460"/>
      <c r="CD351" s="460"/>
      <c r="CE351" s="460"/>
      <c r="CF351" s="460"/>
      <c r="CG351" s="460"/>
      <c r="CH351" s="460"/>
      <c r="CI351" s="460"/>
      <c r="CJ351" s="460"/>
      <c r="CK351" s="460"/>
    </row>
    <row r="352" spans="1:89" s="329" customFormat="1" ht="36" customHeight="1" x14ac:dyDescent="0.25">
      <c r="A352" s="329">
        <v>1</v>
      </c>
      <c r="B352" s="39">
        <f>SUBTOTAL(103,$A$16:A352)</f>
        <v>318</v>
      </c>
      <c r="C352" s="33" t="s">
        <v>1306</v>
      </c>
      <c r="D352" s="330">
        <v>1972</v>
      </c>
      <c r="E352" s="330">
        <v>2010</v>
      </c>
      <c r="F352" s="331" t="s">
        <v>48</v>
      </c>
      <c r="G352" s="330">
        <v>5</v>
      </c>
      <c r="H352" s="330" t="s">
        <v>61</v>
      </c>
      <c r="I352" s="38">
        <v>5138.5</v>
      </c>
      <c r="J352" s="38">
        <v>4692.3</v>
      </c>
      <c r="K352" s="38">
        <v>4327.6000000000004</v>
      </c>
      <c r="L352" s="332">
        <v>197</v>
      </c>
      <c r="M352" s="330" t="s">
        <v>46</v>
      </c>
      <c r="N352" s="330" t="s">
        <v>50</v>
      </c>
      <c r="O352" s="333" t="s">
        <v>2062</v>
      </c>
      <c r="P352" s="38">
        <v>6562845.1299999999</v>
      </c>
      <c r="Q352" s="38">
        <v>0</v>
      </c>
      <c r="R352" s="38">
        <v>0</v>
      </c>
      <c r="S352" s="38">
        <f>P352-Q352-R352</f>
        <v>6562845.1299999999</v>
      </c>
      <c r="T352" s="38">
        <f t="shared" si="43"/>
        <v>1277.1908397392235</v>
      </c>
      <c r="U352" s="38">
        <v>3259.66</v>
      </c>
      <c r="V352" s="458">
        <f t="shared" si="44"/>
        <v>1982.4691602607763</v>
      </c>
      <c r="W352" s="458">
        <f t="shared" ref="W352:W353" si="50">X352+Y352+Z352+AA352+AB352+AD352+AF352+AH352+AJ352+AL352+AN352+AO352</f>
        <v>3259.66</v>
      </c>
      <c r="X352" s="458">
        <v>0</v>
      </c>
      <c r="Y352" s="459">
        <v>0</v>
      </c>
      <c r="Z352" s="459">
        <v>3259.66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8">
        <v>0</v>
      </c>
      <c r="AG352" s="459">
        <v>0</v>
      </c>
      <c r="AH352" s="458">
        <v>0</v>
      </c>
      <c r="AI352" s="459">
        <v>0</v>
      </c>
      <c r="AJ352" s="458">
        <v>0</v>
      </c>
      <c r="AK352" s="459">
        <v>0</v>
      </c>
      <c r="AL352" s="459">
        <v>0</v>
      </c>
      <c r="AM352" s="459">
        <v>0</v>
      </c>
      <c r="AN352" s="459"/>
      <c r="AO352" s="459">
        <v>0</v>
      </c>
      <c r="AP352" s="460"/>
      <c r="AQ352" s="460"/>
      <c r="AR352" s="460"/>
      <c r="AS352" s="460"/>
      <c r="AT352" s="460"/>
      <c r="AU352" s="460"/>
      <c r="AV352" s="460"/>
      <c r="AW352" s="460"/>
      <c r="AX352" s="460"/>
      <c r="AY352" s="460"/>
      <c r="AZ352" s="460"/>
      <c r="BA352" s="460"/>
      <c r="BB352" s="460"/>
      <c r="BC352" s="460"/>
      <c r="BD352" s="460"/>
      <c r="BE352" s="460"/>
      <c r="BF352" s="460"/>
      <c r="BG352" s="460"/>
      <c r="BH352" s="460"/>
      <c r="BI352" s="460"/>
      <c r="BJ352" s="460"/>
      <c r="BK352" s="460"/>
      <c r="BL352" s="460"/>
      <c r="BM352" s="460"/>
      <c r="BN352" s="460"/>
      <c r="BO352" s="460"/>
      <c r="BP352" s="460"/>
      <c r="BQ352" s="460"/>
      <c r="BR352" s="460"/>
      <c r="BS352" s="460"/>
      <c r="BT352" s="460"/>
      <c r="BU352" s="460"/>
      <c r="BV352" s="460"/>
      <c r="BW352" s="460"/>
      <c r="BX352" s="460"/>
      <c r="BY352" s="460"/>
      <c r="BZ352" s="460"/>
      <c r="CA352" s="460"/>
      <c r="CB352" s="460"/>
      <c r="CC352" s="460"/>
      <c r="CD352" s="460"/>
      <c r="CE352" s="460"/>
      <c r="CF352" s="460"/>
      <c r="CG352" s="460"/>
      <c r="CH352" s="460"/>
      <c r="CI352" s="460"/>
      <c r="CJ352" s="460"/>
      <c r="CK352" s="460"/>
    </row>
    <row r="353" spans="1:89" s="329" customFormat="1" ht="36" customHeight="1" x14ac:dyDescent="0.25">
      <c r="A353" s="329">
        <v>1</v>
      </c>
      <c r="B353" s="39">
        <f>SUBTOTAL(103,$A$16:A353)</f>
        <v>319</v>
      </c>
      <c r="C353" s="33" t="s">
        <v>1307</v>
      </c>
      <c r="D353" s="330">
        <v>1985</v>
      </c>
      <c r="E353" s="330"/>
      <c r="F353" s="331" t="s">
        <v>48</v>
      </c>
      <c r="G353" s="330">
        <v>2</v>
      </c>
      <c r="H353" s="330" t="s">
        <v>57</v>
      </c>
      <c r="I353" s="38">
        <v>452</v>
      </c>
      <c r="J353" s="38">
        <v>416.9</v>
      </c>
      <c r="K353" s="38">
        <v>416.9</v>
      </c>
      <c r="L353" s="332">
        <v>13</v>
      </c>
      <c r="M353" s="330" t="s">
        <v>46</v>
      </c>
      <c r="N353" s="330" t="s">
        <v>50</v>
      </c>
      <c r="O353" s="333" t="s">
        <v>2063</v>
      </c>
      <c r="P353" s="38">
        <v>1812057.73</v>
      </c>
      <c r="Q353" s="38">
        <v>0</v>
      </c>
      <c r="R353" s="38">
        <v>0</v>
      </c>
      <c r="S353" s="38">
        <f>P353-R353-Q353</f>
        <v>1812057.73</v>
      </c>
      <c r="T353" s="38">
        <f t="shared" si="43"/>
        <v>4008.9772787610618</v>
      </c>
      <c r="U353" s="38">
        <v>5635.5559977876101</v>
      </c>
      <c r="V353" s="458">
        <f t="shared" si="44"/>
        <v>1626.5787190265482</v>
      </c>
      <c r="W353" s="458">
        <f t="shared" si="50"/>
        <v>5616.3992898230081</v>
      </c>
      <c r="X353" s="458">
        <v>0</v>
      </c>
      <c r="Y353" s="459">
        <v>0</v>
      </c>
      <c r="Z353" s="459">
        <v>0</v>
      </c>
      <c r="AA353" s="459">
        <v>0</v>
      </c>
      <c r="AB353" s="459">
        <v>0</v>
      </c>
      <c r="AC353" s="459">
        <v>0</v>
      </c>
      <c r="AD353" s="459">
        <v>0</v>
      </c>
      <c r="AE353" s="459">
        <v>406.9</v>
      </c>
      <c r="AF353" s="458">
        <f>6238.91*AE353/I353</f>
        <v>5616.3992898230081</v>
      </c>
      <c r="AG353" s="459">
        <v>0</v>
      </c>
      <c r="AH353" s="458">
        <v>0</v>
      </c>
      <c r="AI353" s="459">
        <v>0</v>
      </c>
      <c r="AJ353" s="458">
        <v>0</v>
      </c>
      <c r="AK353" s="459">
        <v>0</v>
      </c>
      <c r="AL353" s="459">
        <v>0</v>
      </c>
      <c r="AM353" s="459">
        <v>0</v>
      </c>
      <c r="AN353" s="459"/>
      <c r="AO353" s="459">
        <v>0</v>
      </c>
      <c r="AP353" s="460"/>
      <c r="AQ353" s="460"/>
      <c r="AR353" s="460"/>
      <c r="AS353" s="460"/>
      <c r="AT353" s="460"/>
      <c r="AU353" s="460"/>
      <c r="AV353" s="460"/>
      <c r="AW353" s="460"/>
      <c r="AX353" s="460"/>
      <c r="AY353" s="460"/>
      <c r="AZ353" s="460"/>
      <c r="BA353" s="460"/>
      <c r="BB353" s="460"/>
      <c r="BC353" s="460"/>
      <c r="BD353" s="460"/>
      <c r="BE353" s="460"/>
      <c r="BF353" s="460"/>
      <c r="BG353" s="460"/>
      <c r="BH353" s="460"/>
      <c r="BI353" s="460"/>
      <c r="BJ353" s="460"/>
      <c r="BK353" s="460"/>
      <c r="BL353" s="460"/>
      <c r="BM353" s="460"/>
      <c r="BN353" s="460"/>
      <c r="BO353" s="460"/>
      <c r="BP353" s="460"/>
      <c r="BQ353" s="460"/>
      <c r="BR353" s="460"/>
      <c r="BS353" s="460"/>
      <c r="BT353" s="460"/>
      <c r="BU353" s="460"/>
      <c r="BV353" s="460"/>
      <c r="BW353" s="460"/>
      <c r="BX353" s="460"/>
      <c r="BY353" s="460"/>
      <c r="BZ353" s="460"/>
      <c r="CA353" s="460"/>
      <c r="CB353" s="460"/>
      <c r="CC353" s="460"/>
      <c r="CD353" s="460"/>
      <c r="CE353" s="460"/>
      <c r="CF353" s="460"/>
      <c r="CG353" s="460"/>
      <c r="CH353" s="460"/>
      <c r="CI353" s="460"/>
      <c r="CJ353" s="460"/>
      <c r="CK353" s="460"/>
    </row>
    <row r="354" spans="1:89" s="329" customFormat="1" ht="36" customHeight="1" x14ac:dyDescent="0.25">
      <c r="B354" s="33" t="s">
        <v>104</v>
      </c>
      <c r="C354" s="33"/>
      <c r="D354" s="330" t="s">
        <v>131</v>
      </c>
      <c r="E354" s="330" t="s">
        <v>131</v>
      </c>
      <c r="F354" s="330" t="s">
        <v>131</v>
      </c>
      <c r="G354" s="330" t="s">
        <v>131</v>
      </c>
      <c r="H354" s="330" t="s">
        <v>131</v>
      </c>
      <c r="I354" s="334">
        <f>SUM(I355:I356)</f>
        <v>9076.82</v>
      </c>
      <c r="J354" s="334">
        <f t="shared" ref="J354:L354" si="51">SUM(J355:J356)</f>
        <v>7152</v>
      </c>
      <c r="K354" s="334">
        <f t="shared" si="51"/>
        <v>7030.7999999999993</v>
      </c>
      <c r="L354" s="332">
        <f t="shared" si="51"/>
        <v>298</v>
      </c>
      <c r="M354" s="330" t="s">
        <v>131</v>
      </c>
      <c r="N354" s="330" t="s">
        <v>131</v>
      </c>
      <c r="O354" s="333" t="s">
        <v>131</v>
      </c>
      <c r="P354" s="334">
        <v>7999153.3599999994</v>
      </c>
      <c r="Q354" s="334">
        <f t="shared" ref="Q354:S354" si="52">SUM(Q355:Q356)</f>
        <v>0</v>
      </c>
      <c r="R354" s="334">
        <f t="shared" si="52"/>
        <v>0</v>
      </c>
      <c r="S354" s="334">
        <f t="shared" si="52"/>
        <v>7999153.3599999994</v>
      </c>
      <c r="T354" s="38">
        <f t="shared" si="43"/>
        <v>881.27266597773223</v>
      </c>
      <c r="U354" s="38">
        <f>MAX(U355:U356)</f>
        <v>3345.83</v>
      </c>
      <c r="V354" s="458">
        <f t="shared" si="44"/>
        <v>2464.5573340222677</v>
      </c>
      <c r="W354" s="458"/>
      <c r="X354" s="458"/>
      <c r="Y354" s="459"/>
      <c r="Z354" s="459"/>
      <c r="AA354" s="459"/>
      <c r="AB354" s="459"/>
      <c r="AC354" s="459"/>
      <c r="AD354" s="459"/>
      <c r="AE354" s="459"/>
      <c r="AF354" s="459"/>
      <c r="AG354" s="459"/>
      <c r="AH354" s="459"/>
      <c r="AI354" s="459"/>
      <c r="AJ354" s="459"/>
      <c r="AK354" s="459"/>
      <c r="AL354" s="459"/>
      <c r="AM354" s="459"/>
      <c r="AN354" s="459"/>
      <c r="AO354" s="459"/>
      <c r="AP354" s="460"/>
      <c r="AQ354" s="460"/>
      <c r="AR354" s="460"/>
      <c r="AS354" s="460"/>
      <c r="AT354" s="460"/>
      <c r="AU354" s="460"/>
      <c r="AV354" s="460"/>
      <c r="AW354" s="460"/>
      <c r="AX354" s="460"/>
      <c r="AY354" s="460"/>
      <c r="AZ354" s="460"/>
      <c r="BA354" s="460"/>
      <c r="BB354" s="460"/>
      <c r="BC354" s="460"/>
      <c r="BD354" s="460"/>
      <c r="BE354" s="460"/>
      <c r="BF354" s="460"/>
      <c r="BG354" s="460"/>
      <c r="BH354" s="460"/>
      <c r="BI354" s="460"/>
      <c r="BJ354" s="460"/>
      <c r="BK354" s="460"/>
      <c r="BL354" s="460"/>
      <c r="BM354" s="460"/>
      <c r="BN354" s="460"/>
      <c r="BO354" s="460"/>
      <c r="BP354" s="460"/>
      <c r="BQ354" s="460"/>
      <c r="BR354" s="460"/>
      <c r="BS354" s="460"/>
      <c r="BT354" s="460"/>
      <c r="BU354" s="460"/>
      <c r="BV354" s="460"/>
      <c r="BW354" s="460"/>
      <c r="BX354" s="460"/>
      <c r="BY354" s="460"/>
      <c r="BZ354" s="460"/>
      <c r="CA354" s="460"/>
      <c r="CB354" s="460"/>
      <c r="CC354" s="460"/>
      <c r="CD354" s="460"/>
      <c r="CE354" s="460"/>
      <c r="CF354" s="460"/>
      <c r="CG354" s="460"/>
      <c r="CH354" s="460"/>
      <c r="CI354" s="460"/>
      <c r="CJ354" s="460"/>
      <c r="CK354" s="460"/>
    </row>
    <row r="355" spans="1:89" s="329" customFormat="1" ht="36" customHeight="1" x14ac:dyDescent="0.25">
      <c r="A355" s="329">
        <v>1</v>
      </c>
      <c r="B355" s="39">
        <f>SUBTOTAL(103,$A$16:A355)</f>
        <v>320</v>
      </c>
      <c r="C355" s="33" t="s">
        <v>1308</v>
      </c>
      <c r="D355" s="330">
        <v>1976</v>
      </c>
      <c r="E355" s="330">
        <v>2007</v>
      </c>
      <c r="F355" s="331" t="s">
        <v>60</v>
      </c>
      <c r="G355" s="330">
        <v>5</v>
      </c>
      <c r="H355" s="330" t="s">
        <v>1969</v>
      </c>
      <c r="I355" s="38">
        <v>5095.72</v>
      </c>
      <c r="J355" s="38">
        <v>4603.3999999999996</v>
      </c>
      <c r="K355" s="38">
        <v>4482.2</v>
      </c>
      <c r="L355" s="332">
        <v>160</v>
      </c>
      <c r="M355" s="330" t="s">
        <v>46</v>
      </c>
      <c r="N355" s="330" t="s">
        <v>50</v>
      </c>
      <c r="O355" s="333" t="s">
        <v>2064</v>
      </c>
      <c r="P355" s="38">
        <v>3217837.34</v>
      </c>
      <c r="Q355" s="38">
        <v>0</v>
      </c>
      <c r="R355" s="38">
        <v>0</v>
      </c>
      <c r="S355" s="38">
        <f>P355-Q355-R355</f>
        <v>3217837.34</v>
      </c>
      <c r="T355" s="38">
        <f t="shared" si="43"/>
        <v>631.47844465551475</v>
      </c>
      <c r="U355" s="38">
        <v>1406.0648267173233</v>
      </c>
      <c r="V355" s="458">
        <f t="shared" si="44"/>
        <v>774.58638206180854</v>
      </c>
      <c r="W355" s="458">
        <f t="shared" ref="W355:W356" si="53">X355+Y355+Z355+AA355+AB355+AD355+AF355+AH355+AJ355+AL355+AN355+AO355</f>
        <v>1519.4098792712314</v>
      </c>
      <c r="X355" s="458">
        <v>0</v>
      </c>
      <c r="Y355" s="459">
        <v>0</v>
      </c>
      <c r="Z355" s="459">
        <v>0</v>
      </c>
      <c r="AA355" s="459">
        <v>0</v>
      </c>
      <c r="AB355" s="459">
        <v>0</v>
      </c>
      <c r="AC355" s="459">
        <v>0</v>
      </c>
      <c r="AD355" s="459">
        <v>0</v>
      </c>
      <c r="AE355" s="459">
        <v>1241</v>
      </c>
      <c r="AF355" s="458">
        <f>6238.91*AE355/I355</f>
        <v>1519.4098792712314</v>
      </c>
      <c r="AG355" s="459">
        <v>0</v>
      </c>
      <c r="AH355" s="458">
        <v>0</v>
      </c>
      <c r="AI355" s="459">
        <v>0</v>
      </c>
      <c r="AJ355" s="458">
        <v>0</v>
      </c>
      <c r="AK355" s="459">
        <v>0</v>
      </c>
      <c r="AL355" s="459">
        <v>0</v>
      </c>
      <c r="AM355" s="459">
        <v>0</v>
      </c>
      <c r="AN355" s="459"/>
      <c r="AO355" s="459">
        <v>0</v>
      </c>
      <c r="AP355" s="460"/>
      <c r="AQ355" s="460"/>
      <c r="AR355" s="460"/>
      <c r="AS355" s="460"/>
      <c r="AT355" s="460"/>
      <c r="AU355" s="460"/>
      <c r="AV355" s="460"/>
      <c r="AW355" s="460"/>
      <c r="AX355" s="460"/>
      <c r="AY355" s="460"/>
      <c r="AZ355" s="460"/>
      <c r="BA355" s="460"/>
      <c r="BB355" s="460"/>
      <c r="BC355" s="460"/>
      <c r="BD355" s="460"/>
      <c r="BE355" s="460"/>
      <c r="BF355" s="460"/>
      <c r="BG355" s="460"/>
      <c r="BH355" s="460"/>
      <c r="BI355" s="460"/>
      <c r="BJ355" s="460"/>
      <c r="BK355" s="460"/>
      <c r="BL355" s="460"/>
      <c r="BM355" s="460"/>
      <c r="BN355" s="460"/>
      <c r="BO355" s="460"/>
      <c r="BP355" s="460"/>
      <c r="BQ355" s="460"/>
      <c r="BR355" s="460"/>
      <c r="BS355" s="460"/>
      <c r="BT355" s="460"/>
      <c r="BU355" s="460"/>
      <c r="BV355" s="460"/>
      <c r="BW355" s="460"/>
      <c r="BX355" s="460"/>
      <c r="BY355" s="460"/>
      <c r="BZ355" s="460"/>
      <c r="CA355" s="460"/>
      <c r="CB355" s="460"/>
      <c r="CC355" s="460"/>
      <c r="CD355" s="460"/>
      <c r="CE355" s="460"/>
      <c r="CF355" s="460"/>
      <c r="CG355" s="460"/>
      <c r="CH355" s="460"/>
      <c r="CI355" s="460"/>
      <c r="CJ355" s="460"/>
      <c r="CK355" s="460"/>
    </row>
    <row r="356" spans="1:89" s="329" customFormat="1" ht="36" customHeight="1" x14ac:dyDescent="0.25">
      <c r="A356" s="329">
        <v>1</v>
      </c>
      <c r="B356" s="39">
        <f>SUBTOTAL(103,$A$16:A356)</f>
        <v>321</v>
      </c>
      <c r="C356" s="33" t="s">
        <v>1309</v>
      </c>
      <c r="D356" s="330">
        <v>1975</v>
      </c>
      <c r="E356" s="330">
        <v>2015</v>
      </c>
      <c r="F356" s="331" t="s">
        <v>48</v>
      </c>
      <c r="G356" s="330">
        <v>3</v>
      </c>
      <c r="H356" s="330" t="s">
        <v>56</v>
      </c>
      <c r="I356" s="38">
        <v>3981.1</v>
      </c>
      <c r="J356" s="38">
        <v>2548.6</v>
      </c>
      <c r="K356" s="38">
        <v>2548.6</v>
      </c>
      <c r="L356" s="332">
        <v>138</v>
      </c>
      <c r="M356" s="330" t="s">
        <v>46</v>
      </c>
      <c r="N356" s="330" t="s">
        <v>50</v>
      </c>
      <c r="O356" s="333" t="s">
        <v>2062</v>
      </c>
      <c r="P356" s="38">
        <v>4781316.0199999996</v>
      </c>
      <c r="Q356" s="38">
        <v>0</v>
      </c>
      <c r="R356" s="38">
        <v>0</v>
      </c>
      <c r="S356" s="38">
        <f>P356-Q356-R356</f>
        <v>4781316.0199999996</v>
      </c>
      <c r="T356" s="38">
        <f t="shared" si="43"/>
        <v>1201.0037477079197</v>
      </c>
      <c r="U356" s="38">
        <v>3345.83</v>
      </c>
      <c r="V356" s="458">
        <f t="shared" si="44"/>
        <v>2144.8262522920804</v>
      </c>
      <c r="W356" s="458">
        <f t="shared" si="53"/>
        <v>3444.64</v>
      </c>
      <c r="X356" s="458">
        <v>0</v>
      </c>
      <c r="Y356" s="459">
        <v>0</v>
      </c>
      <c r="Z356" s="459">
        <v>3259.66</v>
      </c>
      <c r="AA356" s="459">
        <v>184.98</v>
      </c>
      <c r="AB356" s="459">
        <v>0</v>
      </c>
      <c r="AC356" s="459">
        <v>0</v>
      </c>
      <c r="AD356" s="459">
        <v>0</v>
      </c>
      <c r="AE356" s="459">
        <v>0</v>
      </c>
      <c r="AF356" s="458">
        <v>0</v>
      </c>
      <c r="AG356" s="459">
        <v>0</v>
      </c>
      <c r="AH356" s="458">
        <v>0</v>
      </c>
      <c r="AI356" s="459">
        <v>0</v>
      </c>
      <c r="AJ356" s="458">
        <v>0</v>
      </c>
      <c r="AK356" s="459">
        <v>0</v>
      </c>
      <c r="AL356" s="459">
        <v>0</v>
      </c>
      <c r="AM356" s="459">
        <v>0</v>
      </c>
      <c r="AN356" s="459"/>
      <c r="AO356" s="459">
        <v>0</v>
      </c>
      <c r="AP356" s="460"/>
      <c r="AQ356" s="460"/>
      <c r="AR356" s="460"/>
      <c r="AS356" s="460"/>
      <c r="AT356" s="460"/>
      <c r="AU356" s="460"/>
      <c r="AV356" s="460"/>
      <c r="AW356" s="460"/>
      <c r="AX356" s="460"/>
      <c r="AY356" s="460"/>
      <c r="AZ356" s="460"/>
      <c r="BA356" s="460"/>
      <c r="BB356" s="460"/>
      <c r="BC356" s="460"/>
      <c r="BD356" s="460"/>
      <c r="BE356" s="460"/>
      <c r="BF356" s="460"/>
      <c r="BG356" s="460"/>
      <c r="BH356" s="460"/>
      <c r="BI356" s="460"/>
      <c r="BJ356" s="460"/>
      <c r="BK356" s="460"/>
      <c r="BL356" s="460"/>
      <c r="BM356" s="460"/>
      <c r="BN356" s="460"/>
      <c r="BO356" s="460"/>
      <c r="BP356" s="460"/>
      <c r="BQ356" s="460"/>
      <c r="BR356" s="460"/>
      <c r="BS356" s="460"/>
      <c r="BT356" s="460"/>
      <c r="BU356" s="460"/>
      <c r="BV356" s="460"/>
      <c r="BW356" s="460"/>
      <c r="BX356" s="460"/>
      <c r="BY356" s="460"/>
      <c r="BZ356" s="460"/>
      <c r="CA356" s="460"/>
      <c r="CB356" s="460"/>
      <c r="CC356" s="460"/>
      <c r="CD356" s="460"/>
      <c r="CE356" s="460"/>
      <c r="CF356" s="460"/>
      <c r="CG356" s="460"/>
      <c r="CH356" s="460"/>
      <c r="CI356" s="460"/>
      <c r="CJ356" s="460"/>
      <c r="CK356" s="460"/>
    </row>
    <row r="357" spans="1:89" s="329" customFormat="1" ht="36" customHeight="1" x14ac:dyDescent="0.25">
      <c r="B357" s="33" t="s">
        <v>1310</v>
      </c>
      <c r="C357" s="33"/>
      <c r="D357" s="330" t="s">
        <v>131</v>
      </c>
      <c r="E357" s="330" t="s">
        <v>131</v>
      </c>
      <c r="F357" s="330" t="s">
        <v>131</v>
      </c>
      <c r="G357" s="330" t="s">
        <v>131</v>
      </c>
      <c r="H357" s="330" t="s">
        <v>131</v>
      </c>
      <c r="I357" s="334">
        <f>I358</f>
        <v>846.4</v>
      </c>
      <c r="J357" s="334">
        <f>J358</f>
        <v>794.7</v>
      </c>
      <c r="K357" s="334">
        <f>K358</f>
        <v>794.7</v>
      </c>
      <c r="L357" s="332">
        <f>L358</f>
        <v>26</v>
      </c>
      <c r="M357" s="330" t="s">
        <v>131</v>
      </c>
      <c r="N357" s="330" t="s">
        <v>131</v>
      </c>
      <c r="O357" s="333" t="s">
        <v>131</v>
      </c>
      <c r="P357" s="38">
        <v>3236596.36</v>
      </c>
      <c r="Q357" s="38">
        <f>Q358</f>
        <v>0</v>
      </c>
      <c r="R357" s="38">
        <f>R358</f>
        <v>0</v>
      </c>
      <c r="S357" s="38">
        <f>S358</f>
        <v>3236596.36</v>
      </c>
      <c r="T357" s="38">
        <f t="shared" si="43"/>
        <v>3823.9560018903589</v>
      </c>
      <c r="U357" s="38">
        <f>MAX(U358)</f>
        <v>4084.729597471644</v>
      </c>
      <c r="V357" s="458">
        <f t="shared" si="44"/>
        <v>260.77359558128501</v>
      </c>
      <c r="W357" s="458"/>
      <c r="X357" s="458"/>
      <c r="Y357" s="459"/>
      <c r="Z357" s="459"/>
      <c r="AA357" s="459"/>
      <c r="AB357" s="459"/>
      <c r="AC357" s="459"/>
      <c r="AD357" s="459"/>
      <c r="AE357" s="459"/>
      <c r="AF357" s="459"/>
      <c r="AG357" s="459"/>
      <c r="AH357" s="459"/>
      <c r="AI357" s="459"/>
      <c r="AJ357" s="459"/>
      <c r="AK357" s="459"/>
      <c r="AL357" s="459"/>
      <c r="AM357" s="459"/>
      <c r="AN357" s="459"/>
      <c r="AO357" s="459"/>
      <c r="AP357" s="460"/>
      <c r="AQ357" s="460"/>
      <c r="AR357" s="460"/>
      <c r="AS357" s="460"/>
      <c r="AT357" s="460"/>
      <c r="AU357" s="460"/>
      <c r="AV357" s="460"/>
      <c r="AW357" s="460"/>
      <c r="AX357" s="460"/>
      <c r="AY357" s="460"/>
      <c r="AZ357" s="460"/>
      <c r="BA357" s="460"/>
      <c r="BB357" s="460"/>
      <c r="BC357" s="460"/>
      <c r="BD357" s="460"/>
      <c r="BE357" s="460"/>
      <c r="BF357" s="460"/>
      <c r="BG357" s="460"/>
      <c r="BH357" s="460"/>
      <c r="BI357" s="460"/>
      <c r="BJ357" s="460"/>
      <c r="BK357" s="460"/>
      <c r="BL357" s="460"/>
      <c r="BM357" s="460"/>
      <c r="BN357" s="460"/>
      <c r="BO357" s="460"/>
      <c r="BP357" s="460"/>
      <c r="BQ357" s="460"/>
      <c r="BR357" s="460"/>
      <c r="BS357" s="460"/>
      <c r="BT357" s="460"/>
      <c r="BU357" s="460"/>
      <c r="BV357" s="460"/>
      <c r="BW357" s="460"/>
      <c r="BX357" s="460"/>
      <c r="BY357" s="460"/>
      <c r="BZ357" s="460"/>
      <c r="CA357" s="460"/>
      <c r="CB357" s="460"/>
      <c r="CC357" s="460"/>
      <c r="CD357" s="460"/>
      <c r="CE357" s="460"/>
      <c r="CF357" s="460"/>
      <c r="CG357" s="460"/>
      <c r="CH357" s="460"/>
      <c r="CI357" s="460"/>
      <c r="CJ357" s="460"/>
      <c r="CK357" s="460"/>
    </row>
    <row r="358" spans="1:89" s="329" customFormat="1" ht="36" customHeight="1" x14ac:dyDescent="0.25">
      <c r="A358" s="329">
        <v>1</v>
      </c>
      <c r="B358" s="39">
        <f>SUBTOTAL(103,$A$16:A358)</f>
        <v>322</v>
      </c>
      <c r="C358" s="33" t="s">
        <v>1311</v>
      </c>
      <c r="D358" s="330">
        <v>1981</v>
      </c>
      <c r="E358" s="330"/>
      <c r="F358" s="331" t="s">
        <v>48</v>
      </c>
      <c r="G358" s="330">
        <v>2</v>
      </c>
      <c r="H358" s="330" t="s">
        <v>61</v>
      </c>
      <c r="I358" s="38">
        <v>846.4</v>
      </c>
      <c r="J358" s="38">
        <v>794.7</v>
      </c>
      <c r="K358" s="38">
        <v>794.7</v>
      </c>
      <c r="L358" s="332">
        <v>26</v>
      </c>
      <c r="M358" s="330" t="s">
        <v>46</v>
      </c>
      <c r="N358" s="330" t="s">
        <v>50</v>
      </c>
      <c r="O358" s="333" t="s">
        <v>2062</v>
      </c>
      <c r="P358" s="38">
        <v>3236596.36</v>
      </c>
      <c r="Q358" s="38">
        <v>0</v>
      </c>
      <c r="R358" s="38">
        <v>0</v>
      </c>
      <c r="S358" s="38">
        <f>P358-Q358-R358</f>
        <v>3236596.36</v>
      </c>
      <c r="T358" s="38">
        <f t="shared" si="43"/>
        <v>3823.9560018903589</v>
      </c>
      <c r="U358" s="38">
        <v>4084.729597471644</v>
      </c>
      <c r="V358" s="458">
        <f>U358-T358</f>
        <v>260.77359558128501</v>
      </c>
      <c r="W358" s="458">
        <f>X358+Y358+Z358+AA358+AB358+AD358+AF358+AH358+AJ358+AL358+AN358+AO358</f>
        <v>10368.151683246693</v>
      </c>
      <c r="X358" s="458">
        <v>0</v>
      </c>
      <c r="Y358" s="459">
        <v>0</v>
      </c>
      <c r="Z358" s="459">
        <v>0</v>
      </c>
      <c r="AA358" s="459">
        <v>0</v>
      </c>
      <c r="AB358" s="459">
        <v>0</v>
      </c>
      <c r="AC358" s="459">
        <v>0</v>
      </c>
      <c r="AD358" s="459">
        <v>0</v>
      </c>
      <c r="AE358" s="459">
        <v>552.27</v>
      </c>
      <c r="AF358" s="458">
        <f>6238.91*AE358/I358</f>
        <v>4070.8445483223063</v>
      </c>
      <c r="AG358" s="459">
        <v>0</v>
      </c>
      <c r="AH358" s="458">
        <v>0</v>
      </c>
      <c r="AI358" s="459">
        <v>716.49</v>
      </c>
      <c r="AJ358" s="458">
        <f>7439.1*AI358/I358</f>
        <v>6297.3071349243864</v>
      </c>
      <c r="AK358" s="459">
        <v>0</v>
      </c>
      <c r="AL358" s="459">
        <v>0</v>
      </c>
      <c r="AM358" s="459">
        <v>0</v>
      </c>
      <c r="AN358" s="459"/>
      <c r="AO358" s="459">
        <v>0</v>
      </c>
      <c r="AP358" s="460"/>
      <c r="AQ358" s="460"/>
      <c r="AR358" s="460"/>
      <c r="AS358" s="460"/>
      <c r="AT358" s="460"/>
      <c r="AU358" s="460"/>
      <c r="AV358" s="460"/>
      <c r="AW358" s="460"/>
      <c r="AX358" s="460"/>
      <c r="AY358" s="460"/>
      <c r="AZ358" s="460"/>
      <c r="BA358" s="460"/>
      <c r="BB358" s="460"/>
      <c r="BC358" s="460"/>
      <c r="BD358" s="460"/>
      <c r="BE358" s="460"/>
      <c r="BF358" s="460"/>
      <c r="BG358" s="460"/>
      <c r="BH358" s="460"/>
      <c r="BI358" s="460"/>
      <c r="BJ358" s="460"/>
      <c r="BK358" s="460"/>
      <c r="BL358" s="460"/>
      <c r="BM358" s="460"/>
      <c r="BN358" s="460"/>
      <c r="BO358" s="460"/>
      <c r="BP358" s="460"/>
      <c r="BQ358" s="460"/>
      <c r="BR358" s="460"/>
      <c r="BS358" s="460"/>
      <c r="BT358" s="460"/>
      <c r="BU358" s="460"/>
      <c r="BV358" s="460"/>
      <c r="BW358" s="460"/>
      <c r="BX358" s="460"/>
      <c r="BY358" s="460"/>
      <c r="BZ358" s="460"/>
      <c r="CA358" s="460"/>
      <c r="CB358" s="460"/>
      <c r="CC358" s="460"/>
      <c r="CD358" s="460"/>
      <c r="CE358" s="460"/>
      <c r="CF358" s="460"/>
      <c r="CG358" s="460"/>
      <c r="CH358" s="460"/>
      <c r="CI358" s="460"/>
      <c r="CJ358" s="460"/>
      <c r="CK358" s="460"/>
    </row>
    <row r="359" spans="1:89" s="329" customFormat="1" ht="36" customHeight="1" x14ac:dyDescent="0.25">
      <c r="B359" s="33" t="s">
        <v>105</v>
      </c>
      <c r="C359" s="462"/>
      <c r="D359" s="330" t="s">
        <v>131</v>
      </c>
      <c r="E359" s="330" t="s">
        <v>131</v>
      </c>
      <c r="F359" s="330" t="s">
        <v>131</v>
      </c>
      <c r="G359" s="330" t="s">
        <v>131</v>
      </c>
      <c r="H359" s="330" t="s">
        <v>131</v>
      </c>
      <c r="I359" s="334">
        <f>SUM(I360:I373)</f>
        <v>47259.14</v>
      </c>
      <c r="J359" s="334">
        <f>SUM(J360:J373)</f>
        <v>43903.109999999993</v>
      </c>
      <c r="K359" s="334">
        <f>SUM(K360:K373)</f>
        <v>43903.109999999993</v>
      </c>
      <c r="L359" s="332">
        <f>SUM(L360:L373)</f>
        <v>1528</v>
      </c>
      <c r="M359" s="330" t="s">
        <v>131</v>
      </c>
      <c r="N359" s="330" t="s">
        <v>131</v>
      </c>
      <c r="O359" s="333" t="s">
        <v>131</v>
      </c>
      <c r="P359" s="334">
        <v>45445529.100000001</v>
      </c>
      <c r="Q359" s="334">
        <f>SUM(Q360:Q373)</f>
        <v>0</v>
      </c>
      <c r="R359" s="334">
        <f>SUM(R360:R373)</f>
        <v>0</v>
      </c>
      <c r="S359" s="334">
        <f>SUM(S360:S373)</f>
        <v>45445529.100000001</v>
      </c>
      <c r="T359" s="38">
        <f t="shared" si="43"/>
        <v>961.62412392608076</v>
      </c>
      <c r="U359" s="38">
        <f>MAX(U360:U373)</f>
        <v>6828.4824510272338</v>
      </c>
      <c r="V359" s="458">
        <f t="shared" si="44"/>
        <v>5866.858327101153</v>
      </c>
      <c r="W359" s="458"/>
      <c r="X359" s="458"/>
      <c r="Y359" s="459"/>
      <c r="Z359" s="459"/>
      <c r="AA359" s="459"/>
      <c r="AB359" s="459"/>
      <c r="AC359" s="459"/>
      <c r="AD359" s="459"/>
      <c r="AE359" s="459"/>
      <c r="AF359" s="459"/>
      <c r="AG359" s="459"/>
      <c r="AH359" s="459"/>
      <c r="AI359" s="459"/>
      <c r="AJ359" s="459"/>
      <c r="AK359" s="459"/>
      <c r="AL359" s="459"/>
      <c r="AM359" s="459"/>
      <c r="AN359" s="459"/>
      <c r="AO359" s="459"/>
      <c r="AP359" s="460"/>
      <c r="AQ359" s="460"/>
      <c r="AR359" s="460"/>
      <c r="AS359" s="460"/>
      <c r="AT359" s="460"/>
      <c r="AU359" s="460"/>
      <c r="AV359" s="460"/>
      <c r="AW359" s="460"/>
      <c r="AX359" s="460"/>
      <c r="AY359" s="460"/>
      <c r="AZ359" s="460"/>
      <c r="BA359" s="460"/>
      <c r="BB359" s="460"/>
      <c r="BC359" s="460"/>
      <c r="BD359" s="460"/>
      <c r="BE359" s="460"/>
      <c r="BF359" s="460"/>
      <c r="BG359" s="460"/>
      <c r="BH359" s="460"/>
      <c r="BI359" s="460"/>
      <c r="BJ359" s="460"/>
      <c r="BK359" s="460"/>
      <c r="BL359" s="460"/>
      <c r="BM359" s="460"/>
      <c r="BN359" s="460"/>
      <c r="BO359" s="460"/>
      <c r="BP359" s="460"/>
      <c r="BQ359" s="460"/>
      <c r="BR359" s="460"/>
      <c r="BS359" s="460"/>
      <c r="BT359" s="460"/>
      <c r="BU359" s="460"/>
      <c r="BV359" s="460"/>
      <c r="BW359" s="460"/>
      <c r="BX359" s="460"/>
      <c r="BY359" s="460"/>
      <c r="BZ359" s="460"/>
      <c r="CA359" s="460"/>
      <c r="CB359" s="460"/>
      <c r="CC359" s="460"/>
      <c r="CD359" s="460"/>
      <c r="CE359" s="460"/>
      <c r="CF359" s="460"/>
      <c r="CG359" s="460"/>
      <c r="CH359" s="460"/>
      <c r="CI359" s="460"/>
      <c r="CJ359" s="460"/>
      <c r="CK359" s="460"/>
    </row>
    <row r="360" spans="1:89" s="329" customFormat="1" ht="36" customHeight="1" x14ac:dyDescent="0.25">
      <c r="A360" s="329">
        <v>1</v>
      </c>
      <c r="B360" s="39">
        <f>SUBTOTAL(103,$A$16:A360)</f>
        <v>323</v>
      </c>
      <c r="C360" s="33" t="s">
        <v>1312</v>
      </c>
      <c r="D360" s="330">
        <v>1973</v>
      </c>
      <c r="E360" s="330"/>
      <c r="F360" s="331" t="s">
        <v>48</v>
      </c>
      <c r="G360" s="330">
        <v>2</v>
      </c>
      <c r="H360" s="330" t="s">
        <v>56</v>
      </c>
      <c r="I360" s="38">
        <v>781.06</v>
      </c>
      <c r="J360" s="38">
        <v>721</v>
      </c>
      <c r="K360" s="38">
        <v>721</v>
      </c>
      <c r="L360" s="332">
        <v>38</v>
      </c>
      <c r="M360" s="330" t="s">
        <v>46</v>
      </c>
      <c r="N360" s="330" t="s">
        <v>50</v>
      </c>
      <c r="O360" s="333" t="s">
        <v>2065</v>
      </c>
      <c r="P360" s="38">
        <v>54256.44</v>
      </c>
      <c r="Q360" s="38">
        <v>0</v>
      </c>
      <c r="R360" s="38">
        <v>0</v>
      </c>
      <c r="S360" s="38">
        <f t="shared" ref="S360:S372" si="54">P360-Q360-R360</f>
        <v>54256.44</v>
      </c>
      <c r="T360" s="38">
        <f t="shared" si="43"/>
        <v>69.465137121347922</v>
      </c>
      <c r="U360" s="38">
        <v>69.465137121347922</v>
      </c>
      <c r="V360" s="458">
        <f t="shared" si="44"/>
        <v>0</v>
      </c>
      <c r="W360" s="458">
        <f>T360</f>
        <v>69.465137121347922</v>
      </c>
      <c r="X360" s="458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8">
        <v>0</v>
      </c>
      <c r="AG360" s="459">
        <v>0</v>
      </c>
      <c r="AH360" s="458">
        <v>0</v>
      </c>
      <c r="AI360" s="459">
        <v>0</v>
      </c>
      <c r="AJ360" s="458">
        <v>0</v>
      </c>
      <c r="AK360" s="459">
        <v>0</v>
      </c>
      <c r="AL360" s="459">
        <v>0</v>
      </c>
      <c r="AM360" s="459">
        <v>0</v>
      </c>
      <c r="AN360" s="459"/>
      <c r="AO360" s="459">
        <v>0</v>
      </c>
      <c r="AP360" s="460"/>
      <c r="AQ360" s="460"/>
      <c r="AR360" s="460"/>
      <c r="AS360" s="460"/>
      <c r="AT360" s="460"/>
      <c r="AU360" s="460"/>
      <c r="AV360" s="460"/>
      <c r="AW360" s="460"/>
      <c r="AX360" s="460"/>
      <c r="AY360" s="460"/>
      <c r="AZ360" s="460"/>
      <c r="BA360" s="460"/>
      <c r="BB360" s="460"/>
      <c r="BC360" s="460"/>
      <c r="BD360" s="460"/>
      <c r="BE360" s="460"/>
      <c r="BF360" s="460"/>
      <c r="BG360" s="460"/>
      <c r="BH360" s="460"/>
      <c r="BI360" s="460"/>
      <c r="BJ360" s="460"/>
      <c r="BK360" s="460"/>
      <c r="BL360" s="460"/>
      <c r="BM360" s="460"/>
      <c r="BN360" s="460"/>
      <c r="BO360" s="460"/>
      <c r="BP360" s="460"/>
      <c r="BQ360" s="460"/>
      <c r="BR360" s="460"/>
      <c r="BS360" s="460"/>
      <c r="BT360" s="460"/>
      <c r="BU360" s="460"/>
      <c r="BV360" s="460"/>
      <c r="BW360" s="460"/>
      <c r="BX360" s="460"/>
      <c r="BY360" s="460"/>
      <c r="BZ360" s="460"/>
      <c r="CA360" s="460"/>
      <c r="CB360" s="460"/>
      <c r="CC360" s="460"/>
      <c r="CD360" s="460"/>
      <c r="CE360" s="460"/>
      <c r="CF360" s="460"/>
      <c r="CG360" s="460"/>
      <c r="CH360" s="460"/>
      <c r="CI360" s="460"/>
      <c r="CJ360" s="460"/>
      <c r="CK360" s="460"/>
    </row>
    <row r="361" spans="1:89" s="329" customFormat="1" ht="36" customHeight="1" x14ac:dyDescent="0.25">
      <c r="A361" s="329">
        <v>1</v>
      </c>
      <c r="B361" s="39">
        <f>SUBTOTAL(103,$A$16:A361)</f>
        <v>324</v>
      </c>
      <c r="C361" s="33" t="s">
        <v>1313</v>
      </c>
      <c r="D361" s="330">
        <v>1972</v>
      </c>
      <c r="E361" s="330"/>
      <c r="F361" s="331" t="s">
        <v>48</v>
      </c>
      <c r="G361" s="330">
        <v>2</v>
      </c>
      <c r="H361" s="330" t="s">
        <v>56</v>
      </c>
      <c r="I361" s="38">
        <v>788.14</v>
      </c>
      <c r="J361" s="38">
        <v>731.68</v>
      </c>
      <c r="K361" s="38">
        <v>731.68</v>
      </c>
      <c r="L361" s="332">
        <v>38</v>
      </c>
      <c r="M361" s="330" t="s">
        <v>46</v>
      </c>
      <c r="N361" s="330" t="s">
        <v>50</v>
      </c>
      <c r="O361" s="333" t="s">
        <v>2065</v>
      </c>
      <c r="P361" s="38">
        <v>2502252.8600000003</v>
      </c>
      <c r="Q361" s="38">
        <v>0</v>
      </c>
      <c r="R361" s="38">
        <v>0</v>
      </c>
      <c r="S361" s="38">
        <f t="shared" si="54"/>
        <v>2502252.8600000003</v>
      </c>
      <c r="T361" s="38">
        <f t="shared" si="43"/>
        <v>3174.8837262415313</v>
      </c>
      <c r="U361" s="38">
        <v>4948.4842413784345</v>
      </c>
      <c r="V361" s="458">
        <f t="shared" si="44"/>
        <v>1773.6005151369031</v>
      </c>
      <c r="W361" s="458">
        <f t="shared" ref="W361:W373" si="55">X361+Y361+Z361+AA361+AB361+AD361+AF361+AH361+AJ361+AL361+AN361+AO361</f>
        <v>4931.6630674753214</v>
      </c>
      <c r="X361" s="458">
        <v>0</v>
      </c>
      <c r="Y361" s="459">
        <v>0</v>
      </c>
      <c r="Z361" s="459">
        <v>0</v>
      </c>
      <c r="AA361" s="459">
        <v>0</v>
      </c>
      <c r="AB361" s="459">
        <v>0</v>
      </c>
      <c r="AC361" s="459">
        <v>0</v>
      </c>
      <c r="AD361" s="459">
        <v>0</v>
      </c>
      <c r="AE361" s="459">
        <v>623</v>
      </c>
      <c r="AF361" s="458">
        <f>6238.91*AE361/I361</f>
        <v>4931.6630674753214</v>
      </c>
      <c r="AG361" s="459">
        <v>0</v>
      </c>
      <c r="AH361" s="458">
        <v>0</v>
      </c>
      <c r="AI361" s="459">
        <v>0</v>
      </c>
      <c r="AJ361" s="458">
        <v>0</v>
      </c>
      <c r="AK361" s="459">
        <v>0</v>
      </c>
      <c r="AL361" s="459">
        <v>0</v>
      </c>
      <c r="AM361" s="459">
        <v>0</v>
      </c>
      <c r="AN361" s="459"/>
      <c r="AO361" s="459">
        <v>0</v>
      </c>
      <c r="AP361" s="460"/>
      <c r="AQ361" s="460"/>
      <c r="AR361" s="460"/>
      <c r="AS361" s="460"/>
      <c r="AT361" s="460"/>
      <c r="AU361" s="460"/>
      <c r="AV361" s="460"/>
      <c r="AW361" s="460"/>
      <c r="AX361" s="460"/>
      <c r="AY361" s="460"/>
      <c r="AZ361" s="460"/>
      <c r="BA361" s="460"/>
      <c r="BB361" s="460"/>
      <c r="BC361" s="460"/>
      <c r="BD361" s="460"/>
      <c r="BE361" s="460"/>
      <c r="BF361" s="460"/>
      <c r="BG361" s="460"/>
      <c r="BH361" s="460"/>
      <c r="BI361" s="460"/>
      <c r="BJ361" s="460"/>
      <c r="BK361" s="460"/>
      <c r="BL361" s="460"/>
      <c r="BM361" s="460"/>
      <c r="BN361" s="460"/>
      <c r="BO361" s="460"/>
      <c r="BP361" s="460"/>
      <c r="BQ361" s="460"/>
      <c r="BR361" s="460"/>
      <c r="BS361" s="460"/>
      <c r="BT361" s="460"/>
      <c r="BU361" s="460"/>
      <c r="BV361" s="460"/>
      <c r="BW361" s="460"/>
      <c r="BX361" s="460"/>
      <c r="BY361" s="460"/>
      <c r="BZ361" s="460"/>
      <c r="CA361" s="460"/>
      <c r="CB361" s="460"/>
      <c r="CC361" s="460"/>
      <c r="CD361" s="460"/>
      <c r="CE361" s="460"/>
      <c r="CF361" s="460"/>
      <c r="CG361" s="460"/>
      <c r="CH361" s="460"/>
      <c r="CI361" s="460"/>
      <c r="CJ361" s="460"/>
      <c r="CK361" s="460"/>
    </row>
    <row r="362" spans="1:89" s="329" customFormat="1" ht="36" customHeight="1" x14ac:dyDescent="0.25">
      <c r="A362" s="329">
        <v>1</v>
      </c>
      <c r="B362" s="39">
        <f>SUBTOTAL(103,$A$16:A362)</f>
        <v>325</v>
      </c>
      <c r="C362" s="33" t="s">
        <v>1314</v>
      </c>
      <c r="D362" s="330">
        <v>1969</v>
      </c>
      <c r="E362" s="330"/>
      <c r="F362" s="331" t="s">
        <v>48</v>
      </c>
      <c r="G362" s="330">
        <v>2</v>
      </c>
      <c r="H362" s="330" t="s">
        <v>56</v>
      </c>
      <c r="I362" s="38">
        <v>399.42</v>
      </c>
      <c r="J362" s="38">
        <v>370.5</v>
      </c>
      <c r="K362" s="38">
        <v>370.5</v>
      </c>
      <c r="L362" s="332">
        <v>15</v>
      </c>
      <c r="M362" s="330" t="s">
        <v>46</v>
      </c>
      <c r="N362" s="330" t="s">
        <v>50</v>
      </c>
      <c r="O362" s="333" t="s">
        <v>2065</v>
      </c>
      <c r="P362" s="38">
        <v>2257759.4200000004</v>
      </c>
      <c r="Q362" s="38">
        <v>0</v>
      </c>
      <c r="R362" s="38">
        <v>0</v>
      </c>
      <c r="S362" s="38">
        <f t="shared" si="54"/>
        <v>2257759.4200000004</v>
      </c>
      <c r="T362" s="38">
        <f t="shared" si="43"/>
        <v>5652.5948124780944</v>
      </c>
      <c r="U362" s="38">
        <v>5328.8883881628362</v>
      </c>
      <c r="V362" s="458">
        <f t="shared" si="44"/>
        <v>-323.70642431525812</v>
      </c>
      <c r="W362" s="458">
        <f t="shared" si="55"/>
        <v>5310.7741224775918</v>
      </c>
      <c r="X362" s="458">
        <v>0</v>
      </c>
      <c r="Y362" s="459">
        <v>0</v>
      </c>
      <c r="Z362" s="459">
        <v>0</v>
      </c>
      <c r="AA362" s="459">
        <v>0</v>
      </c>
      <c r="AB362" s="459">
        <v>0</v>
      </c>
      <c r="AC362" s="459">
        <v>0</v>
      </c>
      <c r="AD362" s="459">
        <v>0</v>
      </c>
      <c r="AE362" s="459">
        <v>340</v>
      </c>
      <c r="AF362" s="458">
        <f>6238.91*AE362/I362</f>
        <v>5310.7741224775918</v>
      </c>
      <c r="AG362" s="459">
        <v>0</v>
      </c>
      <c r="AH362" s="458">
        <v>0</v>
      </c>
      <c r="AI362" s="459">
        <v>0</v>
      </c>
      <c r="AJ362" s="458">
        <v>0</v>
      </c>
      <c r="AK362" s="459">
        <v>0</v>
      </c>
      <c r="AL362" s="459">
        <v>0</v>
      </c>
      <c r="AM362" s="459">
        <v>0</v>
      </c>
      <c r="AN362" s="459"/>
      <c r="AO362" s="459">
        <v>0</v>
      </c>
      <c r="AP362" s="460"/>
      <c r="AQ362" s="460"/>
      <c r="AR362" s="460"/>
      <c r="AS362" s="460"/>
      <c r="AT362" s="460"/>
      <c r="AU362" s="460"/>
      <c r="AV362" s="460"/>
      <c r="AW362" s="460"/>
      <c r="AX362" s="460"/>
      <c r="AY362" s="460"/>
      <c r="AZ362" s="460"/>
      <c r="BA362" s="460"/>
      <c r="BB362" s="460"/>
      <c r="BC362" s="460"/>
      <c r="BD362" s="460"/>
      <c r="BE362" s="460"/>
      <c r="BF362" s="460"/>
      <c r="BG362" s="460"/>
      <c r="BH362" s="460"/>
      <c r="BI362" s="460"/>
      <c r="BJ362" s="460"/>
      <c r="BK362" s="460"/>
      <c r="BL362" s="460"/>
      <c r="BM362" s="460"/>
      <c r="BN362" s="460"/>
      <c r="BO362" s="460"/>
      <c r="BP362" s="460"/>
      <c r="BQ362" s="460"/>
      <c r="BR362" s="460"/>
      <c r="BS362" s="460"/>
      <c r="BT362" s="460"/>
      <c r="BU362" s="460"/>
      <c r="BV362" s="460"/>
      <c r="BW362" s="460"/>
      <c r="BX362" s="460"/>
      <c r="BY362" s="460"/>
      <c r="BZ362" s="460"/>
      <c r="CA362" s="460"/>
      <c r="CB362" s="460"/>
      <c r="CC362" s="460"/>
      <c r="CD362" s="460"/>
      <c r="CE362" s="460"/>
      <c r="CF362" s="460"/>
      <c r="CG362" s="460"/>
      <c r="CH362" s="460"/>
      <c r="CI362" s="460"/>
      <c r="CJ362" s="460"/>
      <c r="CK362" s="460"/>
    </row>
    <row r="363" spans="1:89" s="329" customFormat="1" ht="36" customHeight="1" x14ac:dyDescent="0.25">
      <c r="A363" s="329">
        <v>1</v>
      </c>
      <c r="B363" s="39">
        <f>SUBTOTAL(103,$A$16:A363)</f>
        <v>326</v>
      </c>
      <c r="C363" s="33" t="s">
        <v>1050</v>
      </c>
      <c r="D363" s="330">
        <v>1972</v>
      </c>
      <c r="E363" s="330"/>
      <c r="F363" s="331" t="s">
        <v>1991</v>
      </c>
      <c r="G363" s="330">
        <v>5</v>
      </c>
      <c r="H363" s="330" t="s">
        <v>75</v>
      </c>
      <c r="I363" s="38">
        <v>5806.44</v>
      </c>
      <c r="J363" s="38">
        <v>4487.95</v>
      </c>
      <c r="K363" s="38">
        <v>4487.95</v>
      </c>
      <c r="L363" s="332">
        <v>211</v>
      </c>
      <c r="M363" s="330" t="s">
        <v>46</v>
      </c>
      <c r="N363" s="330" t="s">
        <v>50</v>
      </c>
      <c r="O363" s="333" t="s">
        <v>53</v>
      </c>
      <c r="P363" s="38">
        <v>4557103.54</v>
      </c>
      <c r="Q363" s="38">
        <v>0</v>
      </c>
      <c r="R363" s="38">
        <v>0</v>
      </c>
      <c r="S363" s="38">
        <f t="shared" si="54"/>
        <v>4557103.54</v>
      </c>
      <c r="T363" s="38">
        <f t="shared" si="43"/>
        <v>784.83606822769207</v>
      </c>
      <c r="U363" s="38">
        <v>1332.0493701820737</v>
      </c>
      <c r="V363" s="458">
        <f t="shared" si="44"/>
        <v>547.21330195438168</v>
      </c>
      <c r="W363" s="458">
        <f t="shared" si="55"/>
        <v>1327.521390903893</v>
      </c>
      <c r="X363" s="458">
        <v>0</v>
      </c>
      <c r="Y363" s="459">
        <v>0</v>
      </c>
      <c r="Z363" s="459">
        <v>0</v>
      </c>
      <c r="AA363" s="459">
        <v>0</v>
      </c>
      <c r="AB363" s="459">
        <v>0</v>
      </c>
      <c r="AC363" s="459">
        <v>0</v>
      </c>
      <c r="AD363" s="459">
        <v>0</v>
      </c>
      <c r="AE363" s="459">
        <v>1235.5</v>
      </c>
      <c r="AF363" s="458">
        <f>6238.91*AE363/I363</f>
        <v>1327.521390903893</v>
      </c>
      <c r="AG363" s="459">
        <v>0</v>
      </c>
      <c r="AH363" s="458">
        <v>0</v>
      </c>
      <c r="AI363" s="459">
        <v>0</v>
      </c>
      <c r="AJ363" s="458">
        <v>0</v>
      </c>
      <c r="AK363" s="459">
        <v>0</v>
      </c>
      <c r="AL363" s="459">
        <v>0</v>
      </c>
      <c r="AM363" s="459">
        <v>0</v>
      </c>
      <c r="AN363" s="459"/>
      <c r="AO363" s="459">
        <v>0</v>
      </c>
      <c r="AP363" s="460"/>
      <c r="AQ363" s="460"/>
      <c r="AR363" s="460"/>
      <c r="AS363" s="460"/>
      <c r="AT363" s="460"/>
      <c r="AU363" s="460"/>
      <c r="AV363" s="460"/>
      <c r="AW363" s="460"/>
      <c r="AX363" s="460"/>
      <c r="AY363" s="460"/>
      <c r="AZ363" s="460"/>
      <c r="BA363" s="460"/>
      <c r="BB363" s="460"/>
      <c r="BC363" s="460"/>
      <c r="BD363" s="460"/>
      <c r="BE363" s="460"/>
      <c r="BF363" s="460"/>
      <c r="BG363" s="460"/>
      <c r="BH363" s="460"/>
      <c r="BI363" s="460"/>
      <c r="BJ363" s="460"/>
      <c r="BK363" s="460"/>
      <c r="BL363" s="460"/>
      <c r="BM363" s="460"/>
      <c r="BN363" s="460"/>
      <c r="BO363" s="460"/>
      <c r="BP363" s="460"/>
      <c r="BQ363" s="460"/>
      <c r="BR363" s="460"/>
      <c r="BS363" s="460"/>
      <c r="BT363" s="460"/>
      <c r="BU363" s="460"/>
      <c r="BV363" s="460"/>
      <c r="BW363" s="460"/>
      <c r="BX363" s="460"/>
      <c r="BY363" s="460"/>
      <c r="BZ363" s="460"/>
      <c r="CA363" s="460"/>
      <c r="CB363" s="460"/>
      <c r="CC363" s="460"/>
      <c r="CD363" s="460"/>
      <c r="CE363" s="460"/>
      <c r="CF363" s="460"/>
      <c r="CG363" s="460"/>
      <c r="CH363" s="460"/>
      <c r="CI363" s="460"/>
      <c r="CJ363" s="460"/>
      <c r="CK363" s="460"/>
    </row>
    <row r="364" spans="1:89" s="329" customFormat="1" ht="36" customHeight="1" x14ac:dyDescent="0.25">
      <c r="A364" s="329">
        <v>1</v>
      </c>
      <c r="B364" s="39">
        <f>SUBTOTAL(103,$A$16:A364)</f>
        <v>327</v>
      </c>
      <c r="C364" s="33" t="s">
        <v>1139</v>
      </c>
      <c r="D364" s="330">
        <v>1973</v>
      </c>
      <c r="E364" s="330"/>
      <c r="F364" s="331" t="s">
        <v>1991</v>
      </c>
      <c r="G364" s="330">
        <v>5</v>
      </c>
      <c r="H364" s="330" t="s">
        <v>1969</v>
      </c>
      <c r="I364" s="38">
        <v>6042.57</v>
      </c>
      <c r="J364" s="38">
        <v>6042.57</v>
      </c>
      <c r="K364" s="38">
        <v>6042.57</v>
      </c>
      <c r="L364" s="332">
        <v>176</v>
      </c>
      <c r="M364" s="330" t="s">
        <v>46</v>
      </c>
      <c r="N364" s="330" t="s">
        <v>50</v>
      </c>
      <c r="O364" s="333" t="s">
        <v>53</v>
      </c>
      <c r="P364" s="38">
        <v>4223582.3699999992</v>
      </c>
      <c r="Q364" s="38">
        <v>0</v>
      </c>
      <c r="R364" s="38">
        <v>0</v>
      </c>
      <c r="S364" s="38">
        <f t="shared" si="54"/>
        <v>4223582.3699999992</v>
      </c>
      <c r="T364" s="38">
        <f t="shared" si="43"/>
        <v>698.97119437590288</v>
      </c>
      <c r="U364" s="38">
        <v>1149.1265379135039</v>
      </c>
      <c r="V364" s="458">
        <f t="shared" si="44"/>
        <v>450.15534353760097</v>
      </c>
      <c r="W364" s="458">
        <f t="shared" si="55"/>
        <v>1145.2203605088564</v>
      </c>
      <c r="X364" s="458">
        <v>0</v>
      </c>
      <c r="Y364" s="459">
        <v>0</v>
      </c>
      <c r="Z364" s="459">
        <v>0</v>
      </c>
      <c r="AA364" s="459">
        <v>0</v>
      </c>
      <c r="AB364" s="459">
        <v>0</v>
      </c>
      <c r="AC364" s="459">
        <v>0</v>
      </c>
      <c r="AD364" s="459">
        <v>0</v>
      </c>
      <c r="AE364" s="459">
        <v>1109.18</v>
      </c>
      <c r="AF364" s="458">
        <f>6238.91*AE364/I364</f>
        <v>1145.2203605088564</v>
      </c>
      <c r="AG364" s="459">
        <v>0</v>
      </c>
      <c r="AH364" s="458">
        <v>0</v>
      </c>
      <c r="AI364" s="459">
        <v>0</v>
      </c>
      <c r="AJ364" s="458">
        <v>0</v>
      </c>
      <c r="AK364" s="459">
        <v>0</v>
      </c>
      <c r="AL364" s="459">
        <v>0</v>
      </c>
      <c r="AM364" s="459">
        <v>0</v>
      </c>
      <c r="AN364" s="459"/>
      <c r="AO364" s="459">
        <v>0</v>
      </c>
      <c r="AP364" s="460"/>
      <c r="AQ364" s="460"/>
      <c r="AR364" s="460"/>
      <c r="AS364" s="460"/>
      <c r="AT364" s="460"/>
      <c r="AU364" s="460"/>
      <c r="AV364" s="460"/>
      <c r="AW364" s="460"/>
      <c r="AX364" s="460"/>
      <c r="AY364" s="460"/>
      <c r="AZ364" s="460"/>
      <c r="BA364" s="460"/>
      <c r="BB364" s="460"/>
      <c r="BC364" s="460"/>
      <c r="BD364" s="460"/>
      <c r="BE364" s="460"/>
      <c r="BF364" s="460"/>
      <c r="BG364" s="460"/>
      <c r="BH364" s="460"/>
      <c r="BI364" s="460"/>
      <c r="BJ364" s="460"/>
      <c r="BK364" s="460"/>
      <c r="BL364" s="460"/>
      <c r="BM364" s="460"/>
      <c r="BN364" s="460"/>
      <c r="BO364" s="460"/>
      <c r="BP364" s="460"/>
      <c r="BQ364" s="460"/>
      <c r="BR364" s="460"/>
      <c r="BS364" s="460"/>
      <c r="BT364" s="460"/>
      <c r="BU364" s="460"/>
      <c r="BV364" s="460"/>
      <c r="BW364" s="460"/>
      <c r="BX364" s="460"/>
      <c r="BY364" s="460"/>
      <c r="BZ364" s="460"/>
      <c r="CA364" s="460"/>
      <c r="CB364" s="460"/>
      <c r="CC364" s="460"/>
      <c r="CD364" s="460"/>
      <c r="CE364" s="460"/>
      <c r="CF364" s="460"/>
      <c r="CG364" s="460"/>
      <c r="CH364" s="460"/>
      <c r="CI364" s="460"/>
      <c r="CJ364" s="460"/>
      <c r="CK364" s="460"/>
    </row>
    <row r="365" spans="1:89" s="329" customFormat="1" ht="36" customHeight="1" x14ac:dyDescent="0.25">
      <c r="A365" s="329">
        <v>1</v>
      </c>
      <c r="B365" s="39">
        <f>SUBTOTAL(103,$A$16:A365)</f>
        <v>328</v>
      </c>
      <c r="C365" s="33" t="s">
        <v>1315</v>
      </c>
      <c r="D365" s="330">
        <v>1973</v>
      </c>
      <c r="E365" s="330"/>
      <c r="F365" s="331" t="s">
        <v>48</v>
      </c>
      <c r="G365" s="330">
        <v>2</v>
      </c>
      <c r="H365" s="330" t="s">
        <v>56</v>
      </c>
      <c r="I365" s="38">
        <v>787.52</v>
      </c>
      <c r="J365" s="38">
        <v>787.52</v>
      </c>
      <c r="K365" s="38">
        <v>787.52</v>
      </c>
      <c r="L365" s="332">
        <v>30</v>
      </c>
      <c r="M365" s="330" t="s">
        <v>46</v>
      </c>
      <c r="N365" s="330" t="s">
        <v>50</v>
      </c>
      <c r="O365" s="333" t="s">
        <v>53</v>
      </c>
      <c r="P365" s="38">
        <v>3453193.2099999995</v>
      </c>
      <c r="Q365" s="38">
        <v>0</v>
      </c>
      <c r="R365" s="38">
        <v>0</v>
      </c>
      <c r="S365" s="38">
        <f t="shared" si="54"/>
        <v>3453193.2099999995</v>
      </c>
      <c r="T365" s="38">
        <f t="shared" si="43"/>
        <v>4384.89588835839</v>
      </c>
      <c r="U365" s="38">
        <v>5047.7710407354734</v>
      </c>
      <c r="V365" s="458">
        <f t="shared" si="44"/>
        <v>662.8751523770834</v>
      </c>
      <c r="W365" s="458">
        <f t="shared" si="55"/>
        <v>5030.612365400244</v>
      </c>
      <c r="X365" s="458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635</v>
      </c>
      <c r="AF365" s="458">
        <f>6238.91*AE365/I365</f>
        <v>5030.612365400244</v>
      </c>
      <c r="AG365" s="459">
        <v>0</v>
      </c>
      <c r="AH365" s="458">
        <v>0</v>
      </c>
      <c r="AI365" s="459">
        <v>0</v>
      </c>
      <c r="AJ365" s="458">
        <v>0</v>
      </c>
      <c r="AK365" s="459">
        <v>0</v>
      </c>
      <c r="AL365" s="459">
        <v>0</v>
      </c>
      <c r="AM365" s="459">
        <v>0</v>
      </c>
      <c r="AN365" s="459"/>
      <c r="AO365" s="459">
        <v>0</v>
      </c>
      <c r="AP365" s="460"/>
      <c r="AQ365" s="460"/>
      <c r="AR365" s="460"/>
      <c r="AS365" s="460"/>
      <c r="AT365" s="460"/>
      <c r="AU365" s="460"/>
      <c r="AV365" s="460"/>
      <c r="AW365" s="460"/>
      <c r="AX365" s="460"/>
      <c r="AY365" s="460"/>
      <c r="AZ365" s="460"/>
      <c r="BA365" s="460"/>
      <c r="BB365" s="460"/>
      <c r="BC365" s="460"/>
      <c r="BD365" s="460"/>
      <c r="BE365" s="460"/>
      <c r="BF365" s="460"/>
      <c r="BG365" s="460"/>
      <c r="BH365" s="460"/>
      <c r="BI365" s="460"/>
      <c r="BJ365" s="460"/>
      <c r="BK365" s="460"/>
      <c r="BL365" s="460"/>
      <c r="BM365" s="460"/>
      <c r="BN365" s="460"/>
      <c r="BO365" s="460"/>
      <c r="BP365" s="460"/>
      <c r="BQ365" s="460"/>
      <c r="BR365" s="460"/>
      <c r="BS365" s="460"/>
      <c r="BT365" s="460"/>
      <c r="BU365" s="460"/>
      <c r="BV365" s="460"/>
      <c r="BW365" s="460"/>
      <c r="BX365" s="460"/>
      <c r="BY365" s="460"/>
      <c r="BZ365" s="460"/>
      <c r="CA365" s="460"/>
      <c r="CB365" s="460"/>
      <c r="CC365" s="460"/>
      <c r="CD365" s="460"/>
      <c r="CE365" s="460"/>
      <c r="CF365" s="460"/>
      <c r="CG365" s="460"/>
      <c r="CH365" s="460"/>
      <c r="CI365" s="460"/>
      <c r="CJ365" s="460"/>
      <c r="CK365" s="460"/>
    </row>
    <row r="366" spans="1:89" s="329" customFormat="1" ht="36" customHeight="1" x14ac:dyDescent="0.25">
      <c r="A366" s="329">
        <v>1</v>
      </c>
      <c r="B366" s="39">
        <f>SUBTOTAL(103,$A$16:A366)</f>
        <v>329</v>
      </c>
      <c r="C366" s="33" t="s">
        <v>1316</v>
      </c>
      <c r="D366" s="330" t="s">
        <v>2035</v>
      </c>
      <c r="E366" s="330"/>
      <c r="F366" s="331" t="s">
        <v>48</v>
      </c>
      <c r="G366" s="330" t="s">
        <v>75</v>
      </c>
      <c r="H366" s="330" t="s">
        <v>1969</v>
      </c>
      <c r="I366" s="38">
        <v>5104.3599999999997</v>
      </c>
      <c r="J366" s="38">
        <v>5104.3599999999997</v>
      </c>
      <c r="K366" s="38">
        <v>5104.3599999999997</v>
      </c>
      <c r="L366" s="332">
        <v>159</v>
      </c>
      <c r="M366" s="330" t="s">
        <v>46</v>
      </c>
      <c r="N366" s="330" t="s">
        <v>50</v>
      </c>
      <c r="O366" s="333" t="s">
        <v>238</v>
      </c>
      <c r="P366" s="38">
        <v>5566777.7000000011</v>
      </c>
      <c r="Q366" s="38">
        <v>0</v>
      </c>
      <c r="R366" s="38">
        <v>0</v>
      </c>
      <c r="S366" s="38">
        <f t="shared" si="54"/>
        <v>5566777.7000000011</v>
      </c>
      <c r="T366" s="38">
        <f t="shared" si="43"/>
        <v>1090.5926893871124</v>
      </c>
      <c r="U366" s="38">
        <v>4134.3555078403569</v>
      </c>
      <c r="V366" s="458">
        <f t="shared" si="44"/>
        <v>3043.7628184532446</v>
      </c>
      <c r="W366" s="458">
        <f t="shared" si="55"/>
        <v>3546.19</v>
      </c>
      <c r="X366" s="458">
        <v>101.55</v>
      </c>
      <c r="Y366" s="459">
        <v>0</v>
      </c>
      <c r="Z366" s="459">
        <v>3259.66</v>
      </c>
      <c r="AA366" s="459">
        <v>184.98</v>
      </c>
      <c r="AB366" s="459">
        <v>0</v>
      </c>
      <c r="AC366" s="459">
        <v>0</v>
      </c>
      <c r="AD366" s="459">
        <v>0</v>
      </c>
      <c r="AE366" s="459">
        <v>0</v>
      </c>
      <c r="AF366" s="458">
        <v>0</v>
      </c>
      <c r="AG366" s="459">
        <v>0</v>
      </c>
      <c r="AH366" s="458">
        <v>0</v>
      </c>
      <c r="AI366" s="459">
        <v>0</v>
      </c>
      <c r="AJ366" s="458">
        <v>0</v>
      </c>
      <c r="AK366" s="459">
        <v>0</v>
      </c>
      <c r="AL366" s="459">
        <v>0</v>
      </c>
      <c r="AM366" s="459">
        <v>0</v>
      </c>
      <c r="AN366" s="459"/>
      <c r="AO366" s="459">
        <v>0</v>
      </c>
      <c r="AP366" s="460"/>
      <c r="AQ366" s="460"/>
      <c r="AR366" s="460"/>
      <c r="AS366" s="460"/>
      <c r="AT366" s="460"/>
      <c r="AU366" s="460"/>
      <c r="AV366" s="460"/>
      <c r="AW366" s="460"/>
      <c r="AX366" s="460"/>
      <c r="AY366" s="460"/>
      <c r="AZ366" s="460"/>
      <c r="BA366" s="460"/>
      <c r="BB366" s="460"/>
      <c r="BC366" s="460"/>
      <c r="BD366" s="460"/>
      <c r="BE366" s="460"/>
      <c r="BF366" s="460"/>
      <c r="BG366" s="460"/>
      <c r="BH366" s="460"/>
      <c r="BI366" s="460"/>
      <c r="BJ366" s="460"/>
      <c r="BK366" s="460"/>
      <c r="BL366" s="460"/>
      <c r="BM366" s="460"/>
      <c r="BN366" s="460"/>
      <c r="BO366" s="460"/>
      <c r="BP366" s="460"/>
      <c r="BQ366" s="460"/>
      <c r="BR366" s="460"/>
      <c r="BS366" s="460"/>
      <c r="BT366" s="460"/>
      <c r="BU366" s="460"/>
      <c r="BV366" s="460"/>
      <c r="BW366" s="460"/>
      <c r="BX366" s="460"/>
      <c r="BY366" s="460"/>
      <c r="BZ366" s="460"/>
      <c r="CA366" s="460"/>
      <c r="CB366" s="460"/>
      <c r="CC366" s="460"/>
      <c r="CD366" s="460"/>
      <c r="CE366" s="460"/>
      <c r="CF366" s="460"/>
      <c r="CG366" s="460"/>
      <c r="CH366" s="460"/>
      <c r="CI366" s="460"/>
      <c r="CJ366" s="460"/>
      <c r="CK366" s="460"/>
    </row>
    <row r="367" spans="1:89" s="329" customFormat="1" ht="36" customHeight="1" x14ac:dyDescent="0.25">
      <c r="A367" s="329">
        <v>1</v>
      </c>
      <c r="B367" s="39">
        <f>SUBTOTAL(103,$A$16:A367)</f>
        <v>330</v>
      </c>
      <c r="C367" s="33" t="s">
        <v>1052</v>
      </c>
      <c r="D367" s="330">
        <v>1973</v>
      </c>
      <c r="E367" s="330"/>
      <c r="F367" s="331" t="s">
        <v>63</v>
      </c>
      <c r="G367" s="330">
        <v>5</v>
      </c>
      <c r="H367" s="330" t="s">
        <v>1969</v>
      </c>
      <c r="I367" s="38">
        <v>6039.17</v>
      </c>
      <c r="J367" s="38">
        <v>6039.17</v>
      </c>
      <c r="K367" s="38">
        <v>6039.17</v>
      </c>
      <c r="L367" s="332">
        <v>184</v>
      </c>
      <c r="M367" s="330" t="s">
        <v>46</v>
      </c>
      <c r="N367" s="330" t="s">
        <v>50</v>
      </c>
      <c r="O367" s="333" t="s">
        <v>2066</v>
      </c>
      <c r="P367" s="38">
        <v>4137160</v>
      </c>
      <c r="Q367" s="38">
        <v>0</v>
      </c>
      <c r="R367" s="38">
        <v>0</v>
      </c>
      <c r="S367" s="38">
        <f t="shared" si="54"/>
        <v>4137160</v>
      </c>
      <c r="T367" s="38">
        <f t="shared" si="43"/>
        <v>685.05440317129671</v>
      </c>
      <c r="U367" s="38">
        <v>1201.8003269157846</v>
      </c>
      <c r="V367" s="458">
        <f t="shared" si="44"/>
        <v>516.74592374448787</v>
      </c>
      <c r="W367" s="458">
        <f t="shared" si="55"/>
        <v>3494.3939117461509</v>
      </c>
      <c r="X367" s="458">
        <v>0</v>
      </c>
      <c r="Y367" s="459">
        <v>0</v>
      </c>
      <c r="Z367" s="459">
        <v>0</v>
      </c>
      <c r="AA367" s="459">
        <v>0</v>
      </c>
      <c r="AB367" s="459">
        <v>0</v>
      </c>
      <c r="AC367" s="459">
        <v>0</v>
      </c>
      <c r="AD367" s="459">
        <v>0</v>
      </c>
      <c r="AE367" s="459">
        <v>0</v>
      </c>
      <c r="AF367" s="458">
        <v>0</v>
      </c>
      <c r="AG367" s="459">
        <v>0</v>
      </c>
      <c r="AH367" s="458">
        <v>0</v>
      </c>
      <c r="AI367" s="459">
        <v>2836.8</v>
      </c>
      <c r="AJ367" s="458">
        <f>7439.1*AI367/I367</f>
        <v>3494.3939117461509</v>
      </c>
      <c r="AK367" s="459">
        <v>0</v>
      </c>
      <c r="AL367" s="459">
        <v>0</v>
      </c>
      <c r="AM367" s="459">
        <v>0</v>
      </c>
      <c r="AN367" s="459"/>
      <c r="AO367" s="459">
        <v>0</v>
      </c>
      <c r="AP367" s="460"/>
      <c r="AQ367" s="460"/>
      <c r="AR367" s="460"/>
      <c r="AS367" s="460"/>
      <c r="AT367" s="460"/>
      <c r="AU367" s="460"/>
      <c r="AV367" s="460"/>
      <c r="AW367" s="460"/>
      <c r="AX367" s="460"/>
      <c r="AY367" s="460"/>
      <c r="AZ367" s="460"/>
      <c r="BA367" s="460"/>
      <c r="BB367" s="460"/>
      <c r="BC367" s="460"/>
      <c r="BD367" s="460"/>
      <c r="BE367" s="460"/>
      <c r="BF367" s="460"/>
      <c r="BG367" s="460"/>
      <c r="BH367" s="460"/>
      <c r="BI367" s="460"/>
      <c r="BJ367" s="460"/>
      <c r="BK367" s="460"/>
      <c r="BL367" s="460"/>
      <c r="BM367" s="460"/>
      <c r="BN367" s="460"/>
      <c r="BO367" s="460"/>
      <c r="BP367" s="460"/>
      <c r="BQ367" s="460"/>
      <c r="BR367" s="460"/>
      <c r="BS367" s="460"/>
      <c r="BT367" s="460"/>
      <c r="BU367" s="460"/>
      <c r="BV367" s="460"/>
      <c r="BW367" s="460"/>
      <c r="BX367" s="460"/>
      <c r="BY367" s="460"/>
      <c r="BZ367" s="460"/>
      <c r="CA367" s="460"/>
      <c r="CB367" s="460"/>
      <c r="CC367" s="460"/>
      <c r="CD367" s="460"/>
      <c r="CE367" s="460"/>
      <c r="CF367" s="460"/>
      <c r="CG367" s="460"/>
      <c r="CH367" s="460"/>
      <c r="CI367" s="460"/>
      <c r="CJ367" s="460"/>
      <c r="CK367" s="460"/>
    </row>
    <row r="368" spans="1:89" s="329" customFormat="1" ht="36" customHeight="1" x14ac:dyDescent="0.25">
      <c r="A368" s="329">
        <v>1</v>
      </c>
      <c r="B368" s="39">
        <f>SUBTOTAL(103,$A$16:A368)</f>
        <v>331</v>
      </c>
      <c r="C368" s="33" t="s">
        <v>1054</v>
      </c>
      <c r="D368" s="330">
        <v>1974</v>
      </c>
      <c r="E368" s="330"/>
      <c r="F368" s="331" t="s">
        <v>1991</v>
      </c>
      <c r="G368" s="330">
        <v>5</v>
      </c>
      <c r="H368" s="330" t="s">
        <v>59</v>
      </c>
      <c r="I368" s="38">
        <v>4571.8999999999996</v>
      </c>
      <c r="J368" s="38">
        <v>3098.1</v>
      </c>
      <c r="K368" s="38">
        <v>3098.1</v>
      </c>
      <c r="L368" s="332">
        <v>119</v>
      </c>
      <c r="M368" s="330" t="s">
        <v>46</v>
      </c>
      <c r="N368" s="330" t="s">
        <v>50</v>
      </c>
      <c r="O368" s="333" t="s">
        <v>2067</v>
      </c>
      <c r="P368" s="38">
        <v>2786924.03</v>
      </c>
      <c r="Q368" s="38">
        <v>0</v>
      </c>
      <c r="R368" s="38">
        <v>0</v>
      </c>
      <c r="S368" s="38">
        <f t="shared" si="54"/>
        <v>2786924.03</v>
      </c>
      <c r="T368" s="38">
        <f t="shared" si="43"/>
        <v>609.57676895820123</v>
      </c>
      <c r="U368" s="38">
        <v>1045.8525168966951</v>
      </c>
      <c r="V368" s="458">
        <f t="shared" si="44"/>
        <v>436.27574793849385</v>
      </c>
      <c r="W368" s="458">
        <f t="shared" si="55"/>
        <v>1582.1004586058311</v>
      </c>
      <c r="X368" s="458">
        <v>0</v>
      </c>
      <c r="Y368" s="459">
        <v>0</v>
      </c>
      <c r="Z368" s="459">
        <v>0</v>
      </c>
      <c r="AA368" s="459">
        <v>0</v>
      </c>
      <c r="AB368" s="459">
        <v>0</v>
      </c>
      <c r="AC368" s="459">
        <v>0</v>
      </c>
      <c r="AD368" s="459">
        <v>0</v>
      </c>
      <c r="AE368" s="459">
        <v>1159.3699999999999</v>
      </c>
      <c r="AF368" s="458">
        <f>6238.91*AE368/I368</f>
        <v>1582.1004586058311</v>
      </c>
      <c r="AG368" s="459">
        <v>0</v>
      </c>
      <c r="AH368" s="458">
        <v>0</v>
      </c>
      <c r="AI368" s="459">
        <v>0</v>
      </c>
      <c r="AJ368" s="458">
        <v>0</v>
      </c>
      <c r="AK368" s="459">
        <v>0</v>
      </c>
      <c r="AL368" s="459">
        <v>0</v>
      </c>
      <c r="AM368" s="459">
        <v>0</v>
      </c>
      <c r="AN368" s="459"/>
      <c r="AO368" s="459">
        <v>0</v>
      </c>
      <c r="AP368" s="460"/>
      <c r="AQ368" s="460"/>
      <c r="AR368" s="460"/>
      <c r="AS368" s="460"/>
      <c r="AT368" s="460"/>
      <c r="AU368" s="460"/>
      <c r="AV368" s="460"/>
      <c r="AW368" s="460"/>
      <c r="AX368" s="460"/>
      <c r="AY368" s="460"/>
      <c r="AZ368" s="460"/>
      <c r="BA368" s="460"/>
      <c r="BB368" s="460"/>
      <c r="BC368" s="460"/>
      <c r="BD368" s="460"/>
      <c r="BE368" s="460"/>
      <c r="BF368" s="460"/>
      <c r="BG368" s="460"/>
      <c r="BH368" s="460"/>
      <c r="BI368" s="460"/>
      <c r="BJ368" s="460"/>
      <c r="BK368" s="460"/>
      <c r="BL368" s="460"/>
      <c r="BM368" s="460"/>
      <c r="BN368" s="460"/>
      <c r="BO368" s="460"/>
      <c r="BP368" s="460"/>
      <c r="BQ368" s="460"/>
      <c r="BR368" s="460"/>
      <c r="BS368" s="460"/>
      <c r="BT368" s="460"/>
      <c r="BU368" s="460"/>
      <c r="BV368" s="460"/>
      <c r="BW368" s="460"/>
      <c r="BX368" s="460"/>
      <c r="BY368" s="460"/>
      <c r="BZ368" s="460"/>
      <c r="CA368" s="460"/>
      <c r="CB368" s="460"/>
      <c r="CC368" s="460"/>
      <c r="CD368" s="460"/>
      <c r="CE368" s="460"/>
      <c r="CF368" s="460"/>
      <c r="CG368" s="460"/>
      <c r="CH368" s="460"/>
      <c r="CI368" s="460"/>
      <c r="CJ368" s="460"/>
      <c r="CK368" s="460"/>
    </row>
    <row r="369" spans="1:89" s="329" customFormat="1" ht="36" customHeight="1" x14ac:dyDescent="0.25">
      <c r="A369" s="329">
        <v>1</v>
      </c>
      <c r="B369" s="39">
        <f>SUBTOTAL(103,$A$16:A369)</f>
        <v>332</v>
      </c>
      <c r="C369" s="33" t="s">
        <v>1056</v>
      </c>
      <c r="D369" s="330">
        <v>1966</v>
      </c>
      <c r="E369" s="330"/>
      <c r="F369" s="331" t="s">
        <v>1991</v>
      </c>
      <c r="G369" s="330">
        <v>2</v>
      </c>
      <c r="H369" s="330" t="s">
        <v>61</v>
      </c>
      <c r="I369" s="38">
        <v>418.6</v>
      </c>
      <c r="J369" s="38">
        <v>418.6</v>
      </c>
      <c r="K369" s="38">
        <v>418.6</v>
      </c>
      <c r="L369" s="332">
        <v>29</v>
      </c>
      <c r="M369" s="330" t="s">
        <v>46</v>
      </c>
      <c r="N369" s="330" t="s">
        <v>50</v>
      </c>
      <c r="O369" s="333" t="s">
        <v>2067</v>
      </c>
      <c r="P369" s="38">
        <v>1749750.39</v>
      </c>
      <c r="Q369" s="38">
        <v>0</v>
      </c>
      <c r="R369" s="38">
        <v>0</v>
      </c>
      <c r="S369" s="38">
        <f t="shared" si="54"/>
        <v>1749750.39</v>
      </c>
      <c r="T369" s="38">
        <f t="shared" si="43"/>
        <v>4180.0057095078828</v>
      </c>
      <c r="U369" s="38">
        <v>6828.4824510272338</v>
      </c>
      <c r="V369" s="458">
        <f t="shared" si="44"/>
        <v>2648.476741519351</v>
      </c>
      <c r="W369" s="458">
        <f t="shared" si="55"/>
        <v>11383.849636884854</v>
      </c>
      <c r="X369" s="458">
        <v>0</v>
      </c>
      <c r="Y369" s="459">
        <v>0</v>
      </c>
      <c r="Z369" s="459">
        <v>0</v>
      </c>
      <c r="AA369" s="459">
        <v>0</v>
      </c>
      <c r="AB369" s="459">
        <v>0</v>
      </c>
      <c r="AC369" s="459">
        <v>0</v>
      </c>
      <c r="AD369" s="459">
        <v>0</v>
      </c>
      <c r="AE369" s="459">
        <v>763.8</v>
      </c>
      <c r="AF369" s="458">
        <f>6238.91*AE369/I369</f>
        <v>11383.849636884854</v>
      </c>
      <c r="AG369" s="459">
        <v>0</v>
      </c>
      <c r="AH369" s="458">
        <v>0</v>
      </c>
      <c r="AI369" s="459">
        <v>0</v>
      </c>
      <c r="AJ369" s="458">
        <v>0</v>
      </c>
      <c r="AK369" s="459">
        <v>0</v>
      </c>
      <c r="AL369" s="459">
        <v>0</v>
      </c>
      <c r="AM369" s="459">
        <v>0</v>
      </c>
      <c r="AN369" s="459"/>
      <c r="AO369" s="459">
        <v>0</v>
      </c>
      <c r="AP369" s="460"/>
      <c r="AQ369" s="460"/>
      <c r="AR369" s="460"/>
      <c r="AS369" s="460"/>
      <c r="AT369" s="460"/>
      <c r="AU369" s="460"/>
      <c r="AV369" s="460"/>
      <c r="AW369" s="460"/>
      <c r="AX369" s="460"/>
      <c r="AY369" s="460"/>
      <c r="AZ369" s="460"/>
      <c r="BA369" s="460"/>
      <c r="BB369" s="460"/>
      <c r="BC369" s="460"/>
      <c r="BD369" s="460"/>
      <c r="BE369" s="460"/>
      <c r="BF369" s="460"/>
      <c r="BG369" s="460"/>
      <c r="BH369" s="460"/>
      <c r="BI369" s="460"/>
      <c r="BJ369" s="460"/>
      <c r="BK369" s="460"/>
      <c r="BL369" s="460"/>
      <c r="BM369" s="460"/>
      <c r="BN369" s="460"/>
      <c r="BO369" s="460"/>
      <c r="BP369" s="460"/>
      <c r="BQ369" s="460"/>
      <c r="BR369" s="460"/>
      <c r="BS369" s="460"/>
      <c r="BT369" s="460"/>
      <c r="BU369" s="460"/>
      <c r="BV369" s="460"/>
      <c r="BW369" s="460"/>
      <c r="BX369" s="460"/>
      <c r="BY369" s="460"/>
      <c r="BZ369" s="460"/>
      <c r="CA369" s="460"/>
      <c r="CB369" s="460"/>
      <c r="CC369" s="460"/>
      <c r="CD369" s="460"/>
      <c r="CE369" s="460"/>
      <c r="CF369" s="460"/>
      <c r="CG369" s="460"/>
      <c r="CH369" s="460"/>
      <c r="CI369" s="460"/>
      <c r="CJ369" s="460"/>
      <c r="CK369" s="460"/>
    </row>
    <row r="370" spans="1:89" s="329" customFormat="1" ht="36" customHeight="1" x14ac:dyDescent="0.25">
      <c r="A370" s="329">
        <v>1</v>
      </c>
      <c r="B370" s="39">
        <f>SUBTOTAL(103,$A$16:A370)</f>
        <v>333</v>
      </c>
      <c r="C370" s="33" t="s">
        <v>1317</v>
      </c>
      <c r="D370" s="330">
        <v>1987</v>
      </c>
      <c r="E370" s="330"/>
      <c r="F370" s="331" t="s">
        <v>48</v>
      </c>
      <c r="G370" s="330">
        <v>2</v>
      </c>
      <c r="H370" s="330" t="s">
        <v>61</v>
      </c>
      <c r="I370" s="38">
        <v>1448.2</v>
      </c>
      <c r="J370" s="38">
        <v>1448.2</v>
      </c>
      <c r="K370" s="38">
        <v>1448.2</v>
      </c>
      <c r="L370" s="332">
        <v>53</v>
      </c>
      <c r="M370" s="330" t="s">
        <v>46</v>
      </c>
      <c r="N370" s="330" t="s">
        <v>50</v>
      </c>
      <c r="O370" s="333" t="s">
        <v>2068</v>
      </c>
      <c r="P370" s="38">
        <v>173405.6</v>
      </c>
      <c r="Q370" s="38">
        <v>0</v>
      </c>
      <c r="R370" s="38">
        <v>0</v>
      </c>
      <c r="S370" s="38">
        <f t="shared" si="54"/>
        <v>173405.6</v>
      </c>
      <c r="T370" s="38">
        <f t="shared" si="43"/>
        <v>119.7387101229112</v>
      </c>
      <c r="U370" s="38">
        <f>T370</f>
        <v>119.7387101229112</v>
      </c>
      <c r="V370" s="458">
        <f t="shared" si="44"/>
        <v>0</v>
      </c>
      <c r="W370" s="458">
        <f t="shared" si="55"/>
        <v>1967.0531045435712</v>
      </c>
      <c r="X370" s="458">
        <v>0</v>
      </c>
      <c r="Y370" s="459">
        <v>0</v>
      </c>
      <c r="Z370" s="459">
        <v>0</v>
      </c>
      <c r="AA370" s="459">
        <v>0</v>
      </c>
      <c r="AB370" s="459">
        <v>0</v>
      </c>
      <c r="AC370" s="459">
        <v>0</v>
      </c>
      <c r="AD370" s="459">
        <v>0</v>
      </c>
      <c r="AE370" s="459">
        <v>456.6</v>
      </c>
      <c r="AF370" s="458">
        <f>6238.91*AE370/I370</f>
        <v>1967.0531045435712</v>
      </c>
      <c r="AG370" s="459">
        <v>0</v>
      </c>
      <c r="AH370" s="458">
        <v>0</v>
      </c>
      <c r="AI370" s="459">
        <v>0</v>
      </c>
      <c r="AJ370" s="458">
        <v>0</v>
      </c>
      <c r="AK370" s="459">
        <v>0</v>
      </c>
      <c r="AL370" s="459">
        <v>0</v>
      </c>
      <c r="AM370" s="459">
        <v>0</v>
      </c>
      <c r="AN370" s="459"/>
      <c r="AO370" s="459">
        <v>0</v>
      </c>
      <c r="AP370" s="460"/>
      <c r="AQ370" s="460"/>
      <c r="AR370" s="460"/>
      <c r="AS370" s="460"/>
      <c r="AT370" s="460"/>
      <c r="AU370" s="460"/>
      <c r="AV370" s="460"/>
      <c r="AW370" s="460"/>
      <c r="AX370" s="460"/>
      <c r="AY370" s="460"/>
      <c r="AZ370" s="460"/>
      <c r="BA370" s="460"/>
      <c r="BB370" s="460"/>
      <c r="BC370" s="460"/>
      <c r="BD370" s="460"/>
      <c r="BE370" s="460"/>
      <c r="BF370" s="460"/>
      <c r="BG370" s="460"/>
      <c r="BH370" s="460"/>
      <c r="BI370" s="460"/>
      <c r="BJ370" s="460"/>
      <c r="BK370" s="460"/>
      <c r="BL370" s="460"/>
      <c r="BM370" s="460"/>
      <c r="BN370" s="460"/>
      <c r="BO370" s="460"/>
      <c r="BP370" s="460"/>
      <c r="BQ370" s="460"/>
      <c r="BR370" s="460"/>
      <c r="BS370" s="460"/>
      <c r="BT370" s="460"/>
      <c r="BU370" s="460"/>
      <c r="BV370" s="460"/>
      <c r="BW370" s="460"/>
      <c r="BX370" s="460"/>
      <c r="BY370" s="460"/>
      <c r="BZ370" s="460"/>
      <c r="CA370" s="460"/>
      <c r="CB370" s="460"/>
      <c r="CC370" s="460"/>
      <c r="CD370" s="460"/>
      <c r="CE370" s="460"/>
      <c r="CF370" s="460"/>
      <c r="CG370" s="460"/>
      <c r="CH370" s="460"/>
      <c r="CI370" s="460"/>
      <c r="CJ370" s="460"/>
      <c r="CK370" s="460"/>
    </row>
    <row r="371" spans="1:89" s="329" customFormat="1" ht="36" customHeight="1" x14ac:dyDescent="0.25">
      <c r="A371" s="329">
        <v>1</v>
      </c>
      <c r="B371" s="39">
        <f>SUBTOTAL(103,$A$16:A371)</f>
        <v>334</v>
      </c>
      <c r="C371" s="33" t="s">
        <v>1057</v>
      </c>
      <c r="D371" s="330">
        <v>1978</v>
      </c>
      <c r="E371" s="330"/>
      <c r="F371" s="331" t="s">
        <v>63</v>
      </c>
      <c r="G371" s="330">
        <v>5</v>
      </c>
      <c r="H371" s="330" t="s">
        <v>1961</v>
      </c>
      <c r="I371" s="38">
        <v>7971.79</v>
      </c>
      <c r="J371" s="38">
        <v>7971.79</v>
      </c>
      <c r="K371" s="38">
        <v>7971.79</v>
      </c>
      <c r="L371" s="332">
        <v>264</v>
      </c>
      <c r="M371" s="330" t="s">
        <v>46</v>
      </c>
      <c r="N371" s="330" t="s">
        <v>50</v>
      </c>
      <c r="O371" s="333" t="s">
        <v>2068</v>
      </c>
      <c r="P371" s="38">
        <v>6271249.8300000001</v>
      </c>
      <c r="Q371" s="38">
        <v>0</v>
      </c>
      <c r="R371" s="38">
        <v>0</v>
      </c>
      <c r="S371" s="38">
        <f t="shared" si="54"/>
        <v>6271249.8300000001</v>
      </c>
      <c r="T371" s="38">
        <f t="shared" si="43"/>
        <v>786.68026001688452</v>
      </c>
      <c r="U371" s="38">
        <v>1203.5555876158301</v>
      </c>
      <c r="V371" s="458">
        <f t="shared" si="44"/>
        <v>416.87532759894555</v>
      </c>
      <c r="W371" s="458">
        <f t="shared" si="55"/>
        <v>3546.19</v>
      </c>
      <c r="X371" s="458">
        <v>101.55</v>
      </c>
      <c r="Y371" s="459">
        <v>0</v>
      </c>
      <c r="Z371" s="459">
        <v>3259.66</v>
      </c>
      <c r="AA371" s="459">
        <v>184.98</v>
      </c>
      <c r="AB371" s="459">
        <v>0</v>
      </c>
      <c r="AC371" s="459">
        <v>0</v>
      </c>
      <c r="AD371" s="459">
        <v>0</v>
      </c>
      <c r="AE371" s="459">
        <v>0</v>
      </c>
      <c r="AF371" s="458">
        <v>0</v>
      </c>
      <c r="AG371" s="459">
        <v>0</v>
      </c>
      <c r="AH371" s="458">
        <v>0</v>
      </c>
      <c r="AI371" s="459">
        <v>0</v>
      </c>
      <c r="AJ371" s="458">
        <v>0</v>
      </c>
      <c r="AK371" s="459">
        <v>0</v>
      </c>
      <c r="AL371" s="459">
        <v>0</v>
      </c>
      <c r="AM371" s="459">
        <v>0</v>
      </c>
      <c r="AN371" s="459"/>
      <c r="AO371" s="459">
        <v>0</v>
      </c>
      <c r="AP371" s="460"/>
      <c r="AQ371" s="460"/>
      <c r="AR371" s="460"/>
      <c r="AS371" s="460"/>
      <c r="AT371" s="460"/>
      <c r="AU371" s="460"/>
      <c r="AV371" s="460"/>
      <c r="AW371" s="460"/>
      <c r="AX371" s="460"/>
      <c r="AY371" s="460"/>
      <c r="AZ371" s="460"/>
      <c r="BA371" s="460"/>
      <c r="BB371" s="460"/>
      <c r="BC371" s="460"/>
      <c r="BD371" s="460"/>
      <c r="BE371" s="460"/>
      <c r="BF371" s="460"/>
      <c r="BG371" s="460"/>
      <c r="BH371" s="460"/>
      <c r="BI371" s="460"/>
      <c r="BJ371" s="460"/>
      <c r="BK371" s="460"/>
      <c r="BL371" s="460"/>
      <c r="BM371" s="460"/>
      <c r="BN371" s="460"/>
      <c r="BO371" s="460"/>
      <c r="BP371" s="460"/>
      <c r="BQ371" s="460"/>
      <c r="BR371" s="460"/>
      <c r="BS371" s="460"/>
      <c r="BT371" s="460"/>
      <c r="BU371" s="460"/>
      <c r="BV371" s="460"/>
      <c r="BW371" s="460"/>
      <c r="BX371" s="460"/>
      <c r="BY371" s="460"/>
      <c r="BZ371" s="460"/>
      <c r="CA371" s="460"/>
      <c r="CB371" s="460"/>
      <c r="CC371" s="460"/>
      <c r="CD371" s="460"/>
      <c r="CE371" s="460"/>
      <c r="CF371" s="460"/>
      <c r="CG371" s="460"/>
      <c r="CH371" s="460"/>
      <c r="CI371" s="460"/>
      <c r="CJ371" s="460"/>
      <c r="CK371" s="460"/>
    </row>
    <row r="372" spans="1:89" s="329" customFormat="1" ht="36" customHeight="1" x14ac:dyDescent="0.25">
      <c r="A372" s="329">
        <v>1</v>
      </c>
      <c r="B372" s="39">
        <f>SUBTOTAL(103,$A$16:A372)</f>
        <v>335</v>
      </c>
      <c r="C372" s="33" t="s">
        <v>950</v>
      </c>
      <c r="D372" s="330">
        <v>1977</v>
      </c>
      <c r="E372" s="330"/>
      <c r="F372" s="331" t="s">
        <v>1981</v>
      </c>
      <c r="G372" s="330">
        <v>2</v>
      </c>
      <c r="H372" s="330" t="s">
        <v>61</v>
      </c>
      <c r="I372" s="38">
        <v>982.4</v>
      </c>
      <c r="J372" s="38">
        <v>564.1</v>
      </c>
      <c r="K372" s="38">
        <v>564.1</v>
      </c>
      <c r="L372" s="332">
        <v>46</v>
      </c>
      <c r="M372" s="330" t="s">
        <v>46</v>
      </c>
      <c r="N372" s="330" t="s">
        <v>50</v>
      </c>
      <c r="O372" s="333" t="s">
        <v>2069</v>
      </c>
      <c r="P372" s="38">
        <v>3782480.4</v>
      </c>
      <c r="Q372" s="38">
        <v>0</v>
      </c>
      <c r="R372" s="38">
        <v>0</v>
      </c>
      <c r="S372" s="38">
        <f t="shared" si="54"/>
        <v>3782480.4</v>
      </c>
      <c r="T372" s="38">
        <f t="shared" si="43"/>
        <v>3850.2447068403908</v>
      </c>
      <c r="U372" s="38">
        <v>5792.9060701343651</v>
      </c>
      <c r="V372" s="458">
        <f t="shared" si="44"/>
        <v>1942.6613632939743</v>
      </c>
      <c r="W372" s="458">
        <f t="shared" si="55"/>
        <v>9709.5577147801305</v>
      </c>
      <c r="X372" s="458">
        <v>0</v>
      </c>
      <c r="Y372" s="459">
        <v>0</v>
      </c>
      <c r="Z372" s="459">
        <v>0</v>
      </c>
      <c r="AA372" s="459">
        <v>0</v>
      </c>
      <c r="AB372" s="459">
        <v>0</v>
      </c>
      <c r="AC372" s="459">
        <v>0</v>
      </c>
      <c r="AD372" s="459">
        <v>0</v>
      </c>
      <c r="AE372" s="459">
        <v>1528.9</v>
      </c>
      <c r="AF372" s="458">
        <f>6238.91*AE372/I372</f>
        <v>9709.5577147801305</v>
      </c>
      <c r="AG372" s="459">
        <v>0</v>
      </c>
      <c r="AH372" s="458">
        <v>0</v>
      </c>
      <c r="AI372" s="459">
        <v>0</v>
      </c>
      <c r="AJ372" s="458">
        <v>0</v>
      </c>
      <c r="AK372" s="459">
        <v>0</v>
      </c>
      <c r="AL372" s="459">
        <v>0</v>
      </c>
      <c r="AM372" s="459">
        <v>0</v>
      </c>
      <c r="AN372" s="459"/>
      <c r="AO372" s="459">
        <v>0</v>
      </c>
      <c r="AP372" s="460"/>
      <c r="AQ372" s="460"/>
      <c r="AR372" s="460"/>
      <c r="AS372" s="460"/>
      <c r="AT372" s="460"/>
      <c r="AU372" s="460"/>
      <c r="AV372" s="460"/>
      <c r="AW372" s="460"/>
      <c r="AX372" s="460"/>
      <c r="AY372" s="460"/>
      <c r="AZ372" s="460"/>
      <c r="BA372" s="460"/>
      <c r="BB372" s="460"/>
      <c r="BC372" s="460"/>
      <c r="BD372" s="460"/>
      <c r="BE372" s="460"/>
      <c r="BF372" s="460"/>
      <c r="BG372" s="460"/>
      <c r="BH372" s="460"/>
      <c r="BI372" s="460"/>
      <c r="BJ372" s="460"/>
      <c r="BK372" s="460"/>
      <c r="BL372" s="460"/>
      <c r="BM372" s="460"/>
      <c r="BN372" s="460"/>
      <c r="BO372" s="460"/>
      <c r="BP372" s="460"/>
      <c r="BQ372" s="460"/>
      <c r="BR372" s="460"/>
      <c r="BS372" s="460"/>
      <c r="BT372" s="460"/>
      <c r="BU372" s="460"/>
      <c r="BV372" s="460"/>
      <c r="BW372" s="460"/>
      <c r="BX372" s="460"/>
      <c r="BY372" s="460"/>
      <c r="BZ372" s="460"/>
      <c r="CA372" s="460"/>
      <c r="CB372" s="460"/>
      <c r="CC372" s="460"/>
      <c r="CD372" s="460"/>
      <c r="CE372" s="460"/>
      <c r="CF372" s="460"/>
      <c r="CG372" s="460"/>
      <c r="CH372" s="460"/>
      <c r="CI372" s="460"/>
      <c r="CJ372" s="460"/>
      <c r="CK372" s="460"/>
    </row>
    <row r="373" spans="1:89" s="329" customFormat="1" ht="36" customHeight="1" x14ac:dyDescent="0.25">
      <c r="A373" s="329">
        <v>1</v>
      </c>
      <c r="B373" s="39">
        <f>SUBTOTAL(103,$A$16:A373)</f>
        <v>336</v>
      </c>
      <c r="C373" s="33" t="s">
        <v>1181</v>
      </c>
      <c r="D373" s="330">
        <v>1976</v>
      </c>
      <c r="E373" s="330"/>
      <c r="F373" s="331" t="s">
        <v>1991</v>
      </c>
      <c r="G373" s="330">
        <v>5</v>
      </c>
      <c r="H373" s="330" t="s">
        <v>1969</v>
      </c>
      <c r="I373" s="38">
        <v>6117.57</v>
      </c>
      <c r="J373" s="38">
        <v>6117.57</v>
      </c>
      <c r="K373" s="38">
        <v>6117.57</v>
      </c>
      <c r="L373" s="332">
        <v>166</v>
      </c>
      <c r="M373" s="330" t="s">
        <v>46</v>
      </c>
      <c r="N373" s="330" t="s">
        <v>50</v>
      </c>
      <c r="O373" s="333" t="s">
        <v>53</v>
      </c>
      <c r="P373" s="38">
        <v>3929633.31</v>
      </c>
      <c r="Q373" s="38">
        <v>0</v>
      </c>
      <c r="R373" s="38">
        <v>0</v>
      </c>
      <c r="S373" s="38">
        <f>P373-R373-Q373</f>
        <v>3929633.31</v>
      </c>
      <c r="T373" s="38">
        <f t="shared" si="43"/>
        <v>642.35199760689295</v>
      </c>
      <c r="U373" s="38">
        <v>1136.3074194165331</v>
      </c>
      <c r="V373" s="458">
        <f t="shared" si="44"/>
        <v>493.95542180964014</v>
      </c>
      <c r="W373" s="458">
        <f t="shared" si="55"/>
        <v>887.25616543823776</v>
      </c>
      <c r="X373" s="458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870</v>
      </c>
      <c r="AF373" s="458">
        <f>6238.91*AE373/I373</f>
        <v>887.25616543823776</v>
      </c>
      <c r="AG373" s="459">
        <v>0</v>
      </c>
      <c r="AH373" s="458">
        <v>0</v>
      </c>
      <c r="AI373" s="459">
        <v>0</v>
      </c>
      <c r="AJ373" s="458">
        <v>0</v>
      </c>
      <c r="AK373" s="459">
        <v>0</v>
      </c>
      <c r="AL373" s="459">
        <v>0</v>
      </c>
      <c r="AM373" s="459">
        <v>0</v>
      </c>
      <c r="AN373" s="459"/>
      <c r="AO373" s="459">
        <v>0</v>
      </c>
      <c r="AP373" s="460"/>
      <c r="AQ373" s="460"/>
      <c r="AR373" s="460"/>
      <c r="AS373" s="460"/>
      <c r="AT373" s="460"/>
      <c r="AU373" s="460"/>
      <c r="AV373" s="460"/>
      <c r="AW373" s="460"/>
      <c r="AX373" s="460"/>
      <c r="AY373" s="460"/>
      <c r="AZ373" s="460"/>
      <c r="BA373" s="460"/>
      <c r="BB373" s="460"/>
      <c r="BC373" s="460"/>
      <c r="BD373" s="460"/>
      <c r="BE373" s="460"/>
      <c r="BF373" s="460"/>
      <c r="BG373" s="460"/>
      <c r="BH373" s="460"/>
      <c r="BI373" s="460"/>
      <c r="BJ373" s="460"/>
      <c r="BK373" s="460"/>
      <c r="BL373" s="460"/>
      <c r="BM373" s="460"/>
      <c r="BN373" s="460"/>
      <c r="BO373" s="460"/>
      <c r="BP373" s="460"/>
      <c r="BQ373" s="460"/>
      <c r="BR373" s="460"/>
      <c r="BS373" s="460"/>
      <c r="BT373" s="460"/>
      <c r="BU373" s="460"/>
      <c r="BV373" s="460"/>
      <c r="BW373" s="460"/>
      <c r="BX373" s="460"/>
      <c r="BY373" s="460"/>
      <c r="BZ373" s="460"/>
      <c r="CA373" s="460"/>
      <c r="CB373" s="460"/>
      <c r="CC373" s="460"/>
      <c r="CD373" s="460"/>
      <c r="CE373" s="460"/>
      <c r="CF373" s="460"/>
      <c r="CG373" s="460"/>
      <c r="CH373" s="460"/>
      <c r="CI373" s="460"/>
      <c r="CJ373" s="460"/>
      <c r="CK373" s="460"/>
    </row>
    <row r="374" spans="1:89" s="329" customFormat="1" ht="36" customHeight="1" x14ac:dyDescent="0.25">
      <c r="B374" s="33" t="s">
        <v>1318</v>
      </c>
      <c r="C374" s="33"/>
      <c r="D374" s="330" t="s">
        <v>131</v>
      </c>
      <c r="E374" s="330" t="s">
        <v>131</v>
      </c>
      <c r="F374" s="330" t="s">
        <v>131</v>
      </c>
      <c r="G374" s="330" t="s">
        <v>131</v>
      </c>
      <c r="H374" s="330" t="s">
        <v>131</v>
      </c>
      <c r="I374" s="334">
        <f>SUM(I375:I376)</f>
        <v>2529.2999999999997</v>
      </c>
      <c r="J374" s="334">
        <f>SUM(J375:J376)</f>
        <v>2222.2999999999997</v>
      </c>
      <c r="K374" s="334">
        <f>SUM(K375:K376)</f>
        <v>2222.2999999999997</v>
      </c>
      <c r="L374" s="332">
        <f>SUM(L375:L376)</f>
        <v>106</v>
      </c>
      <c r="M374" s="330" t="s">
        <v>131</v>
      </c>
      <c r="N374" s="330" t="s">
        <v>131</v>
      </c>
      <c r="O374" s="333" t="s">
        <v>131</v>
      </c>
      <c r="P374" s="38">
        <v>2913286.51</v>
      </c>
      <c r="Q374" s="38">
        <f>SUM(Q375:Q376)</f>
        <v>0</v>
      </c>
      <c r="R374" s="38">
        <f>SUM(R375:R376)</f>
        <v>0</v>
      </c>
      <c r="S374" s="38">
        <f>SUM(S375:S376)</f>
        <v>2913286.51</v>
      </c>
      <c r="T374" s="38">
        <f t="shared" si="43"/>
        <v>1151.8153283517179</v>
      </c>
      <c r="U374" s="38">
        <f>MAX(U375:U376)</f>
        <v>1604.1810991665088</v>
      </c>
      <c r="V374" s="458">
        <f t="shared" si="44"/>
        <v>452.36577081479095</v>
      </c>
      <c r="W374" s="458"/>
      <c r="X374" s="458"/>
      <c r="Y374" s="459"/>
      <c r="Z374" s="459"/>
      <c r="AA374" s="459"/>
      <c r="AB374" s="459"/>
      <c r="AC374" s="459"/>
      <c r="AD374" s="459"/>
      <c r="AE374" s="459"/>
      <c r="AF374" s="459"/>
      <c r="AG374" s="459"/>
      <c r="AH374" s="459"/>
      <c r="AI374" s="459"/>
      <c r="AJ374" s="459"/>
      <c r="AK374" s="459"/>
      <c r="AL374" s="459"/>
      <c r="AM374" s="459"/>
      <c r="AN374" s="459"/>
      <c r="AO374" s="459"/>
      <c r="AP374" s="460"/>
      <c r="AQ374" s="460"/>
      <c r="AR374" s="460"/>
      <c r="AS374" s="460"/>
      <c r="AT374" s="460"/>
      <c r="AU374" s="460"/>
      <c r="AV374" s="460"/>
      <c r="AW374" s="460"/>
      <c r="AX374" s="460"/>
      <c r="AY374" s="460"/>
      <c r="AZ374" s="460"/>
      <c r="BA374" s="460"/>
      <c r="BB374" s="460"/>
      <c r="BC374" s="460"/>
      <c r="BD374" s="460"/>
      <c r="BE374" s="460"/>
      <c r="BF374" s="460"/>
      <c r="BG374" s="460"/>
      <c r="BH374" s="460"/>
      <c r="BI374" s="460"/>
      <c r="BJ374" s="460"/>
      <c r="BK374" s="460"/>
      <c r="BL374" s="460"/>
      <c r="BM374" s="460"/>
      <c r="BN374" s="460"/>
      <c r="BO374" s="460"/>
      <c r="BP374" s="460"/>
      <c r="BQ374" s="460"/>
      <c r="BR374" s="460"/>
      <c r="BS374" s="460"/>
      <c r="BT374" s="460"/>
      <c r="BU374" s="460"/>
      <c r="BV374" s="460"/>
      <c r="BW374" s="460"/>
      <c r="BX374" s="460"/>
      <c r="BY374" s="460"/>
      <c r="BZ374" s="460"/>
      <c r="CA374" s="460"/>
      <c r="CB374" s="460"/>
      <c r="CC374" s="460"/>
      <c r="CD374" s="460"/>
      <c r="CE374" s="460"/>
      <c r="CF374" s="460"/>
      <c r="CG374" s="460"/>
      <c r="CH374" s="460"/>
      <c r="CI374" s="460"/>
      <c r="CJ374" s="460"/>
      <c r="CK374" s="460"/>
    </row>
    <row r="375" spans="1:89" s="329" customFormat="1" ht="36" customHeight="1" x14ac:dyDescent="0.25">
      <c r="A375" s="329">
        <v>1</v>
      </c>
      <c r="B375" s="39">
        <f>SUBTOTAL(103,$A$16:A375)</f>
        <v>337</v>
      </c>
      <c r="C375" s="33" t="s">
        <v>1059</v>
      </c>
      <c r="D375" s="330">
        <v>1984</v>
      </c>
      <c r="E375" s="330"/>
      <c r="F375" s="331" t="s">
        <v>1991</v>
      </c>
      <c r="G375" s="330">
        <v>5</v>
      </c>
      <c r="H375" s="330" t="s">
        <v>61</v>
      </c>
      <c r="I375" s="38">
        <v>2111.6</v>
      </c>
      <c r="J375" s="38">
        <v>1804.6</v>
      </c>
      <c r="K375" s="38">
        <v>1804.6</v>
      </c>
      <c r="L375" s="332">
        <v>84</v>
      </c>
      <c r="M375" s="330" t="s">
        <v>46</v>
      </c>
      <c r="N375" s="330" t="s">
        <v>50</v>
      </c>
      <c r="O375" s="333" t="s">
        <v>2070</v>
      </c>
      <c r="P375" s="38">
        <v>2379404.19</v>
      </c>
      <c r="Q375" s="38">
        <v>0</v>
      </c>
      <c r="R375" s="38">
        <v>0</v>
      </c>
      <c r="S375" s="38">
        <f>P375-Q375-R375</f>
        <v>2379404.19</v>
      </c>
      <c r="T375" s="38">
        <f t="shared" si="43"/>
        <v>1126.8252462587611</v>
      </c>
      <c r="U375" s="38">
        <v>1604.1810991665088</v>
      </c>
      <c r="V375" s="458">
        <f t="shared" si="44"/>
        <v>477.3558529077477</v>
      </c>
      <c r="W375" s="458">
        <f t="shared" ref="W375" si="56">X375+Y375+Z375+AA375+AB375+AD375+AF375+AH375+AJ375+AL375+AN375+AO375</f>
        <v>1598.7280739723433</v>
      </c>
      <c r="X375" s="458">
        <v>0</v>
      </c>
      <c r="Y375" s="459">
        <v>0</v>
      </c>
      <c r="Z375" s="459">
        <v>0</v>
      </c>
      <c r="AA375" s="459">
        <v>0</v>
      </c>
      <c r="AB375" s="459">
        <v>0</v>
      </c>
      <c r="AC375" s="459">
        <v>0</v>
      </c>
      <c r="AD375" s="459">
        <v>0</v>
      </c>
      <c r="AE375" s="459">
        <v>541.1</v>
      </c>
      <c r="AF375" s="458">
        <f>6238.91*AE375/I375</f>
        <v>1598.7280739723433</v>
      </c>
      <c r="AG375" s="459">
        <v>0</v>
      </c>
      <c r="AH375" s="458">
        <v>0</v>
      </c>
      <c r="AI375" s="459">
        <v>0</v>
      </c>
      <c r="AJ375" s="458">
        <v>0</v>
      </c>
      <c r="AK375" s="459">
        <v>0</v>
      </c>
      <c r="AL375" s="459">
        <v>0</v>
      </c>
      <c r="AM375" s="459">
        <v>0</v>
      </c>
      <c r="AN375" s="459"/>
      <c r="AO375" s="459">
        <v>0</v>
      </c>
      <c r="AP375" s="460"/>
      <c r="AQ375" s="460"/>
      <c r="AR375" s="460"/>
      <c r="AS375" s="460"/>
      <c r="AT375" s="460"/>
      <c r="AU375" s="460"/>
      <c r="AV375" s="460"/>
      <c r="AW375" s="460"/>
      <c r="AX375" s="460"/>
      <c r="AY375" s="460"/>
      <c r="AZ375" s="460"/>
      <c r="BA375" s="460"/>
      <c r="BB375" s="460"/>
      <c r="BC375" s="460"/>
      <c r="BD375" s="460"/>
      <c r="BE375" s="460"/>
      <c r="BF375" s="460"/>
      <c r="BG375" s="460"/>
      <c r="BH375" s="460"/>
      <c r="BI375" s="460"/>
      <c r="BJ375" s="460"/>
      <c r="BK375" s="460"/>
      <c r="BL375" s="460"/>
      <c r="BM375" s="460"/>
      <c r="BN375" s="460"/>
      <c r="BO375" s="460"/>
      <c r="BP375" s="460"/>
      <c r="BQ375" s="460"/>
      <c r="BR375" s="460"/>
      <c r="BS375" s="460"/>
      <c r="BT375" s="460"/>
      <c r="BU375" s="460"/>
      <c r="BV375" s="460"/>
      <c r="BW375" s="460"/>
      <c r="BX375" s="460"/>
      <c r="BY375" s="460"/>
      <c r="BZ375" s="460"/>
      <c r="CA375" s="460"/>
      <c r="CB375" s="460"/>
      <c r="CC375" s="460"/>
      <c r="CD375" s="460"/>
      <c r="CE375" s="460"/>
      <c r="CF375" s="460"/>
      <c r="CG375" s="460"/>
      <c r="CH375" s="460"/>
      <c r="CI375" s="460"/>
      <c r="CJ375" s="460"/>
      <c r="CK375" s="460"/>
    </row>
    <row r="376" spans="1:89" s="329" customFormat="1" ht="36" customHeight="1" x14ac:dyDescent="0.25">
      <c r="A376" s="329">
        <v>1</v>
      </c>
      <c r="B376" s="39">
        <f>SUBTOTAL(103,$A$16:A376)</f>
        <v>338</v>
      </c>
      <c r="C376" s="33" t="s">
        <v>1319</v>
      </c>
      <c r="D376" s="330">
        <v>1987</v>
      </c>
      <c r="E376" s="330"/>
      <c r="F376" s="331" t="s">
        <v>48</v>
      </c>
      <c r="G376" s="330">
        <v>2</v>
      </c>
      <c r="H376" s="330" t="s">
        <v>57</v>
      </c>
      <c r="I376" s="38">
        <v>417.7</v>
      </c>
      <c r="J376" s="38">
        <v>417.7</v>
      </c>
      <c r="K376" s="38">
        <v>417.7</v>
      </c>
      <c r="L376" s="332">
        <v>22</v>
      </c>
      <c r="M376" s="330" t="s">
        <v>46</v>
      </c>
      <c r="N376" s="330" t="s">
        <v>47</v>
      </c>
      <c r="O376" s="333" t="s">
        <v>49</v>
      </c>
      <c r="P376" s="38">
        <v>533882.32000000007</v>
      </c>
      <c r="Q376" s="38">
        <v>0</v>
      </c>
      <c r="R376" s="38">
        <v>0</v>
      </c>
      <c r="S376" s="38">
        <f>P376-Q376-R376</f>
        <v>533882.32000000007</v>
      </c>
      <c r="T376" s="38">
        <f t="shared" si="43"/>
        <v>1278.1477615513529</v>
      </c>
      <c r="U376" s="38">
        <v>1278.1477615513529</v>
      </c>
      <c r="V376" s="458">
        <f t="shared" si="44"/>
        <v>0</v>
      </c>
      <c r="W376" s="458">
        <f>T376</f>
        <v>1278.1477615513529</v>
      </c>
      <c r="X376" s="458">
        <v>113.09</v>
      </c>
      <c r="Y376" s="459">
        <v>0</v>
      </c>
      <c r="Z376" s="459">
        <v>0</v>
      </c>
      <c r="AA376" s="459">
        <v>184.98</v>
      </c>
      <c r="AB376" s="459">
        <v>795.31</v>
      </c>
      <c r="AC376" s="459">
        <v>0</v>
      </c>
      <c r="AD376" s="459">
        <v>0</v>
      </c>
      <c r="AE376" s="459">
        <v>0</v>
      </c>
      <c r="AF376" s="458">
        <v>0</v>
      </c>
      <c r="AG376" s="459">
        <v>0</v>
      </c>
      <c r="AH376" s="458">
        <v>0</v>
      </c>
      <c r="AI376" s="459">
        <v>0</v>
      </c>
      <c r="AJ376" s="458">
        <v>0</v>
      </c>
      <c r="AK376" s="459">
        <v>0</v>
      </c>
      <c r="AL376" s="459">
        <v>0</v>
      </c>
      <c r="AM376" s="459">
        <v>0</v>
      </c>
      <c r="AN376" s="459"/>
      <c r="AO376" s="459">
        <v>0</v>
      </c>
      <c r="AP376" s="460"/>
      <c r="AQ376" s="460"/>
      <c r="AR376" s="460"/>
      <c r="AS376" s="460"/>
      <c r="AT376" s="460"/>
      <c r="AU376" s="460"/>
      <c r="AV376" s="460"/>
      <c r="AW376" s="460"/>
      <c r="AX376" s="460"/>
      <c r="AY376" s="460"/>
      <c r="AZ376" s="460"/>
      <c r="BA376" s="460"/>
      <c r="BB376" s="460"/>
      <c r="BC376" s="460"/>
      <c r="BD376" s="460"/>
      <c r="BE376" s="460"/>
      <c r="BF376" s="460"/>
      <c r="BG376" s="460"/>
      <c r="BH376" s="460"/>
      <c r="BI376" s="460"/>
      <c r="BJ376" s="460"/>
      <c r="BK376" s="460"/>
      <c r="BL376" s="460"/>
      <c r="BM376" s="460"/>
      <c r="BN376" s="460"/>
      <c r="BO376" s="460"/>
      <c r="BP376" s="460"/>
      <c r="BQ376" s="460"/>
      <c r="BR376" s="460"/>
      <c r="BS376" s="460"/>
      <c r="BT376" s="460"/>
      <c r="BU376" s="460"/>
      <c r="BV376" s="460"/>
      <c r="BW376" s="460"/>
      <c r="BX376" s="460"/>
      <c r="BY376" s="460"/>
      <c r="BZ376" s="460"/>
      <c r="CA376" s="460"/>
      <c r="CB376" s="460"/>
      <c r="CC376" s="460"/>
      <c r="CD376" s="460"/>
      <c r="CE376" s="460"/>
      <c r="CF376" s="460"/>
      <c r="CG376" s="460"/>
      <c r="CH376" s="460"/>
      <c r="CI376" s="460"/>
      <c r="CJ376" s="460"/>
      <c r="CK376" s="460"/>
    </row>
    <row r="377" spans="1:89" s="329" customFormat="1" ht="36" customHeight="1" x14ac:dyDescent="0.25">
      <c r="B377" s="33" t="s">
        <v>1320</v>
      </c>
      <c r="C377" s="33"/>
      <c r="D377" s="330" t="s">
        <v>131</v>
      </c>
      <c r="E377" s="330" t="s">
        <v>131</v>
      </c>
      <c r="F377" s="330" t="s">
        <v>131</v>
      </c>
      <c r="G377" s="330" t="s">
        <v>131</v>
      </c>
      <c r="H377" s="330" t="s">
        <v>131</v>
      </c>
      <c r="I377" s="334">
        <f>I378</f>
        <v>375</v>
      </c>
      <c r="J377" s="334">
        <f>J378</f>
        <v>310</v>
      </c>
      <c r="K377" s="334">
        <f>K378</f>
        <v>310</v>
      </c>
      <c r="L377" s="332">
        <f>L378</f>
        <v>21</v>
      </c>
      <c r="M377" s="330" t="s">
        <v>131</v>
      </c>
      <c r="N377" s="330" t="s">
        <v>131</v>
      </c>
      <c r="O377" s="333" t="s">
        <v>131</v>
      </c>
      <c r="P377" s="38">
        <v>2005046.9200000002</v>
      </c>
      <c r="Q377" s="38">
        <f>Q378</f>
        <v>0</v>
      </c>
      <c r="R377" s="38">
        <f>R378</f>
        <v>0</v>
      </c>
      <c r="S377" s="38">
        <f>S378</f>
        <v>2005046.9200000002</v>
      </c>
      <c r="T377" s="38">
        <f t="shared" si="43"/>
        <v>5346.7917866666667</v>
      </c>
      <c r="U377" s="38">
        <f>MAX(U378)</f>
        <v>12537.873435199999</v>
      </c>
      <c r="V377" s="458">
        <f t="shared" si="44"/>
        <v>7191.0816485333326</v>
      </c>
      <c r="W377" s="458"/>
      <c r="X377" s="458"/>
      <c r="Y377" s="459"/>
      <c r="Z377" s="459"/>
      <c r="AA377" s="459"/>
      <c r="AB377" s="459"/>
      <c r="AC377" s="459"/>
      <c r="AD377" s="459"/>
      <c r="AE377" s="459"/>
      <c r="AF377" s="459"/>
      <c r="AG377" s="459"/>
      <c r="AH377" s="459"/>
      <c r="AI377" s="459"/>
      <c r="AJ377" s="459"/>
      <c r="AK377" s="459"/>
      <c r="AL377" s="459"/>
      <c r="AM377" s="459"/>
      <c r="AN377" s="459"/>
      <c r="AO377" s="459"/>
      <c r="AP377" s="460"/>
      <c r="AQ377" s="460"/>
      <c r="AR377" s="460"/>
      <c r="AS377" s="460"/>
      <c r="AT377" s="460"/>
      <c r="AU377" s="460"/>
      <c r="AV377" s="460"/>
      <c r="AW377" s="460"/>
      <c r="AX377" s="460"/>
      <c r="AY377" s="460"/>
      <c r="AZ377" s="460"/>
      <c r="BA377" s="460"/>
      <c r="BB377" s="460"/>
      <c r="BC377" s="460"/>
      <c r="BD377" s="460"/>
      <c r="BE377" s="460"/>
      <c r="BF377" s="460"/>
      <c r="BG377" s="460"/>
      <c r="BH377" s="460"/>
      <c r="BI377" s="460"/>
      <c r="BJ377" s="460"/>
      <c r="BK377" s="460"/>
      <c r="BL377" s="460"/>
      <c r="BM377" s="460"/>
      <c r="BN377" s="460"/>
      <c r="BO377" s="460"/>
      <c r="BP377" s="460"/>
      <c r="BQ377" s="460"/>
      <c r="BR377" s="460"/>
      <c r="BS377" s="460"/>
      <c r="BT377" s="460"/>
      <c r="BU377" s="460"/>
      <c r="BV377" s="460"/>
      <c r="BW377" s="460"/>
      <c r="BX377" s="460"/>
      <c r="BY377" s="460"/>
      <c r="BZ377" s="460"/>
      <c r="CA377" s="460"/>
      <c r="CB377" s="460"/>
      <c r="CC377" s="460"/>
      <c r="CD377" s="460"/>
      <c r="CE377" s="460"/>
      <c r="CF377" s="460"/>
      <c r="CG377" s="460"/>
      <c r="CH377" s="460"/>
      <c r="CI377" s="460"/>
      <c r="CJ377" s="460"/>
      <c r="CK377" s="460"/>
    </row>
    <row r="378" spans="1:89" s="329" customFormat="1" ht="36" customHeight="1" x14ac:dyDescent="0.25">
      <c r="A378" s="329">
        <v>1</v>
      </c>
      <c r="B378" s="39">
        <f>SUBTOTAL(103,$A$16:A378)</f>
        <v>339</v>
      </c>
      <c r="C378" s="33" t="s">
        <v>952</v>
      </c>
      <c r="D378" s="330">
        <v>1967</v>
      </c>
      <c r="E378" s="330"/>
      <c r="F378" s="331" t="s">
        <v>48</v>
      </c>
      <c r="G378" s="330">
        <v>2</v>
      </c>
      <c r="H378" s="330" t="s">
        <v>57</v>
      </c>
      <c r="I378" s="38">
        <v>375</v>
      </c>
      <c r="J378" s="38">
        <v>310</v>
      </c>
      <c r="K378" s="38">
        <v>310</v>
      </c>
      <c r="L378" s="332">
        <v>21</v>
      </c>
      <c r="M378" s="330" t="s">
        <v>46</v>
      </c>
      <c r="N378" s="330" t="s">
        <v>47</v>
      </c>
      <c r="O378" s="333" t="s">
        <v>49</v>
      </c>
      <c r="P378" s="38">
        <v>2005046.9200000002</v>
      </c>
      <c r="Q378" s="38">
        <v>0</v>
      </c>
      <c r="R378" s="38">
        <v>0</v>
      </c>
      <c r="S378" s="38">
        <f>P378-Q378-R378</f>
        <v>2005046.9200000002</v>
      </c>
      <c r="T378" s="38">
        <f t="shared" si="43"/>
        <v>5346.7917866666667</v>
      </c>
      <c r="U378" s="38">
        <v>12537.873435199999</v>
      </c>
      <c r="V378" s="458">
        <f>U378-T378</f>
        <v>7191.0816485333326</v>
      </c>
      <c r="W378" s="458">
        <f>X378+Y378+Z378+AA378+AB378+AD378+AF378+AH378+AJ378+AL378+AN378+AO378</f>
        <v>13156.01648266667</v>
      </c>
      <c r="X378" s="458">
        <v>0</v>
      </c>
      <c r="Y378" s="459">
        <v>0</v>
      </c>
      <c r="Z378" s="459">
        <v>0</v>
      </c>
      <c r="AA378" s="459">
        <v>0</v>
      </c>
      <c r="AB378" s="459">
        <v>0</v>
      </c>
      <c r="AC378" s="459">
        <v>0</v>
      </c>
      <c r="AD378" s="459">
        <v>0</v>
      </c>
      <c r="AE378" s="459">
        <v>313.10000000000002</v>
      </c>
      <c r="AF378" s="458">
        <f>6238.91*AE378/I378</f>
        <v>5209.0739226666674</v>
      </c>
      <c r="AG378" s="459">
        <v>0</v>
      </c>
      <c r="AH378" s="458">
        <v>0</v>
      </c>
      <c r="AI378" s="459">
        <v>400.6</v>
      </c>
      <c r="AJ378" s="458">
        <f>7439.1*AI378/I378</f>
        <v>7946.9425600000013</v>
      </c>
      <c r="AK378" s="459">
        <v>0</v>
      </c>
      <c r="AL378" s="459">
        <v>0</v>
      </c>
      <c r="AM378" s="459">
        <v>0</v>
      </c>
      <c r="AN378" s="459"/>
      <c r="AO378" s="459">
        <v>0</v>
      </c>
      <c r="AP378" s="460"/>
      <c r="AQ378" s="460"/>
      <c r="AR378" s="460"/>
      <c r="AS378" s="460"/>
      <c r="AT378" s="460"/>
      <c r="AU378" s="460"/>
      <c r="AV378" s="460"/>
      <c r="AW378" s="460"/>
      <c r="AX378" s="460"/>
      <c r="AY378" s="460"/>
      <c r="AZ378" s="460"/>
      <c r="BA378" s="460"/>
      <c r="BB378" s="460"/>
      <c r="BC378" s="460"/>
      <c r="BD378" s="460"/>
      <c r="BE378" s="460"/>
      <c r="BF378" s="460"/>
      <c r="BG378" s="460"/>
      <c r="BH378" s="460"/>
      <c r="BI378" s="460"/>
      <c r="BJ378" s="460"/>
      <c r="BK378" s="460"/>
      <c r="BL378" s="460"/>
      <c r="BM378" s="460"/>
      <c r="BN378" s="460"/>
      <c r="BO378" s="460"/>
      <c r="BP378" s="460"/>
      <c r="BQ378" s="460"/>
      <c r="BR378" s="460"/>
      <c r="BS378" s="460"/>
      <c r="BT378" s="460"/>
      <c r="BU378" s="460"/>
      <c r="BV378" s="460"/>
      <c r="BW378" s="460"/>
      <c r="BX378" s="460"/>
      <c r="BY378" s="460"/>
      <c r="BZ378" s="460"/>
      <c r="CA378" s="460"/>
      <c r="CB378" s="460"/>
      <c r="CC378" s="460"/>
      <c r="CD378" s="460"/>
      <c r="CE378" s="460"/>
      <c r="CF378" s="460"/>
      <c r="CG378" s="460"/>
      <c r="CH378" s="460"/>
      <c r="CI378" s="460"/>
      <c r="CJ378" s="460"/>
      <c r="CK378" s="460"/>
    </row>
    <row r="379" spans="1:89" s="329" customFormat="1" ht="36" customHeight="1" x14ac:dyDescent="0.25">
      <c r="B379" s="33" t="s">
        <v>1321</v>
      </c>
      <c r="C379" s="33"/>
      <c r="D379" s="330" t="s">
        <v>131</v>
      </c>
      <c r="E379" s="330" t="s">
        <v>131</v>
      </c>
      <c r="F379" s="330" t="s">
        <v>131</v>
      </c>
      <c r="G379" s="330" t="s">
        <v>131</v>
      </c>
      <c r="H379" s="330" t="s">
        <v>131</v>
      </c>
      <c r="I379" s="334">
        <f>I380</f>
        <v>1156.21</v>
      </c>
      <c r="J379" s="334">
        <f>J380</f>
        <v>880.01</v>
      </c>
      <c r="K379" s="334">
        <f>K380</f>
        <v>880.01</v>
      </c>
      <c r="L379" s="332">
        <f>L380</f>
        <v>44</v>
      </c>
      <c r="M379" s="330" t="s">
        <v>131</v>
      </c>
      <c r="N379" s="330" t="s">
        <v>131</v>
      </c>
      <c r="O379" s="333" t="s">
        <v>131</v>
      </c>
      <c r="P379" s="38">
        <v>3866903.76</v>
      </c>
      <c r="Q379" s="38">
        <f>Q380</f>
        <v>0</v>
      </c>
      <c r="R379" s="38">
        <f>R380</f>
        <v>0</v>
      </c>
      <c r="S379" s="38">
        <f>S380</f>
        <v>3866903.76</v>
      </c>
      <c r="T379" s="38">
        <f t="shared" si="43"/>
        <v>3344.4648982451281</v>
      </c>
      <c r="U379" s="38">
        <f>MAX(U380)</f>
        <v>4371.9160164675968</v>
      </c>
      <c r="V379" s="458">
        <f t="shared" si="44"/>
        <v>1027.4511182224687</v>
      </c>
      <c r="W379" s="458"/>
      <c r="X379" s="458"/>
      <c r="Y379" s="459"/>
      <c r="Z379" s="459"/>
      <c r="AA379" s="459"/>
      <c r="AB379" s="459"/>
      <c r="AC379" s="459"/>
      <c r="AD379" s="459"/>
      <c r="AE379" s="459"/>
      <c r="AF379" s="459"/>
      <c r="AG379" s="459"/>
      <c r="AH379" s="459"/>
      <c r="AI379" s="459"/>
      <c r="AJ379" s="459"/>
      <c r="AK379" s="459"/>
      <c r="AL379" s="459"/>
      <c r="AM379" s="459"/>
      <c r="AN379" s="459"/>
      <c r="AO379" s="459"/>
      <c r="AP379" s="460"/>
      <c r="AQ379" s="460"/>
      <c r="AR379" s="460"/>
      <c r="AS379" s="460"/>
      <c r="AT379" s="460"/>
      <c r="AU379" s="460"/>
      <c r="AV379" s="460"/>
      <c r="AW379" s="460"/>
      <c r="AX379" s="460"/>
      <c r="AY379" s="460"/>
      <c r="AZ379" s="460"/>
      <c r="BA379" s="460"/>
      <c r="BB379" s="460"/>
      <c r="BC379" s="460"/>
      <c r="BD379" s="460"/>
      <c r="BE379" s="460"/>
      <c r="BF379" s="460"/>
      <c r="BG379" s="460"/>
      <c r="BH379" s="460"/>
      <c r="BI379" s="460"/>
      <c r="BJ379" s="460"/>
      <c r="BK379" s="460"/>
      <c r="BL379" s="460"/>
      <c r="BM379" s="460"/>
      <c r="BN379" s="460"/>
      <c r="BO379" s="460"/>
      <c r="BP379" s="460"/>
      <c r="BQ379" s="460"/>
      <c r="BR379" s="460"/>
      <c r="BS379" s="460"/>
      <c r="BT379" s="460"/>
      <c r="BU379" s="460"/>
      <c r="BV379" s="460"/>
      <c r="BW379" s="460"/>
      <c r="BX379" s="460"/>
      <c r="BY379" s="460"/>
      <c r="BZ379" s="460"/>
      <c r="CA379" s="460"/>
      <c r="CB379" s="460"/>
      <c r="CC379" s="460"/>
      <c r="CD379" s="460"/>
      <c r="CE379" s="460"/>
      <c r="CF379" s="460"/>
      <c r="CG379" s="460"/>
      <c r="CH379" s="460"/>
      <c r="CI379" s="460"/>
      <c r="CJ379" s="460"/>
      <c r="CK379" s="460"/>
    </row>
    <row r="380" spans="1:89" s="329" customFormat="1" ht="36" customHeight="1" x14ac:dyDescent="0.25">
      <c r="A380" s="329">
        <v>1</v>
      </c>
      <c r="B380" s="39">
        <f>SUBTOTAL(103,$A$16:A380)</f>
        <v>340</v>
      </c>
      <c r="C380" s="33" t="s">
        <v>1322</v>
      </c>
      <c r="D380" s="330">
        <v>1990</v>
      </c>
      <c r="E380" s="330"/>
      <c r="F380" s="331" t="s">
        <v>48</v>
      </c>
      <c r="G380" s="330">
        <v>2</v>
      </c>
      <c r="H380" s="330" t="s">
        <v>61</v>
      </c>
      <c r="I380" s="38">
        <v>1156.21</v>
      </c>
      <c r="J380" s="38">
        <v>880.01</v>
      </c>
      <c r="K380" s="38">
        <v>880.01</v>
      </c>
      <c r="L380" s="332">
        <v>44</v>
      </c>
      <c r="M380" s="330" t="s">
        <v>46</v>
      </c>
      <c r="N380" s="330" t="s">
        <v>47</v>
      </c>
      <c r="O380" s="333" t="s">
        <v>49</v>
      </c>
      <c r="P380" s="38">
        <v>3866903.76</v>
      </c>
      <c r="Q380" s="38">
        <v>0</v>
      </c>
      <c r="R380" s="38">
        <v>0</v>
      </c>
      <c r="S380" s="38">
        <f>P380-Q380-R380</f>
        <v>3866903.76</v>
      </c>
      <c r="T380" s="38">
        <f t="shared" si="43"/>
        <v>3344.4648982451281</v>
      </c>
      <c r="U380" s="38">
        <v>4371.9160164675968</v>
      </c>
      <c r="V380" s="458">
        <f>U380-T380</f>
        <v>1027.4511182224687</v>
      </c>
      <c r="W380" s="458">
        <f>X380+Y380+Z380+AA380+AB380+AD380+AF380+AH380+AJ380+AL380+AN380+AO380</f>
        <v>4357.0547466290727</v>
      </c>
      <c r="X380" s="458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807.46</v>
      </c>
      <c r="AF380" s="458">
        <f>6238.91*AE380/I380</f>
        <v>4357.0547466290727</v>
      </c>
      <c r="AG380" s="459">
        <v>0</v>
      </c>
      <c r="AH380" s="458">
        <v>0</v>
      </c>
      <c r="AI380" s="459">
        <v>0</v>
      </c>
      <c r="AJ380" s="458">
        <v>0</v>
      </c>
      <c r="AK380" s="459">
        <v>0</v>
      </c>
      <c r="AL380" s="459">
        <v>0</v>
      </c>
      <c r="AM380" s="459">
        <v>0</v>
      </c>
      <c r="AN380" s="459"/>
      <c r="AO380" s="459">
        <v>0</v>
      </c>
      <c r="AP380" s="460"/>
      <c r="AQ380" s="460"/>
      <c r="AR380" s="460"/>
      <c r="AS380" s="460"/>
      <c r="AT380" s="460"/>
      <c r="AU380" s="460"/>
      <c r="AV380" s="460"/>
      <c r="AW380" s="460"/>
      <c r="AX380" s="460"/>
      <c r="AY380" s="460"/>
      <c r="AZ380" s="460"/>
      <c r="BA380" s="460"/>
      <c r="BB380" s="460"/>
      <c r="BC380" s="460"/>
      <c r="BD380" s="460"/>
      <c r="BE380" s="460"/>
      <c r="BF380" s="460"/>
      <c r="BG380" s="460"/>
      <c r="BH380" s="460"/>
      <c r="BI380" s="460"/>
      <c r="BJ380" s="460"/>
      <c r="BK380" s="460"/>
      <c r="BL380" s="460"/>
      <c r="BM380" s="460"/>
      <c r="BN380" s="460"/>
      <c r="BO380" s="460"/>
      <c r="BP380" s="460"/>
      <c r="BQ380" s="460"/>
      <c r="BR380" s="460"/>
      <c r="BS380" s="460"/>
      <c r="BT380" s="460"/>
      <c r="BU380" s="460"/>
      <c r="BV380" s="460"/>
      <c r="BW380" s="460"/>
      <c r="BX380" s="460"/>
      <c r="BY380" s="460"/>
      <c r="BZ380" s="460"/>
      <c r="CA380" s="460"/>
      <c r="CB380" s="460"/>
      <c r="CC380" s="460"/>
      <c r="CD380" s="460"/>
      <c r="CE380" s="460"/>
      <c r="CF380" s="460"/>
      <c r="CG380" s="460"/>
      <c r="CH380" s="460"/>
      <c r="CI380" s="460"/>
      <c r="CJ380" s="460"/>
      <c r="CK380" s="460"/>
    </row>
    <row r="381" spans="1:89" s="329" customFormat="1" ht="36" customHeight="1" x14ac:dyDescent="0.25">
      <c r="B381" s="33" t="s">
        <v>106</v>
      </c>
      <c r="C381" s="462"/>
      <c r="D381" s="330" t="s">
        <v>131</v>
      </c>
      <c r="E381" s="330" t="s">
        <v>131</v>
      </c>
      <c r="F381" s="330" t="s">
        <v>131</v>
      </c>
      <c r="G381" s="330" t="s">
        <v>131</v>
      </c>
      <c r="H381" s="330" t="s">
        <v>131</v>
      </c>
      <c r="I381" s="334">
        <f>SUM(I382:I385)</f>
        <v>2624.2</v>
      </c>
      <c r="J381" s="334">
        <f>SUM(J382:J385)</f>
        <v>2293.7000000000003</v>
      </c>
      <c r="K381" s="334">
        <f>SUM(K382:K385)</f>
        <v>2293.7000000000003</v>
      </c>
      <c r="L381" s="332">
        <f>SUM(L382:L385)</f>
        <v>125</v>
      </c>
      <c r="M381" s="330" t="s">
        <v>131</v>
      </c>
      <c r="N381" s="330" t="s">
        <v>131</v>
      </c>
      <c r="O381" s="333" t="s">
        <v>131</v>
      </c>
      <c r="P381" s="334">
        <v>4286820.72</v>
      </c>
      <c r="Q381" s="334">
        <f>SUM(Q382:Q385)</f>
        <v>0</v>
      </c>
      <c r="R381" s="334">
        <f>SUM(R382:R385)</f>
        <v>0</v>
      </c>
      <c r="S381" s="334">
        <f>SUM(S382:S385)</f>
        <v>4286820.72</v>
      </c>
      <c r="T381" s="38">
        <f t="shared" si="43"/>
        <v>1633.572410639433</v>
      </c>
      <c r="U381" s="38">
        <f>MAX(U382:U385)</f>
        <v>9712.3472287707482</v>
      </c>
      <c r="V381" s="458">
        <f t="shared" si="44"/>
        <v>8078.7748181313154</v>
      </c>
      <c r="W381" s="458"/>
      <c r="X381" s="458"/>
      <c r="Y381" s="459"/>
      <c r="Z381" s="459"/>
      <c r="AA381" s="459"/>
      <c r="AB381" s="459"/>
      <c r="AC381" s="459"/>
      <c r="AD381" s="459"/>
      <c r="AE381" s="459"/>
      <c r="AF381" s="459"/>
      <c r="AG381" s="459"/>
      <c r="AH381" s="459"/>
      <c r="AI381" s="459"/>
      <c r="AJ381" s="459"/>
      <c r="AK381" s="459"/>
      <c r="AL381" s="459"/>
      <c r="AM381" s="459"/>
      <c r="AN381" s="459"/>
      <c r="AO381" s="459"/>
      <c r="AP381" s="460"/>
      <c r="AQ381" s="460"/>
      <c r="AR381" s="460"/>
      <c r="AS381" s="460"/>
      <c r="AT381" s="460"/>
      <c r="AU381" s="460"/>
      <c r="AV381" s="460"/>
      <c r="AW381" s="460"/>
      <c r="AX381" s="460"/>
      <c r="AY381" s="460"/>
      <c r="AZ381" s="460"/>
      <c r="BA381" s="460"/>
      <c r="BB381" s="460"/>
      <c r="BC381" s="460"/>
      <c r="BD381" s="460"/>
      <c r="BE381" s="460"/>
      <c r="BF381" s="460"/>
      <c r="BG381" s="460"/>
      <c r="BH381" s="460"/>
      <c r="BI381" s="460"/>
      <c r="BJ381" s="460"/>
      <c r="BK381" s="460"/>
      <c r="BL381" s="460"/>
      <c r="BM381" s="460"/>
      <c r="BN381" s="460"/>
      <c r="BO381" s="460"/>
      <c r="BP381" s="460"/>
      <c r="BQ381" s="460"/>
      <c r="BR381" s="460"/>
      <c r="BS381" s="460"/>
      <c r="BT381" s="460"/>
      <c r="BU381" s="460"/>
      <c r="BV381" s="460"/>
      <c r="BW381" s="460"/>
      <c r="BX381" s="460"/>
      <c r="BY381" s="460"/>
      <c r="BZ381" s="460"/>
      <c r="CA381" s="460"/>
      <c r="CB381" s="460"/>
      <c r="CC381" s="460"/>
      <c r="CD381" s="460"/>
      <c r="CE381" s="460"/>
      <c r="CF381" s="460"/>
      <c r="CG381" s="460"/>
      <c r="CH381" s="460"/>
      <c r="CI381" s="460"/>
      <c r="CJ381" s="460"/>
      <c r="CK381" s="460"/>
    </row>
    <row r="382" spans="1:89" s="329" customFormat="1" ht="36" customHeight="1" x14ac:dyDescent="0.25">
      <c r="A382" s="329">
        <v>1</v>
      </c>
      <c r="B382" s="39">
        <f>SUBTOTAL(103,$A$16:A382)</f>
        <v>341</v>
      </c>
      <c r="C382" s="33" t="s">
        <v>1060</v>
      </c>
      <c r="D382" s="330">
        <v>1957</v>
      </c>
      <c r="E382" s="330"/>
      <c r="F382" s="331" t="s">
        <v>48</v>
      </c>
      <c r="G382" s="330">
        <v>2</v>
      </c>
      <c r="H382" s="330" t="s">
        <v>56</v>
      </c>
      <c r="I382" s="38">
        <v>765.1</v>
      </c>
      <c r="J382" s="38">
        <v>686.7</v>
      </c>
      <c r="K382" s="38">
        <v>686.7</v>
      </c>
      <c r="L382" s="332">
        <v>31</v>
      </c>
      <c r="M382" s="330" t="s">
        <v>46</v>
      </c>
      <c r="N382" s="330" t="s">
        <v>2071</v>
      </c>
      <c r="O382" s="333" t="s">
        <v>2072</v>
      </c>
      <c r="P382" s="38">
        <v>2321700.09</v>
      </c>
      <c r="Q382" s="38">
        <v>0</v>
      </c>
      <c r="R382" s="38">
        <v>0</v>
      </c>
      <c r="S382" s="38">
        <f>P382-Q382-R382</f>
        <v>2321700.09</v>
      </c>
      <c r="T382" s="38">
        <f t="shared" si="43"/>
        <v>3034.5054110573778</v>
      </c>
      <c r="U382" s="38">
        <v>5549.9763129002731</v>
      </c>
      <c r="V382" s="458">
        <f t="shared" si="44"/>
        <v>2515.4709018428953</v>
      </c>
      <c r="W382" s="458">
        <f t="shared" ref="W382:W383" si="57">X382+Y382+Z382+AA382+AB382+AD382+AF382+AH382+AJ382+AL382+AN382+AO382</f>
        <v>5531.1105123513262</v>
      </c>
      <c r="X382" s="458">
        <v>0</v>
      </c>
      <c r="Y382" s="459">
        <v>0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678.3</v>
      </c>
      <c r="AF382" s="458">
        <f>6238.91*AE382/I382</f>
        <v>5531.1105123513262</v>
      </c>
      <c r="AG382" s="459">
        <v>0</v>
      </c>
      <c r="AH382" s="458">
        <v>0</v>
      </c>
      <c r="AI382" s="459">
        <v>0</v>
      </c>
      <c r="AJ382" s="458">
        <v>0</v>
      </c>
      <c r="AK382" s="459">
        <v>0</v>
      </c>
      <c r="AL382" s="459">
        <v>0</v>
      </c>
      <c r="AM382" s="459">
        <v>0</v>
      </c>
      <c r="AN382" s="459"/>
      <c r="AO382" s="459">
        <v>0</v>
      </c>
      <c r="AP382" s="460"/>
      <c r="AQ382" s="460"/>
      <c r="AR382" s="460"/>
      <c r="AS382" s="460"/>
      <c r="AT382" s="460"/>
      <c r="AU382" s="460"/>
      <c r="AV382" s="460"/>
      <c r="AW382" s="460"/>
      <c r="AX382" s="460"/>
      <c r="AY382" s="460"/>
      <c r="AZ382" s="460"/>
      <c r="BA382" s="460"/>
      <c r="BB382" s="460"/>
      <c r="BC382" s="460"/>
      <c r="BD382" s="460"/>
      <c r="BE382" s="460"/>
      <c r="BF382" s="460"/>
      <c r="BG382" s="460"/>
      <c r="BH382" s="460"/>
      <c r="BI382" s="460"/>
      <c r="BJ382" s="460"/>
      <c r="BK382" s="460"/>
      <c r="BL382" s="460"/>
      <c r="BM382" s="460"/>
      <c r="BN382" s="460"/>
      <c r="BO382" s="460"/>
      <c r="BP382" s="460"/>
      <c r="BQ382" s="460"/>
      <c r="BR382" s="460"/>
      <c r="BS382" s="460"/>
      <c r="BT382" s="460"/>
      <c r="BU382" s="460"/>
      <c r="BV382" s="460"/>
      <c r="BW382" s="460"/>
      <c r="BX382" s="460"/>
      <c r="BY382" s="460"/>
      <c r="BZ382" s="460"/>
      <c r="CA382" s="460"/>
      <c r="CB382" s="460"/>
      <c r="CC382" s="460"/>
      <c r="CD382" s="460"/>
      <c r="CE382" s="460"/>
      <c r="CF382" s="460"/>
      <c r="CG382" s="460"/>
      <c r="CH382" s="460"/>
      <c r="CI382" s="460"/>
      <c r="CJ382" s="460"/>
      <c r="CK382" s="460"/>
    </row>
    <row r="383" spans="1:89" s="329" customFormat="1" ht="36" customHeight="1" x14ac:dyDescent="0.25">
      <c r="A383" s="329">
        <v>1</v>
      </c>
      <c r="B383" s="39">
        <f>SUBTOTAL(103,$A$16:A383)</f>
        <v>342</v>
      </c>
      <c r="C383" s="33" t="s">
        <v>1323</v>
      </c>
      <c r="D383" s="330">
        <v>1957</v>
      </c>
      <c r="E383" s="330"/>
      <c r="F383" s="331" t="s">
        <v>48</v>
      </c>
      <c r="G383" s="330">
        <v>2</v>
      </c>
      <c r="H383" s="330" t="s">
        <v>56</v>
      </c>
      <c r="I383" s="38">
        <v>415.7</v>
      </c>
      <c r="J383" s="38">
        <v>368.1</v>
      </c>
      <c r="K383" s="38">
        <v>368.1</v>
      </c>
      <c r="L383" s="332">
        <v>26</v>
      </c>
      <c r="M383" s="330" t="s">
        <v>46</v>
      </c>
      <c r="N383" s="330" t="s">
        <v>2071</v>
      </c>
      <c r="O383" s="333" t="s">
        <v>95</v>
      </c>
      <c r="P383" s="38">
        <v>1812453.5</v>
      </c>
      <c r="Q383" s="38">
        <v>0</v>
      </c>
      <c r="R383" s="38">
        <v>0</v>
      </c>
      <c r="S383" s="38">
        <f>P383-Q383-R383</f>
        <v>1812453.5</v>
      </c>
      <c r="T383" s="38">
        <f t="shared" si="43"/>
        <v>4360.0036083714222</v>
      </c>
      <c r="U383" s="38">
        <v>9712.3472287707482</v>
      </c>
      <c r="V383" s="458">
        <f t="shared" si="44"/>
        <v>5352.343620399326</v>
      </c>
      <c r="W383" s="458">
        <f t="shared" si="57"/>
        <v>10179.952913158528</v>
      </c>
      <c r="X383" s="458">
        <v>0</v>
      </c>
      <c r="Y383" s="459">
        <v>0</v>
      </c>
      <c r="Z383" s="459">
        <v>0</v>
      </c>
      <c r="AA383" s="459">
        <v>0</v>
      </c>
      <c r="AB383" s="459">
        <v>0</v>
      </c>
      <c r="AC383" s="459">
        <v>0</v>
      </c>
      <c r="AD383" s="459">
        <v>0</v>
      </c>
      <c r="AE383" s="459">
        <v>0</v>
      </c>
      <c r="AF383" s="458">
        <v>0</v>
      </c>
      <c r="AG383" s="459">
        <v>0</v>
      </c>
      <c r="AH383" s="458">
        <v>0</v>
      </c>
      <c r="AI383" s="459">
        <v>568.86</v>
      </c>
      <c r="AJ383" s="458">
        <f>7439.1*AI383/I383</f>
        <v>10179.952913158528</v>
      </c>
      <c r="AK383" s="459">
        <v>0</v>
      </c>
      <c r="AL383" s="459">
        <v>0</v>
      </c>
      <c r="AM383" s="459">
        <v>0</v>
      </c>
      <c r="AN383" s="459"/>
      <c r="AO383" s="459">
        <v>0</v>
      </c>
      <c r="AP383" s="460"/>
      <c r="AQ383" s="460"/>
      <c r="AR383" s="460"/>
      <c r="AS383" s="460"/>
      <c r="AT383" s="460"/>
      <c r="AU383" s="460"/>
      <c r="AV383" s="460"/>
      <c r="AW383" s="460"/>
      <c r="AX383" s="460"/>
      <c r="AY383" s="460"/>
      <c r="AZ383" s="460"/>
      <c r="BA383" s="460"/>
      <c r="BB383" s="460"/>
      <c r="BC383" s="460"/>
      <c r="BD383" s="460"/>
      <c r="BE383" s="460"/>
      <c r="BF383" s="460"/>
      <c r="BG383" s="460"/>
      <c r="BH383" s="460"/>
      <c r="BI383" s="460"/>
      <c r="BJ383" s="460"/>
      <c r="BK383" s="460"/>
      <c r="BL383" s="460"/>
      <c r="BM383" s="460"/>
      <c r="BN383" s="460"/>
      <c r="BO383" s="460"/>
      <c r="BP383" s="460"/>
      <c r="BQ383" s="460"/>
      <c r="BR383" s="460"/>
      <c r="BS383" s="460"/>
      <c r="BT383" s="460"/>
      <c r="BU383" s="460"/>
      <c r="BV383" s="460"/>
      <c r="BW383" s="460"/>
      <c r="BX383" s="460"/>
      <c r="BY383" s="460"/>
      <c r="BZ383" s="460"/>
      <c r="CA383" s="460"/>
      <c r="CB383" s="460"/>
      <c r="CC383" s="460"/>
      <c r="CD383" s="460"/>
      <c r="CE383" s="460"/>
      <c r="CF383" s="460"/>
      <c r="CG383" s="460"/>
      <c r="CH383" s="460"/>
      <c r="CI383" s="460"/>
      <c r="CJ383" s="460"/>
      <c r="CK383" s="460"/>
    </row>
    <row r="384" spans="1:89" s="329" customFormat="1" ht="36" customHeight="1" x14ac:dyDescent="0.25">
      <c r="A384" s="329">
        <v>1</v>
      </c>
      <c r="B384" s="39">
        <f>SUBTOTAL(103,$A$16:A384)</f>
        <v>343</v>
      </c>
      <c r="C384" s="33" t="s">
        <v>1324</v>
      </c>
      <c r="D384" s="330">
        <v>1983</v>
      </c>
      <c r="E384" s="330"/>
      <c r="F384" s="331" t="s">
        <v>48</v>
      </c>
      <c r="G384" s="330">
        <v>2</v>
      </c>
      <c r="H384" s="330" t="s">
        <v>61</v>
      </c>
      <c r="I384" s="38">
        <v>1044.4000000000001</v>
      </c>
      <c r="J384" s="38">
        <v>943.9</v>
      </c>
      <c r="K384" s="38">
        <v>943.9</v>
      </c>
      <c r="L384" s="332">
        <v>47</v>
      </c>
      <c r="M384" s="330" t="s">
        <v>46</v>
      </c>
      <c r="N384" s="330" t="s">
        <v>2071</v>
      </c>
      <c r="O384" s="333" t="s">
        <v>95</v>
      </c>
      <c r="P384" s="38">
        <v>104027.61</v>
      </c>
      <c r="Q384" s="38">
        <v>0</v>
      </c>
      <c r="R384" s="38">
        <v>0</v>
      </c>
      <c r="S384" s="38">
        <f>P384-Q384-R384</f>
        <v>104027.61</v>
      </c>
      <c r="T384" s="38">
        <f t="shared" si="43"/>
        <v>99.605141708157788</v>
      </c>
      <c r="U384" s="38">
        <v>99.605141708157788</v>
      </c>
      <c r="V384" s="458">
        <f t="shared" si="44"/>
        <v>0</v>
      </c>
      <c r="W384" s="458">
        <f t="shared" ref="W384:W385" si="58">T384</f>
        <v>99.605141708157788</v>
      </c>
      <c r="X384" s="458">
        <v>0</v>
      </c>
      <c r="Y384" s="459">
        <v>0</v>
      </c>
      <c r="Z384" s="459">
        <v>0</v>
      </c>
      <c r="AA384" s="459">
        <v>0</v>
      </c>
      <c r="AB384" s="459">
        <v>0</v>
      </c>
      <c r="AC384" s="459">
        <v>0</v>
      </c>
      <c r="AD384" s="459">
        <v>0</v>
      </c>
      <c r="AE384" s="459">
        <v>0</v>
      </c>
      <c r="AF384" s="458">
        <v>0</v>
      </c>
      <c r="AG384" s="459">
        <v>0</v>
      </c>
      <c r="AH384" s="458">
        <v>0</v>
      </c>
      <c r="AI384" s="459">
        <v>0</v>
      </c>
      <c r="AJ384" s="458">
        <v>0</v>
      </c>
      <c r="AK384" s="459">
        <v>0</v>
      </c>
      <c r="AL384" s="459">
        <v>0</v>
      </c>
      <c r="AM384" s="459">
        <v>690</v>
      </c>
      <c r="AN384" s="459">
        <f>6984.52*AM384/I384</f>
        <v>4614.4377633090771</v>
      </c>
      <c r="AO384" s="459">
        <v>0</v>
      </c>
      <c r="AP384" s="460"/>
      <c r="AQ384" s="460"/>
      <c r="AR384" s="460"/>
      <c r="AS384" s="460"/>
      <c r="AT384" s="460"/>
      <c r="AU384" s="460"/>
      <c r="AV384" s="460"/>
      <c r="AW384" s="460"/>
      <c r="AX384" s="460"/>
      <c r="AY384" s="460"/>
      <c r="AZ384" s="460"/>
      <c r="BA384" s="460"/>
      <c r="BB384" s="460"/>
      <c r="BC384" s="460"/>
      <c r="BD384" s="460"/>
      <c r="BE384" s="460"/>
      <c r="BF384" s="460"/>
      <c r="BG384" s="460"/>
      <c r="BH384" s="460"/>
      <c r="BI384" s="460"/>
      <c r="BJ384" s="460"/>
      <c r="BK384" s="460"/>
      <c r="BL384" s="460"/>
      <c r="BM384" s="460"/>
      <c r="BN384" s="460"/>
      <c r="BO384" s="460"/>
      <c r="BP384" s="460"/>
      <c r="BQ384" s="460"/>
      <c r="BR384" s="460"/>
      <c r="BS384" s="460"/>
      <c r="BT384" s="460"/>
      <c r="BU384" s="460"/>
      <c r="BV384" s="460"/>
      <c r="BW384" s="460"/>
      <c r="BX384" s="460"/>
      <c r="BY384" s="460"/>
      <c r="BZ384" s="460"/>
      <c r="CA384" s="460"/>
      <c r="CB384" s="460"/>
      <c r="CC384" s="460"/>
      <c r="CD384" s="460"/>
      <c r="CE384" s="460"/>
      <c r="CF384" s="460"/>
      <c r="CG384" s="460"/>
      <c r="CH384" s="460"/>
      <c r="CI384" s="460"/>
      <c r="CJ384" s="460"/>
      <c r="CK384" s="460"/>
    </row>
    <row r="385" spans="1:89" s="329" customFormat="1" ht="36" customHeight="1" x14ac:dyDescent="0.25">
      <c r="A385" s="329">
        <v>1</v>
      </c>
      <c r="B385" s="39">
        <f>SUBTOTAL(103,$A$16:A385)</f>
        <v>344</v>
      </c>
      <c r="C385" s="33" t="s">
        <v>1325</v>
      </c>
      <c r="D385" s="330">
        <v>1967</v>
      </c>
      <c r="E385" s="330"/>
      <c r="F385" s="331" t="s">
        <v>1981</v>
      </c>
      <c r="G385" s="330">
        <v>2</v>
      </c>
      <c r="H385" s="330" t="s">
        <v>57</v>
      </c>
      <c r="I385" s="38">
        <v>399</v>
      </c>
      <c r="J385" s="38">
        <v>295</v>
      </c>
      <c r="K385" s="38">
        <v>295</v>
      </c>
      <c r="L385" s="332">
        <v>21</v>
      </c>
      <c r="M385" s="330" t="s">
        <v>46</v>
      </c>
      <c r="N385" s="330" t="s">
        <v>2071</v>
      </c>
      <c r="O385" s="333" t="s">
        <v>95</v>
      </c>
      <c r="P385" s="38">
        <v>48639.519999999997</v>
      </c>
      <c r="Q385" s="38">
        <v>0</v>
      </c>
      <c r="R385" s="38">
        <v>0</v>
      </c>
      <c r="S385" s="38">
        <f>P385-R385-Q385</f>
        <v>48639.519999999997</v>
      </c>
      <c r="T385" s="38">
        <f t="shared" si="43"/>
        <v>121.9035588972431</v>
      </c>
      <c r="U385" s="38">
        <v>121.9035588972431</v>
      </c>
      <c r="V385" s="458">
        <f t="shared" si="44"/>
        <v>0</v>
      </c>
      <c r="W385" s="458">
        <f t="shared" si="58"/>
        <v>121.9035588972431</v>
      </c>
      <c r="X385" s="458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172</v>
      </c>
      <c r="AF385" s="458">
        <f>6436.53*AE385/I385</f>
        <v>2774.6445112781953</v>
      </c>
      <c r="AG385" s="459">
        <v>0</v>
      </c>
      <c r="AH385" s="458">
        <v>0</v>
      </c>
      <c r="AI385" s="459">
        <v>0</v>
      </c>
      <c r="AJ385" s="458">
        <v>0</v>
      </c>
      <c r="AK385" s="459">
        <v>0</v>
      </c>
      <c r="AL385" s="459">
        <v>0</v>
      </c>
      <c r="AM385" s="459">
        <v>0</v>
      </c>
      <c r="AN385" s="459"/>
      <c r="AO385" s="459">
        <v>0</v>
      </c>
      <c r="AP385" s="460"/>
      <c r="AQ385" s="460"/>
      <c r="AR385" s="460"/>
      <c r="AS385" s="460"/>
      <c r="AT385" s="460"/>
      <c r="AU385" s="460"/>
      <c r="AV385" s="460"/>
      <c r="AW385" s="460"/>
      <c r="AX385" s="460"/>
      <c r="AY385" s="460"/>
      <c r="AZ385" s="460"/>
      <c r="BA385" s="460"/>
      <c r="BB385" s="460"/>
      <c r="BC385" s="460"/>
      <c r="BD385" s="460"/>
      <c r="BE385" s="460"/>
      <c r="BF385" s="460"/>
      <c r="BG385" s="460"/>
      <c r="BH385" s="460"/>
      <c r="BI385" s="460"/>
      <c r="BJ385" s="460"/>
      <c r="BK385" s="460"/>
      <c r="BL385" s="460"/>
      <c r="BM385" s="460"/>
      <c r="BN385" s="460"/>
      <c r="BO385" s="460"/>
      <c r="BP385" s="460"/>
      <c r="BQ385" s="460"/>
      <c r="BR385" s="460"/>
      <c r="BS385" s="460"/>
      <c r="BT385" s="460"/>
      <c r="BU385" s="460"/>
      <c r="BV385" s="460"/>
      <c r="BW385" s="460"/>
      <c r="BX385" s="460"/>
      <c r="BY385" s="460"/>
      <c r="BZ385" s="460"/>
      <c r="CA385" s="460"/>
      <c r="CB385" s="460"/>
      <c r="CC385" s="460"/>
      <c r="CD385" s="460"/>
      <c r="CE385" s="460"/>
      <c r="CF385" s="460"/>
      <c r="CG385" s="460"/>
      <c r="CH385" s="460"/>
      <c r="CI385" s="460"/>
      <c r="CJ385" s="460"/>
      <c r="CK385" s="460"/>
    </row>
    <row r="386" spans="1:89" s="329" customFormat="1" ht="36" customHeight="1" x14ac:dyDescent="0.25">
      <c r="B386" s="33" t="s">
        <v>1326</v>
      </c>
      <c r="C386" s="33"/>
      <c r="D386" s="330" t="s">
        <v>131</v>
      </c>
      <c r="E386" s="330" t="s">
        <v>131</v>
      </c>
      <c r="F386" s="330" t="s">
        <v>131</v>
      </c>
      <c r="G386" s="330" t="s">
        <v>131</v>
      </c>
      <c r="H386" s="330" t="s">
        <v>131</v>
      </c>
      <c r="I386" s="334">
        <f>SUM(I387:I388)</f>
        <v>1157</v>
      </c>
      <c r="J386" s="334">
        <f>SUM(J387:J388)</f>
        <v>1036</v>
      </c>
      <c r="K386" s="334">
        <f>SUM(K387:K388)</f>
        <v>1036</v>
      </c>
      <c r="L386" s="332">
        <f>SUM(L387:L388)</f>
        <v>40</v>
      </c>
      <c r="M386" s="330" t="s">
        <v>131</v>
      </c>
      <c r="N386" s="330" t="s">
        <v>131</v>
      </c>
      <c r="O386" s="333" t="s">
        <v>131</v>
      </c>
      <c r="P386" s="38">
        <v>3635408.5599999996</v>
      </c>
      <c r="Q386" s="38">
        <f t="shared" ref="Q386:R386" si="59">SUM(Q387:Q388)</f>
        <v>0</v>
      </c>
      <c r="R386" s="38">
        <f t="shared" si="59"/>
        <v>0</v>
      </c>
      <c r="S386" s="38">
        <f>SUM(S387:S388)</f>
        <v>3635408.5599999996</v>
      </c>
      <c r="T386" s="38">
        <f t="shared" si="43"/>
        <v>3142.0990146931717</v>
      </c>
      <c r="U386" s="38">
        <f>MAX(U387:U388)</f>
        <v>5511.1637578947366</v>
      </c>
      <c r="V386" s="458">
        <f t="shared" si="44"/>
        <v>2369.0647432015649</v>
      </c>
      <c r="W386" s="458"/>
      <c r="X386" s="458"/>
      <c r="Y386" s="459"/>
      <c r="Z386" s="459"/>
      <c r="AA386" s="459"/>
      <c r="AB386" s="459"/>
      <c r="AC386" s="459"/>
      <c r="AD386" s="459"/>
      <c r="AE386" s="459"/>
      <c r="AF386" s="459"/>
      <c r="AG386" s="459"/>
      <c r="AH386" s="459"/>
      <c r="AI386" s="459"/>
      <c r="AJ386" s="459"/>
      <c r="AK386" s="459"/>
      <c r="AL386" s="459"/>
      <c r="AM386" s="459"/>
      <c r="AN386" s="459"/>
      <c r="AO386" s="459"/>
      <c r="AP386" s="460"/>
      <c r="AQ386" s="460"/>
      <c r="AR386" s="460"/>
      <c r="AS386" s="460"/>
      <c r="AT386" s="460"/>
      <c r="AU386" s="460"/>
      <c r="AV386" s="460"/>
      <c r="AW386" s="460"/>
      <c r="AX386" s="460"/>
      <c r="AY386" s="460"/>
      <c r="AZ386" s="460"/>
      <c r="BA386" s="460"/>
      <c r="BB386" s="460"/>
      <c r="BC386" s="460"/>
      <c r="BD386" s="460"/>
      <c r="BE386" s="460"/>
      <c r="BF386" s="460"/>
      <c r="BG386" s="460"/>
      <c r="BH386" s="460"/>
      <c r="BI386" s="460"/>
      <c r="BJ386" s="460"/>
      <c r="BK386" s="460"/>
      <c r="BL386" s="460"/>
      <c r="BM386" s="460"/>
      <c r="BN386" s="460"/>
      <c r="BO386" s="460"/>
      <c r="BP386" s="460"/>
      <c r="BQ386" s="460"/>
      <c r="BR386" s="460"/>
      <c r="BS386" s="460"/>
      <c r="BT386" s="460"/>
      <c r="BU386" s="460"/>
      <c r="BV386" s="460"/>
      <c r="BW386" s="460"/>
      <c r="BX386" s="460"/>
      <c r="BY386" s="460"/>
      <c r="BZ386" s="460"/>
      <c r="CA386" s="460"/>
      <c r="CB386" s="460"/>
      <c r="CC386" s="460"/>
      <c r="CD386" s="460"/>
      <c r="CE386" s="460"/>
      <c r="CF386" s="460"/>
      <c r="CG386" s="460"/>
      <c r="CH386" s="460"/>
      <c r="CI386" s="460"/>
      <c r="CJ386" s="460"/>
      <c r="CK386" s="460"/>
    </row>
    <row r="387" spans="1:89" s="329" customFormat="1" ht="36" customHeight="1" x14ac:dyDescent="0.25">
      <c r="A387" s="329">
        <v>1</v>
      </c>
      <c r="B387" s="39">
        <f>SUBTOTAL(103,$A$16:A387)</f>
        <v>345</v>
      </c>
      <c r="C387" s="33" t="s">
        <v>1327</v>
      </c>
      <c r="D387" s="330">
        <v>1956</v>
      </c>
      <c r="E387" s="330"/>
      <c r="F387" s="331" t="s">
        <v>48</v>
      </c>
      <c r="G387" s="330">
        <v>2</v>
      </c>
      <c r="H387" s="330" t="s">
        <v>56</v>
      </c>
      <c r="I387" s="38">
        <v>456</v>
      </c>
      <c r="J387" s="38">
        <v>399</v>
      </c>
      <c r="K387" s="38">
        <v>399</v>
      </c>
      <c r="L387" s="332">
        <v>14</v>
      </c>
      <c r="M387" s="330" t="s">
        <v>46</v>
      </c>
      <c r="N387" s="330" t="s">
        <v>2071</v>
      </c>
      <c r="O387" s="333" t="s">
        <v>2073</v>
      </c>
      <c r="P387" s="38">
        <v>1330564.6199999999</v>
      </c>
      <c r="Q387" s="38">
        <v>0</v>
      </c>
      <c r="R387" s="38">
        <v>0</v>
      </c>
      <c r="S387" s="38">
        <f>P387-Q387-R387</f>
        <v>1330564.6199999999</v>
      </c>
      <c r="T387" s="38">
        <f t="shared" si="43"/>
        <v>2917.9048684210525</v>
      </c>
      <c r="U387" s="38">
        <v>5511.1637578947366</v>
      </c>
      <c r="V387" s="458">
        <f t="shared" si="44"/>
        <v>2593.2588894736841</v>
      </c>
      <c r="W387" s="458">
        <f t="shared" ref="W387:W388" si="60">X387+Y387+Z387+AA387+AB387+AD387+AF387+AH387+AJ387+AL387+AN387+AO387</f>
        <v>5648.129004824561</v>
      </c>
      <c r="X387" s="458">
        <v>0</v>
      </c>
      <c r="Y387" s="459">
        <v>0</v>
      </c>
      <c r="Z387" s="459">
        <v>0</v>
      </c>
      <c r="AA387" s="459">
        <v>0</v>
      </c>
      <c r="AB387" s="459">
        <v>0</v>
      </c>
      <c r="AC387" s="459">
        <v>0</v>
      </c>
      <c r="AD387" s="459">
        <v>0</v>
      </c>
      <c r="AE387" s="459">
        <v>412.82</v>
      </c>
      <c r="AF387" s="458">
        <f>6238.91*AE387/I387</f>
        <v>5648.129004824561</v>
      </c>
      <c r="AG387" s="459">
        <v>0</v>
      </c>
      <c r="AH387" s="458">
        <v>0</v>
      </c>
      <c r="AI387" s="459">
        <v>0</v>
      </c>
      <c r="AJ387" s="458">
        <v>0</v>
      </c>
      <c r="AK387" s="459">
        <v>0</v>
      </c>
      <c r="AL387" s="459">
        <v>0</v>
      </c>
      <c r="AM387" s="459">
        <v>0</v>
      </c>
      <c r="AN387" s="459"/>
      <c r="AO387" s="459">
        <v>0</v>
      </c>
      <c r="AP387" s="460"/>
      <c r="AQ387" s="460"/>
      <c r="AR387" s="460"/>
      <c r="AS387" s="460"/>
      <c r="AT387" s="460"/>
      <c r="AU387" s="460"/>
      <c r="AV387" s="460"/>
      <c r="AW387" s="460"/>
      <c r="AX387" s="460"/>
      <c r="AY387" s="460"/>
      <c r="AZ387" s="460"/>
      <c r="BA387" s="460"/>
      <c r="BB387" s="460"/>
      <c r="BC387" s="460"/>
      <c r="BD387" s="460"/>
      <c r="BE387" s="460"/>
      <c r="BF387" s="460"/>
      <c r="BG387" s="460"/>
      <c r="BH387" s="460"/>
      <c r="BI387" s="460"/>
      <c r="BJ387" s="460"/>
      <c r="BK387" s="460"/>
      <c r="BL387" s="460"/>
      <c r="BM387" s="460"/>
      <c r="BN387" s="460"/>
      <c r="BO387" s="460"/>
      <c r="BP387" s="460"/>
      <c r="BQ387" s="460"/>
      <c r="BR387" s="460"/>
      <c r="BS387" s="460"/>
      <c r="BT387" s="460"/>
      <c r="BU387" s="460"/>
      <c r="BV387" s="460"/>
      <c r="BW387" s="460"/>
      <c r="BX387" s="460"/>
      <c r="BY387" s="460"/>
      <c r="BZ387" s="460"/>
      <c r="CA387" s="460"/>
      <c r="CB387" s="460"/>
      <c r="CC387" s="460"/>
      <c r="CD387" s="460"/>
      <c r="CE387" s="460"/>
      <c r="CF387" s="460"/>
      <c r="CG387" s="460"/>
      <c r="CH387" s="460"/>
      <c r="CI387" s="460"/>
      <c r="CJ387" s="460"/>
      <c r="CK387" s="460"/>
    </row>
    <row r="388" spans="1:89" s="329" customFormat="1" ht="36" customHeight="1" x14ac:dyDescent="0.25">
      <c r="A388" s="329">
        <v>1</v>
      </c>
      <c r="B388" s="39">
        <f>SUBTOTAL(103,$A$16:A388)</f>
        <v>346</v>
      </c>
      <c r="C388" s="33" t="s">
        <v>1328</v>
      </c>
      <c r="D388" s="330">
        <v>1960</v>
      </c>
      <c r="E388" s="330"/>
      <c r="F388" s="331" t="s">
        <v>48</v>
      </c>
      <c r="G388" s="330">
        <v>2</v>
      </c>
      <c r="H388" s="330" t="s">
        <v>56</v>
      </c>
      <c r="I388" s="38">
        <v>701</v>
      </c>
      <c r="J388" s="38">
        <v>637</v>
      </c>
      <c r="K388" s="38">
        <v>637</v>
      </c>
      <c r="L388" s="332">
        <v>26</v>
      </c>
      <c r="M388" s="330" t="s">
        <v>46</v>
      </c>
      <c r="N388" s="330" t="s">
        <v>50</v>
      </c>
      <c r="O388" s="333" t="s">
        <v>2073</v>
      </c>
      <c r="P388" s="38">
        <v>2304843.94</v>
      </c>
      <c r="Q388" s="38">
        <v>0</v>
      </c>
      <c r="R388" s="38">
        <v>0</v>
      </c>
      <c r="S388" s="38">
        <f>P388-Q388-R388</f>
        <v>2304843.94</v>
      </c>
      <c r="T388" s="38">
        <f t="shared" si="43"/>
        <v>3287.9371469329531</v>
      </c>
      <c r="U388" s="38">
        <v>4183.21</v>
      </c>
      <c r="V388" s="458">
        <f t="shared" si="44"/>
        <v>895.27285306704698</v>
      </c>
      <c r="W388" s="458">
        <f t="shared" si="60"/>
        <v>4156.5200000000004</v>
      </c>
      <c r="X388" s="458">
        <v>101.55</v>
      </c>
      <c r="Y388" s="459">
        <v>0</v>
      </c>
      <c r="Z388" s="459">
        <v>3259.66</v>
      </c>
      <c r="AA388" s="459">
        <v>0</v>
      </c>
      <c r="AB388" s="459">
        <v>795.31</v>
      </c>
      <c r="AC388" s="459">
        <v>0</v>
      </c>
      <c r="AD388" s="459">
        <v>0</v>
      </c>
      <c r="AE388" s="459">
        <v>0</v>
      </c>
      <c r="AF388" s="458">
        <v>0</v>
      </c>
      <c r="AG388" s="459">
        <v>0</v>
      </c>
      <c r="AH388" s="458">
        <v>0</v>
      </c>
      <c r="AI388" s="459">
        <v>0</v>
      </c>
      <c r="AJ388" s="458">
        <v>0</v>
      </c>
      <c r="AK388" s="459">
        <v>0</v>
      </c>
      <c r="AL388" s="459">
        <v>0</v>
      </c>
      <c r="AM388" s="459">
        <v>0</v>
      </c>
      <c r="AN388" s="459"/>
      <c r="AO388" s="459">
        <v>0</v>
      </c>
      <c r="AP388" s="460"/>
      <c r="AQ388" s="460"/>
      <c r="AR388" s="460"/>
      <c r="AS388" s="460"/>
      <c r="AT388" s="460"/>
      <c r="AU388" s="460"/>
      <c r="AV388" s="460"/>
      <c r="AW388" s="460"/>
      <c r="AX388" s="460"/>
      <c r="AY388" s="460"/>
      <c r="AZ388" s="460"/>
      <c r="BA388" s="460"/>
      <c r="BB388" s="460"/>
      <c r="BC388" s="460"/>
      <c r="BD388" s="460"/>
      <c r="BE388" s="460"/>
      <c r="BF388" s="460"/>
      <c r="BG388" s="460"/>
      <c r="BH388" s="460"/>
      <c r="BI388" s="460"/>
      <c r="BJ388" s="460"/>
      <c r="BK388" s="460"/>
      <c r="BL388" s="460"/>
      <c r="BM388" s="460"/>
      <c r="BN388" s="460"/>
      <c r="BO388" s="460"/>
      <c r="BP388" s="460"/>
      <c r="BQ388" s="460"/>
      <c r="BR388" s="460"/>
      <c r="BS388" s="460"/>
      <c r="BT388" s="460"/>
      <c r="BU388" s="460"/>
      <c r="BV388" s="460"/>
      <c r="BW388" s="460"/>
      <c r="BX388" s="460"/>
      <c r="BY388" s="460"/>
      <c r="BZ388" s="460"/>
      <c r="CA388" s="460"/>
      <c r="CB388" s="460"/>
      <c r="CC388" s="460"/>
      <c r="CD388" s="460"/>
      <c r="CE388" s="460"/>
      <c r="CF388" s="460"/>
      <c r="CG388" s="460"/>
      <c r="CH388" s="460"/>
      <c r="CI388" s="460"/>
      <c r="CJ388" s="460"/>
      <c r="CK388" s="460"/>
    </row>
    <row r="389" spans="1:89" s="329" customFormat="1" ht="36" customHeight="1" x14ac:dyDescent="0.25">
      <c r="B389" s="33" t="s">
        <v>1329</v>
      </c>
      <c r="C389" s="33"/>
      <c r="D389" s="330" t="s">
        <v>131</v>
      </c>
      <c r="E389" s="330" t="s">
        <v>131</v>
      </c>
      <c r="F389" s="330" t="s">
        <v>131</v>
      </c>
      <c r="G389" s="330" t="s">
        <v>131</v>
      </c>
      <c r="H389" s="330" t="s">
        <v>131</v>
      </c>
      <c r="I389" s="334">
        <f>I390</f>
        <v>407.9</v>
      </c>
      <c r="J389" s="334">
        <f>J390</f>
        <v>352.3</v>
      </c>
      <c r="K389" s="334">
        <f>K390</f>
        <v>352.3</v>
      </c>
      <c r="L389" s="332">
        <f>L390</f>
        <v>21</v>
      </c>
      <c r="M389" s="330" t="s">
        <v>131</v>
      </c>
      <c r="N389" s="330" t="s">
        <v>131</v>
      </c>
      <c r="O389" s="333" t="s">
        <v>131</v>
      </c>
      <c r="P389" s="38">
        <v>43566.44</v>
      </c>
      <c r="Q389" s="38">
        <f>Q390</f>
        <v>0</v>
      </c>
      <c r="R389" s="38">
        <f>R390</f>
        <v>0</v>
      </c>
      <c r="S389" s="38">
        <f>S390</f>
        <v>43566.44</v>
      </c>
      <c r="T389" s="38">
        <f t="shared" si="43"/>
        <v>106.80666830105419</v>
      </c>
      <c r="U389" s="38">
        <f>MAX(U390)</f>
        <v>106.80666830105419</v>
      </c>
      <c r="V389" s="458">
        <f t="shared" si="44"/>
        <v>0</v>
      </c>
      <c r="W389" s="458"/>
      <c r="X389" s="458"/>
      <c r="Y389" s="459"/>
      <c r="Z389" s="459"/>
      <c r="AA389" s="459"/>
      <c r="AB389" s="459"/>
      <c r="AC389" s="459"/>
      <c r="AD389" s="459"/>
      <c r="AE389" s="459"/>
      <c r="AF389" s="459"/>
      <c r="AG389" s="459"/>
      <c r="AH389" s="459"/>
      <c r="AI389" s="459"/>
      <c r="AJ389" s="459"/>
      <c r="AK389" s="459"/>
      <c r="AL389" s="459"/>
      <c r="AM389" s="459"/>
      <c r="AN389" s="459"/>
      <c r="AO389" s="459"/>
      <c r="AP389" s="460"/>
      <c r="AQ389" s="460"/>
      <c r="AR389" s="460"/>
      <c r="AS389" s="460"/>
      <c r="AT389" s="460"/>
      <c r="AU389" s="460"/>
      <c r="AV389" s="460"/>
      <c r="AW389" s="460"/>
      <c r="AX389" s="460"/>
      <c r="AY389" s="460"/>
      <c r="AZ389" s="460"/>
      <c r="BA389" s="460"/>
      <c r="BB389" s="460"/>
      <c r="BC389" s="460"/>
      <c r="BD389" s="460"/>
      <c r="BE389" s="460"/>
      <c r="BF389" s="460"/>
      <c r="BG389" s="460"/>
      <c r="BH389" s="460"/>
      <c r="BI389" s="460"/>
      <c r="BJ389" s="460"/>
      <c r="BK389" s="460"/>
      <c r="BL389" s="460"/>
      <c r="BM389" s="460"/>
      <c r="BN389" s="460"/>
      <c r="BO389" s="460"/>
      <c r="BP389" s="460"/>
      <c r="BQ389" s="460"/>
      <c r="BR389" s="460"/>
      <c r="BS389" s="460"/>
      <c r="BT389" s="460"/>
      <c r="BU389" s="460"/>
      <c r="BV389" s="460"/>
      <c r="BW389" s="460"/>
      <c r="BX389" s="460"/>
      <c r="BY389" s="460"/>
      <c r="BZ389" s="460"/>
      <c r="CA389" s="460"/>
      <c r="CB389" s="460"/>
      <c r="CC389" s="460"/>
      <c r="CD389" s="460"/>
      <c r="CE389" s="460"/>
      <c r="CF389" s="460"/>
      <c r="CG389" s="460"/>
      <c r="CH389" s="460"/>
      <c r="CI389" s="460"/>
      <c r="CJ389" s="460"/>
      <c r="CK389" s="460"/>
    </row>
    <row r="390" spans="1:89" s="329" customFormat="1" ht="36" customHeight="1" x14ac:dyDescent="0.25">
      <c r="A390" s="329">
        <v>1</v>
      </c>
      <c r="B390" s="39">
        <f>SUBTOTAL(103,$A$16:A390)</f>
        <v>347</v>
      </c>
      <c r="C390" s="33" t="s">
        <v>1141</v>
      </c>
      <c r="D390" s="330">
        <v>1954</v>
      </c>
      <c r="E390" s="330"/>
      <c r="F390" s="331" t="s">
        <v>48</v>
      </c>
      <c r="G390" s="330">
        <v>2</v>
      </c>
      <c r="H390" s="330" t="s">
        <v>57</v>
      </c>
      <c r="I390" s="38">
        <v>407.9</v>
      </c>
      <c r="J390" s="38">
        <v>352.3</v>
      </c>
      <c r="K390" s="38">
        <v>352.3</v>
      </c>
      <c r="L390" s="332">
        <v>21</v>
      </c>
      <c r="M390" s="330" t="s">
        <v>46</v>
      </c>
      <c r="N390" s="330" t="s">
        <v>47</v>
      </c>
      <c r="O390" s="333" t="s">
        <v>49</v>
      </c>
      <c r="P390" s="38">
        <v>43566.44</v>
      </c>
      <c r="Q390" s="38">
        <v>0</v>
      </c>
      <c r="R390" s="38">
        <v>0</v>
      </c>
      <c r="S390" s="38">
        <f>P390-Q390-R390</f>
        <v>43566.44</v>
      </c>
      <c r="T390" s="38">
        <f t="shared" si="43"/>
        <v>106.80666830105419</v>
      </c>
      <c r="U390" s="38">
        <v>106.80666830105419</v>
      </c>
      <c r="V390" s="458">
        <f>U390-T390</f>
        <v>0</v>
      </c>
      <c r="W390" s="458">
        <f>X390+Y390+Z390+AA390+AB390+AD390+AF390+AH390+AJ390+AL390+AN390+AO390</f>
        <v>5141.3268139249822</v>
      </c>
      <c r="X390" s="458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336.14</v>
      </c>
      <c r="AF390" s="458">
        <f>6238.91*AE390/I390</f>
        <v>5141.3268139249822</v>
      </c>
      <c r="AG390" s="459">
        <v>0</v>
      </c>
      <c r="AH390" s="458">
        <v>0</v>
      </c>
      <c r="AI390" s="459">
        <v>0</v>
      </c>
      <c r="AJ390" s="458">
        <v>0</v>
      </c>
      <c r="AK390" s="459">
        <v>0</v>
      </c>
      <c r="AL390" s="459">
        <v>0</v>
      </c>
      <c r="AM390" s="459">
        <v>0</v>
      </c>
      <c r="AN390" s="459"/>
      <c r="AO390" s="459">
        <v>0</v>
      </c>
      <c r="AP390" s="460"/>
      <c r="AQ390" s="460"/>
      <c r="AR390" s="460"/>
      <c r="AS390" s="460"/>
      <c r="AT390" s="460"/>
      <c r="AU390" s="460"/>
      <c r="AV390" s="460"/>
      <c r="AW390" s="460"/>
      <c r="AX390" s="460"/>
      <c r="AY390" s="460"/>
      <c r="AZ390" s="460"/>
      <c r="BA390" s="460"/>
      <c r="BB390" s="460"/>
      <c r="BC390" s="460"/>
      <c r="BD390" s="460"/>
      <c r="BE390" s="460"/>
      <c r="BF390" s="460"/>
      <c r="BG390" s="460"/>
      <c r="BH390" s="460"/>
      <c r="BI390" s="460"/>
      <c r="BJ390" s="460"/>
      <c r="BK390" s="460"/>
      <c r="BL390" s="460"/>
      <c r="BM390" s="460"/>
      <c r="BN390" s="460"/>
      <c r="BO390" s="460"/>
      <c r="BP390" s="460"/>
      <c r="BQ390" s="460"/>
      <c r="BR390" s="460"/>
      <c r="BS390" s="460"/>
      <c r="BT390" s="460"/>
      <c r="BU390" s="460"/>
      <c r="BV390" s="460"/>
      <c r="BW390" s="460"/>
      <c r="BX390" s="460"/>
      <c r="BY390" s="460"/>
      <c r="BZ390" s="460"/>
      <c r="CA390" s="460"/>
      <c r="CB390" s="460"/>
      <c r="CC390" s="460"/>
      <c r="CD390" s="460"/>
      <c r="CE390" s="460"/>
      <c r="CF390" s="460"/>
      <c r="CG390" s="460"/>
      <c r="CH390" s="460"/>
      <c r="CI390" s="460"/>
      <c r="CJ390" s="460"/>
      <c r="CK390" s="460"/>
    </row>
    <row r="391" spans="1:89" s="329" customFormat="1" ht="36" customHeight="1" x14ac:dyDescent="0.25">
      <c r="B391" s="33" t="s">
        <v>107</v>
      </c>
      <c r="C391" s="33"/>
      <c r="D391" s="330" t="s">
        <v>131</v>
      </c>
      <c r="E391" s="330" t="s">
        <v>131</v>
      </c>
      <c r="F391" s="330" t="s">
        <v>131</v>
      </c>
      <c r="G391" s="330" t="s">
        <v>131</v>
      </c>
      <c r="H391" s="330" t="s">
        <v>131</v>
      </c>
      <c r="I391" s="334">
        <f>SUM(I392:I395)</f>
        <v>2253.2999999999997</v>
      </c>
      <c r="J391" s="334">
        <f>SUM(J392:J395)</f>
        <v>1874.1</v>
      </c>
      <c r="K391" s="334">
        <f>SUM(K392:K395)</f>
        <v>1874.1</v>
      </c>
      <c r="L391" s="332">
        <f>SUM(L392:L395)</f>
        <v>108</v>
      </c>
      <c r="M391" s="330" t="s">
        <v>131</v>
      </c>
      <c r="N391" s="330" t="s">
        <v>131</v>
      </c>
      <c r="O391" s="333" t="s">
        <v>131</v>
      </c>
      <c r="P391" s="334">
        <v>4166442.5</v>
      </c>
      <c r="Q391" s="334">
        <f>SUM(Q392:Q395)</f>
        <v>0</v>
      </c>
      <c r="R391" s="334">
        <f>SUM(R392:R395)</f>
        <v>0</v>
      </c>
      <c r="S391" s="334">
        <f>SUM(S392:S395)</f>
        <v>4166442.5</v>
      </c>
      <c r="T391" s="38">
        <f t="shared" si="43"/>
        <v>1849.0402964540897</v>
      </c>
      <c r="U391" s="38">
        <f>MAX(U392:U395)</f>
        <v>6169.8696682464451</v>
      </c>
      <c r="V391" s="458">
        <f t="shared" si="44"/>
        <v>4320.8293717923552</v>
      </c>
      <c r="W391" s="458"/>
      <c r="X391" s="458"/>
      <c r="Y391" s="459"/>
      <c r="Z391" s="459"/>
      <c r="AA391" s="459"/>
      <c r="AB391" s="459"/>
      <c r="AC391" s="459"/>
      <c r="AD391" s="459"/>
      <c r="AE391" s="459"/>
      <c r="AF391" s="459"/>
      <c r="AG391" s="459"/>
      <c r="AH391" s="459"/>
      <c r="AI391" s="459"/>
      <c r="AJ391" s="459"/>
      <c r="AK391" s="459"/>
      <c r="AL391" s="459"/>
      <c r="AM391" s="459"/>
      <c r="AN391" s="459"/>
      <c r="AO391" s="459"/>
      <c r="AP391" s="460"/>
      <c r="AQ391" s="460"/>
      <c r="AR391" s="460"/>
      <c r="AS391" s="460"/>
      <c r="AT391" s="460"/>
      <c r="AU391" s="460"/>
      <c r="AV391" s="460"/>
      <c r="AW391" s="460"/>
      <c r="AX391" s="460"/>
      <c r="AY391" s="460"/>
      <c r="AZ391" s="460"/>
      <c r="BA391" s="460"/>
      <c r="BB391" s="460"/>
      <c r="BC391" s="460"/>
      <c r="BD391" s="460"/>
      <c r="BE391" s="460"/>
      <c r="BF391" s="460"/>
      <c r="BG391" s="460"/>
      <c r="BH391" s="460"/>
      <c r="BI391" s="460"/>
      <c r="BJ391" s="460"/>
      <c r="BK391" s="460"/>
      <c r="BL391" s="460"/>
      <c r="BM391" s="460"/>
      <c r="BN391" s="460"/>
      <c r="BO391" s="460"/>
      <c r="BP391" s="460"/>
      <c r="BQ391" s="460"/>
      <c r="BR391" s="460"/>
      <c r="BS391" s="460"/>
      <c r="BT391" s="460"/>
      <c r="BU391" s="460"/>
      <c r="BV391" s="460"/>
      <c r="BW391" s="460"/>
      <c r="BX391" s="460"/>
      <c r="BY391" s="460"/>
      <c r="BZ391" s="460"/>
      <c r="CA391" s="460"/>
      <c r="CB391" s="460"/>
      <c r="CC391" s="460"/>
      <c r="CD391" s="460"/>
      <c r="CE391" s="460"/>
      <c r="CF391" s="460"/>
      <c r="CG391" s="460"/>
      <c r="CH391" s="460"/>
      <c r="CI391" s="460"/>
      <c r="CJ391" s="460"/>
      <c r="CK391" s="460"/>
    </row>
    <row r="392" spans="1:89" s="329" customFormat="1" ht="36" customHeight="1" x14ac:dyDescent="0.25">
      <c r="A392" s="329">
        <v>1</v>
      </c>
      <c r="B392" s="39">
        <f>SUBTOTAL(103,$A$16:A392)</f>
        <v>348</v>
      </c>
      <c r="C392" s="33" t="s">
        <v>1330</v>
      </c>
      <c r="D392" s="330">
        <v>1955</v>
      </c>
      <c r="E392" s="330"/>
      <c r="F392" s="331" t="s">
        <v>48</v>
      </c>
      <c r="G392" s="330">
        <v>2</v>
      </c>
      <c r="H392" s="330" t="s">
        <v>57</v>
      </c>
      <c r="I392" s="38">
        <v>545.6</v>
      </c>
      <c r="J392" s="38">
        <v>501.6</v>
      </c>
      <c r="K392" s="38">
        <v>501.6</v>
      </c>
      <c r="L392" s="332">
        <v>27</v>
      </c>
      <c r="M392" s="330" t="s">
        <v>46</v>
      </c>
      <c r="N392" s="330" t="s">
        <v>47</v>
      </c>
      <c r="O392" s="333" t="s">
        <v>49</v>
      </c>
      <c r="P392" s="38">
        <v>71741.72</v>
      </c>
      <c r="Q392" s="38">
        <v>0</v>
      </c>
      <c r="R392" s="38">
        <v>0</v>
      </c>
      <c r="S392" s="38">
        <f>P392-Q392-R392</f>
        <v>71741.72</v>
      </c>
      <c r="T392" s="38">
        <f t="shared" si="43"/>
        <v>131.49142228739004</v>
      </c>
      <c r="U392" s="38">
        <v>131.49142228739004</v>
      </c>
      <c r="V392" s="458">
        <f t="shared" si="44"/>
        <v>0</v>
      </c>
      <c r="W392" s="458">
        <f t="shared" ref="W392:W394" si="61">X392+Y392+Z392+AA392+AB392+AD392+AF392+AH392+AJ392+AL392+AN392+AO392</f>
        <v>5497.5167155425215</v>
      </c>
      <c r="X392" s="458">
        <v>0</v>
      </c>
      <c r="Y392" s="459">
        <v>0</v>
      </c>
      <c r="Z392" s="459">
        <v>0</v>
      </c>
      <c r="AA392" s="459">
        <v>0</v>
      </c>
      <c r="AB392" s="459">
        <v>0</v>
      </c>
      <c r="AC392" s="459">
        <v>0</v>
      </c>
      <c r="AD392" s="459">
        <v>0</v>
      </c>
      <c r="AE392" s="459">
        <v>0</v>
      </c>
      <c r="AF392" s="458">
        <v>0</v>
      </c>
      <c r="AG392" s="459">
        <v>0</v>
      </c>
      <c r="AH392" s="458">
        <v>0</v>
      </c>
      <c r="AI392" s="459">
        <v>403.2</v>
      </c>
      <c r="AJ392" s="458">
        <f>7439.1*AI392/I392</f>
        <v>5497.5167155425215</v>
      </c>
      <c r="AK392" s="459">
        <v>0</v>
      </c>
      <c r="AL392" s="459">
        <v>0</v>
      </c>
      <c r="AM392" s="459">
        <v>0</v>
      </c>
      <c r="AN392" s="459"/>
      <c r="AO392" s="459">
        <v>0</v>
      </c>
      <c r="AP392" s="460"/>
      <c r="AQ392" s="460"/>
      <c r="AR392" s="460"/>
      <c r="AS392" s="460"/>
      <c r="AT392" s="460"/>
      <c r="AU392" s="460"/>
      <c r="AV392" s="460"/>
      <c r="AW392" s="460"/>
      <c r="AX392" s="460"/>
      <c r="AY392" s="460"/>
      <c r="AZ392" s="460"/>
      <c r="BA392" s="460"/>
      <c r="BB392" s="460"/>
      <c r="BC392" s="460"/>
      <c r="BD392" s="460"/>
      <c r="BE392" s="460"/>
      <c r="BF392" s="460"/>
      <c r="BG392" s="460"/>
      <c r="BH392" s="460"/>
      <c r="BI392" s="460"/>
      <c r="BJ392" s="460"/>
      <c r="BK392" s="460"/>
      <c r="BL392" s="460"/>
      <c r="BM392" s="460"/>
      <c r="BN392" s="460"/>
      <c r="BO392" s="460"/>
      <c r="BP392" s="460"/>
      <c r="BQ392" s="460"/>
      <c r="BR392" s="460"/>
      <c r="BS392" s="460"/>
      <c r="BT392" s="460"/>
      <c r="BU392" s="460"/>
      <c r="BV392" s="460"/>
      <c r="BW392" s="460"/>
      <c r="BX392" s="460"/>
      <c r="BY392" s="460"/>
      <c r="BZ392" s="460"/>
      <c r="CA392" s="460"/>
      <c r="CB392" s="460"/>
      <c r="CC392" s="460"/>
      <c r="CD392" s="460"/>
      <c r="CE392" s="460"/>
      <c r="CF392" s="460"/>
      <c r="CG392" s="460"/>
      <c r="CH392" s="460"/>
      <c r="CI392" s="460"/>
      <c r="CJ392" s="460"/>
      <c r="CK392" s="460"/>
    </row>
    <row r="393" spans="1:89" s="329" customFormat="1" ht="36" customHeight="1" x14ac:dyDescent="0.25">
      <c r="A393" s="329">
        <v>1</v>
      </c>
      <c r="B393" s="39">
        <f>SUBTOTAL(103,$A$16:A393)</f>
        <v>349</v>
      </c>
      <c r="C393" s="33" t="s">
        <v>1331</v>
      </c>
      <c r="D393" s="330">
        <v>1965</v>
      </c>
      <c r="E393" s="330"/>
      <c r="F393" s="331" t="s">
        <v>48</v>
      </c>
      <c r="G393" s="330">
        <v>2</v>
      </c>
      <c r="H393" s="330" t="s">
        <v>56</v>
      </c>
      <c r="I393" s="38">
        <v>527.5</v>
      </c>
      <c r="J393" s="38">
        <v>390.5</v>
      </c>
      <c r="K393" s="38">
        <v>390.5</v>
      </c>
      <c r="L393" s="332">
        <v>21</v>
      </c>
      <c r="M393" s="330" t="s">
        <v>46</v>
      </c>
      <c r="N393" s="330" t="s">
        <v>50</v>
      </c>
      <c r="O393" s="333" t="s">
        <v>2074</v>
      </c>
      <c r="P393" s="38">
        <v>1831950.75</v>
      </c>
      <c r="Q393" s="38">
        <v>0</v>
      </c>
      <c r="R393" s="38">
        <v>0</v>
      </c>
      <c r="S393" s="38">
        <f>P393-Q393-R393</f>
        <v>1831950.75</v>
      </c>
      <c r="T393" s="38">
        <f t="shared" si="43"/>
        <v>3472.8924170616115</v>
      </c>
      <c r="U393" s="38">
        <v>6169.8696682464451</v>
      </c>
      <c r="V393" s="458">
        <f t="shared" si="44"/>
        <v>2696.9772511848337</v>
      </c>
      <c r="W393" s="458">
        <f t="shared" si="61"/>
        <v>6169.8696682464451</v>
      </c>
      <c r="X393" s="458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8">
        <v>0</v>
      </c>
      <c r="AG393" s="459">
        <v>0</v>
      </c>
      <c r="AH393" s="458">
        <v>0</v>
      </c>
      <c r="AI393" s="459">
        <v>437.5</v>
      </c>
      <c r="AJ393" s="458">
        <f>7439.1*AI393/I393</f>
        <v>6169.8696682464451</v>
      </c>
      <c r="AK393" s="459">
        <v>0</v>
      </c>
      <c r="AL393" s="459">
        <v>0</v>
      </c>
      <c r="AM393" s="459">
        <v>0</v>
      </c>
      <c r="AN393" s="459"/>
      <c r="AO393" s="459">
        <v>0</v>
      </c>
      <c r="AP393" s="460"/>
      <c r="AQ393" s="460"/>
      <c r="AR393" s="460"/>
      <c r="AS393" s="460"/>
      <c r="AT393" s="460"/>
      <c r="AU393" s="460"/>
      <c r="AV393" s="460"/>
      <c r="AW393" s="460"/>
      <c r="AX393" s="460"/>
      <c r="AY393" s="460"/>
      <c r="AZ393" s="460"/>
      <c r="BA393" s="460"/>
      <c r="BB393" s="460"/>
      <c r="BC393" s="460"/>
      <c r="BD393" s="460"/>
      <c r="BE393" s="460"/>
      <c r="BF393" s="460"/>
      <c r="BG393" s="460"/>
      <c r="BH393" s="460"/>
      <c r="BI393" s="460"/>
      <c r="BJ393" s="460"/>
      <c r="BK393" s="460"/>
      <c r="BL393" s="460"/>
      <c r="BM393" s="460"/>
      <c r="BN393" s="460"/>
      <c r="BO393" s="460"/>
      <c r="BP393" s="460"/>
      <c r="BQ393" s="460"/>
      <c r="BR393" s="460"/>
      <c r="BS393" s="460"/>
      <c r="BT393" s="460"/>
      <c r="BU393" s="460"/>
      <c r="BV393" s="460"/>
      <c r="BW393" s="460"/>
      <c r="BX393" s="460"/>
      <c r="BY393" s="460"/>
      <c r="BZ393" s="460"/>
      <c r="CA393" s="460"/>
      <c r="CB393" s="460"/>
      <c r="CC393" s="460"/>
      <c r="CD393" s="460"/>
      <c r="CE393" s="460"/>
      <c r="CF393" s="460"/>
      <c r="CG393" s="460"/>
      <c r="CH393" s="460"/>
      <c r="CI393" s="460"/>
      <c r="CJ393" s="460"/>
      <c r="CK393" s="460"/>
    </row>
    <row r="394" spans="1:89" s="329" customFormat="1" ht="36" customHeight="1" x14ac:dyDescent="0.25">
      <c r="A394" s="329">
        <v>1</v>
      </c>
      <c r="B394" s="39">
        <f>SUBTOTAL(103,$A$16:A394)</f>
        <v>350</v>
      </c>
      <c r="C394" s="33" t="s">
        <v>1332</v>
      </c>
      <c r="D394" s="330">
        <v>1963</v>
      </c>
      <c r="E394" s="330"/>
      <c r="F394" s="331" t="s">
        <v>48</v>
      </c>
      <c r="G394" s="330">
        <v>2</v>
      </c>
      <c r="H394" s="330" t="s">
        <v>56</v>
      </c>
      <c r="I394" s="38">
        <v>663.1</v>
      </c>
      <c r="J394" s="38">
        <v>609.9</v>
      </c>
      <c r="K394" s="38">
        <v>609.9</v>
      </c>
      <c r="L394" s="332">
        <v>42</v>
      </c>
      <c r="M394" s="330" t="s">
        <v>46</v>
      </c>
      <c r="N394" s="330" t="s">
        <v>50</v>
      </c>
      <c r="O394" s="333" t="s">
        <v>2074</v>
      </c>
      <c r="P394" s="38">
        <v>2207932.36</v>
      </c>
      <c r="Q394" s="38">
        <v>0</v>
      </c>
      <c r="R394" s="38">
        <v>0</v>
      </c>
      <c r="S394" s="38">
        <f>P394-Q394-R394</f>
        <v>2207932.36</v>
      </c>
      <c r="T394" s="38">
        <f t="shared" si="43"/>
        <v>3329.7125018850847</v>
      </c>
      <c r="U394" s="38">
        <v>5123.1408617101479</v>
      </c>
      <c r="V394" s="458">
        <f t="shared" si="44"/>
        <v>1793.4283598250631</v>
      </c>
      <c r="W394" s="458">
        <f t="shared" si="61"/>
        <v>5105.7259849193179</v>
      </c>
      <c r="X394" s="458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542.66</v>
      </c>
      <c r="AF394" s="458">
        <f>6238.91*AE394/I394</f>
        <v>5105.7259849193179</v>
      </c>
      <c r="AG394" s="459">
        <v>0</v>
      </c>
      <c r="AH394" s="458">
        <v>0</v>
      </c>
      <c r="AI394" s="459">
        <v>0</v>
      </c>
      <c r="AJ394" s="458">
        <v>0</v>
      </c>
      <c r="AK394" s="459">
        <v>0</v>
      </c>
      <c r="AL394" s="459">
        <v>0</v>
      </c>
      <c r="AM394" s="459">
        <v>0</v>
      </c>
      <c r="AN394" s="459"/>
      <c r="AO394" s="459">
        <v>0</v>
      </c>
      <c r="AP394" s="460"/>
      <c r="AQ394" s="460"/>
      <c r="AR394" s="460"/>
      <c r="AS394" s="460"/>
      <c r="AT394" s="460"/>
      <c r="AU394" s="460"/>
      <c r="AV394" s="460"/>
      <c r="AW394" s="460"/>
      <c r="AX394" s="460"/>
      <c r="AY394" s="460"/>
      <c r="AZ394" s="460"/>
      <c r="BA394" s="460"/>
      <c r="BB394" s="460"/>
      <c r="BC394" s="460"/>
      <c r="BD394" s="460"/>
      <c r="BE394" s="460"/>
      <c r="BF394" s="460"/>
      <c r="BG394" s="460"/>
      <c r="BH394" s="460"/>
      <c r="BI394" s="460"/>
      <c r="BJ394" s="460"/>
      <c r="BK394" s="460"/>
      <c r="BL394" s="460"/>
      <c r="BM394" s="460"/>
      <c r="BN394" s="460"/>
      <c r="BO394" s="460"/>
      <c r="BP394" s="460"/>
      <c r="BQ394" s="460"/>
      <c r="BR394" s="460"/>
      <c r="BS394" s="460"/>
      <c r="BT394" s="460"/>
      <c r="BU394" s="460"/>
      <c r="BV394" s="460"/>
      <c r="BW394" s="460"/>
      <c r="BX394" s="460"/>
      <c r="BY394" s="460"/>
      <c r="BZ394" s="460"/>
      <c r="CA394" s="460"/>
      <c r="CB394" s="460"/>
      <c r="CC394" s="460"/>
      <c r="CD394" s="460"/>
      <c r="CE394" s="460"/>
      <c r="CF394" s="460"/>
      <c r="CG394" s="460"/>
      <c r="CH394" s="460"/>
      <c r="CI394" s="460"/>
      <c r="CJ394" s="460"/>
      <c r="CK394" s="460"/>
    </row>
    <row r="395" spans="1:89" s="329" customFormat="1" ht="36" customHeight="1" x14ac:dyDescent="0.25">
      <c r="A395" s="329">
        <v>1</v>
      </c>
      <c r="B395" s="39">
        <f>SUBTOTAL(103,$A$16:A395)</f>
        <v>351</v>
      </c>
      <c r="C395" s="33" t="s">
        <v>1333</v>
      </c>
      <c r="D395" s="330">
        <v>1976</v>
      </c>
      <c r="E395" s="330"/>
      <c r="F395" s="331" t="s">
        <v>1981</v>
      </c>
      <c r="G395" s="330">
        <v>2</v>
      </c>
      <c r="H395" s="330" t="s">
        <v>57</v>
      </c>
      <c r="I395" s="38">
        <v>517.1</v>
      </c>
      <c r="J395" s="38">
        <v>372.1</v>
      </c>
      <c r="K395" s="38">
        <v>372.1</v>
      </c>
      <c r="L395" s="332">
        <v>18</v>
      </c>
      <c r="M395" s="330" t="s">
        <v>46</v>
      </c>
      <c r="N395" s="330" t="s">
        <v>47</v>
      </c>
      <c r="O395" s="333" t="s">
        <v>49</v>
      </c>
      <c r="P395" s="38">
        <v>54817.67</v>
      </c>
      <c r="Q395" s="38">
        <v>0</v>
      </c>
      <c r="R395" s="38">
        <v>0</v>
      </c>
      <c r="S395" s="38">
        <f>P395-R395-Q395</f>
        <v>54817.67</v>
      </c>
      <c r="T395" s="38">
        <f t="shared" si="43"/>
        <v>106.00980467994584</v>
      </c>
      <c r="U395" s="38">
        <v>106.00980467994584</v>
      </c>
      <c r="V395" s="458">
        <f t="shared" si="44"/>
        <v>0</v>
      </c>
      <c r="W395" s="458">
        <f>T395</f>
        <v>106.00980467994584</v>
      </c>
      <c r="X395" s="458">
        <v>0</v>
      </c>
      <c r="Y395" s="459">
        <v>0</v>
      </c>
      <c r="Z395" s="459">
        <v>0</v>
      </c>
      <c r="AA395" s="459">
        <v>0</v>
      </c>
      <c r="AB395" s="459">
        <v>0</v>
      </c>
      <c r="AC395" s="459">
        <v>0</v>
      </c>
      <c r="AD395" s="459">
        <v>0</v>
      </c>
      <c r="AE395" s="459">
        <v>0</v>
      </c>
      <c r="AF395" s="458">
        <v>0</v>
      </c>
      <c r="AG395" s="459">
        <v>0</v>
      </c>
      <c r="AH395" s="458">
        <v>0</v>
      </c>
      <c r="AI395" s="459">
        <v>0</v>
      </c>
      <c r="AJ395" s="458">
        <v>0</v>
      </c>
      <c r="AK395" s="459">
        <v>0</v>
      </c>
      <c r="AL395" s="459">
        <v>0</v>
      </c>
      <c r="AM395" s="459">
        <v>211.2</v>
      </c>
      <c r="AN395" s="459">
        <f>6984.52*AM395/I395</f>
        <v>2852.6989441113906</v>
      </c>
      <c r="AO395" s="459">
        <v>0</v>
      </c>
      <c r="AP395" s="460"/>
      <c r="AQ395" s="460"/>
      <c r="AR395" s="460"/>
      <c r="AS395" s="460"/>
      <c r="AT395" s="460"/>
      <c r="AU395" s="460"/>
      <c r="AV395" s="460"/>
      <c r="AW395" s="460"/>
      <c r="AX395" s="460"/>
      <c r="AY395" s="460"/>
      <c r="AZ395" s="460"/>
      <c r="BA395" s="460"/>
      <c r="BB395" s="460"/>
      <c r="BC395" s="460"/>
      <c r="BD395" s="460"/>
      <c r="BE395" s="460"/>
      <c r="BF395" s="460"/>
      <c r="BG395" s="460"/>
      <c r="BH395" s="460"/>
      <c r="BI395" s="460"/>
      <c r="BJ395" s="460"/>
      <c r="BK395" s="460"/>
      <c r="BL395" s="460"/>
      <c r="BM395" s="460"/>
      <c r="BN395" s="460"/>
      <c r="BO395" s="460"/>
      <c r="BP395" s="460"/>
      <c r="BQ395" s="460"/>
      <c r="BR395" s="460"/>
      <c r="BS395" s="460"/>
      <c r="BT395" s="460"/>
      <c r="BU395" s="460"/>
      <c r="BV395" s="460"/>
      <c r="BW395" s="460"/>
      <c r="BX395" s="460"/>
      <c r="BY395" s="460"/>
      <c r="BZ395" s="460"/>
      <c r="CA395" s="460"/>
      <c r="CB395" s="460"/>
      <c r="CC395" s="460"/>
      <c r="CD395" s="460"/>
      <c r="CE395" s="460"/>
      <c r="CF395" s="460"/>
      <c r="CG395" s="460"/>
      <c r="CH395" s="460"/>
      <c r="CI395" s="460"/>
      <c r="CJ395" s="460"/>
      <c r="CK395" s="460"/>
    </row>
    <row r="396" spans="1:89" s="329" customFormat="1" ht="36" customHeight="1" x14ac:dyDescent="0.25">
      <c r="B396" s="33" t="s">
        <v>1334</v>
      </c>
      <c r="C396" s="33"/>
      <c r="D396" s="330" t="s">
        <v>131</v>
      </c>
      <c r="E396" s="330" t="s">
        <v>131</v>
      </c>
      <c r="F396" s="330" t="s">
        <v>131</v>
      </c>
      <c r="G396" s="330" t="s">
        <v>131</v>
      </c>
      <c r="H396" s="330" t="s">
        <v>131</v>
      </c>
      <c r="I396" s="334">
        <f>I397</f>
        <v>829.4</v>
      </c>
      <c r="J396" s="334">
        <f>J397</f>
        <v>758.4</v>
      </c>
      <c r="K396" s="334">
        <f>K397</f>
        <v>758.4</v>
      </c>
      <c r="L396" s="332">
        <f>L397</f>
        <v>42</v>
      </c>
      <c r="M396" s="330" t="s">
        <v>131</v>
      </c>
      <c r="N396" s="330" t="s">
        <v>131</v>
      </c>
      <c r="O396" s="333" t="s">
        <v>131</v>
      </c>
      <c r="P396" s="38">
        <v>2786770.47</v>
      </c>
      <c r="Q396" s="38">
        <f>Q397</f>
        <v>0</v>
      </c>
      <c r="R396" s="38">
        <f>R397</f>
        <v>0</v>
      </c>
      <c r="S396" s="38">
        <f>S397</f>
        <v>2786770.47</v>
      </c>
      <c r="T396" s="38">
        <f t="shared" si="43"/>
        <v>3359.9836870026529</v>
      </c>
      <c r="U396" s="38">
        <f>MAX(U397)</f>
        <v>7340.5278888353032</v>
      </c>
      <c r="V396" s="458">
        <f t="shared" si="44"/>
        <v>3980.5442018326503</v>
      </c>
      <c r="W396" s="458"/>
      <c r="X396" s="458"/>
      <c r="Y396" s="459"/>
      <c r="Z396" s="459"/>
      <c r="AA396" s="459"/>
      <c r="AB396" s="459"/>
      <c r="AC396" s="459"/>
      <c r="AD396" s="459"/>
      <c r="AE396" s="459"/>
      <c r="AF396" s="459"/>
      <c r="AG396" s="459"/>
      <c r="AH396" s="459"/>
      <c r="AI396" s="459"/>
      <c r="AJ396" s="459"/>
      <c r="AK396" s="459"/>
      <c r="AL396" s="459"/>
      <c r="AM396" s="459"/>
      <c r="AN396" s="459"/>
      <c r="AO396" s="459"/>
      <c r="AP396" s="460"/>
      <c r="AQ396" s="460"/>
      <c r="AR396" s="460"/>
      <c r="AS396" s="460"/>
      <c r="AT396" s="460"/>
      <c r="AU396" s="460"/>
      <c r="AV396" s="460"/>
      <c r="AW396" s="460"/>
      <c r="AX396" s="460"/>
      <c r="AY396" s="460"/>
      <c r="AZ396" s="460"/>
      <c r="BA396" s="460"/>
      <c r="BB396" s="460"/>
      <c r="BC396" s="460"/>
      <c r="BD396" s="460"/>
      <c r="BE396" s="460"/>
      <c r="BF396" s="460"/>
      <c r="BG396" s="460"/>
      <c r="BH396" s="460"/>
      <c r="BI396" s="460"/>
      <c r="BJ396" s="460"/>
      <c r="BK396" s="460"/>
      <c r="BL396" s="460"/>
      <c r="BM396" s="460"/>
      <c r="BN396" s="460"/>
      <c r="BO396" s="460"/>
      <c r="BP396" s="460"/>
      <c r="BQ396" s="460"/>
      <c r="BR396" s="460"/>
      <c r="BS396" s="460"/>
      <c r="BT396" s="460"/>
      <c r="BU396" s="460"/>
      <c r="BV396" s="460"/>
      <c r="BW396" s="460"/>
      <c r="BX396" s="460"/>
      <c r="BY396" s="460"/>
      <c r="BZ396" s="460"/>
      <c r="CA396" s="460"/>
      <c r="CB396" s="460"/>
      <c r="CC396" s="460"/>
      <c r="CD396" s="460"/>
      <c r="CE396" s="460"/>
      <c r="CF396" s="460"/>
      <c r="CG396" s="460"/>
      <c r="CH396" s="460"/>
      <c r="CI396" s="460"/>
      <c r="CJ396" s="460"/>
      <c r="CK396" s="460"/>
    </row>
    <row r="397" spans="1:89" s="329" customFormat="1" ht="36" customHeight="1" x14ac:dyDescent="0.25">
      <c r="A397" s="329">
        <v>1</v>
      </c>
      <c r="B397" s="39">
        <f>SUBTOTAL(103,$A$16:A397)</f>
        <v>352</v>
      </c>
      <c r="C397" s="33" t="s">
        <v>1335</v>
      </c>
      <c r="D397" s="330">
        <v>1972</v>
      </c>
      <c r="E397" s="330">
        <v>2010</v>
      </c>
      <c r="F397" s="331" t="s">
        <v>48</v>
      </c>
      <c r="G397" s="330">
        <v>2</v>
      </c>
      <c r="H397" s="330" t="s">
        <v>56</v>
      </c>
      <c r="I397" s="38">
        <v>829.4</v>
      </c>
      <c r="J397" s="38">
        <v>758.4</v>
      </c>
      <c r="K397" s="38">
        <v>758.4</v>
      </c>
      <c r="L397" s="332">
        <v>42</v>
      </c>
      <c r="M397" s="330" t="s">
        <v>46</v>
      </c>
      <c r="N397" s="330" t="s">
        <v>50</v>
      </c>
      <c r="O397" s="333" t="s">
        <v>95</v>
      </c>
      <c r="P397" s="38">
        <v>2786770.47</v>
      </c>
      <c r="Q397" s="38">
        <v>0</v>
      </c>
      <c r="R397" s="38">
        <v>0</v>
      </c>
      <c r="S397" s="38">
        <f>P397-Q397-R397</f>
        <v>2786770.47</v>
      </c>
      <c r="T397" s="38">
        <f t="shared" si="43"/>
        <v>3359.9836870026529</v>
      </c>
      <c r="U397" s="38">
        <v>7340.5278888353032</v>
      </c>
      <c r="V397" s="458">
        <f>U397-T397</f>
        <v>3980.5442018326503</v>
      </c>
      <c r="W397" s="458">
        <f>X397+Y397+Z397+AA397+AB397+AD397+AF397+AH397+AJ397+AL397+AN397+AO397</f>
        <v>6301.439710634193</v>
      </c>
      <c r="X397" s="458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8">
        <v>0</v>
      </c>
      <c r="AG397" s="459">
        <v>0</v>
      </c>
      <c r="AH397" s="458">
        <v>0</v>
      </c>
      <c r="AI397" s="459">
        <v>702.56</v>
      </c>
      <c r="AJ397" s="458">
        <f>7439.1*AI397/I397</f>
        <v>6301.439710634193</v>
      </c>
      <c r="AK397" s="459">
        <v>0</v>
      </c>
      <c r="AL397" s="459">
        <v>0</v>
      </c>
      <c r="AM397" s="459">
        <v>0</v>
      </c>
      <c r="AN397" s="459"/>
      <c r="AO397" s="459">
        <v>0</v>
      </c>
      <c r="AP397" s="460"/>
      <c r="AQ397" s="460"/>
      <c r="AR397" s="460"/>
      <c r="AS397" s="460"/>
      <c r="AT397" s="460"/>
      <c r="AU397" s="460"/>
      <c r="AV397" s="460"/>
      <c r="AW397" s="460"/>
      <c r="AX397" s="460"/>
      <c r="AY397" s="460"/>
      <c r="AZ397" s="460"/>
      <c r="BA397" s="460"/>
      <c r="BB397" s="460"/>
      <c r="BC397" s="460"/>
      <c r="BD397" s="460"/>
      <c r="BE397" s="460"/>
      <c r="BF397" s="460"/>
      <c r="BG397" s="460"/>
      <c r="BH397" s="460"/>
      <c r="BI397" s="460"/>
      <c r="BJ397" s="460"/>
      <c r="BK397" s="460"/>
      <c r="BL397" s="460"/>
      <c r="BM397" s="460"/>
      <c r="BN397" s="460"/>
      <c r="BO397" s="460"/>
      <c r="BP397" s="460"/>
      <c r="BQ397" s="460"/>
      <c r="BR397" s="460"/>
      <c r="BS397" s="460"/>
      <c r="BT397" s="460"/>
      <c r="BU397" s="460"/>
      <c r="BV397" s="460"/>
      <c r="BW397" s="460"/>
      <c r="BX397" s="460"/>
      <c r="BY397" s="460"/>
      <c r="BZ397" s="460"/>
      <c r="CA397" s="460"/>
      <c r="CB397" s="460"/>
      <c r="CC397" s="460"/>
      <c r="CD397" s="460"/>
      <c r="CE397" s="460"/>
      <c r="CF397" s="460"/>
      <c r="CG397" s="460"/>
      <c r="CH397" s="460"/>
      <c r="CI397" s="460"/>
      <c r="CJ397" s="460"/>
      <c r="CK397" s="460"/>
    </row>
    <row r="398" spans="1:89" s="329" customFormat="1" ht="36" customHeight="1" x14ac:dyDescent="0.25">
      <c r="B398" s="33" t="s">
        <v>108</v>
      </c>
      <c r="C398" s="462"/>
      <c r="D398" s="330" t="s">
        <v>131</v>
      </c>
      <c r="E398" s="330" t="s">
        <v>131</v>
      </c>
      <c r="F398" s="330" t="s">
        <v>131</v>
      </c>
      <c r="G398" s="330" t="s">
        <v>131</v>
      </c>
      <c r="H398" s="330" t="s">
        <v>131</v>
      </c>
      <c r="I398" s="334">
        <f>SUM(I399:I405)</f>
        <v>10312.24</v>
      </c>
      <c r="J398" s="334">
        <f>SUM(J399:J405)</f>
        <v>9429.44</v>
      </c>
      <c r="K398" s="334">
        <f>SUM(K399:K405)</f>
        <v>8532.14</v>
      </c>
      <c r="L398" s="332">
        <f>SUM(L399:L405)</f>
        <v>425</v>
      </c>
      <c r="M398" s="330" t="s">
        <v>131</v>
      </c>
      <c r="N398" s="330" t="s">
        <v>131</v>
      </c>
      <c r="O398" s="333" t="s">
        <v>131</v>
      </c>
      <c r="P398" s="38">
        <v>8509415.7999999989</v>
      </c>
      <c r="Q398" s="38">
        <f>SUM(Q399:Q405)</f>
        <v>0</v>
      </c>
      <c r="R398" s="38">
        <f>SUM(R399:R405)</f>
        <v>0</v>
      </c>
      <c r="S398" s="38">
        <f>SUM(S399:S405)</f>
        <v>8509415.7999999989</v>
      </c>
      <c r="T398" s="38">
        <f t="shared" si="43"/>
        <v>825.17627595944225</v>
      </c>
      <c r="U398" s="38">
        <f>MAX(U399:U405)</f>
        <v>4615.0256546355267</v>
      </c>
      <c r="V398" s="458">
        <f t="shared" si="44"/>
        <v>3789.8493786760846</v>
      </c>
      <c r="W398" s="458"/>
      <c r="X398" s="458"/>
      <c r="Y398" s="459"/>
      <c r="Z398" s="459"/>
      <c r="AA398" s="459"/>
      <c r="AB398" s="459"/>
      <c r="AC398" s="459"/>
      <c r="AD398" s="459"/>
      <c r="AE398" s="459"/>
      <c r="AF398" s="459"/>
      <c r="AG398" s="459"/>
      <c r="AH398" s="459"/>
      <c r="AI398" s="459"/>
      <c r="AJ398" s="459"/>
      <c r="AK398" s="459"/>
      <c r="AL398" s="459"/>
      <c r="AM398" s="459"/>
      <c r="AN398" s="459"/>
      <c r="AO398" s="459"/>
      <c r="AP398" s="460"/>
      <c r="AQ398" s="460"/>
      <c r="AR398" s="460"/>
      <c r="AS398" s="460"/>
      <c r="AT398" s="460"/>
      <c r="AU398" s="460"/>
      <c r="AV398" s="460"/>
      <c r="AW398" s="460"/>
      <c r="AX398" s="460"/>
      <c r="AY398" s="460"/>
      <c r="AZ398" s="460"/>
      <c r="BA398" s="460"/>
      <c r="BB398" s="460"/>
      <c r="BC398" s="460"/>
      <c r="BD398" s="460"/>
      <c r="BE398" s="460"/>
      <c r="BF398" s="460"/>
      <c r="BG398" s="460"/>
      <c r="BH398" s="460"/>
      <c r="BI398" s="460"/>
      <c r="BJ398" s="460"/>
      <c r="BK398" s="460"/>
      <c r="BL398" s="460"/>
      <c r="BM398" s="460"/>
      <c r="BN398" s="460"/>
      <c r="BO398" s="460"/>
      <c r="BP398" s="460"/>
      <c r="BQ398" s="460"/>
      <c r="BR398" s="460"/>
      <c r="BS398" s="460"/>
      <c r="BT398" s="460"/>
      <c r="BU398" s="460"/>
      <c r="BV398" s="460"/>
      <c r="BW398" s="460"/>
      <c r="BX398" s="460"/>
      <c r="BY398" s="460"/>
      <c r="BZ398" s="460"/>
      <c r="CA398" s="460"/>
      <c r="CB398" s="460"/>
      <c r="CC398" s="460"/>
      <c r="CD398" s="460"/>
      <c r="CE398" s="460"/>
      <c r="CF398" s="460"/>
      <c r="CG398" s="460"/>
      <c r="CH398" s="460"/>
      <c r="CI398" s="460"/>
      <c r="CJ398" s="460"/>
      <c r="CK398" s="460"/>
    </row>
    <row r="399" spans="1:89" s="329" customFormat="1" ht="36" customHeight="1" x14ac:dyDescent="0.25">
      <c r="A399" s="329">
        <v>1</v>
      </c>
      <c r="B399" s="39">
        <f>SUBTOTAL(103,$A$16:A399)</f>
        <v>353</v>
      </c>
      <c r="C399" s="33" t="s">
        <v>1336</v>
      </c>
      <c r="D399" s="330">
        <v>1950</v>
      </c>
      <c r="E399" s="330"/>
      <c r="F399" s="331" t="s">
        <v>48</v>
      </c>
      <c r="G399" s="330">
        <v>3</v>
      </c>
      <c r="H399" s="330" t="s">
        <v>56</v>
      </c>
      <c r="I399" s="38">
        <v>847.8</v>
      </c>
      <c r="J399" s="38">
        <v>766.9</v>
      </c>
      <c r="K399" s="38">
        <v>663.2</v>
      </c>
      <c r="L399" s="332">
        <v>20</v>
      </c>
      <c r="M399" s="330" t="s">
        <v>46</v>
      </c>
      <c r="N399" s="330" t="s">
        <v>50</v>
      </c>
      <c r="O399" s="333" t="s">
        <v>2075</v>
      </c>
      <c r="P399" s="38">
        <v>2519278.3999999994</v>
      </c>
      <c r="Q399" s="38">
        <v>0</v>
      </c>
      <c r="R399" s="38">
        <v>0</v>
      </c>
      <c r="S399" s="38">
        <f t="shared" ref="S399:S405" si="62">P399-Q399-R399</f>
        <v>2519278.3999999994</v>
      </c>
      <c r="T399" s="38">
        <f t="shared" ref="T399:T462" si="63">P399/I399</f>
        <v>2971.548006605331</v>
      </c>
      <c r="U399" s="38">
        <v>4615.0256546355267</v>
      </c>
      <c r="V399" s="458">
        <f t="shared" si="44"/>
        <v>1643.4776480301957</v>
      </c>
      <c r="W399" s="458">
        <f t="shared" ref="W399:W405" si="64">X399+Y399+Z399+AA399+AB399+AD399+AF399+AH399+AJ399+AL399+AN399+AO399</f>
        <v>4599.33799245105</v>
      </c>
      <c r="X399" s="458">
        <v>0</v>
      </c>
      <c r="Y399" s="459">
        <v>0</v>
      </c>
      <c r="Z399" s="459">
        <v>0</v>
      </c>
      <c r="AA399" s="459">
        <v>0</v>
      </c>
      <c r="AB399" s="459">
        <v>0</v>
      </c>
      <c r="AC399" s="459">
        <v>0</v>
      </c>
      <c r="AD399" s="459">
        <v>0</v>
      </c>
      <c r="AE399" s="459">
        <v>625</v>
      </c>
      <c r="AF399" s="458">
        <f t="shared" ref="AF399:AF405" si="65">6238.91*AE399/I399</f>
        <v>4599.33799245105</v>
      </c>
      <c r="AG399" s="459">
        <v>0</v>
      </c>
      <c r="AH399" s="458">
        <v>0</v>
      </c>
      <c r="AI399" s="459">
        <v>0</v>
      </c>
      <c r="AJ399" s="458">
        <v>0</v>
      </c>
      <c r="AK399" s="459">
        <v>0</v>
      </c>
      <c r="AL399" s="459">
        <v>0</v>
      </c>
      <c r="AM399" s="459">
        <v>0</v>
      </c>
      <c r="AN399" s="459"/>
      <c r="AO399" s="459">
        <v>0</v>
      </c>
      <c r="AP399" s="460"/>
      <c r="AQ399" s="460"/>
      <c r="AR399" s="460"/>
      <c r="AS399" s="460"/>
      <c r="AT399" s="460"/>
      <c r="AU399" s="460"/>
      <c r="AV399" s="460"/>
      <c r="AW399" s="460"/>
      <c r="AX399" s="460"/>
      <c r="AY399" s="460"/>
      <c r="AZ399" s="460"/>
      <c r="BA399" s="460"/>
      <c r="BB399" s="460"/>
      <c r="BC399" s="460"/>
      <c r="BD399" s="460"/>
      <c r="BE399" s="460"/>
      <c r="BF399" s="460"/>
      <c r="BG399" s="460"/>
      <c r="BH399" s="460"/>
      <c r="BI399" s="460"/>
      <c r="BJ399" s="460"/>
      <c r="BK399" s="460"/>
      <c r="BL399" s="460"/>
      <c r="BM399" s="460"/>
      <c r="BN399" s="460"/>
      <c r="BO399" s="460"/>
      <c r="BP399" s="460"/>
      <c r="BQ399" s="460"/>
      <c r="BR399" s="460"/>
      <c r="BS399" s="460"/>
      <c r="BT399" s="460"/>
      <c r="BU399" s="460"/>
      <c r="BV399" s="460"/>
      <c r="BW399" s="460"/>
      <c r="BX399" s="460"/>
      <c r="BY399" s="460"/>
      <c r="BZ399" s="460"/>
      <c r="CA399" s="460"/>
      <c r="CB399" s="460"/>
      <c r="CC399" s="460"/>
      <c r="CD399" s="460"/>
      <c r="CE399" s="460"/>
      <c r="CF399" s="460"/>
      <c r="CG399" s="460"/>
      <c r="CH399" s="460"/>
      <c r="CI399" s="460"/>
      <c r="CJ399" s="460"/>
      <c r="CK399" s="460"/>
    </row>
    <row r="400" spans="1:89" s="329" customFormat="1" ht="36" customHeight="1" x14ac:dyDescent="0.25">
      <c r="A400" s="329">
        <v>1</v>
      </c>
      <c r="B400" s="39">
        <f>SUBTOTAL(103,$A$16:A400)</f>
        <v>354</v>
      </c>
      <c r="C400" s="33" t="s">
        <v>1337</v>
      </c>
      <c r="D400" s="330">
        <v>1963</v>
      </c>
      <c r="E400" s="330"/>
      <c r="F400" s="331" t="s">
        <v>48</v>
      </c>
      <c r="G400" s="330">
        <v>4</v>
      </c>
      <c r="H400" s="330" t="s">
        <v>56</v>
      </c>
      <c r="I400" s="38">
        <v>1600.4</v>
      </c>
      <c r="J400" s="38">
        <v>1253</v>
      </c>
      <c r="K400" s="38">
        <v>1210.5999999999999</v>
      </c>
      <c r="L400" s="332">
        <v>54</v>
      </c>
      <c r="M400" s="330" t="s">
        <v>46</v>
      </c>
      <c r="N400" s="330" t="s">
        <v>50</v>
      </c>
      <c r="O400" s="333" t="s">
        <v>2076</v>
      </c>
      <c r="P400" s="38">
        <v>2316768.9099999997</v>
      </c>
      <c r="Q400" s="38">
        <v>0</v>
      </c>
      <c r="R400" s="38">
        <v>0</v>
      </c>
      <c r="S400" s="38">
        <f t="shared" si="62"/>
        <v>2316768.9099999997</v>
      </c>
      <c r="T400" s="38">
        <f t="shared" si="63"/>
        <v>1447.6186640839787</v>
      </c>
      <c r="U400" s="38">
        <v>1925.7007854286428</v>
      </c>
      <c r="V400" s="458">
        <f t="shared" si="44"/>
        <v>478.08212134466407</v>
      </c>
      <c r="W400" s="458">
        <f t="shared" si="64"/>
        <v>1964.7654586353412</v>
      </c>
      <c r="X400" s="458">
        <v>0</v>
      </c>
      <c r="Y400" s="459">
        <v>0</v>
      </c>
      <c r="Z400" s="459">
        <v>0</v>
      </c>
      <c r="AA400" s="459">
        <v>0</v>
      </c>
      <c r="AB400" s="459">
        <v>0</v>
      </c>
      <c r="AC400" s="459">
        <v>0</v>
      </c>
      <c r="AD400" s="459">
        <v>0</v>
      </c>
      <c r="AE400" s="459">
        <v>504</v>
      </c>
      <c r="AF400" s="458">
        <f t="shared" si="65"/>
        <v>1964.7654586353412</v>
      </c>
      <c r="AG400" s="459">
        <v>0</v>
      </c>
      <c r="AH400" s="458">
        <v>0</v>
      </c>
      <c r="AI400" s="459">
        <v>0</v>
      </c>
      <c r="AJ400" s="458">
        <v>0</v>
      </c>
      <c r="AK400" s="459">
        <v>0</v>
      </c>
      <c r="AL400" s="459">
        <v>0</v>
      </c>
      <c r="AM400" s="459">
        <v>0</v>
      </c>
      <c r="AN400" s="459"/>
      <c r="AO400" s="459">
        <v>0</v>
      </c>
      <c r="AP400" s="460"/>
      <c r="AQ400" s="460"/>
      <c r="AR400" s="460"/>
      <c r="AS400" s="460"/>
      <c r="AT400" s="460"/>
      <c r="AU400" s="460"/>
      <c r="AV400" s="460"/>
      <c r="AW400" s="460"/>
      <c r="AX400" s="460"/>
      <c r="AY400" s="460"/>
      <c r="AZ400" s="460"/>
      <c r="BA400" s="460"/>
      <c r="BB400" s="460"/>
      <c r="BC400" s="460"/>
      <c r="BD400" s="460"/>
      <c r="BE400" s="460"/>
      <c r="BF400" s="460"/>
      <c r="BG400" s="460"/>
      <c r="BH400" s="460"/>
      <c r="BI400" s="460"/>
      <c r="BJ400" s="460"/>
      <c r="BK400" s="460"/>
      <c r="BL400" s="460"/>
      <c r="BM400" s="460"/>
      <c r="BN400" s="460"/>
      <c r="BO400" s="460"/>
      <c r="BP400" s="460"/>
      <c r="BQ400" s="460"/>
      <c r="BR400" s="460"/>
      <c r="BS400" s="460"/>
      <c r="BT400" s="460"/>
      <c r="BU400" s="460"/>
      <c r="BV400" s="460"/>
      <c r="BW400" s="460"/>
      <c r="BX400" s="460"/>
      <c r="BY400" s="460"/>
      <c r="BZ400" s="460"/>
      <c r="CA400" s="460"/>
      <c r="CB400" s="460"/>
      <c r="CC400" s="460"/>
      <c r="CD400" s="460"/>
      <c r="CE400" s="460"/>
      <c r="CF400" s="460"/>
      <c r="CG400" s="460"/>
      <c r="CH400" s="460"/>
      <c r="CI400" s="460"/>
      <c r="CJ400" s="460"/>
      <c r="CK400" s="460"/>
    </row>
    <row r="401" spans="1:89" s="329" customFormat="1" ht="36" customHeight="1" x14ac:dyDescent="0.25">
      <c r="A401" s="329">
        <v>1</v>
      </c>
      <c r="B401" s="39">
        <f>SUBTOTAL(103,$A$16:A401)</f>
        <v>355</v>
      </c>
      <c r="C401" s="33" t="s">
        <v>1338</v>
      </c>
      <c r="D401" s="330">
        <v>1948</v>
      </c>
      <c r="E401" s="330"/>
      <c r="F401" s="331" t="s">
        <v>48</v>
      </c>
      <c r="G401" s="330">
        <v>4</v>
      </c>
      <c r="H401" s="330" t="s">
        <v>61</v>
      </c>
      <c r="I401" s="38">
        <v>1954.5</v>
      </c>
      <c r="J401" s="38">
        <v>1781</v>
      </c>
      <c r="K401" s="38">
        <v>1514.3</v>
      </c>
      <c r="L401" s="332">
        <v>58</v>
      </c>
      <c r="M401" s="330" t="s">
        <v>46</v>
      </c>
      <c r="N401" s="330" t="s">
        <v>50</v>
      </c>
      <c r="O401" s="333" t="s">
        <v>2077</v>
      </c>
      <c r="P401" s="38">
        <v>132502.74</v>
      </c>
      <c r="Q401" s="38">
        <v>0</v>
      </c>
      <c r="R401" s="38">
        <v>0</v>
      </c>
      <c r="S401" s="38">
        <f t="shared" si="62"/>
        <v>132502.74</v>
      </c>
      <c r="T401" s="38">
        <f t="shared" si="63"/>
        <v>67.793676132003071</v>
      </c>
      <c r="U401" s="38">
        <v>67.793676132003071</v>
      </c>
      <c r="V401" s="458">
        <f t="shared" ref="V401:V464" si="66">U401-T401</f>
        <v>0</v>
      </c>
      <c r="W401" s="458">
        <f t="shared" si="64"/>
        <v>3045.23926323868</v>
      </c>
      <c r="X401" s="458">
        <v>0</v>
      </c>
      <c r="Y401" s="459">
        <v>0</v>
      </c>
      <c r="Z401" s="459">
        <v>0</v>
      </c>
      <c r="AA401" s="459">
        <v>0</v>
      </c>
      <c r="AB401" s="459">
        <v>0</v>
      </c>
      <c r="AC401" s="459">
        <v>0</v>
      </c>
      <c r="AD401" s="459">
        <v>0</v>
      </c>
      <c r="AE401" s="459">
        <v>954</v>
      </c>
      <c r="AF401" s="458">
        <f t="shared" si="65"/>
        <v>3045.23926323868</v>
      </c>
      <c r="AG401" s="459">
        <v>0</v>
      </c>
      <c r="AH401" s="458">
        <v>0</v>
      </c>
      <c r="AI401" s="459">
        <v>0</v>
      </c>
      <c r="AJ401" s="458">
        <v>0</v>
      </c>
      <c r="AK401" s="459">
        <v>0</v>
      </c>
      <c r="AL401" s="459">
        <v>0</v>
      </c>
      <c r="AM401" s="459">
        <v>0</v>
      </c>
      <c r="AN401" s="459"/>
      <c r="AO401" s="459">
        <v>0</v>
      </c>
      <c r="AP401" s="460"/>
      <c r="AQ401" s="460"/>
      <c r="AR401" s="460"/>
      <c r="AS401" s="460"/>
      <c r="AT401" s="460"/>
      <c r="AU401" s="460"/>
      <c r="AV401" s="460"/>
      <c r="AW401" s="460"/>
      <c r="AX401" s="460"/>
      <c r="AY401" s="460"/>
      <c r="AZ401" s="460"/>
      <c r="BA401" s="460"/>
      <c r="BB401" s="460"/>
      <c r="BC401" s="460"/>
      <c r="BD401" s="460"/>
      <c r="BE401" s="460"/>
      <c r="BF401" s="460"/>
      <c r="BG401" s="460"/>
      <c r="BH401" s="460"/>
      <c r="BI401" s="460"/>
      <c r="BJ401" s="460"/>
      <c r="BK401" s="460"/>
      <c r="BL401" s="460"/>
      <c r="BM401" s="460"/>
      <c r="BN401" s="460"/>
      <c r="BO401" s="460"/>
      <c r="BP401" s="460"/>
      <c r="BQ401" s="460"/>
      <c r="BR401" s="460"/>
      <c r="BS401" s="460"/>
      <c r="BT401" s="460"/>
      <c r="BU401" s="460"/>
      <c r="BV401" s="460"/>
      <c r="BW401" s="460"/>
      <c r="BX401" s="460"/>
      <c r="BY401" s="460"/>
      <c r="BZ401" s="460"/>
      <c r="CA401" s="460"/>
      <c r="CB401" s="460"/>
      <c r="CC401" s="460"/>
      <c r="CD401" s="460"/>
      <c r="CE401" s="460"/>
      <c r="CF401" s="460"/>
      <c r="CG401" s="460"/>
      <c r="CH401" s="460"/>
      <c r="CI401" s="460"/>
      <c r="CJ401" s="460"/>
      <c r="CK401" s="460"/>
    </row>
    <row r="402" spans="1:89" s="329" customFormat="1" ht="36" customHeight="1" x14ac:dyDescent="0.25">
      <c r="A402" s="329">
        <v>1</v>
      </c>
      <c r="B402" s="39">
        <f>SUBTOTAL(103,$A$16:A402)</f>
        <v>356</v>
      </c>
      <c r="C402" s="33" t="s">
        <v>1061</v>
      </c>
      <c r="D402" s="330">
        <v>1974</v>
      </c>
      <c r="E402" s="330"/>
      <c r="F402" s="331" t="s">
        <v>48</v>
      </c>
      <c r="G402" s="330">
        <v>5</v>
      </c>
      <c r="H402" s="330" t="s">
        <v>56</v>
      </c>
      <c r="I402" s="38">
        <v>3906.04</v>
      </c>
      <c r="J402" s="38">
        <v>3790.94</v>
      </c>
      <c r="K402" s="38">
        <v>3406.44</v>
      </c>
      <c r="L402" s="332">
        <v>200</v>
      </c>
      <c r="M402" s="330" t="s">
        <v>46</v>
      </c>
      <c r="N402" s="330" t="s">
        <v>50</v>
      </c>
      <c r="O402" s="333" t="s">
        <v>2078</v>
      </c>
      <c r="P402" s="38">
        <v>3299872.7399999998</v>
      </c>
      <c r="Q402" s="38">
        <v>0</v>
      </c>
      <c r="R402" s="38">
        <v>0</v>
      </c>
      <c r="S402" s="38">
        <f t="shared" si="62"/>
        <v>3299872.7399999998</v>
      </c>
      <c r="T402" s="38">
        <f t="shared" si="63"/>
        <v>844.81283857820188</v>
      </c>
      <c r="U402" s="38">
        <v>1562.9479698108569</v>
      </c>
      <c r="V402" s="458">
        <f t="shared" si="66"/>
        <v>718.135131232655</v>
      </c>
      <c r="W402" s="458">
        <f t="shared" si="64"/>
        <v>1557.6351066553339</v>
      </c>
      <c r="X402" s="458">
        <v>0</v>
      </c>
      <c r="Y402" s="459">
        <v>0</v>
      </c>
      <c r="Z402" s="459">
        <v>0</v>
      </c>
      <c r="AA402" s="459">
        <v>0</v>
      </c>
      <c r="AB402" s="459">
        <v>0</v>
      </c>
      <c r="AC402" s="459">
        <v>0</v>
      </c>
      <c r="AD402" s="459">
        <v>0</v>
      </c>
      <c r="AE402" s="459">
        <v>975.2</v>
      </c>
      <c r="AF402" s="458">
        <f t="shared" si="65"/>
        <v>1557.6351066553339</v>
      </c>
      <c r="AG402" s="459">
        <v>0</v>
      </c>
      <c r="AH402" s="458">
        <v>0</v>
      </c>
      <c r="AI402" s="459">
        <v>0</v>
      </c>
      <c r="AJ402" s="458">
        <v>0</v>
      </c>
      <c r="AK402" s="459">
        <v>0</v>
      </c>
      <c r="AL402" s="459">
        <v>0</v>
      </c>
      <c r="AM402" s="459">
        <v>0</v>
      </c>
      <c r="AN402" s="459"/>
      <c r="AO402" s="459">
        <v>0</v>
      </c>
      <c r="AP402" s="460"/>
      <c r="AQ402" s="460"/>
      <c r="AR402" s="460"/>
      <c r="AS402" s="460"/>
      <c r="AT402" s="460"/>
      <c r="AU402" s="460"/>
      <c r="AV402" s="460"/>
      <c r="AW402" s="460"/>
      <c r="AX402" s="460"/>
      <c r="AY402" s="460"/>
      <c r="AZ402" s="460"/>
      <c r="BA402" s="460"/>
      <c r="BB402" s="460"/>
      <c r="BC402" s="460"/>
      <c r="BD402" s="460"/>
      <c r="BE402" s="460"/>
      <c r="BF402" s="460"/>
      <c r="BG402" s="460"/>
      <c r="BH402" s="460"/>
      <c r="BI402" s="460"/>
      <c r="BJ402" s="460"/>
      <c r="BK402" s="460"/>
      <c r="BL402" s="460"/>
      <c r="BM402" s="460"/>
      <c r="BN402" s="460"/>
      <c r="BO402" s="460"/>
      <c r="BP402" s="460"/>
      <c r="BQ402" s="460"/>
      <c r="BR402" s="460"/>
      <c r="BS402" s="460"/>
      <c r="BT402" s="460"/>
      <c r="BU402" s="460"/>
      <c r="BV402" s="460"/>
      <c r="BW402" s="460"/>
      <c r="BX402" s="460"/>
      <c r="BY402" s="460"/>
      <c r="BZ402" s="460"/>
      <c r="CA402" s="460"/>
      <c r="CB402" s="460"/>
      <c r="CC402" s="460"/>
      <c r="CD402" s="460"/>
      <c r="CE402" s="460"/>
      <c r="CF402" s="460"/>
      <c r="CG402" s="460"/>
      <c r="CH402" s="460"/>
      <c r="CI402" s="460"/>
      <c r="CJ402" s="460"/>
      <c r="CK402" s="460"/>
    </row>
    <row r="403" spans="1:89" s="329" customFormat="1" ht="36" customHeight="1" x14ac:dyDescent="0.25">
      <c r="A403" s="329">
        <v>1</v>
      </c>
      <c r="B403" s="39">
        <f>SUBTOTAL(103,$A$16:A403)</f>
        <v>357</v>
      </c>
      <c r="C403" s="33" t="s">
        <v>1339</v>
      </c>
      <c r="D403" s="330">
        <v>1962</v>
      </c>
      <c r="E403" s="330"/>
      <c r="F403" s="331" t="s">
        <v>48</v>
      </c>
      <c r="G403" s="330">
        <v>2</v>
      </c>
      <c r="H403" s="330" t="s">
        <v>56</v>
      </c>
      <c r="I403" s="38">
        <v>355.8</v>
      </c>
      <c r="J403" s="38">
        <v>326.10000000000002</v>
      </c>
      <c r="K403" s="38">
        <v>326.10000000000002</v>
      </c>
      <c r="L403" s="332">
        <v>21</v>
      </c>
      <c r="M403" s="330" t="s">
        <v>46</v>
      </c>
      <c r="N403" s="330" t="s">
        <v>47</v>
      </c>
      <c r="O403" s="333" t="s">
        <v>49</v>
      </c>
      <c r="P403" s="38">
        <v>68786.83</v>
      </c>
      <c r="Q403" s="38">
        <v>0</v>
      </c>
      <c r="R403" s="38">
        <v>0</v>
      </c>
      <c r="S403" s="38">
        <f t="shared" si="62"/>
        <v>68786.83</v>
      </c>
      <c r="T403" s="38">
        <f t="shared" si="63"/>
        <v>193.33004496908376</v>
      </c>
      <c r="U403" s="38">
        <v>193.33004496908376</v>
      </c>
      <c r="V403" s="458">
        <f t="shared" si="66"/>
        <v>0</v>
      </c>
      <c r="W403" s="458">
        <f t="shared" si="64"/>
        <v>16728.274704890388</v>
      </c>
      <c r="X403" s="458">
        <v>0</v>
      </c>
      <c r="Y403" s="459">
        <v>0</v>
      </c>
      <c r="Z403" s="459">
        <v>0</v>
      </c>
      <c r="AA403" s="459">
        <v>0</v>
      </c>
      <c r="AB403" s="459">
        <v>0</v>
      </c>
      <c r="AC403" s="459">
        <v>0</v>
      </c>
      <c r="AD403" s="459">
        <v>0</v>
      </c>
      <c r="AE403" s="459">
        <v>954</v>
      </c>
      <c r="AF403" s="458">
        <f t="shared" si="65"/>
        <v>16728.274704890388</v>
      </c>
      <c r="AG403" s="459">
        <v>0</v>
      </c>
      <c r="AH403" s="458">
        <v>0</v>
      </c>
      <c r="AI403" s="459">
        <v>0</v>
      </c>
      <c r="AJ403" s="458">
        <v>0</v>
      </c>
      <c r="AK403" s="459">
        <v>0</v>
      </c>
      <c r="AL403" s="459">
        <v>0</v>
      </c>
      <c r="AM403" s="459">
        <v>0</v>
      </c>
      <c r="AN403" s="459"/>
      <c r="AO403" s="459">
        <v>0</v>
      </c>
      <c r="AP403" s="460"/>
      <c r="AQ403" s="460"/>
      <c r="AR403" s="460"/>
      <c r="AS403" s="460"/>
      <c r="AT403" s="460"/>
      <c r="AU403" s="460"/>
      <c r="AV403" s="460"/>
      <c r="AW403" s="460"/>
      <c r="AX403" s="460"/>
      <c r="AY403" s="460"/>
      <c r="AZ403" s="460"/>
      <c r="BA403" s="460"/>
      <c r="BB403" s="460"/>
      <c r="BC403" s="460"/>
      <c r="BD403" s="460"/>
      <c r="BE403" s="460"/>
      <c r="BF403" s="460"/>
      <c r="BG403" s="460"/>
      <c r="BH403" s="460"/>
      <c r="BI403" s="460"/>
      <c r="BJ403" s="460"/>
      <c r="BK403" s="460"/>
      <c r="BL403" s="460"/>
      <c r="BM403" s="460"/>
      <c r="BN403" s="460"/>
      <c r="BO403" s="460"/>
      <c r="BP403" s="460"/>
      <c r="BQ403" s="460"/>
      <c r="BR403" s="460"/>
      <c r="BS403" s="460"/>
      <c r="BT403" s="460"/>
      <c r="BU403" s="460"/>
      <c r="BV403" s="460"/>
      <c r="BW403" s="460"/>
      <c r="BX403" s="460"/>
      <c r="BY403" s="460"/>
      <c r="BZ403" s="460"/>
      <c r="CA403" s="460"/>
      <c r="CB403" s="460"/>
      <c r="CC403" s="460"/>
      <c r="CD403" s="460"/>
      <c r="CE403" s="460"/>
      <c r="CF403" s="460"/>
      <c r="CG403" s="460"/>
      <c r="CH403" s="460"/>
      <c r="CI403" s="460"/>
      <c r="CJ403" s="460"/>
      <c r="CK403" s="460"/>
    </row>
    <row r="404" spans="1:89" s="329" customFormat="1" ht="36" customHeight="1" x14ac:dyDescent="0.25">
      <c r="A404" s="329">
        <v>1</v>
      </c>
      <c r="B404" s="39">
        <f>SUBTOTAL(103,$A$16:A404)</f>
        <v>358</v>
      </c>
      <c r="C404" s="33" t="s">
        <v>1340</v>
      </c>
      <c r="D404" s="330">
        <v>1964</v>
      </c>
      <c r="E404" s="330"/>
      <c r="F404" s="331" t="s">
        <v>48</v>
      </c>
      <c r="G404" s="330">
        <v>2</v>
      </c>
      <c r="H404" s="330" t="s">
        <v>56</v>
      </c>
      <c r="I404" s="38">
        <v>651.6</v>
      </c>
      <c r="J404" s="38">
        <v>628.9</v>
      </c>
      <c r="K404" s="38">
        <v>628.9</v>
      </c>
      <c r="L404" s="332">
        <v>42</v>
      </c>
      <c r="M404" s="330" t="s">
        <v>46</v>
      </c>
      <c r="N404" s="330" t="s">
        <v>47</v>
      </c>
      <c r="O404" s="333" t="s">
        <v>49</v>
      </c>
      <c r="P404" s="38">
        <v>68786.83</v>
      </c>
      <c r="Q404" s="38">
        <v>0</v>
      </c>
      <c r="R404" s="38">
        <v>0</v>
      </c>
      <c r="S404" s="38">
        <f t="shared" si="62"/>
        <v>68786.83</v>
      </c>
      <c r="T404" s="38">
        <f t="shared" si="63"/>
        <v>105.56603744628606</v>
      </c>
      <c r="U404" s="38">
        <v>105.56603744628606</v>
      </c>
      <c r="V404" s="458">
        <f t="shared" si="66"/>
        <v>0</v>
      </c>
      <c r="W404" s="458">
        <f t="shared" si="64"/>
        <v>9337.3005402087183</v>
      </c>
      <c r="X404" s="458">
        <v>0</v>
      </c>
      <c r="Y404" s="459">
        <v>0</v>
      </c>
      <c r="Z404" s="459">
        <v>0</v>
      </c>
      <c r="AA404" s="459">
        <v>0</v>
      </c>
      <c r="AB404" s="459">
        <v>0</v>
      </c>
      <c r="AC404" s="459">
        <v>0</v>
      </c>
      <c r="AD404" s="459">
        <v>0</v>
      </c>
      <c r="AE404" s="459">
        <v>975.2</v>
      </c>
      <c r="AF404" s="458">
        <f t="shared" si="65"/>
        <v>9337.3005402087183</v>
      </c>
      <c r="AG404" s="459">
        <v>0</v>
      </c>
      <c r="AH404" s="458">
        <v>0</v>
      </c>
      <c r="AI404" s="459">
        <v>0</v>
      </c>
      <c r="AJ404" s="458">
        <v>0</v>
      </c>
      <c r="AK404" s="459">
        <v>0</v>
      </c>
      <c r="AL404" s="459">
        <v>0</v>
      </c>
      <c r="AM404" s="459">
        <v>0</v>
      </c>
      <c r="AN404" s="459"/>
      <c r="AO404" s="459">
        <v>0</v>
      </c>
      <c r="AP404" s="460"/>
      <c r="AQ404" s="460"/>
      <c r="AR404" s="460"/>
      <c r="AS404" s="460"/>
      <c r="AT404" s="460"/>
      <c r="AU404" s="460"/>
      <c r="AV404" s="460"/>
      <c r="AW404" s="460"/>
      <c r="AX404" s="460"/>
      <c r="AY404" s="460"/>
      <c r="AZ404" s="460"/>
      <c r="BA404" s="460"/>
      <c r="BB404" s="460"/>
      <c r="BC404" s="460"/>
      <c r="BD404" s="460"/>
      <c r="BE404" s="460"/>
      <c r="BF404" s="460"/>
      <c r="BG404" s="460"/>
      <c r="BH404" s="460"/>
      <c r="BI404" s="460"/>
      <c r="BJ404" s="460"/>
      <c r="BK404" s="460"/>
      <c r="BL404" s="460"/>
      <c r="BM404" s="460"/>
      <c r="BN404" s="460"/>
      <c r="BO404" s="460"/>
      <c r="BP404" s="460"/>
      <c r="BQ404" s="460"/>
      <c r="BR404" s="460"/>
      <c r="BS404" s="460"/>
      <c r="BT404" s="460"/>
      <c r="BU404" s="460"/>
      <c r="BV404" s="460"/>
      <c r="BW404" s="460"/>
      <c r="BX404" s="460"/>
      <c r="BY404" s="460"/>
      <c r="BZ404" s="460"/>
      <c r="CA404" s="460"/>
      <c r="CB404" s="460"/>
      <c r="CC404" s="460"/>
      <c r="CD404" s="460"/>
      <c r="CE404" s="460"/>
      <c r="CF404" s="460"/>
      <c r="CG404" s="460"/>
      <c r="CH404" s="460"/>
      <c r="CI404" s="460"/>
      <c r="CJ404" s="460"/>
      <c r="CK404" s="460"/>
    </row>
    <row r="405" spans="1:89" s="329" customFormat="1" ht="36" customHeight="1" x14ac:dyDescent="0.25">
      <c r="A405" s="329">
        <v>1</v>
      </c>
      <c r="B405" s="39">
        <f>SUBTOTAL(103,$A$16:A405)</f>
        <v>359</v>
      </c>
      <c r="C405" s="33" t="s">
        <v>1341</v>
      </c>
      <c r="D405" s="330">
        <v>1953</v>
      </c>
      <c r="E405" s="330"/>
      <c r="F405" s="331" t="s">
        <v>48</v>
      </c>
      <c r="G405" s="330">
        <v>2</v>
      </c>
      <c r="H405" s="330" t="s">
        <v>61</v>
      </c>
      <c r="I405" s="38">
        <v>996.1</v>
      </c>
      <c r="J405" s="38">
        <v>882.6</v>
      </c>
      <c r="K405" s="38">
        <v>782.6</v>
      </c>
      <c r="L405" s="332">
        <v>30</v>
      </c>
      <c r="M405" s="330" t="s">
        <v>46</v>
      </c>
      <c r="N405" s="330" t="s">
        <v>47</v>
      </c>
      <c r="O405" s="333" t="s">
        <v>49</v>
      </c>
      <c r="P405" s="38">
        <v>103419.35</v>
      </c>
      <c r="Q405" s="38">
        <v>0</v>
      </c>
      <c r="R405" s="38">
        <v>0</v>
      </c>
      <c r="S405" s="38">
        <f t="shared" si="62"/>
        <v>103419.35</v>
      </c>
      <c r="T405" s="38">
        <f t="shared" si="63"/>
        <v>103.82426463206505</v>
      </c>
      <c r="U405" s="38">
        <v>103.82426463206505</v>
      </c>
      <c r="V405" s="458">
        <f t="shared" si="66"/>
        <v>0</v>
      </c>
      <c r="W405" s="458">
        <f t="shared" si="64"/>
        <v>3758.0022086135928</v>
      </c>
      <c r="X405" s="458">
        <v>0</v>
      </c>
      <c r="Y405" s="459">
        <v>0</v>
      </c>
      <c r="Z405" s="459">
        <v>0</v>
      </c>
      <c r="AA405" s="459">
        <v>0</v>
      </c>
      <c r="AB405" s="459">
        <v>0</v>
      </c>
      <c r="AC405" s="459">
        <v>0</v>
      </c>
      <c r="AD405" s="459">
        <v>0</v>
      </c>
      <c r="AE405" s="459">
        <v>600</v>
      </c>
      <c r="AF405" s="458">
        <f t="shared" si="65"/>
        <v>3758.0022086135928</v>
      </c>
      <c r="AG405" s="459">
        <v>0</v>
      </c>
      <c r="AH405" s="458">
        <v>0</v>
      </c>
      <c r="AI405" s="459">
        <v>0</v>
      </c>
      <c r="AJ405" s="458">
        <v>0</v>
      </c>
      <c r="AK405" s="459">
        <v>0</v>
      </c>
      <c r="AL405" s="459">
        <v>0</v>
      </c>
      <c r="AM405" s="459">
        <v>0</v>
      </c>
      <c r="AN405" s="459"/>
      <c r="AO405" s="459">
        <v>0</v>
      </c>
      <c r="AP405" s="460"/>
      <c r="AQ405" s="460"/>
      <c r="AR405" s="460"/>
      <c r="AS405" s="460"/>
      <c r="AT405" s="460"/>
      <c r="AU405" s="460"/>
      <c r="AV405" s="460"/>
      <c r="AW405" s="460"/>
      <c r="AX405" s="460"/>
      <c r="AY405" s="460"/>
      <c r="AZ405" s="460"/>
      <c r="BA405" s="460"/>
      <c r="BB405" s="460"/>
      <c r="BC405" s="460"/>
      <c r="BD405" s="460"/>
      <c r="BE405" s="460"/>
      <c r="BF405" s="460"/>
      <c r="BG405" s="460"/>
      <c r="BH405" s="460"/>
      <c r="BI405" s="460"/>
      <c r="BJ405" s="460"/>
      <c r="BK405" s="460"/>
      <c r="BL405" s="460"/>
      <c r="BM405" s="460"/>
      <c r="BN405" s="460"/>
      <c r="BO405" s="460"/>
      <c r="BP405" s="460"/>
      <c r="BQ405" s="460"/>
      <c r="BR405" s="460"/>
      <c r="BS405" s="460"/>
      <c r="BT405" s="460"/>
      <c r="BU405" s="460"/>
      <c r="BV405" s="460"/>
      <c r="BW405" s="460"/>
      <c r="BX405" s="460"/>
      <c r="BY405" s="460"/>
      <c r="BZ405" s="460"/>
      <c r="CA405" s="460"/>
      <c r="CB405" s="460"/>
      <c r="CC405" s="460"/>
      <c r="CD405" s="460"/>
      <c r="CE405" s="460"/>
      <c r="CF405" s="460"/>
      <c r="CG405" s="460"/>
      <c r="CH405" s="460"/>
      <c r="CI405" s="460"/>
      <c r="CJ405" s="460"/>
      <c r="CK405" s="460"/>
    </row>
    <row r="406" spans="1:89" s="329" customFormat="1" ht="36" customHeight="1" x14ac:dyDescent="0.25">
      <c r="B406" s="33" t="s">
        <v>109</v>
      </c>
      <c r="C406" s="33"/>
      <c r="D406" s="330" t="s">
        <v>131</v>
      </c>
      <c r="E406" s="330" t="s">
        <v>131</v>
      </c>
      <c r="F406" s="330" t="s">
        <v>131</v>
      </c>
      <c r="G406" s="330" t="s">
        <v>131</v>
      </c>
      <c r="H406" s="330" t="s">
        <v>131</v>
      </c>
      <c r="I406" s="334">
        <f>I407</f>
        <v>613</v>
      </c>
      <c r="J406" s="334">
        <f>J407</f>
        <v>386</v>
      </c>
      <c r="K406" s="334">
        <f>K407</f>
        <v>386</v>
      </c>
      <c r="L406" s="332">
        <f>L407</f>
        <v>32</v>
      </c>
      <c r="M406" s="330" t="s">
        <v>131</v>
      </c>
      <c r="N406" s="330" t="s">
        <v>131</v>
      </c>
      <c r="O406" s="333" t="s">
        <v>131</v>
      </c>
      <c r="P406" s="38">
        <v>2358530.46</v>
      </c>
      <c r="Q406" s="38">
        <f>Q407</f>
        <v>0</v>
      </c>
      <c r="R406" s="38">
        <f>R407</f>
        <v>0</v>
      </c>
      <c r="S406" s="38">
        <f>S407</f>
        <v>2358530.46</v>
      </c>
      <c r="T406" s="38">
        <f t="shared" si="63"/>
        <v>3847.521141924959</v>
      </c>
      <c r="U406" s="38">
        <f>MAX(U407)</f>
        <v>5517.2392292006525</v>
      </c>
      <c r="V406" s="458">
        <f t="shared" si="66"/>
        <v>1669.7180872756935</v>
      </c>
      <c r="W406" s="458"/>
      <c r="X406" s="458"/>
      <c r="Y406" s="459"/>
      <c r="Z406" s="459"/>
      <c r="AA406" s="459"/>
      <c r="AB406" s="459"/>
      <c r="AC406" s="459"/>
      <c r="AD406" s="459"/>
      <c r="AE406" s="459"/>
      <c r="AF406" s="459"/>
      <c r="AG406" s="459"/>
      <c r="AH406" s="459"/>
      <c r="AI406" s="459"/>
      <c r="AJ406" s="459"/>
      <c r="AK406" s="459"/>
      <c r="AL406" s="459"/>
      <c r="AM406" s="459"/>
      <c r="AN406" s="459"/>
      <c r="AO406" s="459"/>
      <c r="AP406" s="460"/>
      <c r="AQ406" s="460"/>
      <c r="AR406" s="460"/>
      <c r="AS406" s="460"/>
      <c r="AT406" s="460"/>
      <c r="AU406" s="460"/>
      <c r="AV406" s="460"/>
      <c r="AW406" s="460"/>
      <c r="AX406" s="460"/>
      <c r="AY406" s="460"/>
      <c r="AZ406" s="460"/>
      <c r="BA406" s="460"/>
      <c r="BB406" s="460"/>
      <c r="BC406" s="460"/>
      <c r="BD406" s="460"/>
      <c r="BE406" s="460"/>
      <c r="BF406" s="460"/>
      <c r="BG406" s="460"/>
      <c r="BH406" s="460"/>
      <c r="BI406" s="460"/>
      <c r="BJ406" s="460"/>
      <c r="BK406" s="460"/>
      <c r="BL406" s="460"/>
      <c r="BM406" s="460"/>
      <c r="BN406" s="460"/>
      <c r="BO406" s="460"/>
      <c r="BP406" s="460"/>
      <c r="BQ406" s="460"/>
      <c r="BR406" s="460"/>
      <c r="BS406" s="460"/>
      <c r="BT406" s="460"/>
      <c r="BU406" s="460"/>
      <c r="BV406" s="460"/>
      <c r="BW406" s="460"/>
      <c r="BX406" s="460"/>
      <c r="BY406" s="460"/>
      <c r="BZ406" s="460"/>
      <c r="CA406" s="460"/>
      <c r="CB406" s="460"/>
      <c r="CC406" s="460"/>
      <c r="CD406" s="460"/>
      <c r="CE406" s="460"/>
      <c r="CF406" s="460"/>
      <c r="CG406" s="460"/>
      <c r="CH406" s="460"/>
      <c r="CI406" s="460"/>
      <c r="CJ406" s="460"/>
      <c r="CK406" s="460"/>
    </row>
    <row r="407" spans="1:89" s="329" customFormat="1" ht="36" customHeight="1" x14ac:dyDescent="0.25">
      <c r="A407" s="329">
        <v>1</v>
      </c>
      <c r="B407" s="39">
        <f>SUBTOTAL(103,$A$16:A407)</f>
        <v>360</v>
      </c>
      <c r="C407" s="33" t="s">
        <v>1342</v>
      </c>
      <c r="D407" s="330">
        <v>1966</v>
      </c>
      <c r="E407" s="330"/>
      <c r="F407" s="331" t="s">
        <v>48</v>
      </c>
      <c r="G407" s="330">
        <v>2</v>
      </c>
      <c r="H407" s="330" t="s">
        <v>56</v>
      </c>
      <c r="I407" s="38">
        <v>613</v>
      </c>
      <c r="J407" s="38">
        <v>386</v>
      </c>
      <c r="K407" s="38">
        <v>386</v>
      </c>
      <c r="L407" s="332">
        <v>32</v>
      </c>
      <c r="M407" s="330" t="s">
        <v>46</v>
      </c>
      <c r="N407" s="330" t="s">
        <v>47</v>
      </c>
      <c r="O407" s="333" t="s">
        <v>49</v>
      </c>
      <c r="P407" s="38">
        <v>2358530.46</v>
      </c>
      <c r="Q407" s="38">
        <v>0</v>
      </c>
      <c r="R407" s="38">
        <v>0</v>
      </c>
      <c r="S407" s="38">
        <f>P407-Q407-R407</f>
        <v>2358530.46</v>
      </c>
      <c r="T407" s="38">
        <f t="shared" si="63"/>
        <v>3847.521141924959</v>
      </c>
      <c r="U407" s="38">
        <v>5517.2392292006525</v>
      </c>
      <c r="V407" s="458">
        <f>U407-T407</f>
        <v>1669.7180872756935</v>
      </c>
      <c r="W407" s="458">
        <f>X407+Y407+Z407+AA407+AB407+AD407+AF407+AH407+AJ407+AL407+AN407+AO407</f>
        <v>6086.2449918433931</v>
      </c>
      <c r="X407" s="458">
        <v>0</v>
      </c>
      <c r="Y407" s="459">
        <v>0</v>
      </c>
      <c r="Z407" s="459">
        <v>0</v>
      </c>
      <c r="AA407" s="459">
        <v>0</v>
      </c>
      <c r="AB407" s="459">
        <v>0</v>
      </c>
      <c r="AC407" s="459">
        <v>0</v>
      </c>
      <c r="AD407" s="459">
        <v>0</v>
      </c>
      <c r="AE407" s="459">
        <v>598</v>
      </c>
      <c r="AF407" s="458">
        <f>6238.91*AE407/I407</f>
        <v>6086.2449918433931</v>
      </c>
      <c r="AG407" s="459">
        <v>0</v>
      </c>
      <c r="AH407" s="458">
        <v>0</v>
      </c>
      <c r="AI407" s="459">
        <v>0</v>
      </c>
      <c r="AJ407" s="458">
        <v>0</v>
      </c>
      <c r="AK407" s="459">
        <v>0</v>
      </c>
      <c r="AL407" s="459">
        <v>0</v>
      </c>
      <c r="AM407" s="459">
        <v>0</v>
      </c>
      <c r="AN407" s="459"/>
      <c r="AO407" s="459">
        <v>0</v>
      </c>
      <c r="AP407" s="460"/>
      <c r="AQ407" s="460"/>
      <c r="AR407" s="460"/>
      <c r="AS407" s="460"/>
      <c r="AT407" s="460"/>
      <c r="AU407" s="460"/>
      <c r="AV407" s="460"/>
      <c r="AW407" s="460"/>
      <c r="AX407" s="460"/>
      <c r="AY407" s="460"/>
      <c r="AZ407" s="460"/>
      <c r="BA407" s="460"/>
      <c r="BB407" s="460"/>
      <c r="BC407" s="460"/>
      <c r="BD407" s="460"/>
      <c r="BE407" s="460"/>
      <c r="BF407" s="460"/>
      <c r="BG407" s="460"/>
      <c r="BH407" s="460"/>
      <c r="BI407" s="460"/>
      <c r="BJ407" s="460"/>
      <c r="BK407" s="460"/>
      <c r="BL407" s="460"/>
      <c r="BM407" s="460"/>
      <c r="BN407" s="460"/>
      <c r="BO407" s="460"/>
      <c r="BP407" s="460"/>
      <c r="BQ407" s="460"/>
      <c r="BR407" s="460"/>
      <c r="BS407" s="460"/>
      <c r="BT407" s="460"/>
      <c r="BU407" s="460"/>
      <c r="BV407" s="460"/>
      <c r="BW407" s="460"/>
      <c r="BX407" s="460"/>
      <c r="BY407" s="460"/>
      <c r="BZ407" s="460"/>
      <c r="CA407" s="460"/>
      <c r="CB407" s="460"/>
      <c r="CC407" s="460"/>
      <c r="CD407" s="460"/>
      <c r="CE407" s="460"/>
      <c r="CF407" s="460"/>
      <c r="CG407" s="460"/>
      <c r="CH407" s="460"/>
      <c r="CI407" s="460"/>
      <c r="CJ407" s="460"/>
      <c r="CK407" s="460"/>
    </row>
    <row r="408" spans="1:89" s="329" customFormat="1" ht="36" customHeight="1" x14ac:dyDescent="0.25">
      <c r="B408" s="33" t="s">
        <v>1343</v>
      </c>
      <c r="C408" s="33"/>
      <c r="D408" s="330" t="s">
        <v>131</v>
      </c>
      <c r="E408" s="330" t="s">
        <v>131</v>
      </c>
      <c r="F408" s="330" t="s">
        <v>131</v>
      </c>
      <c r="G408" s="330" t="s">
        <v>131</v>
      </c>
      <c r="H408" s="330" t="s">
        <v>131</v>
      </c>
      <c r="I408" s="334">
        <f>SUM(I409:I411)</f>
        <v>866.6</v>
      </c>
      <c r="J408" s="334">
        <f t="shared" ref="J408:L408" si="67">SUM(J409:J411)</f>
        <v>817.90000000000009</v>
      </c>
      <c r="K408" s="334">
        <f t="shared" si="67"/>
        <v>794.40000000000009</v>
      </c>
      <c r="L408" s="332">
        <f t="shared" si="67"/>
        <v>34</v>
      </c>
      <c r="M408" s="330" t="s">
        <v>131</v>
      </c>
      <c r="N408" s="330" t="s">
        <v>131</v>
      </c>
      <c r="O408" s="333" t="s">
        <v>131</v>
      </c>
      <c r="P408" s="38">
        <v>190521.97</v>
      </c>
      <c r="Q408" s="38">
        <f t="shared" ref="Q408:S408" si="68">SUM(Q409:Q411)</f>
        <v>0</v>
      </c>
      <c r="R408" s="38">
        <f t="shared" si="68"/>
        <v>0</v>
      </c>
      <c r="S408" s="38">
        <f t="shared" si="68"/>
        <v>190521.97</v>
      </c>
      <c r="T408" s="38">
        <f t="shared" si="63"/>
        <v>219.84995384260327</v>
      </c>
      <c r="U408" s="38">
        <f>MAX(U409:U411)</f>
        <v>282.35302250803863</v>
      </c>
      <c r="V408" s="458">
        <f t="shared" si="66"/>
        <v>62.503068665435364</v>
      </c>
      <c r="W408" s="458"/>
      <c r="X408" s="458"/>
      <c r="Y408" s="459"/>
      <c r="Z408" s="459"/>
      <c r="AA408" s="459"/>
      <c r="AB408" s="459"/>
      <c r="AC408" s="459"/>
      <c r="AD408" s="459"/>
      <c r="AE408" s="459"/>
      <c r="AF408" s="459"/>
      <c r="AG408" s="459"/>
      <c r="AH408" s="459"/>
      <c r="AI408" s="459"/>
      <c r="AJ408" s="459"/>
      <c r="AK408" s="459"/>
      <c r="AL408" s="459"/>
      <c r="AM408" s="459"/>
      <c r="AN408" s="459"/>
      <c r="AO408" s="459"/>
      <c r="AP408" s="460"/>
      <c r="AQ408" s="460"/>
      <c r="AR408" s="460"/>
      <c r="AS408" s="460"/>
      <c r="AT408" s="460"/>
      <c r="AU408" s="460"/>
      <c r="AV408" s="460"/>
      <c r="AW408" s="460"/>
      <c r="AX408" s="460"/>
      <c r="AY408" s="460"/>
      <c r="AZ408" s="460"/>
      <c r="BA408" s="460"/>
      <c r="BB408" s="460"/>
      <c r="BC408" s="460"/>
      <c r="BD408" s="460"/>
      <c r="BE408" s="460"/>
      <c r="BF408" s="460"/>
      <c r="BG408" s="460"/>
      <c r="BH408" s="460"/>
      <c r="BI408" s="460"/>
      <c r="BJ408" s="460"/>
      <c r="BK408" s="460"/>
      <c r="BL408" s="460"/>
      <c r="BM408" s="460"/>
      <c r="BN408" s="460"/>
      <c r="BO408" s="460"/>
      <c r="BP408" s="460"/>
      <c r="BQ408" s="460"/>
      <c r="BR408" s="460"/>
      <c r="BS408" s="460"/>
      <c r="BT408" s="460"/>
      <c r="BU408" s="460"/>
      <c r="BV408" s="460"/>
      <c r="BW408" s="460"/>
      <c r="BX408" s="460"/>
      <c r="BY408" s="460"/>
      <c r="BZ408" s="460"/>
      <c r="CA408" s="460"/>
      <c r="CB408" s="460"/>
      <c r="CC408" s="460"/>
      <c r="CD408" s="460"/>
      <c r="CE408" s="460"/>
      <c r="CF408" s="460"/>
      <c r="CG408" s="460"/>
      <c r="CH408" s="460"/>
      <c r="CI408" s="460"/>
      <c r="CJ408" s="460"/>
      <c r="CK408" s="460"/>
    </row>
    <row r="409" spans="1:89" s="329" customFormat="1" ht="36" customHeight="1" x14ac:dyDescent="0.25">
      <c r="A409" s="329">
        <v>1</v>
      </c>
      <c r="B409" s="39">
        <f>SUBTOTAL(103,$A$16:A409)</f>
        <v>361</v>
      </c>
      <c r="C409" s="33" t="s">
        <v>1344</v>
      </c>
      <c r="D409" s="330">
        <v>1962</v>
      </c>
      <c r="E409" s="330"/>
      <c r="F409" s="331" t="s">
        <v>48</v>
      </c>
      <c r="G409" s="330">
        <v>2</v>
      </c>
      <c r="H409" s="330" t="s">
        <v>57</v>
      </c>
      <c r="I409" s="38">
        <v>311</v>
      </c>
      <c r="J409" s="38">
        <v>311</v>
      </c>
      <c r="K409" s="38">
        <v>287.5</v>
      </c>
      <c r="L409" s="332">
        <v>10</v>
      </c>
      <c r="M409" s="330" t="s">
        <v>46</v>
      </c>
      <c r="N409" s="330" t="s">
        <v>50</v>
      </c>
      <c r="O409" s="333" t="s">
        <v>2079</v>
      </c>
      <c r="P409" s="38">
        <v>87811.790000000008</v>
      </c>
      <c r="Q409" s="38">
        <v>0</v>
      </c>
      <c r="R409" s="38">
        <v>0</v>
      </c>
      <c r="S409" s="38">
        <f>P409-Q409-R409</f>
        <v>87811.790000000008</v>
      </c>
      <c r="T409" s="38">
        <f t="shared" si="63"/>
        <v>282.35302250803863</v>
      </c>
      <c r="U409" s="38">
        <v>282.35302250803863</v>
      </c>
      <c r="V409" s="458">
        <f>U409-T409</f>
        <v>0</v>
      </c>
      <c r="W409" s="458">
        <f>T409</f>
        <v>282.35302250803863</v>
      </c>
      <c r="X409" s="458">
        <v>0</v>
      </c>
      <c r="Y409" s="459">
        <v>0</v>
      </c>
      <c r="Z409" s="459">
        <v>0</v>
      </c>
      <c r="AA409" s="459">
        <v>184.98</v>
      </c>
      <c r="AB409" s="459">
        <v>0</v>
      </c>
      <c r="AC409" s="459">
        <v>0</v>
      </c>
      <c r="AD409" s="459">
        <v>0</v>
      </c>
      <c r="AE409" s="459">
        <v>0</v>
      </c>
      <c r="AF409" s="458">
        <v>0</v>
      </c>
      <c r="AG409" s="459">
        <v>0</v>
      </c>
      <c r="AH409" s="458">
        <v>0</v>
      </c>
      <c r="AI409" s="459">
        <v>0</v>
      </c>
      <c r="AJ409" s="458">
        <v>0</v>
      </c>
      <c r="AK409" s="459">
        <v>0</v>
      </c>
      <c r="AL409" s="459">
        <v>0</v>
      </c>
      <c r="AM409" s="459">
        <v>0</v>
      </c>
      <c r="AN409" s="459"/>
      <c r="AO409" s="459">
        <v>0</v>
      </c>
      <c r="AP409" s="460"/>
      <c r="AQ409" s="460"/>
      <c r="AR409" s="460"/>
      <c r="AS409" s="460"/>
      <c r="AT409" s="460"/>
      <c r="AU409" s="460"/>
      <c r="AV409" s="460"/>
      <c r="AW409" s="460"/>
      <c r="AX409" s="460"/>
      <c r="AY409" s="460"/>
      <c r="AZ409" s="460"/>
      <c r="BA409" s="460"/>
      <c r="BB409" s="460"/>
      <c r="BC409" s="460"/>
      <c r="BD409" s="460"/>
      <c r="BE409" s="460"/>
      <c r="BF409" s="460"/>
      <c r="BG409" s="460"/>
      <c r="BH409" s="460"/>
      <c r="BI409" s="460"/>
      <c r="BJ409" s="460"/>
      <c r="BK409" s="460"/>
      <c r="BL409" s="460"/>
      <c r="BM409" s="460"/>
      <c r="BN409" s="460"/>
      <c r="BO409" s="460"/>
      <c r="BP409" s="460"/>
      <c r="BQ409" s="460"/>
      <c r="BR409" s="460"/>
      <c r="BS409" s="460"/>
      <c r="BT409" s="460"/>
      <c r="BU409" s="460"/>
      <c r="BV409" s="460"/>
      <c r="BW409" s="460"/>
      <c r="BX409" s="460"/>
      <c r="BY409" s="460"/>
      <c r="BZ409" s="460"/>
      <c r="CA409" s="460"/>
      <c r="CB409" s="460"/>
      <c r="CC409" s="460"/>
      <c r="CD409" s="460"/>
      <c r="CE409" s="460"/>
      <c r="CF409" s="460"/>
      <c r="CG409" s="460"/>
      <c r="CH409" s="460"/>
      <c r="CI409" s="460"/>
      <c r="CJ409" s="460"/>
      <c r="CK409" s="460"/>
    </row>
    <row r="410" spans="1:89" s="329" customFormat="1" ht="36" customHeight="1" x14ac:dyDescent="0.25">
      <c r="A410" s="329">
        <v>1</v>
      </c>
      <c r="B410" s="39">
        <f>SUBTOTAL(103,$A$16:A410)</f>
        <v>362</v>
      </c>
      <c r="C410" s="33" t="s">
        <v>1345</v>
      </c>
      <c r="D410" s="330">
        <v>1931</v>
      </c>
      <c r="E410" s="330"/>
      <c r="F410" s="331" t="s">
        <v>48</v>
      </c>
      <c r="G410" s="330">
        <v>2</v>
      </c>
      <c r="H410" s="330" t="s">
        <v>57</v>
      </c>
      <c r="I410" s="38">
        <v>345.1</v>
      </c>
      <c r="J410" s="38">
        <v>319.60000000000002</v>
      </c>
      <c r="K410" s="38">
        <v>319.60000000000002</v>
      </c>
      <c r="L410" s="332">
        <v>9</v>
      </c>
      <c r="M410" s="330" t="s">
        <v>46</v>
      </c>
      <c r="N410" s="330" t="s">
        <v>47</v>
      </c>
      <c r="O410" s="333" t="s">
        <v>49</v>
      </c>
      <c r="P410" s="38">
        <v>56687.56</v>
      </c>
      <c r="Q410" s="38">
        <v>0</v>
      </c>
      <c r="R410" s="38">
        <v>0</v>
      </c>
      <c r="S410" s="38">
        <f>P410-Q410-R410</f>
        <v>56687.56</v>
      </c>
      <c r="T410" s="38">
        <f t="shared" si="63"/>
        <v>164.26415531729933</v>
      </c>
      <c r="U410" s="38">
        <v>164.26415531729933</v>
      </c>
      <c r="V410" s="458">
        <f>U410-T410</f>
        <v>0</v>
      </c>
      <c r="W410" s="458">
        <f>T410</f>
        <v>164.26415531729933</v>
      </c>
      <c r="X410" s="458">
        <v>0</v>
      </c>
      <c r="Y410" s="459">
        <v>0</v>
      </c>
      <c r="Z410" s="459">
        <v>0</v>
      </c>
      <c r="AA410" s="459">
        <v>184.98</v>
      </c>
      <c r="AB410" s="459">
        <v>0</v>
      </c>
      <c r="AC410" s="459">
        <v>0</v>
      </c>
      <c r="AD410" s="459">
        <v>0</v>
      </c>
      <c r="AE410" s="459">
        <v>0</v>
      </c>
      <c r="AF410" s="458">
        <v>0</v>
      </c>
      <c r="AG410" s="459">
        <v>0</v>
      </c>
      <c r="AH410" s="458">
        <v>0</v>
      </c>
      <c r="AI410" s="459">
        <v>0</v>
      </c>
      <c r="AJ410" s="458">
        <v>0</v>
      </c>
      <c r="AK410" s="459">
        <v>0</v>
      </c>
      <c r="AL410" s="459">
        <v>0</v>
      </c>
      <c r="AM410" s="459">
        <v>0</v>
      </c>
      <c r="AN410" s="459"/>
      <c r="AO410" s="459">
        <v>0</v>
      </c>
      <c r="AP410" s="460"/>
      <c r="AQ410" s="460"/>
      <c r="AR410" s="460"/>
      <c r="AS410" s="460"/>
      <c r="AT410" s="460"/>
      <c r="AU410" s="460"/>
      <c r="AV410" s="460"/>
      <c r="AW410" s="460"/>
      <c r="AX410" s="460"/>
      <c r="AY410" s="460"/>
      <c r="AZ410" s="460"/>
      <c r="BA410" s="460"/>
      <c r="BB410" s="460"/>
      <c r="BC410" s="460"/>
      <c r="BD410" s="460"/>
      <c r="BE410" s="460"/>
      <c r="BF410" s="460"/>
      <c r="BG410" s="460"/>
      <c r="BH410" s="460"/>
      <c r="BI410" s="460"/>
      <c r="BJ410" s="460"/>
      <c r="BK410" s="460"/>
      <c r="BL410" s="460"/>
      <c r="BM410" s="460"/>
      <c r="BN410" s="460"/>
      <c r="BO410" s="460"/>
      <c r="BP410" s="460"/>
      <c r="BQ410" s="460"/>
      <c r="BR410" s="460"/>
      <c r="BS410" s="460"/>
      <c r="BT410" s="460"/>
      <c r="BU410" s="460"/>
      <c r="BV410" s="460"/>
      <c r="BW410" s="460"/>
      <c r="BX410" s="460"/>
      <c r="BY410" s="460"/>
      <c r="BZ410" s="460"/>
      <c r="CA410" s="460"/>
      <c r="CB410" s="460"/>
      <c r="CC410" s="460"/>
      <c r="CD410" s="460"/>
      <c r="CE410" s="460"/>
      <c r="CF410" s="460"/>
      <c r="CG410" s="460"/>
      <c r="CH410" s="460"/>
      <c r="CI410" s="460"/>
      <c r="CJ410" s="460"/>
      <c r="CK410" s="460"/>
    </row>
    <row r="411" spans="1:89" s="329" customFormat="1" ht="36" customHeight="1" x14ac:dyDescent="0.25">
      <c r="A411" s="329">
        <v>1</v>
      </c>
      <c r="B411" s="39">
        <f>SUBTOTAL(103,$A$16:A411)</f>
        <v>363</v>
      </c>
      <c r="C411" s="33" t="s">
        <v>1346</v>
      </c>
      <c r="D411" s="330">
        <v>1965</v>
      </c>
      <c r="E411" s="330"/>
      <c r="F411" s="331" t="s">
        <v>48</v>
      </c>
      <c r="G411" s="330">
        <v>2</v>
      </c>
      <c r="H411" s="330" t="s">
        <v>57</v>
      </c>
      <c r="I411" s="38">
        <v>210.5</v>
      </c>
      <c r="J411" s="38">
        <v>187.3</v>
      </c>
      <c r="K411" s="38">
        <v>187.3</v>
      </c>
      <c r="L411" s="332">
        <v>15</v>
      </c>
      <c r="M411" s="330" t="s">
        <v>46</v>
      </c>
      <c r="N411" s="330" t="s">
        <v>50</v>
      </c>
      <c r="O411" s="333" t="s">
        <v>2080</v>
      </c>
      <c r="P411" s="38">
        <v>46022.62</v>
      </c>
      <c r="Q411" s="38">
        <v>0</v>
      </c>
      <c r="R411" s="38">
        <v>0</v>
      </c>
      <c r="S411" s="38">
        <f>P411-Q411-R411</f>
        <v>46022.62</v>
      </c>
      <c r="T411" s="38">
        <f t="shared" si="63"/>
        <v>218.63477434679336</v>
      </c>
      <c r="U411" s="38">
        <v>218.63477434679336</v>
      </c>
      <c r="V411" s="458">
        <f>U411-T411</f>
        <v>0</v>
      </c>
      <c r="W411" s="458">
        <f>T411</f>
        <v>218.63477434679336</v>
      </c>
      <c r="X411" s="458">
        <v>0</v>
      </c>
      <c r="Y411" s="459">
        <v>0</v>
      </c>
      <c r="Z411" s="459">
        <v>0</v>
      </c>
      <c r="AA411" s="459">
        <v>184.98</v>
      </c>
      <c r="AB411" s="459">
        <v>0</v>
      </c>
      <c r="AC411" s="459">
        <v>0</v>
      </c>
      <c r="AD411" s="459">
        <v>0</v>
      </c>
      <c r="AE411" s="459">
        <v>0</v>
      </c>
      <c r="AF411" s="458">
        <v>0</v>
      </c>
      <c r="AG411" s="459">
        <v>0</v>
      </c>
      <c r="AH411" s="458">
        <v>0</v>
      </c>
      <c r="AI411" s="459">
        <v>0</v>
      </c>
      <c r="AJ411" s="458">
        <v>0</v>
      </c>
      <c r="AK411" s="459">
        <v>0</v>
      </c>
      <c r="AL411" s="459">
        <v>0</v>
      </c>
      <c r="AM411" s="459">
        <v>0</v>
      </c>
      <c r="AN411" s="459"/>
      <c r="AO411" s="459">
        <v>0</v>
      </c>
      <c r="AP411" s="460"/>
      <c r="AQ411" s="460"/>
      <c r="AR411" s="460"/>
      <c r="AS411" s="460"/>
      <c r="AT411" s="460"/>
      <c r="AU411" s="460"/>
      <c r="AV411" s="460"/>
      <c r="AW411" s="460"/>
      <c r="AX411" s="460"/>
      <c r="AY411" s="460"/>
      <c r="AZ411" s="460"/>
      <c r="BA411" s="460"/>
      <c r="BB411" s="460"/>
      <c r="BC411" s="460"/>
      <c r="BD411" s="460"/>
      <c r="BE411" s="460"/>
      <c r="BF411" s="460"/>
      <c r="BG411" s="460"/>
      <c r="BH411" s="460"/>
      <c r="BI411" s="460"/>
      <c r="BJ411" s="460"/>
      <c r="BK411" s="460"/>
      <c r="BL411" s="460"/>
      <c r="BM411" s="460"/>
      <c r="BN411" s="460"/>
      <c r="BO411" s="460"/>
      <c r="BP411" s="460"/>
      <c r="BQ411" s="460"/>
      <c r="BR411" s="460"/>
      <c r="BS411" s="460"/>
      <c r="BT411" s="460"/>
      <c r="BU411" s="460"/>
      <c r="BV411" s="460"/>
      <c r="BW411" s="460"/>
      <c r="BX411" s="460"/>
      <c r="BY411" s="460"/>
      <c r="BZ411" s="460"/>
      <c r="CA411" s="460"/>
      <c r="CB411" s="460"/>
      <c r="CC411" s="460"/>
      <c r="CD411" s="460"/>
      <c r="CE411" s="460"/>
      <c r="CF411" s="460"/>
      <c r="CG411" s="460"/>
      <c r="CH411" s="460"/>
      <c r="CI411" s="460"/>
      <c r="CJ411" s="460"/>
      <c r="CK411" s="460"/>
    </row>
    <row r="412" spans="1:89" s="329" customFormat="1" ht="36" customHeight="1" x14ac:dyDescent="0.25">
      <c r="B412" s="33" t="s">
        <v>110</v>
      </c>
      <c r="C412" s="462"/>
      <c r="D412" s="330" t="s">
        <v>131</v>
      </c>
      <c r="E412" s="330" t="s">
        <v>131</v>
      </c>
      <c r="F412" s="330" t="s">
        <v>131</v>
      </c>
      <c r="G412" s="330" t="s">
        <v>131</v>
      </c>
      <c r="H412" s="330" t="s">
        <v>131</v>
      </c>
      <c r="I412" s="334">
        <f>SUM(I413:I415)</f>
        <v>3663.2799999999997</v>
      </c>
      <c r="J412" s="334">
        <f>SUM(J413:J415)</f>
        <v>2787.65</v>
      </c>
      <c r="K412" s="334">
        <f>SUM(K413:K415)</f>
        <v>2473.65</v>
      </c>
      <c r="L412" s="332">
        <f>SUM(L413:L415)</f>
        <v>115</v>
      </c>
      <c r="M412" s="330" t="s">
        <v>131</v>
      </c>
      <c r="N412" s="330" t="s">
        <v>131</v>
      </c>
      <c r="O412" s="333" t="s">
        <v>131</v>
      </c>
      <c r="P412" s="334">
        <v>8700170.3300000001</v>
      </c>
      <c r="Q412" s="334">
        <f>SUM(Q413:Q415)</f>
        <v>0</v>
      </c>
      <c r="R412" s="334">
        <f>SUM(R413:R415)</f>
        <v>0</v>
      </c>
      <c r="S412" s="334">
        <f>SUM(S413:S415)</f>
        <v>8700170.3300000001</v>
      </c>
      <c r="T412" s="38">
        <f t="shared" si="63"/>
        <v>2374.9673325544322</v>
      </c>
      <c r="U412" s="38">
        <f>MAX(U413:U415)</f>
        <v>5533.5324280342193</v>
      </c>
      <c r="V412" s="458">
        <f t="shared" si="66"/>
        <v>3158.565095479787</v>
      </c>
      <c r="W412" s="458"/>
      <c r="X412" s="458"/>
      <c r="Y412" s="459"/>
      <c r="Z412" s="459"/>
      <c r="AA412" s="459"/>
      <c r="AB412" s="459"/>
      <c r="AC412" s="459"/>
      <c r="AD412" s="459"/>
      <c r="AE412" s="459"/>
      <c r="AF412" s="459"/>
      <c r="AG412" s="459"/>
      <c r="AH412" s="459"/>
      <c r="AI412" s="459"/>
      <c r="AJ412" s="459"/>
      <c r="AK412" s="459"/>
      <c r="AL412" s="459"/>
      <c r="AM412" s="459"/>
      <c r="AN412" s="459"/>
      <c r="AO412" s="459"/>
      <c r="AP412" s="460"/>
      <c r="AQ412" s="460"/>
      <c r="AR412" s="460"/>
      <c r="AS412" s="460"/>
      <c r="AT412" s="460"/>
      <c r="AU412" s="460"/>
      <c r="AV412" s="460"/>
      <c r="AW412" s="460"/>
      <c r="AX412" s="460"/>
      <c r="AY412" s="460"/>
      <c r="AZ412" s="460"/>
      <c r="BA412" s="460"/>
      <c r="BB412" s="460"/>
      <c r="BC412" s="460"/>
      <c r="BD412" s="460"/>
      <c r="BE412" s="460"/>
      <c r="BF412" s="460"/>
      <c r="BG412" s="460"/>
      <c r="BH412" s="460"/>
      <c r="BI412" s="460"/>
      <c r="BJ412" s="460"/>
      <c r="BK412" s="460"/>
      <c r="BL412" s="460"/>
      <c r="BM412" s="460"/>
      <c r="BN412" s="460"/>
      <c r="BO412" s="460"/>
      <c r="BP412" s="460"/>
      <c r="BQ412" s="460"/>
      <c r="BR412" s="460"/>
      <c r="BS412" s="460"/>
      <c r="BT412" s="460"/>
      <c r="BU412" s="460"/>
      <c r="BV412" s="460"/>
      <c r="BW412" s="460"/>
      <c r="BX412" s="460"/>
      <c r="BY412" s="460"/>
      <c r="BZ412" s="460"/>
      <c r="CA412" s="460"/>
      <c r="CB412" s="460"/>
      <c r="CC412" s="460"/>
      <c r="CD412" s="460"/>
      <c r="CE412" s="460"/>
      <c r="CF412" s="460"/>
      <c r="CG412" s="460"/>
      <c r="CH412" s="460"/>
      <c r="CI412" s="460"/>
      <c r="CJ412" s="460"/>
      <c r="CK412" s="460"/>
    </row>
    <row r="413" spans="1:89" s="329" customFormat="1" ht="36" customHeight="1" x14ac:dyDescent="0.25">
      <c r="A413" s="329">
        <v>1</v>
      </c>
      <c r="B413" s="39">
        <f>SUBTOTAL(103,$A$16:A413)</f>
        <v>364</v>
      </c>
      <c r="C413" s="33" t="s">
        <v>1064</v>
      </c>
      <c r="D413" s="330">
        <v>1961</v>
      </c>
      <c r="E413" s="330"/>
      <c r="F413" s="331" t="s">
        <v>48</v>
      </c>
      <c r="G413" s="330">
        <v>3</v>
      </c>
      <c r="H413" s="330" t="s">
        <v>56</v>
      </c>
      <c r="I413" s="38">
        <v>1048.3800000000001</v>
      </c>
      <c r="J413" s="38">
        <v>975.35</v>
      </c>
      <c r="K413" s="38">
        <v>975.35</v>
      </c>
      <c r="L413" s="332">
        <v>49</v>
      </c>
      <c r="M413" s="330" t="s">
        <v>46</v>
      </c>
      <c r="N413" s="330" t="s">
        <v>50</v>
      </c>
      <c r="O413" s="333" t="s">
        <v>2081</v>
      </c>
      <c r="P413" s="38">
        <v>1877560.0999999999</v>
      </c>
      <c r="Q413" s="38">
        <v>0</v>
      </c>
      <c r="R413" s="38">
        <v>0</v>
      </c>
      <c r="S413" s="38">
        <f>P413-Q413-R413</f>
        <v>1877560.0999999999</v>
      </c>
      <c r="T413" s="38">
        <f t="shared" si="63"/>
        <v>1790.9156031210055</v>
      </c>
      <c r="U413" s="38">
        <v>3280.213446174097</v>
      </c>
      <c r="V413" s="458">
        <f t="shared" si="66"/>
        <v>1489.2978430530916</v>
      </c>
      <c r="W413" s="458">
        <f t="shared" ref="W413:W414" si="69">X413+Y413+Z413+AA413+AB413+AD413+AF413+AH413+AJ413+AL413+AN413+AO413</f>
        <v>3269.0631548675096</v>
      </c>
      <c r="X413" s="458">
        <v>0</v>
      </c>
      <c r="Y413" s="459">
        <v>0</v>
      </c>
      <c r="Z413" s="459">
        <v>0</v>
      </c>
      <c r="AA413" s="459">
        <v>0</v>
      </c>
      <c r="AB413" s="459">
        <v>0</v>
      </c>
      <c r="AC413" s="459">
        <v>0</v>
      </c>
      <c r="AD413" s="459">
        <v>0</v>
      </c>
      <c r="AE413" s="459">
        <v>549.33000000000004</v>
      </c>
      <c r="AF413" s="458">
        <f>6238.91*AE413/I413</f>
        <v>3269.0631548675096</v>
      </c>
      <c r="AG413" s="459">
        <v>0</v>
      </c>
      <c r="AH413" s="458">
        <v>0</v>
      </c>
      <c r="AI413" s="459">
        <v>0</v>
      </c>
      <c r="AJ413" s="458">
        <v>0</v>
      </c>
      <c r="AK413" s="459">
        <v>0</v>
      </c>
      <c r="AL413" s="459">
        <v>0</v>
      </c>
      <c r="AM413" s="459">
        <v>0</v>
      </c>
      <c r="AN413" s="459"/>
      <c r="AO413" s="459">
        <v>0</v>
      </c>
      <c r="AP413" s="460"/>
      <c r="AQ413" s="460"/>
      <c r="AR413" s="460"/>
      <c r="AS413" s="460"/>
      <c r="AT413" s="460"/>
      <c r="AU413" s="460"/>
      <c r="AV413" s="460"/>
      <c r="AW413" s="460"/>
      <c r="AX413" s="460"/>
      <c r="AY413" s="460"/>
      <c r="AZ413" s="460"/>
      <c r="BA413" s="460"/>
      <c r="BB413" s="460"/>
      <c r="BC413" s="460"/>
      <c r="BD413" s="460"/>
      <c r="BE413" s="460"/>
      <c r="BF413" s="460"/>
      <c r="BG413" s="460"/>
      <c r="BH413" s="460"/>
      <c r="BI413" s="460"/>
      <c r="BJ413" s="460"/>
      <c r="BK413" s="460"/>
      <c r="BL413" s="460"/>
      <c r="BM413" s="460"/>
      <c r="BN413" s="460"/>
      <c r="BO413" s="460"/>
      <c r="BP413" s="460"/>
      <c r="BQ413" s="460"/>
      <c r="BR413" s="460"/>
      <c r="BS413" s="460"/>
      <c r="BT413" s="460"/>
      <c r="BU413" s="460"/>
      <c r="BV413" s="460"/>
      <c r="BW413" s="460"/>
      <c r="BX413" s="460"/>
      <c r="BY413" s="460"/>
      <c r="BZ413" s="460"/>
      <c r="CA413" s="460"/>
      <c r="CB413" s="460"/>
      <c r="CC413" s="460"/>
      <c r="CD413" s="460"/>
      <c r="CE413" s="460"/>
      <c r="CF413" s="460"/>
      <c r="CG413" s="460"/>
      <c r="CH413" s="460"/>
      <c r="CI413" s="460"/>
      <c r="CJ413" s="460"/>
      <c r="CK413" s="460"/>
    </row>
    <row r="414" spans="1:89" s="329" customFormat="1" ht="36" customHeight="1" x14ac:dyDescent="0.25">
      <c r="A414" s="329">
        <v>1</v>
      </c>
      <c r="B414" s="39">
        <f>SUBTOTAL(103,$A$16:A414)</f>
        <v>365</v>
      </c>
      <c r="C414" s="33" t="s">
        <v>1066</v>
      </c>
      <c r="D414" s="330">
        <v>1977</v>
      </c>
      <c r="E414" s="330"/>
      <c r="F414" s="331" t="s">
        <v>48</v>
      </c>
      <c r="G414" s="330">
        <v>2</v>
      </c>
      <c r="H414" s="330" t="s">
        <v>61</v>
      </c>
      <c r="I414" s="38">
        <v>1063.7</v>
      </c>
      <c r="J414" s="38">
        <v>938.3</v>
      </c>
      <c r="K414" s="38">
        <v>938.3</v>
      </c>
      <c r="L414" s="332">
        <v>34</v>
      </c>
      <c r="M414" s="330" t="s">
        <v>46</v>
      </c>
      <c r="N414" s="330" t="s">
        <v>47</v>
      </c>
      <c r="O414" s="333" t="s">
        <v>49</v>
      </c>
      <c r="P414" s="38">
        <v>3555061.2899999996</v>
      </c>
      <c r="Q414" s="38">
        <v>0</v>
      </c>
      <c r="R414" s="38">
        <v>0</v>
      </c>
      <c r="S414" s="38">
        <f>P414-Q414-R414</f>
        <v>3555061.2899999996</v>
      </c>
      <c r="T414" s="38">
        <f t="shared" si="63"/>
        <v>3342.1653567735257</v>
      </c>
      <c r="U414" s="38">
        <v>5533.5324280342193</v>
      </c>
      <c r="V414" s="458">
        <f t="shared" si="66"/>
        <v>2191.3670712606936</v>
      </c>
      <c r="W414" s="458">
        <f t="shared" si="69"/>
        <v>5514.7225244899873</v>
      </c>
      <c r="X414" s="458">
        <v>0</v>
      </c>
      <c r="Y414" s="459">
        <v>0</v>
      </c>
      <c r="Z414" s="459">
        <v>0</v>
      </c>
      <c r="AA414" s="459">
        <v>0</v>
      </c>
      <c r="AB414" s="459">
        <v>0</v>
      </c>
      <c r="AC414" s="459">
        <v>0</v>
      </c>
      <c r="AD414" s="459">
        <v>0</v>
      </c>
      <c r="AE414" s="459">
        <v>940.23</v>
      </c>
      <c r="AF414" s="458">
        <f>6238.91*AE414/I414</f>
        <v>5514.7225244899873</v>
      </c>
      <c r="AG414" s="459">
        <v>0</v>
      </c>
      <c r="AH414" s="458">
        <v>0</v>
      </c>
      <c r="AI414" s="459">
        <v>0</v>
      </c>
      <c r="AJ414" s="458">
        <v>0</v>
      </c>
      <c r="AK414" s="459">
        <v>0</v>
      </c>
      <c r="AL414" s="459">
        <v>0</v>
      </c>
      <c r="AM414" s="459">
        <v>0</v>
      </c>
      <c r="AN414" s="459"/>
      <c r="AO414" s="459">
        <v>0</v>
      </c>
      <c r="AP414" s="460"/>
      <c r="AQ414" s="460"/>
      <c r="AR414" s="460"/>
      <c r="AS414" s="460"/>
      <c r="AT414" s="460"/>
      <c r="AU414" s="460"/>
      <c r="AV414" s="460"/>
      <c r="AW414" s="460"/>
      <c r="AX414" s="460"/>
      <c r="AY414" s="460"/>
      <c r="AZ414" s="460"/>
      <c r="BA414" s="460"/>
      <c r="BB414" s="460"/>
      <c r="BC414" s="460"/>
      <c r="BD414" s="460"/>
      <c r="BE414" s="460"/>
      <c r="BF414" s="460"/>
      <c r="BG414" s="460"/>
      <c r="BH414" s="460"/>
      <c r="BI414" s="460"/>
      <c r="BJ414" s="460"/>
      <c r="BK414" s="460"/>
      <c r="BL414" s="460"/>
      <c r="BM414" s="460"/>
      <c r="BN414" s="460"/>
      <c r="BO414" s="460"/>
      <c r="BP414" s="460"/>
      <c r="BQ414" s="460"/>
      <c r="BR414" s="460"/>
      <c r="BS414" s="460"/>
      <c r="BT414" s="460"/>
      <c r="BU414" s="460"/>
      <c r="BV414" s="460"/>
      <c r="BW414" s="460"/>
      <c r="BX414" s="460"/>
      <c r="BY414" s="460"/>
      <c r="BZ414" s="460"/>
      <c r="CA414" s="460"/>
      <c r="CB414" s="460"/>
      <c r="CC414" s="460"/>
      <c r="CD414" s="460"/>
      <c r="CE414" s="460"/>
      <c r="CF414" s="460"/>
      <c r="CG414" s="460"/>
      <c r="CH414" s="460"/>
      <c r="CI414" s="460"/>
      <c r="CJ414" s="460"/>
      <c r="CK414" s="460"/>
    </row>
    <row r="415" spans="1:89" s="329" customFormat="1" ht="36" customHeight="1" x14ac:dyDescent="0.25">
      <c r="A415" s="329">
        <v>1</v>
      </c>
      <c r="B415" s="39">
        <f>SUBTOTAL(103,$A$16:A415)</f>
        <v>366</v>
      </c>
      <c r="C415" s="33" t="s">
        <v>1167</v>
      </c>
      <c r="D415" s="330">
        <v>1934</v>
      </c>
      <c r="E415" s="330"/>
      <c r="F415" s="331" t="s">
        <v>48</v>
      </c>
      <c r="G415" s="330">
        <v>2</v>
      </c>
      <c r="H415" s="330" t="s">
        <v>61</v>
      </c>
      <c r="I415" s="38">
        <v>1551.2</v>
      </c>
      <c r="J415" s="38">
        <v>874</v>
      </c>
      <c r="K415" s="38">
        <v>560</v>
      </c>
      <c r="L415" s="332">
        <v>32</v>
      </c>
      <c r="M415" s="330" t="s">
        <v>46</v>
      </c>
      <c r="N415" s="330" t="s">
        <v>47</v>
      </c>
      <c r="O415" s="333" t="s">
        <v>49</v>
      </c>
      <c r="P415" s="38">
        <v>3267548.94</v>
      </c>
      <c r="Q415" s="38">
        <v>0</v>
      </c>
      <c r="R415" s="38">
        <v>0</v>
      </c>
      <c r="S415" s="38">
        <f>P415-Q415-R415</f>
        <v>3267548.94</v>
      </c>
      <c r="T415" s="38">
        <f t="shared" si="63"/>
        <v>2106.465278494069</v>
      </c>
      <c r="U415" s="38">
        <v>3258.4305092831351</v>
      </c>
      <c r="V415" s="458">
        <f t="shared" si="66"/>
        <v>1151.965230789066</v>
      </c>
      <c r="W415" s="458">
        <f>T415</f>
        <v>2106.465278494069</v>
      </c>
      <c r="X415" s="458">
        <v>0</v>
      </c>
      <c r="Y415" s="459">
        <v>0</v>
      </c>
      <c r="Z415" s="459">
        <v>0</v>
      </c>
      <c r="AA415" s="459">
        <v>0</v>
      </c>
      <c r="AB415" s="459">
        <v>0</v>
      </c>
      <c r="AC415" s="459">
        <v>0</v>
      </c>
      <c r="AD415" s="459">
        <v>0</v>
      </c>
      <c r="AE415" s="459">
        <v>0</v>
      </c>
      <c r="AF415" s="458">
        <v>0</v>
      </c>
      <c r="AG415" s="459">
        <v>0</v>
      </c>
      <c r="AH415" s="458">
        <v>0</v>
      </c>
      <c r="AI415" s="459">
        <v>0</v>
      </c>
      <c r="AJ415" s="458">
        <v>0</v>
      </c>
      <c r="AK415" s="459">
        <v>0</v>
      </c>
      <c r="AL415" s="459">
        <v>0</v>
      </c>
      <c r="AM415" s="459">
        <v>763.84</v>
      </c>
      <c r="AN415" s="459">
        <f>6984.52*AM415/I415</f>
        <v>3439.3087653429607</v>
      </c>
      <c r="AO415" s="459">
        <v>0</v>
      </c>
      <c r="AP415" s="460"/>
      <c r="AQ415" s="460"/>
      <c r="AR415" s="460"/>
      <c r="AS415" s="460"/>
      <c r="AT415" s="460"/>
      <c r="AU415" s="460"/>
      <c r="AV415" s="460"/>
      <c r="AW415" s="460"/>
      <c r="AX415" s="460"/>
      <c r="AY415" s="460"/>
      <c r="AZ415" s="460"/>
      <c r="BA415" s="460"/>
      <c r="BB415" s="460"/>
      <c r="BC415" s="460"/>
      <c r="BD415" s="460"/>
      <c r="BE415" s="460"/>
      <c r="BF415" s="460"/>
      <c r="BG415" s="460"/>
      <c r="BH415" s="460"/>
      <c r="BI415" s="460"/>
      <c r="BJ415" s="460"/>
      <c r="BK415" s="460"/>
      <c r="BL415" s="460"/>
      <c r="BM415" s="460"/>
      <c r="BN415" s="460"/>
      <c r="BO415" s="460"/>
      <c r="BP415" s="460"/>
      <c r="BQ415" s="460"/>
      <c r="BR415" s="460"/>
      <c r="BS415" s="460"/>
      <c r="BT415" s="460"/>
      <c r="BU415" s="460"/>
      <c r="BV415" s="460"/>
      <c r="BW415" s="460"/>
      <c r="BX415" s="460"/>
      <c r="BY415" s="460"/>
      <c r="BZ415" s="460"/>
      <c r="CA415" s="460"/>
      <c r="CB415" s="460"/>
      <c r="CC415" s="460"/>
      <c r="CD415" s="460"/>
      <c r="CE415" s="460"/>
      <c r="CF415" s="460"/>
      <c r="CG415" s="460"/>
      <c r="CH415" s="460"/>
      <c r="CI415" s="460"/>
      <c r="CJ415" s="460"/>
      <c r="CK415" s="460"/>
    </row>
    <row r="416" spans="1:89" s="329" customFormat="1" ht="36" customHeight="1" x14ac:dyDescent="0.25">
      <c r="B416" s="33" t="s">
        <v>111</v>
      </c>
      <c r="C416" s="462"/>
      <c r="D416" s="330" t="s">
        <v>131</v>
      </c>
      <c r="E416" s="330" t="s">
        <v>131</v>
      </c>
      <c r="F416" s="330" t="s">
        <v>131</v>
      </c>
      <c r="G416" s="330" t="s">
        <v>131</v>
      </c>
      <c r="H416" s="330" t="s">
        <v>131</v>
      </c>
      <c r="I416" s="334">
        <f>I417</f>
        <v>2767.4</v>
      </c>
      <c r="J416" s="334">
        <f>J417</f>
        <v>2688.9</v>
      </c>
      <c r="K416" s="334">
        <f>K417</f>
        <v>2688.9</v>
      </c>
      <c r="L416" s="332">
        <f>L417</f>
        <v>31</v>
      </c>
      <c r="M416" s="330" t="s">
        <v>131</v>
      </c>
      <c r="N416" s="330" t="s">
        <v>131</v>
      </c>
      <c r="O416" s="333" t="s">
        <v>131</v>
      </c>
      <c r="P416" s="38">
        <v>4281723.32</v>
      </c>
      <c r="Q416" s="38">
        <f>Q417</f>
        <v>0</v>
      </c>
      <c r="R416" s="38">
        <f>R417</f>
        <v>2908349.77</v>
      </c>
      <c r="S416" s="38">
        <f>S417</f>
        <v>1373373.5500000003</v>
      </c>
      <c r="T416" s="38">
        <f t="shared" si="63"/>
        <v>1547.2007371540074</v>
      </c>
      <c r="U416" s="38">
        <f>MAX(U417)</f>
        <v>2184.6420801112954</v>
      </c>
      <c r="V416" s="458">
        <f t="shared" si="66"/>
        <v>637.44134295728804</v>
      </c>
      <c r="W416" s="458"/>
      <c r="X416" s="458"/>
      <c r="Y416" s="459"/>
      <c r="Z416" s="459"/>
      <c r="AA416" s="459"/>
      <c r="AB416" s="459"/>
      <c r="AC416" s="459"/>
      <c r="AD416" s="459"/>
      <c r="AE416" s="459"/>
      <c r="AF416" s="459"/>
      <c r="AG416" s="459"/>
      <c r="AH416" s="459"/>
      <c r="AI416" s="459"/>
      <c r="AJ416" s="459"/>
      <c r="AK416" s="459"/>
      <c r="AL416" s="459"/>
      <c r="AM416" s="459"/>
      <c r="AN416" s="459"/>
      <c r="AO416" s="459"/>
      <c r="AP416" s="460"/>
      <c r="AQ416" s="460"/>
      <c r="AR416" s="460"/>
      <c r="AS416" s="460"/>
      <c r="AT416" s="460"/>
      <c r="AU416" s="460"/>
      <c r="AV416" s="460"/>
      <c r="AW416" s="460"/>
      <c r="AX416" s="460"/>
      <c r="AY416" s="460"/>
      <c r="AZ416" s="460"/>
      <c r="BA416" s="460"/>
      <c r="BB416" s="460"/>
      <c r="BC416" s="460"/>
      <c r="BD416" s="460"/>
      <c r="BE416" s="460"/>
      <c r="BF416" s="460"/>
      <c r="BG416" s="460"/>
      <c r="BH416" s="460"/>
      <c r="BI416" s="460"/>
      <c r="BJ416" s="460"/>
      <c r="BK416" s="460"/>
      <c r="BL416" s="460"/>
      <c r="BM416" s="460"/>
      <c r="BN416" s="460"/>
      <c r="BO416" s="460"/>
      <c r="BP416" s="460"/>
      <c r="BQ416" s="460"/>
      <c r="BR416" s="460"/>
      <c r="BS416" s="460"/>
      <c r="BT416" s="460"/>
      <c r="BU416" s="460"/>
      <c r="BV416" s="460"/>
      <c r="BW416" s="460"/>
      <c r="BX416" s="460"/>
      <c r="BY416" s="460"/>
      <c r="BZ416" s="460"/>
      <c r="CA416" s="460"/>
      <c r="CB416" s="460"/>
      <c r="CC416" s="460"/>
      <c r="CD416" s="460"/>
      <c r="CE416" s="460"/>
      <c r="CF416" s="460"/>
      <c r="CG416" s="460"/>
      <c r="CH416" s="460"/>
      <c r="CI416" s="460"/>
      <c r="CJ416" s="460"/>
      <c r="CK416" s="460"/>
    </row>
    <row r="417" spans="1:89" s="329" customFormat="1" ht="36" customHeight="1" x14ac:dyDescent="0.25">
      <c r="A417" s="329">
        <v>1</v>
      </c>
      <c r="B417" s="39">
        <f>SUBTOTAL(103,$A$16:A417)</f>
        <v>367</v>
      </c>
      <c r="C417" s="33" t="s">
        <v>1347</v>
      </c>
      <c r="D417" s="330">
        <v>1979</v>
      </c>
      <c r="E417" s="330"/>
      <c r="F417" s="331" t="s">
        <v>48</v>
      </c>
      <c r="G417" s="330">
        <v>5</v>
      </c>
      <c r="H417" s="330" t="s">
        <v>59</v>
      </c>
      <c r="I417" s="38">
        <v>2767.4</v>
      </c>
      <c r="J417" s="38">
        <v>2688.9</v>
      </c>
      <c r="K417" s="38">
        <v>2688.9</v>
      </c>
      <c r="L417" s="332">
        <v>31</v>
      </c>
      <c r="M417" s="330" t="s">
        <v>46</v>
      </c>
      <c r="N417" s="330" t="s">
        <v>47</v>
      </c>
      <c r="O417" s="333" t="s">
        <v>49</v>
      </c>
      <c r="P417" s="38">
        <v>4281723.32</v>
      </c>
      <c r="Q417" s="38">
        <v>0</v>
      </c>
      <c r="R417" s="38">
        <v>2908349.77</v>
      </c>
      <c r="S417" s="38">
        <f>P417-R417</f>
        <v>1373373.5500000003</v>
      </c>
      <c r="T417" s="38">
        <f t="shared" si="63"/>
        <v>1547.2007371540074</v>
      </c>
      <c r="U417" s="38">
        <v>2184.6420801112954</v>
      </c>
      <c r="V417" s="458">
        <f>U417-T417</f>
        <v>637.44134295728804</v>
      </c>
      <c r="W417" s="458">
        <f>X417+Y417+Z417+AA417+AB417+AD417+AF417+AH417+AJ417+AL417+AN417+AO417</f>
        <v>2502.4174676591742</v>
      </c>
      <c r="X417" s="458">
        <v>0</v>
      </c>
      <c r="Y417" s="459">
        <v>0</v>
      </c>
      <c r="Z417" s="459">
        <v>0</v>
      </c>
      <c r="AA417" s="459">
        <v>0</v>
      </c>
      <c r="AB417" s="459">
        <v>0</v>
      </c>
      <c r="AC417" s="459">
        <v>0</v>
      </c>
      <c r="AD417" s="459">
        <v>0</v>
      </c>
      <c r="AE417" s="459">
        <v>1110</v>
      </c>
      <c r="AF417" s="458">
        <f>6238.91*AE417/I417</f>
        <v>2502.4174676591742</v>
      </c>
      <c r="AG417" s="459">
        <v>0</v>
      </c>
      <c r="AH417" s="458">
        <v>0</v>
      </c>
      <c r="AI417" s="459">
        <v>0</v>
      </c>
      <c r="AJ417" s="458">
        <v>0</v>
      </c>
      <c r="AK417" s="459">
        <v>0</v>
      </c>
      <c r="AL417" s="459">
        <v>0</v>
      </c>
      <c r="AM417" s="459">
        <v>0</v>
      </c>
      <c r="AN417" s="459"/>
      <c r="AO417" s="459">
        <v>0</v>
      </c>
      <c r="AP417" s="460"/>
      <c r="AQ417" s="460"/>
      <c r="AR417" s="460"/>
      <c r="AS417" s="460"/>
      <c r="AT417" s="460"/>
      <c r="AU417" s="460"/>
      <c r="AV417" s="460"/>
      <c r="AW417" s="460"/>
      <c r="AX417" s="460"/>
      <c r="AY417" s="460"/>
      <c r="AZ417" s="460"/>
      <c r="BA417" s="460"/>
      <c r="BB417" s="460"/>
      <c r="BC417" s="460"/>
      <c r="BD417" s="460"/>
      <c r="BE417" s="460"/>
      <c r="BF417" s="460"/>
      <c r="BG417" s="460"/>
      <c r="BH417" s="460"/>
      <c r="BI417" s="460"/>
      <c r="BJ417" s="460"/>
      <c r="BK417" s="460"/>
      <c r="BL417" s="460"/>
      <c r="BM417" s="460"/>
      <c r="BN417" s="460"/>
      <c r="BO417" s="460"/>
      <c r="BP417" s="460"/>
      <c r="BQ417" s="460"/>
      <c r="BR417" s="460"/>
      <c r="BS417" s="460"/>
      <c r="BT417" s="460"/>
      <c r="BU417" s="460"/>
      <c r="BV417" s="460"/>
      <c r="BW417" s="460"/>
      <c r="BX417" s="460"/>
      <c r="BY417" s="460"/>
      <c r="BZ417" s="460"/>
      <c r="CA417" s="460"/>
      <c r="CB417" s="460"/>
      <c r="CC417" s="460"/>
      <c r="CD417" s="460"/>
      <c r="CE417" s="460"/>
      <c r="CF417" s="460"/>
      <c r="CG417" s="460"/>
      <c r="CH417" s="460"/>
      <c r="CI417" s="460"/>
      <c r="CJ417" s="460"/>
      <c r="CK417" s="460"/>
    </row>
    <row r="418" spans="1:89" s="329" customFormat="1" ht="36" customHeight="1" x14ac:dyDescent="0.25">
      <c r="B418" s="33" t="s">
        <v>1348</v>
      </c>
      <c r="C418" s="33"/>
      <c r="D418" s="330" t="s">
        <v>131</v>
      </c>
      <c r="E418" s="330" t="s">
        <v>131</v>
      </c>
      <c r="F418" s="330" t="s">
        <v>131</v>
      </c>
      <c r="G418" s="330" t="s">
        <v>131</v>
      </c>
      <c r="H418" s="330" t="s">
        <v>131</v>
      </c>
      <c r="I418" s="334">
        <f>SUM(I419:I421)</f>
        <v>15666.63</v>
      </c>
      <c r="J418" s="334">
        <f>SUM(J419:J421)</f>
        <v>12577.22</v>
      </c>
      <c r="K418" s="334">
        <f>SUM(K419:K421)</f>
        <v>12577.22</v>
      </c>
      <c r="L418" s="332">
        <f>SUM(L419:L421)</f>
        <v>545</v>
      </c>
      <c r="M418" s="330" t="s">
        <v>131</v>
      </c>
      <c r="N418" s="330" t="s">
        <v>131</v>
      </c>
      <c r="O418" s="333" t="s">
        <v>131</v>
      </c>
      <c r="P418" s="334">
        <v>2517552.7799999993</v>
      </c>
      <c r="Q418" s="334">
        <f>SUM(Q419:Q421)</f>
        <v>0</v>
      </c>
      <c r="R418" s="334">
        <f>SUM(R419:R421)</f>
        <v>0</v>
      </c>
      <c r="S418" s="334">
        <f>SUM(S419:S421)</f>
        <v>2517552.7799999993</v>
      </c>
      <c r="T418" s="38">
        <f t="shared" si="63"/>
        <v>160.69523439310174</v>
      </c>
      <c r="U418" s="38">
        <f>MAX(U419:U421)</f>
        <v>3721.67</v>
      </c>
      <c r="V418" s="458">
        <f t="shared" si="66"/>
        <v>3560.9747656068985</v>
      </c>
      <c r="W418" s="458"/>
      <c r="X418" s="458"/>
      <c r="Y418" s="459"/>
      <c r="Z418" s="459"/>
      <c r="AA418" s="459"/>
      <c r="AB418" s="459"/>
      <c r="AC418" s="459"/>
      <c r="AD418" s="459"/>
      <c r="AE418" s="459"/>
      <c r="AF418" s="459"/>
      <c r="AG418" s="459"/>
      <c r="AH418" s="459"/>
      <c r="AI418" s="459"/>
      <c r="AJ418" s="459"/>
      <c r="AK418" s="459"/>
      <c r="AL418" s="459"/>
      <c r="AM418" s="459"/>
      <c r="AN418" s="459"/>
      <c r="AO418" s="459"/>
      <c r="AP418" s="460"/>
      <c r="AQ418" s="460"/>
      <c r="AR418" s="460"/>
      <c r="AS418" s="460"/>
      <c r="AT418" s="460"/>
      <c r="AU418" s="460"/>
      <c r="AV418" s="460"/>
      <c r="AW418" s="460"/>
      <c r="AX418" s="460"/>
      <c r="AY418" s="460"/>
      <c r="AZ418" s="460"/>
      <c r="BA418" s="460"/>
      <c r="BB418" s="460"/>
      <c r="BC418" s="460"/>
      <c r="BD418" s="460"/>
      <c r="BE418" s="460"/>
      <c r="BF418" s="460"/>
      <c r="BG418" s="460"/>
      <c r="BH418" s="460"/>
      <c r="BI418" s="460"/>
      <c r="BJ418" s="460"/>
      <c r="BK418" s="460"/>
      <c r="BL418" s="460"/>
      <c r="BM418" s="460"/>
      <c r="BN418" s="460"/>
      <c r="BO418" s="460"/>
      <c r="BP418" s="460"/>
      <c r="BQ418" s="460"/>
      <c r="BR418" s="460"/>
      <c r="BS418" s="460"/>
      <c r="BT418" s="460"/>
      <c r="BU418" s="460"/>
      <c r="BV418" s="460"/>
      <c r="BW418" s="460"/>
      <c r="BX418" s="460"/>
      <c r="BY418" s="460"/>
      <c r="BZ418" s="460"/>
      <c r="CA418" s="460"/>
      <c r="CB418" s="460"/>
      <c r="CC418" s="460"/>
      <c r="CD418" s="460"/>
      <c r="CE418" s="460"/>
      <c r="CF418" s="460"/>
      <c r="CG418" s="460"/>
      <c r="CH418" s="460"/>
      <c r="CI418" s="460"/>
      <c r="CJ418" s="460"/>
      <c r="CK418" s="460"/>
    </row>
    <row r="419" spans="1:89" s="329" customFormat="1" ht="36" customHeight="1" x14ac:dyDescent="0.25">
      <c r="A419" s="329">
        <v>1</v>
      </c>
      <c r="B419" s="39">
        <f>SUBTOTAL(103,$A$16:A419)</f>
        <v>368</v>
      </c>
      <c r="C419" s="33" t="s">
        <v>1349</v>
      </c>
      <c r="D419" s="330">
        <v>1976</v>
      </c>
      <c r="E419" s="330"/>
      <c r="F419" s="331" t="s">
        <v>48</v>
      </c>
      <c r="G419" s="330">
        <v>5</v>
      </c>
      <c r="H419" s="330" t="s">
        <v>1969</v>
      </c>
      <c r="I419" s="38">
        <v>4783.1499999999996</v>
      </c>
      <c r="J419" s="38">
        <v>4417.7</v>
      </c>
      <c r="K419" s="38">
        <v>4417.7</v>
      </c>
      <c r="L419" s="332">
        <v>190</v>
      </c>
      <c r="M419" s="330" t="s">
        <v>46</v>
      </c>
      <c r="N419" s="330" t="s">
        <v>50</v>
      </c>
      <c r="O419" s="333" t="s">
        <v>2082</v>
      </c>
      <c r="P419" s="38">
        <v>158769.03</v>
      </c>
      <c r="Q419" s="38">
        <v>0</v>
      </c>
      <c r="R419" s="38">
        <v>0</v>
      </c>
      <c r="S419" s="38">
        <f>P419-Q419-R419</f>
        <v>158769.03</v>
      </c>
      <c r="T419" s="38">
        <f t="shared" si="63"/>
        <v>33.193403928373563</v>
      </c>
      <c r="U419" s="38">
        <v>33.193403928373563</v>
      </c>
      <c r="V419" s="458">
        <f t="shared" si="66"/>
        <v>0</v>
      </c>
      <c r="W419" s="458">
        <f t="shared" ref="W419:W421" si="70">X419+Y419+Z419+AA419+AB419+AD419+AF419+AH419+AJ419+AL419+AN419+AO419</f>
        <v>1852.1794633243783</v>
      </c>
      <c r="X419" s="458">
        <v>0</v>
      </c>
      <c r="Y419" s="459">
        <v>0</v>
      </c>
      <c r="Z419" s="459">
        <v>0</v>
      </c>
      <c r="AA419" s="459">
        <v>0</v>
      </c>
      <c r="AB419" s="459">
        <v>0</v>
      </c>
      <c r="AC419" s="459">
        <v>0</v>
      </c>
      <c r="AD419" s="459">
        <v>0</v>
      </c>
      <c r="AE419" s="459">
        <v>1420</v>
      </c>
      <c r="AF419" s="458">
        <f>6238.91*AE419/I419</f>
        <v>1852.1794633243783</v>
      </c>
      <c r="AG419" s="459">
        <v>0</v>
      </c>
      <c r="AH419" s="458">
        <v>0</v>
      </c>
      <c r="AI419" s="459">
        <v>0</v>
      </c>
      <c r="AJ419" s="458">
        <v>0</v>
      </c>
      <c r="AK419" s="459">
        <v>0</v>
      </c>
      <c r="AL419" s="459">
        <v>0</v>
      </c>
      <c r="AM419" s="459">
        <v>0</v>
      </c>
      <c r="AN419" s="459"/>
      <c r="AO419" s="459">
        <v>0</v>
      </c>
      <c r="AP419" s="460"/>
      <c r="AQ419" s="460"/>
      <c r="AR419" s="460"/>
      <c r="AS419" s="460"/>
      <c r="AT419" s="460"/>
      <c r="AU419" s="460"/>
      <c r="AV419" s="460"/>
      <c r="AW419" s="460"/>
      <c r="AX419" s="460"/>
      <c r="AY419" s="460"/>
      <c r="AZ419" s="460"/>
      <c r="BA419" s="460"/>
      <c r="BB419" s="460"/>
      <c r="BC419" s="460"/>
      <c r="BD419" s="460"/>
      <c r="BE419" s="460"/>
      <c r="BF419" s="460"/>
      <c r="BG419" s="460"/>
      <c r="BH419" s="460"/>
      <c r="BI419" s="460"/>
      <c r="BJ419" s="460"/>
      <c r="BK419" s="460"/>
      <c r="BL419" s="460"/>
      <c r="BM419" s="460"/>
      <c r="BN419" s="460"/>
      <c r="BO419" s="460"/>
      <c r="BP419" s="460"/>
      <c r="BQ419" s="460"/>
      <c r="BR419" s="460"/>
      <c r="BS419" s="460"/>
      <c r="BT419" s="460"/>
      <c r="BU419" s="460"/>
      <c r="BV419" s="460"/>
      <c r="BW419" s="460"/>
      <c r="BX419" s="460"/>
      <c r="BY419" s="460"/>
      <c r="BZ419" s="460"/>
      <c r="CA419" s="460"/>
      <c r="CB419" s="460"/>
      <c r="CC419" s="460"/>
      <c r="CD419" s="460"/>
      <c r="CE419" s="460"/>
      <c r="CF419" s="460"/>
      <c r="CG419" s="460"/>
      <c r="CH419" s="460"/>
      <c r="CI419" s="460"/>
      <c r="CJ419" s="460"/>
      <c r="CK419" s="460"/>
    </row>
    <row r="420" spans="1:89" s="329" customFormat="1" ht="36" customHeight="1" x14ac:dyDescent="0.25">
      <c r="A420" s="329">
        <v>1</v>
      </c>
      <c r="B420" s="39">
        <f>SUBTOTAL(103,$A$16:A420)</f>
        <v>369</v>
      </c>
      <c r="C420" s="33" t="s">
        <v>1350</v>
      </c>
      <c r="D420" s="330">
        <v>1969</v>
      </c>
      <c r="E420" s="330"/>
      <c r="F420" s="331" t="s">
        <v>48</v>
      </c>
      <c r="G420" s="330">
        <v>5</v>
      </c>
      <c r="H420" s="330" t="s">
        <v>56</v>
      </c>
      <c r="I420" s="38">
        <v>3712.73</v>
      </c>
      <c r="J420" s="38">
        <v>3066.62</v>
      </c>
      <c r="K420" s="38">
        <v>3066.62</v>
      </c>
      <c r="L420" s="332">
        <v>137</v>
      </c>
      <c r="M420" s="330" t="s">
        <v>46</v>
      </c>
      <c r="N420" s="330" t="s">
        <v>50</v>
      </c>
      <c r="O420" s="333" t="s">
        <v>2083</v>
      </c>
      <c r="P420" s="38">
        <v>2234561.9299999997</v>
      </c>
      <c r="Q420" s="38">
        <v>0</v>
      </c>
      <c r="R420" s="38">
        <v>0</v>
      </c>
      <c r="S420" s="38">
        <f>P420-Q420-R420</f>
        <v>2234561.9299999997</v>
      </c>
      <c r="T420" s="38">
        <f t="shared" si="63"/>
        <v>601.86491611294105</v>
      </c>
      <c r="U420" s="38">
        <v>3721.67</v>
      </c>
      <c r="V420" s="458">
        <f t="shared" si="66"/>
        <v>3119.805083887059</v>
      </c>
      <c r="W420" s="458">
        <f t="shared" si="70"/>
        <v>3791.6299999999997</v>
      </c>
      <c r="X420" s="458">
        <v>101.55</v>
      </c>
      <c r="Y420" s="459">
        <v>245.44</v>
      </c>
      <c r="Z420" s="459">
        <v>3259.66</v>
      </c>
      <c r="AA420" s="459">
        <v>184.98</v>
      </c>
      <c r="AB420" s="459">
        <v>0</v>
      </c>
      <c r="AC420" s="459">
        <v>0</v>
      </c>
      <c r="AD420" s="459">
        <v>0</v>
      </c>
      <c r="AE420" s="459">
        <v>0</v>
      </c>
      <c r="AF420" s="458">
        <v>0</v>
      </c>
      <c r="AG420" s="459">
        <v>0</v>
      </c>
      <c r="AH420" s="458">
        <v>0</v>
      </c>
      <c r="AI420" s="459">
        <v>0</v>
      </c>
      <c r="AJ420" s="458">
        <v>0</v>
      </c>
      <c r="AK420" s="459">
        <v>0</v>
      </c>
      <c r="AL420" s="459">
        <v>0</v>
      </c>
      <c r="AM420" s="459">
        <v>0</v>
      </c>
      <c r="AN420" s="459"/>
      <c r="AO420" s="459">
        <v>0</v>
      </c>
      <c r="AP420" s="460"/>
      <c r="AQ420" s="460"/>
      <c r="AR420" s="460"/>
      <c r="AS420" s="460"/>
      <c r="AT420" s="460"/>
      <c r="AU420" s="460"/>
      <c r="AV420" s="460"/>
      <c r="AW420" s="460"/>
      <c r="AX420" s="460"/>
      <c r="AY420" s="460"/>
      <c r="AZ420" s="460"/>
      <c r="BA420" s="460"/>
      <c r="BB420" s="460"/>
      <c r="BC420" s="460"/>
      <c r="BD420" s="460"/>
      <c r="BE420" s="460"/>
      <c r="BF420" s="460"/>
      <c r="BG420" s="460"/>
      <c r="BH420" s="460"/>
      <c r="BI420" s="460"/>
      <c r="BJ420" s="460"/>
      <c r="BK420" s="460"/>
      <c r="BL420" s="460"/>
      <c r="BM420" s="460"/>
      <c r="BN420" s="460"/>
      <c r="BO420" s="460"/>
      <c r="BP420" s="460"/>
      <c r="BQ420" s="460"/>
      <c r="BR420" s="460"/>
      <c r="BS420" s="460"/>
      <c r="BT420" s="460"/>
      <c r="BU420" s="460"/>
      <c r="BV420" s="460"/>
      <c r="BW420" s="460"/>
      <c r="BX420" s="460"/>
      <c r="BY420" s="460"/>
      <c r="BZ420" s="460"/>
      <c r="CA420" s="460"/>
      <c r="CB420" s="460"/>
      <c r="CC420" s="460"/>
      <c r="CD420" s="460"/>
      <c r="CE420" s="460"/>
      <c r="CF420" s="460"/>
      <c r="CG420" s="460"/>
      <c r="CH420" s="460"/>
      <c r="CI420" s="460"/>
      <c r="CJ420" s="460"/>
      <c r="CK420" s="460"/>
    </row>
    <row r="421" spans="1:89" s="329" customFormat="1" ht="36" customHeight="1" x14ac:dyDescent="0.25">
      <c r="A421" s="329">
        <v>1</v>
      </c>
      <c r="B421" s="39">
        <f>SUBTOTAL(103,$A$16:A421)</f>
        <v>370</v>
      </c>
      <c r="C421" s="33" t="s">
        <v>1351</v>
      </c>
      <c r="D421" s="330">
        <v>1981</v>
      </c>
      <c r="E421" s="330"/>
      <c r="F421" s="331" t="s">
        <v>48</v>
      </c>
      <c r="G421" s="330">
        <v>5</v>
      </c>
      <c r="H421" s="330" t="s">
        <v>1961</v>
      </c>
      <c r="I421" s="38">
        <v>7170.75</v>
      </c>
      <c r="J421" s="38">
        <v>5092.8999999999996</v>
      </c>
      <c r="K421" s="38">
        <v>5092.8999999999996</v>
      </c>
      <c r="L421" s="332">
        <v>218</v>
      </c>
      <c r="M421" s="330" t="s">
        <v>46</v>
      </c>
      <c r="N421" s="330" t="s">
        <v>50</v>
      </c>
      <c r="O421" s="333" t="s">
        <v>2082</v>
      </c>
      <c r="P421" s="38">
        <v>124221.82</v>
      </c>
      <c r="Q421" s="38">
        <v>0</v>
      </c>
      <c r="R421" s="38">
        <v>0</v>
      </c>
      <c r="S421" s="38">
        <f>P421-R421-Q421</f>
        <v>124221.82</v>
      </c>
      <c r="T421" s="38">
        <f t="shared" si="63"/>
        <v>17.323406896070843</v>
      </c>
      <c r="U421" s="38">
        <v>17.323406896070843</v>
      </c>
      <c r="V421" s="458">
        <f t="shared" si="66"/>
        <v>0</v>
      </c>
      <c r="W421" s="458">
        <f t="shared" si="70"/>
        <v>1184.137853083708</v>
      </c>
      <c r="X421" s="458">
        <v>0</v>
      </c>
      <c r="Y421" s="459">
        <v>0</v>
      </c>
      <c r="Z421" s="459">
        <v>0</v>
      </c>
      <c r="AA421" s="459">
        <v>0</v>
      </c>
      <c r="AB421" s="459">
        <v>0</v>
      </c>
      <c r="AC421" s="459">
        <v>0</v>
      </c>
      <c r="AD421" s="459">
        <v>0</v>
      </c>
      <c r="AE421" s="459">
        <v>1361</v>
      </c>
      <c r="AF421" s="458">
        <f>6238.91*AE421/I421</f>
        <v>1184.137853083708</v>
      </c>
      <c r="AG421" s="459">
        <v>0</v>
      </c>
      <c r="AH421" s="458">
        <v>0</v>
      </c>
      <c r="AI421" s="459">
        <v>0</v>
      </c>
      <c r="AJ421" s="458">
        <v>0</v>
      </c>
      <c r="AK421" s="459">
        <v>0</v>
      </c>
      <c r="AL421" s="459">
        <v>0</v>
      </c>
      <c r="AM421" s="459">
        <v>0</v>
      </c>
      <c r="AN421" s="459"/>
      <c r="AO421" s="459">
        <v>0</v>
      </c>
      <c r="AP421" s="460"/>
      <c r="AQ421" s="460"/>
      <c r="AR421" s="460"/>
      <c r="AS421" s="460"/>
      <c r="AT421" s="460"/>
      <c r="AU421" s="460"/>
      <c r="AV421" s="460"/>
      <c r="AW421" s="460"/>
      <c r="AX421" s="460"/>
      <c r="AY421" s="460"/>
      <c r="AZ421" s="460"/>
      <c r="BA421" s="460"/>
      <c r="BB421" s="460"/>
      <c r="BC421" s="460"/>
      <c r="BD421" s="460"/>
      <c r="BE421" s="460"/>
      <c r="BF421" s="460"/>
      <c r="BG421" s="460"/>
      <c r="BH421" s="460"/>
      <c r="BI421" s="460"/>
      <c r="BJ421" s="460"/>
      <c r="BK421" s="460"/>
      <c r="BL421" s="460"/>
      <c r="BM421" s="460"/>
      <c r="BN421" s="460"/>
      <c r="BO421" s="460"/>
      <c r="BP421" s="460"/>
      <c r="BQ421" s="460"/>
      <c r="BR421" s="460"/>
      <c r="BS421" s="460"/>
      <c r="BT421" s="460"/>
      <c r="BU421" s="460"/>
      <c r="BV421" s="460"/>
      <c r="BW421" s="460"/>
      <c r="BX421" s="460"/>
      <c r="BY421" s="460"/>
      <c r="BZ421" s="460"/>
      <c r="CA421" s="460"/>
      <c r="CB421" s="460"/>
      <c r="CC421" s="460"/>
      <c r="CD421" s="460"/>
      <c r="CE421" s="460"/>
      <c r="CF421" s="460"/>
      <c r="CG421" s="460"/>
      <c r="CH421" s="460"/>
      <c r="CI421" s="460"/>
      <c r="CJ421" s="460"/>
      <c r="CK421" s="460"/>
    </row>
    <row r="422" spans="1:89" s="329" customFormat="1" ht="36" customHeight="1" x14ac:dyDescent="0.25">
      <c r="B422" s="33" t="s">
        <v>112</v>
      </c>
      <c r="C422" s="33"/>
      <c r="D422" s="330" t="s">
        <v>131</v>
      </c>
      <c r="E422" s="330" t="s">
        <v>131</v>
      </c>
      <c r="F422" s="330" t="s">
        <v>131</v>
      </c>
      <c r="G422" s="330" t="s">
        <v>131</v>
      </c>
      <c r="H422" s="330" t="s">
        <v>131</v>
      </c>
      <c r="I422" s="334">
        <f>SUM(I423:I428)</f>
        <v>14224.350000000002</v>
      </c>
      <c r="J422" s="334">
        <f>SUM(J423:J428)</f>
        <v>11894.25</v>
      </c>
      <c r="K422" s="334">
        <f>SUM(K423:K428)</f>
        <v>11435.45</v>
      </c>
      <c r="L422" s="332">
        <f>SUM(L423:L428)</f>
        <v>742</v>
      </c>
      <c r="M422" s="330" t="s">
        <v>131</v>
      </c>
      <c r="N422" s="330" t="s">
        <v>131</v>
      </c>
      <c r="O422" s="333" t="s">
        <v>131</v>
      </c>
      <c r="P422" s="334">
        <v>19738892.760000002</v>
      </c>
      <c r="Q422" s="334">
        <f>SUM(Q423:Q428)</f>
        <v>0</v>
      </c>
      <c r="R422" s="334">
        <f>SUM(R423:R428)</f>
        <v>0</v>
      </c>
      <c r="S422" s="334">
        <f>SUM(S423:S428)</f>
        <v>19738892.760000002</v>
      </c>
      <c r="T422" s="38">
        <f t="shared" si="63"/>
        <v>1387.68328675827</v>
      </c>
      <c r="U422" s="38">
        <f>MAX(U423:U428)</f>
        <v>6123.0721713300127</v>
      </c>
      <c r="V422" s="458">
        <f t="shared" si="66"/>
        <v>4735.3888845717429</v>
      </c>
      <c r="W422" s="458"/>
      <c r="X422" s="458"/>
      <c r="Y422" s="459"/>
      <c r="Z422" s="459"/>
      <c r="AA422" s="459"/>
      <c r="AB422" s="459"/>
      <c r="AC422" s="459"/>
      <c r="AD422" s="459"/>
      <c r="AE422" s="459"/>
      <c r="AF422" s="459"/>
      <c r="AG422" s="459"/>
      <c r="AH422" s="459"/>
      <c r="AI422" s="459"/>
      <c r="AJ422" s="459"/>
      <c r="AK422" s="459"/>
      <c r="AL422" s="459"/>
      <c r="AM422" s="459"/>
      <c r="AN422" s="459"/>
      <c r="AO422" s="459"/>
      <c r="AP422" s="460"/>
      <c r="AQ422" s="460"/>
      <c r="AR422" s="460"/>
      <c r="AS422" s="460"/>
      <c r="AT422" s="460"/>
      <c r="AU422" s="460"/>
      <c r="AV422" s="460"/>
      <c r="AW422" s="460"/>
      <c r="AX422" s="460"/>
      <c r="AY422" s="460"/>
      <c r="AZ422" s="460"/>
      <c r="BA422" s="460"/>
      <c r="BB422" s="460"/>
      <c r="BC422" s="460"/>
      <c r="BD422" s="460"/>
      <c r="BE422" s="460"/>
      <c r="BF422" s="460"/>
      <c r="BG422" s="460"/>
      <c r="BH422" s="460"/>
      <c r="BI422" s="460"/>
      <c r="BJ422" s="460"/>
      <c r="BK422" s="460"/>
      <c r="BL422" s="460"/>
      <c r="BM422" s="460"/>
      <c r="BN422" s="460"/>
      <c r="BO422" s="460"/>
      <c r="BP422" s="460"/>
      <c r="BQ422" s="460"/>
      <c r="BR422" s="460"/>
      <c r="BS422" s="460"/>
      <c r="BT422" s="460"/>
      <c r="BU422" s="460"/>
      <c r="BV422" s="460"/>
      <c r="BW422" s="460"/>
      <c r="BX422" s="460"/>
      <c r="BY422" s="460"/>
      <c r="BZ422" s="460"/>
      <c r="CA422" s="460"/>
      <c r="CB422" s="460"/>
      <c r="CC422" s="460"/>
      <c r="CD422" s="460"/>
      <c r="CE422" s="460"/>
      <c r="CF422" s="460"/>
      <c r="CG422" s="460"/>
      <c r="CH422" s="460"/>
      <c r="CI422" s="460"/>
      <c r="CJ422" s="460"/>
      <c r="CK422" s="460"/>
    </row>
    <row r="423" spans="1:89" s="329" customFormat="1" ht="36" customHeight="1" x14ac:dyDescent="0.25">
      <c r="A423" s="329">
        <v>1</v>
      </c>
      <c r="B423" s="39">
        <f>SUBTOTAL(103,$A$16:A423)</f>
        <v>371</v>
      </c>
      <c r="C423" s="33" t="s">
        <v>1352</v>
      </c>
      <c r="D423" s="330">
        <v>1964</v>
      </c>
      <c r="E423" s="330"/>
      <c r="F423" s="331" t="s">
        <v>48</v>
      </c>
      <c r="G423" s="330">
        <v>3</v>
      </c>
      <c r="H423" s="330" t="s">
        <v>56</v>
      </c>
      <c r="I423" s="38">
        <v>961.6</v>
      </c>
      <c r="J423" s="38">
        <v>723.4</v>
      </c>
      <c r="K423" s="38">
        <v>723.4</v>
      </c>
      <c r="L423" s="332">
        <v>25</v>
      </c>
      <c r="M423" s="330" t="s">
        <v>46</v>
      </c>
      <c r="N423" s="330" t="s">
        <v>50</v>
      </c>
      <c r="O423" s="333" t="s">
        <v>2084</v>
      </c>
      <c r="P423" s="38">
        <v>106790.64</v>
      </c>
      <c r="Q423" s="38">
        <v>0</v>
      </c>
      <c r="R423" s="38">
        <v>0</v>
      </c>
      <c r="S423" s="38">
        <f t="shared" ref="S423:S428" si="71">P423-Q423-R423</f>
        <v>106790.64</v>
      </c>
      <c r="T423" s="38">
        <f t="shared" si="63"/>
        <v>111.05515806988352</v>
      </c>
      <c r="U423" s="38">
        <v>111.05515806988352</v>
      </c>
      <c r="V423" s="458">
        <f t="shared" si="66"/>
        <v>0</v>
      </c>
      <c r="W423" s="458">
        <f t="shared" ref="W423:W428" si="72">X423+Y423+Z423+AA423+AB423+AD423+AF423+AH423+AJ423+AL423+AN423+AO423</f>
        <v>4066.0616649334447</v>
      </c>
      <c r="X423" s="458">
        <v>0</v>
      </c>
      <c r="Y423" s="459">
        <v>0</v>
      </c>
      <c r="Z423" s="459">
        <v>0</v>
      </c>
      <c r="AA423" s="459">
        <v>0</v>
      </c>
      <c r="AB423" s="459">
        <v>0</v>
      </c>
      <c r="AC423" s="459">
        <v>0</v>
      </c>
      <c r="AD423" s="459">
        <v>0</v>
      </c>
      <c r="AE423" s="459">
        <v>626.70000000000005</v>
      </c>
      <c r="AF423" s="458">
        <f>6238.91*AE423/I423</f>
        <v>4066.0616649334447</v>
      </c>
      <c r="AG423" s="459">
        <v>0</v>
      </c>
      <c r="AH423" s="458">
        <v>0</v>
      </c>
      <c r="AI423" s="459">
        <v>0</v>
      </c>
      <c r="AJ423" s="458">
        <v>0</v>
      </c>
      <c r="AK423" s="459">
        <v>0</v>
      </c>
      <c r="AL423" s="459">
        <v>0</v>
      </c>
      <c r="AM423" s="459">
        <v>0</v>
      </c>
      <c r="AN423" s="459"/>
      <c r="AO423" s="459">
        <v>0</v>
      </c>
      <c r="AP423" s="460"/>
      <c r="AQ423" s="460"/>
      <c r="AR423" s="460"/>
      <c r="AS423" s="460"/>
      <c r="AT423" s="460"/>
      <c r="AU423" s="460"/>
      <c r="AV423" s="460"/>
      <c r="AW423" s="460"/>
      <c r="AX423" s="460"/>
      <c r="AY423" s="460"/>
      <c r="AZ423" s="460"/>
      <c r="BA423" s="460"/>
      <c r="BB423" s="460"/>
      <c r="BC423" s="460"/>
      <c r="BD423" s="460"/>
      <c r="BE423" s="460"/>
      <c r="BF423" s="460"/>
      <c r="BG423" s="460"/>
      <c r="BH423" s="460"/>
      <c r="BI423" s="460"/>
      <c r="BJ423" s="460"/>
      <c r="BK423" s="460"/>
      <c r="BL423" s="460"/>
      <c r="BM423" s="460"/>
      <c r="BN423" s="460"/>
      <c r="BO423" s="460"/>
      <c r="BP423" s="460"/>
      <c r="BQ423" s="460"/>
      <c r="BR423" s="460"/>
      <c r="BS423" s="460"/>
      <c r="BT423" s="460"/>
      <c r="BU423" s="460"/>
      <c r="BV423" s="460"/>
      <c r="BW423" s="460"/>
      <c r="BX423" s="460"/>
      <c r="BY423" s="460"/>
      <c r="BZ423" s="460"/>
      <c r="CA423" s="460"/>
      <c r="CB423" s="460"/>
      <c r="CC423" s="460"/>
      <c r="CD423" s="460"/>
      <c r="CE423" s="460"/>
      <c r="CF423" s="460"/>
      <c r="CG423" s="460"/>
      <c r="CH423" s="460"/>
      <c r="CI423" s="460"/>
      <c r="CJ423" s="460"/>
      <c r="CK423" s="460"/>
    </row>
    <row r="424" spans="1:89" s="329" customFormat="1" ht="36" customHeight="1" x14ac:dyDescent="0.25">
      <c r="A424" s="329">
        <v>1</v>
      </c>
      <c r="B424" s="39">
        <f>SUBTOTAL(103,$A$16:A424)</f>
        <v>372</v>
      </c>
      <c r="C424" s="33" t="s">
        <v>1353</v>
      </c>
      <c r="D424" s="330">
        <v>1989</v>
      </c>
      <c r="E424" s="330"/>
      <c r="F424" s="331" t="s">
        <v>48</v>
      </c>
      <c r="G424" s="330">
        <v>4</v>
      </c>
      <c r="H424" s="330" t="s">
        <v>57</v>
      </c>
      <c r="I424" s="38">
        <v>1871.3</v>
      </c>
      <c r="J424" s="38">
        <v>779.1</v>
      </c>
      <c r="K424" s="38">
        <v>779.1</v>
      </c>
      <c r="L424" s="332">
        <v>88</v>
      </c>
      <c r="M424" s="330" t="s">
        <v>46</v>
      </c>
      <c r="N424" s="330" t="s">
        <v>47</v>
      </c>
      <c r="O424" s="333" t="s">
        <v>49</v>
      </c>
      <c r="P424" s="38">
        <v>2608899.37</v>
      </c>
      <c r="Q424" s="38">
        <v>0</v>
      </c>
      <c r="R424" s="38">
        <v>0</v>
      </c>
      <c r="S424" s="38">
        <f t="shared" si="71"/>
        <v>2608899.37</v>
      </c>
      <c r="T424" s="38">
        <f t="shared" si="63"/>
        <v>1394.1641479185594</v>
      </c>
      <c r="U424" s="38">
        <v>2070.7837385774596</v>
      </c>
      <c r="V424" s="458">
        <f t="shared" si="66"/>
        <v>676.61959065890028</v>
      </c>
      <c r="W424" s="458">
        <f t="shared" si="72"/>
        <v>2147.0945545877198</v>
      </c>
      <c r="X424" s="458">
        <v>0</v>
      </c>
      <c r="Y424" s="459">
        <v>0</v>
      </c>
      <c r="Z424" s="459">
        <v>0</v>
      </c>
      <c r="AA424" s="459">
        <v>0</v>
      </c>
      <c r="AB424" s="459">
        <v>0</v>
      </c>
      <c r="AC424" s="459">
        <v>0</v>
      </c>
      <c r="AD424" s="459">
        <v>0</v>
      </c>
      <c r="AE424" s="459">
        <v>644</v>
      </c>
      <c r="AF424" s="458">
        <f>6238.91*AE424/I424</f>
        <v>2147.0945545877198</v>
      </c>
      <c r="AG424" s="459">
        <v>0</v>
      </c>
      <c r="AH424" s="458">
        <v>0</v>
      </c>
      <c r="AI424" s="459">
        <v>0</v>
      </c>
      <c r="AJ424" s="458">
        <v>0</v>
      </c>
      <c r="AK424" s="459">
        <v>0</v>
      </c>
      <c r="AL424" s="459">
        <v>0</v>
      </c>
      <c r="AM424" s="459">
        <v>0</v>
      </c>
      <c r="AN424" s="459"/>
      <c r="AO424" s="459">
        <v>0</v>
      </c>
      <c r="AP424" s="460"/>
      <c r="AQ424" s="460"/>
      <c r="AR424" s="460"/>
      <c r="AS424" s="460"/>
      <c r="AT424" s="460"/>
      <c r="AU424" s="460"/>
      <c r="AV424" s="460"/>
      <c r="AW424" s="460"/>
      <c r="AX424" s="460"/>
      <c r="AY424" s="460"/>
      <c r="AZ424" s="460"/>
      <c r="BA424" s="460"/>
      <c r="BB424" s="460"/>
      <c r="BC424" s="460"/>
      <c r="BD424" s="460"/>
      <c r="BE424" s="460"/>
      <c r="BF424" s="460"/>
      <c r="BG424" s="460"/>
      <c r="BH424" s="460"/>
      <c r="BI424" s="460"/>
      <c r="BJ424" s="460"/>
      <c r="BK424" s="460"/>
      <c r="BL424" s="460"/>
      <c r="BM424" s="460"/>
      <c r="BN424" s="460"/>
      <c r="BO424" s="460"/>
      <c r="BP424" s="460"/>
      <c r="BQ424" s="460"/>
      <c r="BR424" s="460"/>
      <c r="BS424" s="460"/>
      <c r="BT424" s="460"/>
      <c r="BU424" s="460"/>
      <c r="BV424" s="460"/>
      <c r="BW424" s="460"/>
      <c r="BX424" s="460"/>
      <c r="BY424" s="460"/>
      <c r="BZ424" s="460"/>
      <c r="CA424" s="460"/>
      <c r="CB424" s="460"/>
      <c r="CC424" s="460"/>
      <c r="CD424" s="460"/>
      <c r="CE424" s="460"/>
      <c r="CF424" s="460"/>
      <c r="CG424" s="460"/>
      <c r="CH424" s="460"/>
      <c r="CI424" s="460"/>
      <c r="CJ424" s="460"/>
      <c r="CK424" s="460"/>
    </row>
    <row r="425" spans="1:89" s="329" customFormat="1" ht="36" customHeight="1" x14ac:dyDescent="0.25">
      <c r="A425" s="329">
        <v>1</v>
      </c>
      <c r="B425" s="39">
        <f>SUBTOTAL(103,$A$16:A425)</f>
        <v>373</v>
      </c>
      <c r="C425" s="33" t="s">
        <v>1354</v>
      </c>
      <c r="D425" s="330">
        <v>1977</v>
      </c>
      <c r="E425" s="330"/>
      <c r="F425" s="331" t="s">
        <v>48</v>
      </c>
      <c r="G425" s="330">
        <v>5</v>
      </c>
      <c r="H425" s="330" t="s">
        <v>59</v>
      </c>
      <c r="I425" s="38">
        <v>3134.05</v>
      </c>
      <c r="J425" s="38">
        <v>3134.05</v>
      </c>
      <c r="K425" s="38">
        <v>3134.05</v>
      </c>
      <c r="L425" s="332">
        <v>182</v>
      </c>
      <c r="M425" s="330" t="s">
        <v>46</v>
      </c>
      <c r="N425" s="330" t="s">
        <v>50</v>
      </c>
      <c r="O425" s="333" t="s">
        <v>2085</v>
      </c>
      <c r="P425" s="38">
        <v>5055398.59</v>
      </c>
      <c r="Q425" s="38">
        <v>0</v>
      </c>
      <c r="R425" s="38">
        <v>0</v>
      </c>
      <c r="S425" s="38">
        <f t="shared" si="71"/>
        <v>5055398.59</v>
      </c>
      <c r="T425" s="38">
        <f t="shared" si="63"/>
        <v>1613.056138223704</v>
      </c>
      <c r="U425" s="38">
        <v>3721.67</v>
      </c>
      <c r="V425" s="458">
        <f t="shared" si="66"/>
        <v>2108.6138617762963</v>
      </c>
      <c r="W425" s="458">
        <f t="shared" si="72"/>
        <v>3791.6299999999997</v>
      </c>
      <c r="X425" s="458">
        <v>101.55</v>
      </c>
      <c r="Y425" s="459">
        <v>245.44</v>
      </c>
      <c r="Z425" s="459">
        <v>3259.66</v>
      </c>
      <c r="AA425" s="459">
        <v>184.98</v>
      </c>
      <c r="AB425" s="459">
        <v>0</v>
      </c>
      <c r="AC425" s="459">
        <v>0</v>
      </c>
      <c r="AD425" s="459">
        <v>0</v>
      </c>
      <c r="AE425" s="459">
        <v>0</v>
      </c>
      <c r="AF425" s="458">
        <v>0</v>
      </c>
      <c r="AG425" s="459">
        <v>0</v>
      </c>
      <c r="AH425" s="458">
        <v>0</v>
      </c>
      <c r="AI425" s="459">
        <v>0</v>
      </c>
      <c r="AJ425" s="458">
        <v>0</v>
      </c>
      <c r="AK425" s="459">
        <v>0</v>
      </c>
      <c r="AL425" s="459">
        <v>0</v>
      </c>
      <c r="AM425" s="459">
        <v>0</v>
      </c>
      <c r="AN425" s="459"/>
      <c r="AO425" s="459">
        <v>0</v>
      </c>
      <c r="AP425" s="460"/>
      <c r="AQ425" s="460"/>
      <c r="AR425" s="460"/>
      <c r="AS425" s="460"/>
      <c r="AT425" s="460"/>
      <c r="AU425" s="460"/>
      <c r="AV425" s="460"/>
      <c r="AW425" s="460"/>
      <c r="AX425" s="460"/>
      <c r="AY425" s="460"/>
      <c r="AZ425" s="460"/>
      <c r="BA425" s="460"/>
      <c r="BB425" s="460"/>
      <c r="BC425" s="460"/>
      <c r="BD425" s="460"/>
      <c r="BE425" s="460"/>
      <c r="BF425" s="460"/>
      <c r="BG425" s="460"/>
      <c r="BH425" s="460"/>
      <c r="BI425" s="460"/>
      <c r="BJ425" s="460"/>
      <c r="BK425" s="460"/>
      <c r="BL425" s="460"/>
      <c r="BM425" s="460"/>
      <c r="BN425" s="460"/>
      <c r="BO425" s="460"/>
      <c r="BP425" s="460"/>
      <c r="BQ425" s="460"/>
      <c r="BR425" s="460"/>
      <c r="BS425" s="460"/>
      <c r="BT425" s="460"/>
      <c r="BU425" s="460"/>
      <c r="BV425" s="460"/>
      <c r="BW425" s="460"/>
      <c r="BX425" s="460"/>
      <c r="BY425" s="460"/>
      <c r="BZ425" s="460"/>
      <c r="CA425" s="460"/>
      <c r="CB425" s="460"/>
      <c r="CC425" s="460"/>
      <c r="CD425" s="460"/>
      <c r="CE425" s="460"/>
      <c r="CF425" s="460"/>
      <c r="CG425" s="460"/>
      <c r="CH425" s="460"/>
      <c r="CI425" s="460"/>
      <c r="CJ425" s="460"/>
      <c r="CK425" s="460"/>
    </row>
    <row r="426" spans="1:89" s="329" customFormat="1" ht="36" customHeight="1" x14ac:dyDescent="0.25">
      <c r="A426" s="329">
        <v>1</v>
      </c>
      <c r="B426" s="39">
        <f>SUBTOTAL(103,$A$16:A426)</f>
        <v>374</v>
      </c>
      <c r="C426" s="33" t="s">
        <v>1355</v>
      </c>
      <c r="D426" s="330">
        <v>1992</v>
      </c>
      <c r="E426" s="330"/>
      <c r="F426" s="331" t="s">
        <v>48</v>
      </c>
      <c r="G426" s="330">
        <v>5</v>
      </c>
      <c r="H426" s="330" t="s">
        <v>75</v>
      </c>
      <c r="I426" s="38">
        <v>3322.7</v>
      </c>
      <c r="J426" s="38">
        <v>3322.7</v>
      </c>
      <c r="K426" s="38">
        <v>3322.7</v>
      </c>
      <c r="L426" s="332">
        <v>157</v>
      </c>
      <c r="M426" s="330" t="s">
        <v>46</v>
      </c>
      <c r="N426" s="330" t="s">
        <v>50</v>
      </c>
      <c r="O426" s="333" t="s">
        <v>2085</v>
      </c>
      <c r="P426" s="38">
        <v>5685725.29</v>
      </c>
      <c r="Q426" s="38">
        <v>0</v>
      </c>
      <c r="R426" s="38">
        <v>0</v>
      </c>
      <c r="S426" s="38">
        <f t="shared" si="71"/>
        <v>5685725.29</v>
      </c>
      <c r="T426" s="38">
        <f t="shared" si="63"/>
        <v>1711.1762392030578</v>
      </c>
      <c r="U426" s="38">
        <v>3721.67</v>
      </c>
      <c r="V426" s="458">
        <f t="shared" si="66"/>
        <v>2010.4937607969423</v>
      </c>
      <c r="W426" s="458">
        <f t="shared" si="72"/>
        <v>3259.66</v>
      </c>
      <c r="X426" s="458">
        <v>0</v>
      </c>
      <c r="Y426" s="459">
        <v>0</v>
      </c>
      <c r="Z426" s="459">
        <v>3259.66</v>
      </c>
      <c r="AA426" s="459">
        <v>0</v>
      </c>
      <c r="AB426" s="459">
        <v>0</v>
      </c>
      <c r="AC426" s="459">
        <v>0</v>
      </c>
      <c r="AD426" s="459">
        <v>0</v>
      </c>
      <c r="AE426" s="459">
        <v>0</v>
      </c>
      <c r="AF426" s="458">
        <v>0</v>
      </c>
      <c r="AG426" s="459">
        <v>0</v>
      </c>
      <c r="AH426" s="458">
        <v>0</v>
      </c>
      <c r="AI426" s="459">
        <v>0</v>
      </c>
      <c r="AJ426" s="458">
        <v>0</v>
      </c>
      <c r="AK426" s="459">
        <v>0</v>
      </c>
      <c r="AL426" s="459">
        <v>0</v>
      </c>
      <c r="AM426" s="459">
        <v>0</v>
      </c>
      <c r="AN426" s="459"/>
      <c r="AO426" s="459">
        <v>0</v>
      </c>
      <c r="AP426" s="460"/>
      <c r="AQ426" s="460"/>
      <c r="AR426" s="460"/>
      <c r="AS426" s="460"/>
      <c r="AT426" s="460"/>
      <c r="AU426" s="460"/>
      <c r="AV426" s="460"/>
      <c r="AW426" s="460"/>
      <c r="AX426" s="460"/>
      <c r="AY426" s="460"/>
      <c r="AZ426" s="460"/>
      <c r="BA426" s="460"/>
      <c r="BB426" s="460"/>
      <c r="BC426" s="460"/>
      <c r="BD426" s="460"/>
      <c r="BE426" s="460"/>
      <c r="BF426" s="460"/>
      <c r="BG426" s="460"/>
      <c r="BH426" s="460"/>
      <c r="BI426" s="460"/>
      <c r="BJ426" s="460"/>
      <c r="BK426" s="460"/>
      <c r="BL426" s="460"/>
      <c r="BM426" s="460"/>
      <c r="BN426" s="460"/>
      <c r="BO426" s="460"/>
      <c r="BP426" s="460"/>
      <c r="BQ426" s="460"/>
      <c r="BR426" s="460"/>
      <c r="BS426" s="460"/>
      <c r="BT426" s="460"/>
      <c r="BU426" s="460"/>
      <c r="BV426" s="460"/>
      <c r="BW426" s="460"/>
      <c r="BX426" s="460"/>
      <c r="BY426" s="460"/>
      <c r="BZ426" s="460"/>
      <c r="CA426" s="460"/>
      <c r="CB426" s="460"/>
      <c r="CC426" s="460"/>
      <c r="CD426" s="460"/>
      <c r="CE426" s="460"/>
      <c r="CF426" s="460"/>
      <c r="CG426" s="460"/>
      <c r="CH426" s="460"/>
      <c r="CI426" s="460"/>
      <c r="CJ426" s="460"/>
      <c r="CK426" s="460"/>
    </row>
    <row r="427" spans="1:89" s="329" customFormat="1" ht="36" customHeight="1" x14ac:dyDescent="0.25">
      <c r="A427" s="329">
        <v>1</v>
      </c>
      <c r="B427" s="39">
        <f>SUBTOTAL(103,$A$16:A427)</f>
        <v>375</v>
      </c>
      <c r="C427" s="33" t="s">
        <v>1356</v>
      </c>
      <c r="D427" s="330">
        <v>1970</v>
      </c>
      <c r="E427" s="330"/>
      <c r="F427" s="331" t="s">
        <v>48</v>
      </c>
      <c r="G427" s="330">
        <v>5</v>
      </c>
      <c r="H427" s="330" t="s">
        <v>61</v>
      </c>
      <c r="I427" s="38">
        <v>3891.1</v>
      </c>
      <c r="J427" s="38">
        <v>2891.4</v>
      </c>
      <c r="K427" s="38">
        <v>2505.5</v>
      </c>
      <c r="L427" s="332">
        <v>253</v>
      </c>
      <c r="M427" s="330" t="s">
        <v>46</v>
      </c>
      <c r="N427" s="330" t="s">
        <v>50</v>
      </c>
      <c r="O427" s="333" t="s">
        <v>2085</v>
      </c>
      <c r="P427" s="38">
        <v>2648193.62</v>
      </c>
      <c r="Q427" s="38">
        <v>0</v>
      </c>
      <c r="R427" s="38">
        <v>0</v>
      </c>
      <c r="S427" s="38">
        <f t="shared" si="71"/>
        <v>2648193.62</v>
      </c>
      <c r="T427" s="38">
        <f t="shared" si="63"/>
        <v>680.57711701061396</v>
      </c>
      <c r="U427" s="38">
        <v>3259.66</v>
      </c>
      <c r="V427" s="458">
        <f t="shared" si="66"/>
        <v>2579.0828829893858</v>
      </c>
      <c r="W427" s="458">
        <f t="shared" si="72"/>
        <v>4586.9399999999996</v>
      </c>
      <c r="X427" s="458">
        <v>101.55</v>
      </c>
      <c r="Y427" s="459">
        <v>245.44</v>
      </c>
      <c r="Z427" s="459">
        <v>3259.66</v>
      </c>
      <c r="AA427" s="459">
        <v>184.98</v>
      </c>
      <c r="AB427" s="459">
        <v>795.31</v>
      </c>
      <c r="AC427" s="459">
        <v>0</v>
      </c>
      <c r="AD427" s="459">
        <v>0</v>
      </c>
      <c r="AE427" s="459">
        <v>0</v>
      </c>
      <c r="AF427" s="458">
        <v>0</v>
      </c>
      <c r="AG427" s="459">
        <v>0</v>
      </c>
      <c r="AH427" s="458">
        <v>0</v>
      </c>
      <c r="AI427" s="459">
        <v>0</v>
      </c>
      <c r="AJ427" s="458">
        <v>0</v>
      </c>
      <c r="AK427" s="459">
        <v>0</v>
      </c>
      <c r="AL427" s="459">
        <v>0</v>
      </c>
      <c r="AM427" s="459">
        <v>0</v>
      </c>
      <c r="AN427" s="459"/>
      <c r="AO427" s="459">
        <v>0</v>
      </c>
      <c r="AP427" s="460"/>
      <c r="AQ427" s="460"/>
      <c r="AR427" s="460"/>
      <c r="AS427" s="460"/>
      <c r="AT427" s="460"/>
      <c r="AU427" s="460"/>
      <c r="AV427" s="460"/>
      <c r="AW427" s="460"/>
      <c r="AX427" s="460"/>
      <c r="AY427" s="460"/>
      <c r="AZ427" s="460"/>
      <c r="BA427" s="460"/>
      <c r="BB427" s="460"/>
      <c r="BC427" s="460"/>
      <c r="BD427" s="460"/>
      <c r="BE427" s="460"/>
      <c r="BF427" s="460"/>
      <c r="BG427" s="460"/>
      <c r="BH427" s="460"/>
      <c r="BI427" s="460"/>
      <c r="BJ427" s="460"/>
      <c r="BK427" s="460"/>
      <c r="BL427" s="460"/>
      <c r="BM427" s="460"/>
      <c r="BN427" s="460"/>
      <c r="BO427" s="460"/>
      <c r="BP427" s="460"/>
      <c r="BQ427" s="460"/>
      <c r="BR427" s="460"/>
      <c r="BS427" s="460"/>
      <c r="BT427" s="460"/>
      <c r="BU427" s="460"/>
      <c r="BV427" s="460"/>
      <c r="BW427" s="460"/>
      <c r="BX427" s="460"/>
      <c r="BY427" s="460"/>
      <c r="BZ427" s="460"/>
      <c r="CA427" s="460"/>
      <c r="CB427" s="460"/>
      <c r="CC427" s="460"/>
      <c r="CD427" s="460"/>
      <c r="CE427" s="460"/>
      <c r="CF427" s="460"/>
      <c r="CG427" s="460"/>
      <c r="CH427" s="460"/>
      <c r="CI427" s="460"/>
      <c r="CJ427" s="460"/>
      <c r="CK427" s="460"/>
    </row>
    <row r="428" spans="1:89" s="329" customFormat="1" ht="36" customHeight="1" x14ac:dyDescent="0.25">
      <c r="A428" s="329">
        <v>1</v>
      </c>
      <c r="B428" s="39">
        <f>SUBTOTAL(103,$A$16:A428)</f>
        <v>376</v>
      </c>
      <c r="C428" s="33" t="s">
        <v>1357</v>
      </c>
      <c r="D428" s="330">
        <v>1964</v>
      </c>
      <c r="E428" s="330"/>
      <c r="F428" s="331" t="s">
        <v>48</v>
      </c>
      <c r="G428" s="330">
        <v>3</v>
      </c>
      <c r="H428" s="330" t="s">
        <v>56</v>
      </c>
      <c r="I428" s="38">
        <v>1043.5999999999999</v>
      </c>
      <c r="J428" s="38">
        <v>1043.5999999999999</v>
      </c>
      <c r="K428" s="38">
        <v>970.7</v>
      </c>
      <c r="L428" s="332">
        <v>37</v>
      </c>
      <c r="M428" s="330" t="s">
        <v>46</v>
      </c>
      <c r="N428" s="330" t="s">
        <v>50</v>
      </c>
      <c r="O428" s="333" t="s">
        <v>2084</v>
      </c>
      <c r="P428" s="38">
        <v>3633885.25</v>
      </c>
      <c r="Q428" s="38">
        <v>0</v>
      </c>
      <c r="R428" s="38">
        <v>0</v>
      </c>
      <c r="S428" s="38">
        <f t="shared" si="71"/>
        <v>3633885.25</v>
      </c>
      <c r="T428" s="38">
        <f t="shared" si="63"/>
        <v>3482.0671234189349</v>
      </c>
      <c r="U428" s="38">
        <v>6123.0721713300127</v>
      </c>
      <c r="V428" s="458">
        <f t="shared" si="66"/>
        <v>2641.0050479110778</v>
      </c>
      <c r="W428" s="458">
        <f t="shared" si="72"/>
        <v>6123.0721713300127</v>
      </c>
      <c r="X428" s="458">
        <v>0</v>
      </c>
      <c r="Y428" s="459">
        <v>0</v>
      </c>
      <c r="Z428" s="459">
        <v>0</v>
      </c>
      <c r="AA428" s="459">
        <v>0</v>
      </c>
      <c r="AB428" s="459">
        <v>0</v>
      </c>
      <c r="AC428" s="459">
        <v>0</v>
      </c>
      <c r="AD428" s="459">
        <v>0</v>
      </c>
      <c r="AE428" s="459">
        <v>0</v>
      </c>
      <c r="AF428" s="458">
        <v>0</v>
      </c>
      <c r="AG428" s="459">
        <v>0</v>
      </c>
      <c r="AH428" s="458">
        <v>0</v>
      </c>
      <c r="AI428" s="459">
        <v>858.98</v>
      </c>
      <c r="AJ428" s="458">
        <f>7439.1*AI428/I428</f>
        <v>6123.0721713300127</v>
      </c>
      <c r="AK428" s="459">
        <v>0</v>
      </c>
      <c r="AL428" s="459">
        <v>0</v>
      </c>
      <c r="AM428" s="459">
        <v>0</v>
      </c>
      <c r="AN428" s="459"/>
      <c r="AO428" s="459">
        <v>0</v>
      </c>
      <c r="AP428" s="460"/>
      <c r="AQ428" s="460"/>
      <c r="AR428" s="460"/>
      <c r="AS428" s="460"/>
      <c r="AT428" s="460"/>
      <c r="AU428" s="460"/>
      <c r="AV428" s="460"/>
      <c r="AW428" s="460"/>
      <c r="AX428" s="460"/>
      <c r="AY428" s="460"/>
      <c r="AZ428" s="460"/>
      <c r="BA428" s="460"/>
      <c r="BB428" s="460"/>
      <c r="BC428" s="460"/>
      <c r="BD428" s="460"/>
      <c r="BE428" s="460"/>
      <c r="BF428" s="460"/>
      <c r="BG428" s="460"/>
      <c r="BH428" s="460"/>
      <c r="BI428" s="460"/>
      <c r="BJ428" s="460"/>
      <c r="BK428" s="460"/>
      <c r="BL428" s="460"/>
      <c r="BM428" s="460"/>
      <c r="BN428" s="460"/>
      <c r="BO428" s="460"/>
      <c r="BP428" s="460"/>
      <c r="BQ428" s="460"/>
      <c r="BR428" s="460"/>
      <c r="BS428" s="460"/>
      <c r="BT428" s="460"/>
      <c r="BU428" s="460"/>
      <c r="BV428" s="460"/>
      <c r="BW428" s="460"/>
      <c r="BX428" s="460"/>
      <c r="BY428" s="460"/>
      <c r="BZ428" s="460"/>
      <c r="CA428" s="460"/>
      <c r="CB428" s="460"/>
      <c r="CC428" s="460"/>
      <c r="CD428" s="460"/>
      <c r="CE428" s="460"/>
      <c r="CF428" s="460"/>
      <c r="CG428" s="460"/>
      <c r="CH428" s="460"/>
      <c r="CI428" s="460"/>
      <c r="CJ428" s="460"/>
      <c r="CK428" s="460"/>
    </row>
    <row r="429" spans="1:89" s="329" customFormat="1" ht="36" customHeight="1" x14ac:dyDescent="0.25">
      <c r="B429" s="33" t="s">
        <v>1358</v>
      </c>
      <c r="C429" s="33"/>
      <c r="D429" s="330" t="s">
        <v>131</v>
      </c>
      <c r="E429" s="330" t="s">
        <v>131</v>
      </c>
      <c r="F429" s="330" t="s">
        <v>131</v>
      </c>
      <c r="G429" s="330" t="s">
        <v>131</v>
      </c>
      <c r="H429" s="330" t="s">
        <v>131</v>
      </c>
      <c r="I429" s="334">
        <f>SUM(I430:I434)</f>
        <v>4806.5999999999995</v>
      </c>
      <c r="J429" s="334">
        <f>SUM(J430:J434)</f>
        <v>4646.83</v>
      </c>
      <c r="K429" s="334">
        <f>SUM(K430:K434)</f>
        <v>4528.83</v>
      </c>
      <c r="L429" s="332">
        <f>SUM(L430:L434)</f>
        <v>165</v>
      </c>
      <c r="M429" s="330" t="s">
        <v>131</v>
      </c>
      <c r="N429" s="330" t="s">
        <v>131</v>
      </c>
      <c r="O429" s="333" t="s">
        <v>131</v>
      </c>
      <c r="P429" s="38">
        <v>9403284.9900000002</v>
      </c>
      <c r="Q429" s="38">
        <f>SUM(Q430:Q434)</f>
        <v>0</v>
      </c>
      <c r="R429" s="38">
        <f>SUM(R430:R434)</f>
        <v>0</v>
      </c>
      <c r="S429" s="38">
        <f>SUM(S430:S434)</f>
        <v>9403284.9900000002</v>
      </c>
      <c r="T429" s="38">
        <f t="shared" si="63"/>
        <v>1956.3277555860693</v>
      </c>
      <c r="U429" s="38">
        <f>MAX(U430:U434)</f>
        <v>5367.5298122129516</v>
      </c>
      <c r="V429" s="458">
        <f t="shared" si="66"/>
        <v>3411.202056626882</v>
      </c>
      <c r="W429" s="458"/>
      <c r="X429" s="458"/>
      <c r="Y429" s="459"/>
      <c r="Z429" s="459"/>
      <c r="AA429" s="459"/>
      <c r="AB429" s="459"/>
      <c r="AC429" s="459"/>
      <c r="AD429" s="459"/>
      <c r="AE429" s="459"/>
      <c r="AF429" s="459"/>
      <c r="AG429" s="459"/>
      <c r="AH429" s="459"/>
      <c r="AI429" s="459"/>
      <c r="AJ429" s="459"/>
      <c r="AK429" s="459"/>
      <c r="AL429" s="459"/>
      <c r="AM429" s="459"/>
      <c r="AN429" s="459"/>
      <c r="AO429" s="459"/>
      <c r="AP429" s="460"/>
      <c r="AQ429" s="460"/>
      <c r="AR429" s="460"/>
      <c r="AS429" s="460"/>
      <c r="AT429" s="460"/>
      <c r="AU429" s="460"/>
      <c r="AV429" s="460"/>
      <c r="AW429" s="460"/>
      <c r="AX429" s="460"/>
      <c r="AY429" s="460"/>
      <c r="AZ429" s="460"/>
      <c r="BA429" s="460"/>
      <c r="BB429" s="460"/>
      <c r="BC429" s="460"/>
      <c r="BD429" s="460"/>
      <c r="BE429" s="460"/>
      <c r="BF429" s="460"/>
      <c r="BG429" s="460"/>
      <c r="BH429" s="460"/>
      <c r="BI429" s="460"/>
      <c r="BJ429" s="460"/>
      <c r="BK429" s="460"/>
      <c r="BL429" s="460"/>
      <c r="BM429" s="460"/>
      <c r="BN429" s="460"/>
      <c r="BO429" s="460"/>
      <c r="BP429" s="460"/>
      <c r="BQ429" s="460"/>
      <c r="BR429" s="460"/>
      <c r="BS429" s="460"/>
      <c r="BT429" s="460"/>
      <c r="BU429" s="460"/>
      <c r="BV429" s="460"/>
      <c r="BW429" s="460"/>
      <c r="BX429" s="460"/>
      <c r="BY429" s="460"/>
      <c r="BZ429" s="460"/>
      <c r="CA429" s="460"/>
      <c r="CB429" s="460"/>
      <c r="CC429" s="460"/>
      <c r="CD429" s="460"/>
      <c r="CE429" s="460"/>
      <c r="CF429" s="460"/>
      <c r="CG429" s="460"/>
      <c r="CH429" s="460"/>
      <c r="CI429" s="460"/>
      <c r="CJ429" s="460"/>
      <c r="CK429" s="460"/>
    </row>
    <row r="430" spans="1:89" s="329" customFormat="1" ht="36" customHeight="1" x14ac:dyDescent="0.25">
      <c r="A430" s="329">
        <v>1</v>
      </c>
      <c r="B430" s="39">
        <f>SUBTOTAL(103,$A$16:A430)</f>
        <v>377</v>
      </c>
      <c r="C430" s="33" t="s">
        <v>1359</v>
      </c>
      <c r="D430" s="330">
        <v>1956</v>
      </c>
      <c r="E430" s="330"/>
      <c r="F430" s="331" t="s">
        <v>48</v>
      </c>
      <c r="G430" s="330">
        <v>2</v>
      </c>
      <c r="H430" s="330" t="s">
        <v>56</v>
      </c>
      <c r="I430" s="38">
        <v>735.94</v>
      </c>
      <c r="J430" s="38">
        <v>672.45</v>
      </c>
      <c r="K430" s="38">
        <v>672.45</v>
      </c>
      <c r="L430" s="332">
        <v>32</v>
      </c>
      <c r="M430" s="330" t="s">
        <v>46</v>
      </c>
      <c r="N430" s="330" t="s">
        <v>50</v>
      </c>
      <c r="O430" s="333" t="s">
        <v>2086</v>
      </c>
      <c r="P430" s="38">
        <v>2250143.48</v>
      </c>
      <c r="Q430" s="38">
        <v>0</v>
      </c>
      <c r="R430" s="38">
        <v>0</v>
      </c>
      <c r="S430" s="38">
        <f>P430-Q430-R430</f>
        <v>2250143.48</v>
      </c>
      <c r="T430" s="38">
        <f t="shared" si="63"/>
        <v>3057.5094165285209</v>
      </c>
      <c r="U430" s="38">
        <v>5367.5298122129516</v>
      </c>
      <c r="V430" s="458">
        <f t="shared" si="66"/>
        <v>2310.0203956844307</v>
      </c>
      <c r="W430" s="458">
        <f t="shared" ref="W430:W434" si="73">X430+Y430+Z430+AA430+AB430+AD430+AF430+AH430+AJ430+AL430+AN430+AO430</f>
        <v>5349.2841943636704</v>
      </c>
      <c r="X430" s="458">
        <v>0</v>
      </c>
      <c r="Y430" s="459">
        <v>0</v>
      </c>
      <c r="Z430" s="459">
        <v>0</v>
      </c>
      <c r="AA430" s="459">
        <v>0</v>
      </c>
      <c r="AB430" s="459">
        <v>0</v>
      </c>
      <c r="AC430" s="459">
        <v>0</v>
      </c>
      <c r="AD430" s="459">
        <v>0</v>
      </c>
      <c r="AE430" s="459">
        <v>631</v>
      </c>
      <c r="AF430" s="458">
        <f>6238.91*AE430/I430</f>
        <v>5349.2841943636704</v>
      </c>
      <c r="AG430" s="459">
        <v>0</v>
      </c>
      <c r="AH430" s="458">
        <v>0</v>
      </c>
      <c r="AI430" s="459">
        <v>0</v>
      </c>
      <c r="AJ430" s="458">
        <v>0</v>
      </c>
      <c r="AK430" s="459">
        <v>0</v>
      </c>
      <c r="AL430" s="459">
        <v>0</v>
      </c>
      <c r="AM430" s="459">
        <v>0</v>
      </c>
      <c r="AN430" s="459"/>
      <c r="AO430" s="459">
        <v>0</v>
      </c>
      <c r="AP430" s="460"/>
      <c r="AQ430" s="460"/>
      <c r="AR430" s="460"/>
      <c r="AS430" s="460"/>
      <c r="AT430" s="460"/>
      <c r="AU430" s="460"/>
      <c r="AV430" s="460"/>
      <c r="AW430" s="460"/>
      <c r="AX430" s="460"/>
      <c r="AY430" s="460"/>
      <c r="AZ430" s="460"/>
      <c r="BA430" s="460"/>
      <c r="BB430" s="460"/>
      <c r="BC430" s="460"/>
      <c r="BD430" s="460"/>
      <c r="BE430" s="460"/>
      <c r="BF430" s="460"/>
      <c r="BG430" s="460"/>
      <c r="BH430" s="460"/>
      <c r="BI430" s="460"/>
      <c r="BJ430" s="460"/>
      <c r="BK430" s="460"/>
      <c r="BL430" s="460"/>
      <c r="BM430" s="460"/>
      <c r="BN430" s="460"/>
      <c r="BO430" s="460"/>
      <c r="BP430" s="460"/>
      <c r="BQ430" s="460"/>
      <c r="BR430" s="460"/>
      <c r="BS430" s="460"/>
      <c r="BT430" s="460"/>
      <c r="BU430" s="460"/>
      <c r="BV430" s="460"/>
      <c r="BW430" s="460"/>
      <c r="BX430" s="460"/>
      <c r="BY430" s="460"/>
      <c r="BZ430" s="460"/>
      <c r="CA430" s="460"/>
      <c r="CB430" s="460"/>
      <c r="CC430" s="460"/>
      <c r="CD430" s="460"/>
      <c r="CE430" s="460"/>
      <c r="CF430" s="460"/>
      <c r="CG430" s="460"/>
      <c r="CH430" s="460"/>
      <c r="CI430" s="460"/>
      <c r="CJ430" s="460"/>
      <c r="CK430" s="460"/>
    </row>
    <row r="431" spans="1:89" s="329" customFormat="1" ht="36" customHeight="1" x14ac:dyDescent="0.25">
      <c r="A431" s="329">
        <v>1</v>
      </c>
      <c r="B431" s="39">
        <f>SUBTOTAL(103,$A$16:A431)</f>
        <v>378</v>
      </c>
      <c r="C431" s="33" t="s">
        <v>1070</v>
      </c>
      <c r="D431" s="330">
        <v>1963</v>
      </c>
      <c r="E431" s="330"/>
      <c r="F431" s="331" t="s">
        <v>48</v>
      </c>
      <c r="G431" s="330">
        <v>2</v>
      </c>
      <c r="H431" s="330" t="s">
        <v>56</v>
      </c>
      <c r="I431" s="38">
        <v>687.5</v>
      </c>
      <c r="J431" s="38">
        <v>639.5</v>
      </c>
      <c r="K431" s="38">
        <v>521.5</v>
      </c>
      <c r="L431" s="332">
        <v>16</v>
      </c>
      <c r="M431" s="330" t="s">
        <v>46</v>
      </c>
      <c r="N431" s="330" t="s">
        <v>50</v>
      </c>
      <c r="O431" s="333" t="s">
        <v>2086</v>
      </c>
      <c r="P431" s="38">
        <v>2167263.7000000002</v>
      </c>
      <c r="Q431" s="38">
        <v>0</v>
      </c>
      <c r="R431" s="38">
        <v>0</v>
      </c>
      <c r="S431" s="38">
        <f>P431-Q431-R431</f>
        <v>2167263.7000000002</v>
      </c>
      <c r="T431" s="38">
        <f t="shared" si="63"/>
        <v>3152.3835636363638</v>
      </c>
      <c r="U431" s="38">
        <v>5052.7700814545451</v>
      </c>
      <c r="V431" s="458">
        <f t="shared" si="66"/>
        <v>1900.3865178181813</v>
      </c>
      <c r="W431" s="458">
        <f t="shared" si="73"/>
        <v>5035.5944130909093</v>
      </c>
      <c r="X431" s="458">
        <v>0</v>
      </c>
      <c r="Y431" s="459">
        <v>0</v>
      </c>
      <c r="Z431" s="459">
        <v>0</v>
      </c>
      <c r="AA431" s="459">
        <v>0</v>
      </c>
      <c r="AB431" s="459">
        <v>0</v>
      </c>
      <c r="AC431" s="459">
        <v>0</v>
      </c>
      <c r="AD431" s="459">
        <v>0</v>
      </c>
      <c r="AE431" s="459">
        <v>554.9</v>
      </c>
      <c r="AF431" s="458">
        <f>6238.91*AE431/I431</f>
        <v>5035.5944130909093</v>
      </c>
      <c r="AG431" s="459">
        <v>0</v>
      </c>
      <c r="AH431" s="458">
        <v>0</v>
      </c>
      <c r="AI431" s="459">
        <v>0</v>
      </c>
      <c r="AJ431" s="458">
        <v>0</v>
      </c>
      <c r="AK431" s="459">
        <v>0</v>
      </c>
      <c r="AL431" s="459">
        <v>0</v>
      </c>
      <c r="AM431" s="459">
        <v>0</v>
      </c>
      <c r="AN431" s="459"/>
      <c r="AO431" s="459">
        <v>0</v>
      </c>
      <c r="AP431" s="460"/>
      <c r="AQ431" s="460"/>
      <c r="AR431" s="460"/>
      <c r="AS431" s="460"/>
      <c r="AT431" s="460"/>
      <c r="AU431" s="460"/>
      <c r="AV431" s="460"/>
      <c r="AW431" s="460"/>
      <c r="AX431" s="460"/>
      <c r="AY431" s="460"/>
      <c r="AZ431" s="460"/>
      <c r="BA431" s="460"/>
      <c r="BB431" s="460"/>
      <c r="BC431" s="460"/>
      <c r="BD431" s="460"/>
      <c r="BE431" s="460"/>
      <c r="BF431" s="460"/>
      <c r="BG431" s="460"/>
      <c r="BH431" s="460"/>
      <c r="BI431" s="460"/>
      <c r="BJ431" s="460"/>
      <c r="BK431" s="460"/>
      <c r="BL431" s="460"/>
      <c r="BM431" s="460"/>
      <c r="BN431" s="460"/>
      <c r="BO431" s="460"/>
      <c r="BP431" s="460"/>
      <c r="BQ431" s="460"/>
      <c r="BR431" s="460"/>
      <c r="BS431" s="460"/>
      <c r="BT431" s="460"/>
      <c r="BU431" s="460"/>
      <c r="BV431" s="460"/>
      <c r="BW431" s="460"/>
      <c r="BX431" s="460"/>
      <c r="BY431" s="460"/>
      <c r="BZ431" s="460"/>
      <c r="CA431" s="460"/>
      <c r="CB431" s="460"/>
      <c r="CC431" s="460"/>
      <c r="CD431" s="460"/>
      <c r="CE431" s="460"/>
      <c r="CF431" s="460"/>
      <c r="CG431" s="460"/>
      <c r="CH431" s="460"/>
      <c r="CI431" s="460"/>
      <c r="CJ431" s="460"/>
      <c r="CK431" s="460"/>
    </row>
    <row r="432" spans="1:89" s="329" customFormat="1" ht="36" customHeight="1" x14ac:dyDescent="0.25">
      <c r="A432" s="329">
        <v>1</v>
      </c>
      <c r="B432" s="39">
        <f>SUBTOTAL(103,$A$16:A432)</f>
        <v>379</v>
      </c>
      <c r="C432" s="33" t="s">
        <v>1072</v>
      </c>
      <c r="D432" s="330">
        <v>1964</v>
      </c>
      <c r="E432" s="330"/>
      <c r="F432" s="331" t="s">
        <v>48</v>
      </c>
      <c r="G432" s="330">
        <v>2</v>
      </c>
      <c r="H432" s="330" t="s">
        <v>56</v>
      </c>
      <c r="I432" s="38">
        <v>691.68</v>
      </c>
      <c r="J432" s="38">
        <v>643.4</v>
      </c>
      <c r="K432" s="38">
        <v>643.4</v>
      </c>
      <c r="L432" s="332">
        <v>10</v>
      </c>
      <c r="M432" s="330" t="s">
        <v>46</v>
      </c>
      <c r="N432" s="330" t="s">
        <v>50</v>
      </c>
      <c r="O432" s="333" t="s">
        <v>2086</v>
      </c>
      <c r="P432" s="38">
        <v>2202329.54</v>
      </c>
      <c r="Q432" s="38">
        <v>0</v>
      </c>
      <c r="R432" s="38">
        <v>0</v>
      </c>
      <c r="S432" s="38">
        <f>P432-Q432-R432</f>
        <v>2202329.54</v>
      </c>
      <c r="T432" s="38">
        <f t="shared" si="63"/>
        <v>3184.0295223224616</v>
      </c>
      <c r="U432" s="38">
        <v>5086.4948820263708</v>
      </c>
      <c r="V432" s="458">
        <f t="shared" si="66"/>
        <v>1902.4653597039091</v>
      </c>
      <c r="W432" s="458">
        <f t="shared" si="73"/>
        <v>5069.2045743696508</v>
      </c>
      <c r="X432" s="458">
        <v>0</v>
      </c>
      <c r="Y432" s="459">
        <v>0</v>
      </c>
      <c r="Z432" s="459">
        <v>0</v>
      </c>
      <c r="AA432" s="459">
        <v>0</v>
      </c>
      <c r="AB432" s="459">
        <v>0</v>
      </c>
      <c r="AC432" s="459">
        <v>0</v>
      </c>
      <c r="AD432" s="459">
        <v>0</v>
      </c>
      <c r="AE432" s="459">
        <v>562</v>
      </c>
      <c r="AF432" s="458">
        <f>6238.91*AE432/I432</f>
        <v>5069.2045743696508</v>
      </c>
      <c r="AG432" s="459">
        <v>0</v>
      </c>
      <c r="AH432" s="458">
        <v>0</v>
      </c>
      <c r="AI432" s="459">
        <v>0</v>
      </c>
      <c r="AJ432" s="458">
        <v>0</v>
      </c>
      <c r="AK432" s="459">
        <v>0</v>
      </c>
      <c r="AL432" s="459">
        <v>0</v>
      </c>
      <c r="AM432" s="459">
        <v>0</v>
      </c>
      <c r="AN432" s="459"/>
      <c r="AO432" s="459">
        <v>0</v>
      </c>
      <c r="AP432" s="460"/>
      <c r="AQ432" s="460"/>
      <c r="AR432" s="460"/>
      <c r="AS432" s="460"/>
      <c r="AT432" s="460"/>
      <c r="AU432" s="460"/>
      <c r="AV432" s="460"/>
      <c r="AW432" s="460"/>
      <c r="AX432" s="460"/>
      <c r="AY432" s="460"/>
      <c r="AZ432" s="460"/>
      <c r="BA432" s="460"/>
      <c r="BB432" s="460"/>
      <c r="BC432" s="460"/>
      <c r="BD432" s="460"/>
      <c r="BE432" s="460"/>
      <c r="BF432" s="460"/>
      <c r="BG432" s="460"/>
      <c r="BH432" s="460"/>
      <c r="BI432" s="460"/>
      <c r="BJ432" s="460"/>
      <c r="BK432" s="460"/>
      <c r="BL432" s="460"/>
      <c r="BM432" s="460"/>
      <c r="BN432" s="460"/>
      <c r="BO432" s="460"/>
      <c r="BP432" s="460"/>
      <c r="BQ432" s="460"/>
      <c r="BR432" s="460"/>
      <c r="BS432" s="460"/>
      <c r="BT432" s="460"/>
      <c r="BU432" s="460"/>
      <c r="BV432" s="460"/>
      <c r="BW432" s="460"/>
      <c r="BX432" s="460"/>
      <c r="BY432" s="460"/>
      <c r="BZ432" s="460"/>
      <c r="CA432" s="460"/>
      <c r="CB432" s="460"/>
      <c r="CC432" s="460"/>
      <c r="CD432" s="460"/>
      <c r="CE432" s="460"/>
      <c r="CF432" s="460"/>
      <c r="CG432" s="460"/>
      <c r="CH432" s="460"/>
      <c r="CI432" s="460"/>
      <c r="CJ432" s="460"/>
      <c r="CK432" s="460"/>
    </row>
    <row r="433" spans="1:89" s="329" customFormat="1" ht="36" customHeight="1" x14ac:dyDescent="0.25">
      <c r="A433" s="329">
        <v>1</v>
      </c>
      <c r="B433" s="39">
        <f>SUBTOTAL(103,$A$16:A433)</f>
        <v>380</v>
      </c>
      <c r="C433" s="33" t="s">
        <v>1360</v>
      </c>
      <c r="D433" s="330">
        <v>1974</v>
      </c>
      <c r="E433" s="330"/>
      <c r="F433" s="331" t="s">
        <v>48</v>
      </c>
      <c r="G433" s="330">
        <v>5</v>
      </c>
      <c r="H433" s="330" t="s">
        <v>56</v>
      </c>
      <c r="I433" s="38">
        <v>2146.1799999999998</v>
      </c>
      <c r="J433" s="38">
        <v>2146.1799999999998</v>
      </c>
      <c r="K433" s="38">
        <v>2146.1799999999998</v>
      </c>
      <c r="L433" s="332">
        <v>78</v>
      </c>
      <c r="M433" s="330" t="s">
        <v>46</v>
      </c>
      <c r="N433" s="330" t="s">
        <v>50</v>
      </c>
      <c r="O433" s="333" t="s">
        <v>2086</v>
      </c>
      <c r="P433" s="38">
        <v>1467262.85</v>
      </c>
      <c r="Q433" s="38">
        <v>0</v>
      </c>
      <c r="R433" s="38">
        <v>0</v>
      </c>
      <c r="S433" s="38">
        <f>P433-Q433-R433</f>
        <v>1467262.85</v>
      </c>
      <c r="T433" s="38">
        <f t="shared" si="63"/>
        <v>683.66253063582747</v>
      </c>
      <c r="U433" s="38">
        <v>4183.21</v>
      </c>
      <c r="V433" s="458">
        <f t="shared" si="66"/>
        <v>3499.5474693641727</v>
      </c>
      <c r="W433" s="458">
        <f t="shared" si="73"/>
        <v>4156.5200000000004</v>
      </c>
      <c r="X433" s="458">
        <v>101.55</v>
      </c>
      <c r="Y433" s="459">
        <v>0</v>
      </c>
      <c r="Z433" s="459">
        <v>3259.66</v>
      </c>
      <c r="AA433" s="459">
        <v>0</v>
      </c>
      <c r="AB433" s="459">
        <v>795.31</v>
      </c>
      <c r="AC433" s="459">
        <v>0</v>
      </c>
      <c r="AD433" s="459">
        <v>0</v>
      </c>
      <c r="AE433" s="459">
        <v>0</v>
      </c>
      <c r="AF433" s="458">
        <v>0</v>
      </c>
      <c r="AG433" s="459">
        <v>0</v>
      </c>
      <c r="AH433" s="458">
        <v>0</v>
      </c>
      <c r="AI433" s="459">
        <v>0</v>
      </c>
      <c r="AJ433" s="458">
        <v>0</v>
      </c>
      <c r="AK433" s="459">
        <v>0</v>
      </c>
      <c r="AL433" s="459">
        <v>0</v>
      </c>
      <c r="AM433" s="459">
        <v>0</v>
      </c>
      <c r="AN433" s="459"/>
      <c r="AO433" s="459">
        <v>0</v>
      </c>
      <c r="AP433" s="460"/>
      <c r="AQ433" s="460"/>
      <c r="AR433" s="460"/>
      <c r="AS433" s="460"/>
      <c r="AT433" s="460"/>
      <c r="AU433" s="460"/>
      <c r="AV433" s="460"/>
      <c r="AW433" s="460"/>
      <c r="AX433" s="460"/>
      <c r="AY433" s="460"/>
      <c r="AZ433" s="460"/>
      <c r="BA433" s="460"/>
      <c r="BB433" s="460"/>
      <c r="BC433" s="460"/>
      <c r="BD433" s="460"/>
      <c r="BE433" s="460"/>
      <c r="BF433" s="460"/>
      <c r="BG433" s="460"/>
      <c r="BH433" s="460"/>
      <c r="BI433" s="460"/>
      <c r="BJ433" s="460"/>
      <c r="BK433" s="460"/>
      <c r="BL433" s="460"/>
      <c r="BM433" s="460"/>
      <c r="BN433" s="460"/>
      <c r="BO433" s="460"/>
      <c r="BP433" s="460"/>
      <c r="BQ433" s="460"/>
      <c r="BR433" s="460"/>
      <c r="BS433" s="460"/>
      <c r="BT433" s="460"/>
      <c r="BU433" s="460"/>
      <c r="BV433" s="460"/>
      <c r="BW433" s="460"/>
      <c r="BX433" s="460"/>
      <c r="BY433" s="460"/>
      <c r="BZ433" s="460"/>
      <c r="CA433" s="460"/>
      <c r="CB433" s="460"/>
      <c r="CC433" s="460"/>
      <c r="CD433" s="460"/>
      <c r="CE433" s="460"/>
      <c r="CF433" s="460"/>
      <c r="CG433" s="460"/>
      <c r="CH433" s="460"/>
      <c r="CI433" s="460"/>
      <c r="CJ433" s="460"/>
      <c r="CK433" s="460"/>
    </row>
    <row r="434" spans="1:89" s="329" customFormat="1" ht="36" customHeight="1" x14ac:dyDescent="0.25">
      <c r="A434" s="329">
        <v>1</v>
      </c>
      <c r="B434" s="39">
        <f>SUBTOTAL(103,$A$16:A434)</f>
        <v>381</v>
      </c>
      <c r="C434" s="33" t="s">
        <v>1074</v>
      </c>
      <c r="D434" s="330">
        <v>1936</v>
      </c>
      <c r="E434" s="330"/>
      <c r="F434" s="331" t="s">
        <v>68</v>
      </c>
      <c r="G434" s="330">
        <v>2</v>
      </c>
      <c r="H434" s="330" t="s">
        <v>56</v>
      </c>
      <c r="I434" s="38">
        <v>545.29999999999995</v>
      </c>
      <c r="J434" s="38">
        <v>545.29999999999995</v>
      </c>
      <c r="K434" s="38">
        <v>545.29999999999995</v>
      </c>
      <c r="L434" s="332">
        <v>29</v>
      </c>
      <c r="M434" s="330" t="s">
        <v>46</v>
      </c>
      <c r="N434" s="330" t="s">
        <v>50</v>
      </c>
      <c r="O434" s="333" t="s">
        <v>2086</v>
      </c>
      <c r="P434" s="38">
        <v>1316285.42</v>
      </c>
      <c r="Q434" s="38">
        <v>0</v>
      </c>
      <c r="R434" s="38">
        <v>0</v>
      </c>
      <c r="S434" s="38">
        <f>P434-Q434-R434</f>
        <v>1316285.42</v>
      </c>
      <c r="T434" s="38">
        <f t="shared" si="63"/>
        <v>2413.8738675958189</v>
      </c>
      <c r="U434" s="38">
        <v>5212.0415551072801</v>
      </c>
      <c r="V434" s="458">
        <f t="shared" si="66"/>
        <v>2798.1676875114613</v>
      </c>
      <c r="W434" s="458">
        <f t="shared" si="73"/>
        <v>5194.3244819365491</v>
      </c>
      <c r="X434" s="458">
        <v>0</v>
      </c>
      <c r="Y434" s="459">
        <v>0</v>
      </c>
      <c r="Z434" s="459">
        <v>0</v>
      </c>
      <c r="AA434" s="459">
        <v>0</v>
      </c>
      <c r="AB434" s="459">
        <v>0</v>
      </c>
      <c r="AC434" s="459">
        <v>0</v>
      </c>
      <c r="AD434" s="459">
        <v>0</v>
      </c>
      <c r="AE434" s="459">
        <v>454</v>
      </c>
      <c r="AF434" s="458">
        <f>6238.91*AE434/I434</f>
        <v>5194.3244819365491</v>
      </c>
      <c r="AG434" s="459">
        <v>0</v>
      </c>
      <c r="AH434" s="458">
        <v>0</v>
      </c>
      <c r="AI434" s="459">
        <v>0</v>
      </c>
      <c r="AJ434" s="458">
        <v>0</v>
      </c>
      <c r="AK434" s="459">
        <v>0</v>
      </c>
      <c r="AL434" s="459">
        <v>0</v>
      </c>
      <c r="AM434" s="459">
        <v>0</v>
      </c>
      <c r="AN434" s="459"/>
      <c r="AO434" s="459">
        <v>0</v>
      </c>
      <c r="AP434" s="460"/>
      <c r="AQ434" s="460"/>
      <c r="AR434" s="460"/>
      <c r="AS434" s="460"/>
      <c r="AT434" s="460"/>
      <c r="AU434" s="460"/>
      <c r="AV434" s="460"/>
      <c r="AW434" s="460"/>
      <c r="AX434" s="460"/>
      <c r="AY434" s="460"/>
      <c r="AZ434" s="460"/>
      <c r="BA434" s="460"/>
      <c r="BB434" s="460"/>
      <c r="BC434" s="460"/>
      <c r="BD434" s="460"/>
      <c r="BE434" s="460"/>
      <c r="BF434" s="460"/>
      <c r="BG434" s="460"/>
      <c r="BH434" s="460"/>
      <c r="BI434" s="460"/>
      <c r="BJ434" s="460"/>
      <c r="BK434" s="460"/>
      <c r="BL434" s="460"/>
      <c r="BM434" s="460"/>
      <c r="BN434" s="460"/>
      <c r="BO434" s="460"/>
      <c r="BP434" s="460"/>
      <c r="BQ434" s="460"/>
      <c r="BR434" s="460"/>
      <c r="BS434" s="460"/>
      <c r="BT434" s="460"/>
      <c r="BU434" s="460"/>
      <c r="BV434" s="460"/>
      <c r="BW434" s="460"/>
      <c r="BX434" s="460"/>
      <c r="BY434" s="460"/>
      <c r="BZ434" s="460"/>
      <c r="CA434" s="460"/>
      <c r="CB434" s="460"/>
      <c r="CC434" s="460"/>
      <c r="CD434" s="460"/>
      <c r="CE434" s="460"/>
      <c r="CF434" s="460"/>
      <c r="CG434" s="460"/>
      <c r="CH434" s="460"/>
      <c r="CI434" s="460"/>
      <c r="CJ434" s="460"/>
      <c r="CK434" s="460"/>
    </row>
    <row r="435" spans="1:89" s="329" customFormat="1" ht="36" customHeight="1" x14ac:dyDescent="0.25">
      <c r="B435" s="33" t="s">
        <v>1361</v>
      </c>
      <c r="C435" s="33"/>
      <c r="D435" s="330" t="s">
        <v>131</v>
      </c>
      <c r="E435" s="330" t="s">
        <v>131</v>
      </c>
      <c r="F435" s="330" t="s">
        <v>131</v>
      </c>
      <c r="G435" s="330" t="s">
        <v>131</v>
      </c>
      <c r="H435" s="330" t="s">
        <v>131</v>
      </c>
      <c r="I435" s="334">
        <f>SUM(I436:I437)</f>
        <v>1322.5</v>
      </c>
      <c r="J435" s="334">
        <f>SUM(J436:J437)</f>
        <v>1216.4000000000001</v>
      </c>
      <c r="K435" s="334">
        <f>SUM(K436:K437)</f>
        <v>1216.4000000000001</v>
      </c>
      <c r="L435" s="332">
        <f>SUM(L436:L437)</f>
        <v>60</v>
      </c>
      <c r="M435" s="330" t="s">
        <v>131</v>
      </c>
      <c r="N435" s="330" t="s">
        <v>131</v>
      </c>
      <c r="O435" s="333" t="s">
        <v>131</v>
      </c>
      <c r="P435" s="334">
        <v>5174634.9800000004</v>
      </c>
      <c r="Q435" s="334">
        <f t="shared" ref="Q435:R435" si="74">SUM(Q436:Q437)</f>
        <v>0</v>
      </c>
      <c r="R435" s="334">
        <f t="shared" si="74"/>
        <v>0</v>
      </c>
      <c r="S435" s="334">
        <f>SUM(S436:S437)</f>
        <v>5174634.9800000004</v>
      </c>
      <c r="T435" s="38">
        <f t="shared" si="63"/>
        <v>3912.767470699433</v>
      </c>
      <c r="U435" s="38">
        <f>MAX(U436:U437)</f>
        <v>7241.8575650154798</v>
      </c>
      <c r="V435" s="458">
        <f t="shared" si="66"/>
        <v>3329.0900943160468</v>
      </c>
      <c r="W435" s="458"/>
      <c r="X435" s="458"/>
      <c r="Y435" s="459"/>
      <c r="Z435" s="459"/>
      <c r="AA435" s="459"/>
      <c r="AB435" s="459"/>
      <c r="AC435" s="459"/>
      <c r="AD435" s="459"/>
      <c r="AE435" s="459"/>
      <c r="AF435" s="459"/>
      <c r="AG435" s="459"/>
      <c r="AH435" s="459"/>
      <c r="AI435" s="459"/>
      <c r="AJ435" s="459"/>
      <c r="AK435" s="459"/>
      <c r="AL435" s="459"/>
      <c r="AM435" s="459"/>
      <c r="AN435" s="459"/>
      <c r="AO435" s="459"/>
      <c r="AP435" s="460"/>
      <c r="AQ435" s="460"/>
      <c r="AR435" s="460"/>
      <c r="AS435" s="460"/>
      <c r="AT435" s="460"/>
      <c r="AU435" s="460"/>
      <c r="AV435" s="460"/>
      <c r="AW435" s="460"/>
      <c r="AX435" s="460"/>
      <c r="AY435" s="460"/>
      <c r="AZ435" s="460"/>
      <c r="BA435" s="460"/>
      <c r="BB435" s="460"/>
      <c r="BC435" s="460"/>
      <c r="BD435" s="460"/>
      <c r="BE435" s="460"/>
      <c r="BF435" s="460"/>
      <c r="BG435" s="460"/>
      <c r="BH435" s="460"/>
      <c r="BI435" s="460"/>
      <c r="BJ435" s="460"/>
      <c r="BK435" s="460"/>
      <c r="BL435" s="460"/>
      <c r="BM435" s="460"/>
      <c r="BN435" s="460"/>
      <c r="BO435" s="460"/>
      <c r="BP435" s="460"/>
      <c r="BQ435" s="460"/>
      <c r="BR435" s="460"/>
      <c r="BS435" s="460"/>
      <c r="BT435" s="460"/>
      <c r="BU435" s="460"/>
      <c r="BV435" s="460"/>
      <c r="BW435" s="460"/>
      <c r="BX435" s="460"/>
      <c r="BY435" s="460"/>
      <c r="BZ435" s="460"/>
      <c r="CA435" s="460"/>
      <c r="CB435" s="460"/>
      <c r="CC435" s="460"/>
      <c r="CD435" s="460"/>
      <c r="CE435" s="460"/>
      <c r="CF435" s="460"/>
      <c r="CG435" s="460"/>
      <c r="CH435" s="460"/>
      <c r="CI435" s="460"/>
      <c r="CJ435" s="460"/>
      <c r="CK435" s="460"/>
    </row>
    <row r="436" spans="1:89" s="329" customFormat="1" ht="36" customHeight="1" x14ac:dyDescent="0.25">
      <c r="A436" s="329">
        <v>1</v>
      </c>
      <c r="B436" s="39">
        <f>SUBTOTAL(103,$A$16:A436)</f>
        <v>382</v>
      </c>
      <c r="C436" s="33" t="s">
        <v>1076</v>
      </c>
      <c r="D436" s="330">
        <v>1960</v>
      </c>
      <c r="E436" s="330"/>
      <c r="F436" s="331" t="s">
        <v>48</v>
      </c>
      <c r="G436" s="330">
        <v>2</v>
      </c>
      <c r="H436" s="330" t="s">
        <v>56</v>
      </c>
      <c r="I436" s="38">
        <v>676.5</v>
      </c>
      <c r="J436" s="38">
        <v>628.1</v>
      </c>
      <c r="K436" s="38">
        <v>628.1</v>
      </c>
      <c r="L436" s="332">
        <v>25</v>
      </c>
      <c r="M436" s="330" t="s">
        <v>46</v>
      </c>
      <c r="N436" s="330" t="s">
        <v>50</v>
      </c>
      <c r="O436" s="333" t="s">
        <v>2087</v>
      </c>
      <c r="P436" s="38">
        <v>2210436.8400000003</v>
      </c>
      <c r="Q436" s="38">
        <v>0</v>
      </c>
      <c r="R436" s="38">
        <v>0</v>
      </c>
      <c r="S436" s="38">
        <f>P436-Q436-R436</f>
        <v>2210436.8400000003</v>
      </c>
      <c r="T436" s="38">
        <f t="shared" si="63"/>
        <v>3267.4602217294905</v>
      </c>
      <c r="U436" s="38">
        <v>5506.838827937916</v>
      </c>
      <c r="V436" s="458">
        <f t="shared" si="66"/>
        <v>2239.3786062084255</v>
      </c>
      <c r="W436" s="458">
        <f t="shared" ref="W436:W437" si="75">X436+Y436+Z436+AA436+AB436+AD436+AF436+AH436+AJ436+AL436+AN436+AO436</f>
        <v>5488.1196628233556</v>
      </c>
      <c r="X436" s="458">
        <v>0</v>
      </c>
      <c r="Y436" s="459">
        <v>0</v>
      </c>
      <c r="Z436" s="459">
        <v>0</v>
      </c>
      <c r="AA436" s="459">
        <v>0</v>
      </c>
      <c r="AB436" s="459">
        <v>0</v>
      </c>
      <c r="AC436" s="459">
        <v>0</v>
      </c>
      <c r="AD436" s="459">
        <v>0</v>
      </c>
      <c r="AE436" s="459">
        <v>595.09</v>
      </c>
      <c r="AF436" s="458">
        <f>6238.91*AE436/I436</f>
        <v>5488.1196628233556</v>
      </c>
      <c r="AG436" s="459">
        <v>0</v>
      </c>
      <c r="AH436" s="458">
        <v>0</v>
      </c>
      <c r="AI436" s="459">
        <v>0</v>
      </c>
      <c r="AJ436" s="458">
        <v>0</v>
      </c>
      <c r="AK436" s="459">
        <v>0</v>
      </c>
      <c r="AL436" s="459">
        <v>0</v>
      </c>
      <c r="AM436" s="459">
        <v>0</v>
      </c>
      <c r="AN436" s="459"/>
      <c r="AO436" s="459">
        <v>0</v>
      </c>
      <c r="AP436" s="460"/>
      <c r="AQ436" s="460"/>
      <c r="AR436" s="460"/>
      <c r="AS436" s="460"/>
      <c r="AT436" s="460"/>
      <c r="AU436" s="460"/>
      <c r="AV436" s="460"/>
      <c r="AW436" s="460"/>
      <c r="AX436" s="460"/>
      <c r="AY436" s="460"/>
      <c r="AZ436" s="460"/>
      <c r="BA436" s="460"/>
      <c r="BB436" s="460"/>
      <c r="BC436" s="460"/>
      <c r="BD436" s="460"/>
      <c r="BE436" s="460"/>
      <c r="BF436" s="460"/>
      <c r="BG436" s="460"/>
      <c r="BH436" s="460"/>
      <c r="BI436" s="460"/>
      <c r="BJ436" s="460"/>
      <c r="BK436" s="460"/>
      <c r="BL436" s="460"/>
      <c r="BM436" s="460"/>
      <c r="BN436" s="460"/>
      <c r="BO436" s="460"/>
      <c r="BP436" s="460"/>
      <c r="BQ436" s="460"/>
      <c r="BR436" s="460"/>
      <c r="BS436" s="460"/>
      <c r="BT436" s="460"/>
      <c r="BU436" s="460"/>
      <c r="BV436" s="460"/>
      <c r="BW436" s="460"/>
      <c r="BX436" s="460"/>
      <c r="BY436" s="460"/>
      <c r="BZ436" s="460"/>
      <c r="CA436" s="460"/>
      <c r="CB436" s="460"/>
      <c r="CC436" s="460"/>
      <c r="CD436" s="460"/>
      <c r="CE436" s="460"/>
      <c r="CF436" s="460"/>
      <c r="CG436" s="460"/>
      <c r="CH436" s="460"/>
      <c r="CI436" s="460"/>
      <c r="CJ436" s="460"/>
      <c r="CK436" s="460"/>
    </row>
    <row r="437" spans="1:89" s="329" customFormat="1" ht="36" customHeight="1" x14ac:dyDescent="0.25">
      <c r="A437" s="329">
        <v>1</v>
      </c>
      <c r="B437" s="39">
        <f>SUBTOTAL(103,$A$16:A437)</f>
        <v>383</v>
      </c>
      <c r="C437" s="33" t="s">
        <v>1362</v>
      </c>
      <c r="D437" s="330">
        <v>1957</v>
      </c>
      <c r="E437" s="330"/>
      <c r="F437" s="331" t="s">
        <v>48</v>
      </c>
      <c r="G437" s="330">
        <v>2</v>
      </c>
      <c r="H437" s="330" t="s">
        <v>56</v>
      </c>
      <c r="I437" s="38">
        <v>646</v>
      </c>
      <c r="J437" s="38">
        <v>588.29999999999995</v>
      </c>
      <c r="K437" s="38">
        <v>588.29999999999995</v>
      </c>
      <c r="L437" s="332">
        <v>35</v>
      </c>
      <c r="M437" s="330" t="s">
        <v>46</v>
      </c>
      <c r="N437" s="330" t="s">
        <v>50</v>
      </c>
      <c r="O437" s="333" t="s">
        <v>2087</v>
      </c>
      <c r="P437" s="38">
        <v>2964198.14</v>
      </c>
      <c r="Q437" s="38">
        <v>0</v>
      </c>
      <c r="R437" s="38">
        <v>0</v>
      </c>
      <c r="S437" s="38">
        <f>P437-R437-Q437</f>
        <v>2964198.14</v>
      </c>
      <c r="T437" s="38">
        <f t="shared" si="63"/>
        <v>4588.5420123839012</v>
      </c>
      <c r="U437" s="38">
        <v>7241.8575650154798</v>
      </c>
      <c r="V437" s="458">
        <f t="shared" si="66"/>
        <v>2653.3155526315786</v>
      </c>
      <c r="W437" s="458">
        <f t="shared" si="75"/>
        <v>7217.2406238390095</v>
      </c>
      <c r="X437" s="458">
        <v>0</v>
      </c>
      <c r="Y437" s="459">
        <v>0</v>
      </c>
      <c r="Z437" s="459">
        <v>0</v>
      </c>
      <c r="AA437" s="459">
        <v>0</v>
      </c>
      <c r="AB437" s="459">
        <v>0</v>
      </c>
      <c r="AC437" s="459">
        <v>0</v>
      </c>
      <c r="AD437" s="459">
        <v>0</v>
      </c>
      <c r="AE437" s="459">
        <v>747.3</v>
      </c>
      <c r="AF437" s="458">
        <f>6238.91*AE437/I437</f>
        <v>7217.2406238390095</v>
      </c>
      <c r="AG437" s="459">
        <v>0</v>
      </c>
      <c r="AH437" s="458">
        <v>0</v>
      </c>
      <c r="AI437" s="459">
        <v>0</v>
      </c>
      <c r="AJ437" s="458">
        <v>0</v>
      </c>
      <c r="AK437" s="459">
        <v>0</v>
      </c>
      <c r="AL437" s="459">
        <v>0</v>
      </c>
      <c r="AM437" s="459">
        <v>0</v>
      </c>
      <c r="AN437" s="459"/>
      <c r="AO437" s="459">
        <v>0</v>
      </c>
      <c r="AP437" s="460"/>
      <c r="AQ437" s="460"/>
      <c r="AR437" s="460"/>
      <c r="AS437" s="460"/>
      <c r="AT437" s="460"/>
      <c r="AU437" s="460"/>
      <c r="AV437" s="460"/>
      <c r="AW437" s="460"/>
      <c r="AX437" s="460"/>
      <c r="AY437" s="460"/>
      <c r="AZ437" s="460"/>
      <c r="BA437" s="460"/>
      <c r="BB437" s="460"/>
      <c r="BC437" s="460"/>
      <c r="BD437" s="460"/>
      <c r="BE437" s="460"/>
      <c r="BF437" s="460"/>
      <c r="BG437" s="460"/>
      <c r="BH437" s="460"/>
      <c r="BI437" s="460"/>
      <c r="BJ437" s="460"/>
      <c r="BK437" s="460"/>
      <c r="BL437" s="460"/>
      <c r="BM437" s="460"/>
      <c r="BN437" s="460"/>
      <c r="BO437" s="460"/>
      <c r="BP437" s="460"/>
      <c r="BQ437" s="460"/>
      <c r="BR437" s="460"/>
      <c r="BS437" s="460"/>
      <c r="BT437" s="460"/>
      <c r="BU437" s="460"/>
      <c r="BV437" s="460"/>
      <c r="BW437" s="460"/>
      <c r="BX437" s="460"/>
      <c r="BY437" s="460"/>
      <c r="BZ437" s="460"/>
      <c r="CA437" s="460"/>
      <c r="CB437" s="460"/>
      <c r="CC437" s="460"/>
      <c r="CD437" s="460"/>
      <c r="CE437" s="460"/>
      <c r="CF437" s="460"/>
      <c r="CG437" s="460"/>
      <c r="CH437" s="460"/>
      <c r="CI437" s="460"/>
      <c r="CJ437" s="460"/>
      <c r="CK437" s="460"/>
    </row>
    <row r="438" spans="1:89" s="329" customFormat="1" ht="36" customHeight="1" x14ac:dyDescent="0.25">
      <c r="B438" s="33" t="s">
        <v>113</v>
      </c>
      <c r="C438" s="33"/>
      <c r="D438" s="330" t="s">
        <v>131</v>
      </c>
      <c r="E438" s="330" t="s">
        <v>131</v>
      </c>
      <c r="F438" s="330" t="s">
        <v>131</v>
      </c>
      <c r="G438" s="330" t="s">
        <v>131</v>
      </c>
      <c r="H438" s="330" t="s">
        <v>131</v>
      </c>
      <c r="I438" s="334">
        <f>SUM(I439:I448)</f>
        <v>13058.16</v>
      </c>
      <c r="J438" s="334">
        <f>SUM(J439:J448)</f>
        <v>11210.9</v>
      </c>
      <c r="K438" s="334">
        <f>SUM(K439:K448)</f>
        <v>11135.9</v>
      </c>
      <c r="L438" s="332">
        <f>SUM(L439:L448)</f>
        <v>529</v>
      </c>
      <c r="M438" s="330" t="s">
        <v>131</v>
      </c>
      <c r="N438" s="330" t="s">
        <v>131</v>
      </c>
      <c r="O438" s="333" t="s">
        <v>131</v>
      </c>
      <c r="P438" s="38">
        <v>18039853.560000002</v>
      </c>
      <c r="Q438" s="38">
        <f>SUM(Q439:Q448)</f>
        <v>0</v>
      </c>
      <c r="R438" s="38">
        <f>SUM(R439:R448)</f>
        <v>0</v>
      </c>
      <c r="S438" s="38">
        <f>SUM(S439:S448)</f>
        <v>18039853.560000002</v>
      </c>
      <c r="T438" s="38">
        <f t="shared" si="63"/>
        <v>1381.5004227241818</v>
      </c>
      <c r="U438" s="38">
        <f>MAX(U439:U448)</f>
        <v>7866.7834264014464</v>
      </c>
      <c r="V438" s="458">
        <f t="shared" si="66"/>
        <v>6485.2830036772648</v>
      </c>
      <c r="W438" s="458"/>
      <c r="X438" s="458"/>
      <c r="Y438" s="459"/>
      <c r="Z438" s="459"/>
      <c r="AA438" s="459"/>
      <c r="AB438" s="459"/>
      <c r="AC438" s="459"/>
      <c r="AD438" s="459"/>
      <c r="AE438" s="459"/>
      <c r="AF438" s="459"/>
      <c r="AG438" s="459"/>
      <c r="AH438" s="459"/>
      <c r="AI438" s="459"/>
      <c r="AJ438" s="459"/>
      <c r="AK438" s="459"/>
      <c r="AL438" s="459"/>
      <c r="AM438" s="459"/>
      <c r="AN438" s="459"/>
      <c r="AO438" s="459"/>
      <c r="AP438" s="460"/>
      <c r="AQ438" s="460"/>
      <c r="AR438" s="460"/>
      <c r="AS438" s="460"/>
      <c r="AT438" s="460"/>
      <c r="AU438" s="460"/>
      <c r="AV438" s="460"/>
      <c r="AW438" s="460"/>
      <c r="AX438" s="460"/>
      <c r="AY438" s="460"/>
      <c r="AZ438" s="460"/>
      <c r="BA438" s="460"/>
      <c r="BB438" s="460"/>
      <c r="BC438" s="460"/>
      <c r="BD438" s="460"/>
      <c r="BE438" s="460"/>
      <c r="BF438" s="460"/>
      <c r="BG438" s="460"/>
      <c r="BH438" s="460"/>
      <c r="BI438" s="460"/>
      <c r="BJ438" s="460"/>
      <c r="BK438" s="460"/>
      <c r="BL438" s="460"/>
      <c r="BM438" s="460"/>
      <c r="BN438" s="460"/>
      <c r="BO438" s="460"/>
      <c r="BP438" s="460"/>
      <c r="BQ438" s="460"/>
      <c r="BR438" s="460"/>
      <c r="BS438" s="460"/>
      <c r="BT438" s="460"/>
      <c r="BU438" s="460"/>
      <c r="BV438" s="460"/>
      <c r="BW438" s="460"/>
      <c r="BX438" s="460"/>
      <c r="BY438" s="460"/>
      <c r="BZ438" s="460"/>
      <c r="CA438" s="460"/>
      <c r="CB438" s="460"/>
      <c r="CC438" s="460"/>
      <c r="CD438" s="460"/>
      <c r="CE438" s="460"/>
      <c r="CF438" s="460"/>
      <c r="CG438" s="460"/>
      <c r="CH438" s="460"/>
      <c r="CI438" s="460"/>
      <c r="CJ438" s="460"/>
      <c r="CK438" s="460"/>
    </row>
    <row r="439" spans="1:89" s="329" customFormat="1" ht="36" customHeight="1" x14ac:dyDescent="0.25">
      <c r="A439" s="329">
        <v>1</v>
      </c>
      <c r="B439" s="39">
        <f>SUBTOTAL(103,$A$16:A439)</f>
        <v>384</v>
      </c>
      <c r="C439" s="33" t="s">
        <v>1363</v>
      </c>
      <c r="D439" s="330">
        <v>1941</v>
      </c>
      <c r="E439" s="330"/>
      <c r="F439" s="331" t="s">
        <v>48</v>
      </c>
      <c r="G439" s="330">
        <v>3</v>
      </c>
      <c r="H439" s="330" t="s">
        <v>61</v>
      </c>
      <c r="I439" s="38">
        <v>1207.5</v>
      </c>
      <c r="J439" s="38">
        <v>1191.18</v>
      </c>
      <c r="K439" s="38">
        <v>1191.18</v>
      </c>
      <c r="L439" s="332">
        <v>51</v>
      </c>
      <c r="M439" s="330" t="s">
        <v>46</v>
      </c>
      <c r="N439" s="330" t="s">
        <v>47</v>
      </c>
      <c r="O439" s="333" t="s">
        <v>49</v>
      </c>
      <c r="P439" s="38">
        <v>5017460.6800000006</v>
      </c>
      <c r="Q439" s="38">
        <v>0</v>
      </c>
      <c r="R439" s="38">
        <v>0</v>
      </c>
      <c r="S439" s="38">
        <f t="shared" ref="S439:S448" si="76">P439-Q439-R439</f>
        <v>5017460.6800000006</v>
      </c>
      <c r="T439" s="38">
        <f t="shared" si="63"/>
        <v>4155.2469399585925</v>
      </c>
      <c r="U439" s="38">
        <v>4496.449513043478</v>
      </c>
      <c r="V439" s="458">
        <v>341.20257308488544</v>
      </c>
      <c r="W439" s="458">
        <v>4481.1649217391296</v>
      </c>
      <c r="X439" s="458">
        <v>0</v>
      </c>
      <c r="Y439" s="459">
        <v>0</v>
      </c>
      <c r="Z439" s="459">
        <v>0</v>
      </c>
      <c r="AA439" s="459">
        <v>0</v>
      </c>
      <c r="AB439" s="459">
        <v>0</v>
      </c>
      <c r="AC439" s="459">
        <v>0</v>
      </c>
      <c r="AD439" s="459">
        <v>0</v>
      </c>
      <c r="AE439" s="459">
        <v>867.3</v>
      </c>
      <c r="AF439" s="458">
        <v>4481.1649217391296</v>
      </c>
      <c r="AG439" s="459">
        <v>0</v>
      </c>
      <c r="AH439" s="458">
        <v>0</v>
      </c>
      <c r="AI439" s="459">
        <v>0</v>
      </c>
      <c r="AJ439" s="458">
        <v>0</v>
      </c>
      <c r="AK439" s="459">
        <v>0</v>
      </c>
      <c r="AL439" s="459">
        <v>0</v>
      </c>
      <c r="AM439" s="459">
        <v>0</v>
      </c>
      <c r="AN439" s="459"/>
      <c r="AO439" s="459">
        <v>0</v>
      </c>
      <c r="AP439" s="460"/>
      <c r="AQ439" s="460"/>
      <c r="AR439" s="460"/>
      <c r="AS439" s="460"/>
      <c r="AT439" s="460"/>
      <c r="AU439" s="460"/>
      <c r="AV439" s="460"/>
      <c r="AW439" s="460"/>
      <c r="AX439" s="460"/>
      <c r="AY439" s="460"/>
      <c r="AZ439" s="460"/>
      <c r="BA439" s="460"/>
      <c r="BB439" s="460"/>
      <c r="BC439" s="460"/>
      <c r="BD439" s="460"/>
      <c r="BE439" s="460"/>
      <c r="BF439" s="460"/>
      <c r="BG439" s="460"/>
      <c r="BH439" s="460"/>
      <c r="BI439" s="460"/>
      <c r="BJ439" s="460"/>
      <c r="BK439" s="460"/>
      <c r="BL439" s="460"/>
      <c r="BM439" s="460"/>
      <c r="BN439" s="460"/>
      <c r="BO439" s="460"/>
      <c r="BP439" s="460"/>
      <c r="BQ439" s="460"/>
      <c r="BR439" s="460"/>
      <c r="BS439" s="460"/>
      <c r="BT439" s="460"/>
      <c r="BU439" s="460"/>
      <c r="BV439" s="460"/>
      <c r="BW439" s="460"/>
      <c r="BX439" s="460"/>
      <c r="BY439" s="460"/>
      <c r="BZ439" s="460"/>
      <c r="CA439" s="460"/>
      <c r="CB439" s="460"/>
      <c r="CC439" s="460"/>
      <c r="CD439" s="460"/>
      <c r="CE439" s="460"/>
      <c r="CF439" s="460"/>
      <c r="CG439" s="460"/>
      <c r="CH439" s="460"/>
      <c r="CI439" s="460"/>
      <c r="CJ439" s="460"/>
      <c r="CK439" s="460"/>
    </row>
    <row r="440" spans="1:89" s="329" customFormat="1" ht="36" customHeight="1" x14ac:dyDescent="0.25">
      <c r="A440" s="329">
        <v>1</v>
      </c>
      <c r="B440" s="39">
        <f>SUBTOTAL(103,$A$16:A440)</f>
        <v>385</v>
      </c>
      <c r="C440" s="33" t="s">
        <v>1364</v>
      </c>
      <c r="D440" s="330">
        <v>1972</v>
      </c>
      <c r="E440" s="330"/>
      <c r="F440" s="331" t="s">
        <v>48</v>
      </c>
      <c r="G440" s="330">
        <v>2</v>
      </c>
      <c r="H440" s="330" t="s">
        <v>56</v>
      </c>
      <c r="I440" s="38">
        <v>729.8</v>
      </c>
      <c r="J440" s="38">
        <v>482.52</v>
      </c>
      <c r="K440" s="38">
        <v>482.52</v>
      </c>
      <c r="L440" s="332">
        <v>30</v>
      </c>
      <c r="M440" s="330" t="s">
        <v>46</v>
      </c>
      <c r="N440" s="330" t="s">
        <v>47</v>
      </c>
      <c r="O440" s="333" t="s">
        <v>49</v>
      </c>
      <c r="P440" s="38">
        <v>2810575.6300000004</v>
      </c>
      <c r="Q440" s="38">
        <v>0</v>
      </c>
      <c r="R440" s="38">
        <v>0</v>
      </c>
      <c r="S440" s="38">
        <f t="shared" si="76"/>
        <v>2810575.6300000004</v>
      </c>
      <c r="T440" s="38">
        <f t="shared" si="63"/>
        <v>3851.1587147163614</v>
      </c>
      <c r="U440" s="38">
        <v>5598.8298342011512</v>
      </c>
      <c r="V440" s="458">
        <f t="shared" si="66"/>
        <v>1747.6711194847899</v>
      </c>
      <c r="W440" s="458">
        <f t="shared" ref="W440:W448" si="77">X440+Y440+Z440+AA440+AB440+AD440+AF440+AH440+AJ440+AL440+AN440+AO440</f>
        <v>5579.7979679364216</v>
      </c>
      <c r="X440" s="458">
        <v>0</v>
      </c>
      <c r="Y440" s="459">
        <v>0</v>
      </c>
      <c r="Z440" s="459">
        <v>0</v>
      </c>
      <c r="AA440" s="459">
        <v>0</v>
      </c>
      <c r="AB440" s="459">
        <v>0</v>
      </c>
      <c r="AC440" s="459">
        <v>0</v>
      </c>
      <c r="AD440" s="459">
        <v>0</v>
      </c>
      <c r="AE440" s="459">
        <v>652.70000000000005</v>
      </c>
      <c r="AF440" s="458">
        <f t="shared" ref="AF440:AF444" si="78">6238.91*AE440/I440</f>
        <v>5579.7979679364216</v>
      </c>
      <c r="AG440" s="459">
        <v>0</v>
      </c>
      <c r="AH440" s="458">
        <v>0</v>
      </c>
      <c r="AI440" s="459">
        <v>0</v>
      </c>
      <c r="AJ440" s="458">
        <v>0</v>
      </c>
      <c r="AK440" s="459">
        <v>0</v>
      </c>
      <c r="AL440" s="459">
        <v>0</v>
      </c>
      <c r="AM440" s="459">
        <v>0</v>
      </c>
      <c r="AN440" s="459"/>
      <c r="AO440" s="459">
        <v>0</v>
      </c>
      <c r="AP440" s="460"/>
      <c r="AQ440" s="460"/>
      <c r="AR440" s="460"/>
      <c r="AS440" s="460"/>
      <c r="AT440" s="460"/>
      <c r="AU440" s="460"/>
      <c r="AV440" s="460"/>
      <c r="AW440" s="460"/>
      <c r="AX440" s="460"/>
      <c r="AY440" s="460"/>
      <c r="AZ440" s="460"/>
      <c r="BA440" s="460"/>
      <c r="BB440" s="460"/>
      <c r="BC440" s="460"/>
      <c r="BD440" s="460"/>
      <c r="BE440" s="460"/>
      <c r="BF440" s="460"/>
      <c r="BG440" s="460"/>
      <c r="BH440" s="460"/>
      <c r="BI440" s="460"/>
      <c r="BJ440" s="460"/>
      <c r="BK440" s="460"/>
      <c r="BL440" s="460"/>
      <c r="BM440" s="460"/>
      <c r="BN440" s="460"/>
      <c r="BO440" s="460"/>
      <c r="BP440" s="460"/>
      <c r="BQ440" s="460"/>
      <c r="BR440" s="460"/>
      <c r="BS440" s="460"/>
      <c r="BT440" s="460"/>
      <c r="BU440" s="460"/>
      <c r="BV440" s="460"/>
      <c r="BW440" s="460"/>
      <c r="BX440" s="460"/>
      <c r="BY440" s="460"/>
      <c r="BZ440" s="460"/>
      <c r="CA440" s="460"/>
      <c r="CB440" s="460"/>
      <c r="CC440" s="460"/>
      <c r="CD440" s="460"/>
      <c r="CE440" s="460"/>
      <c r="CF440" s="460"/>
      <c r="CG440" s="460"/>
      <c r="CH440" s="460"/>
      <c r="CI440" s="460"/>
      <c r="CJ440" s="460"/>
      <c r="CK440" s="460"/>
    </row>
    <row r="441" spans="1:89" s="329" customFormat="1" ht="36" customHeight="1" x14ac:dyDescent="0.25">
      <c r="A441" s="329">
        <v>1</v>
      </c>
      <c r="B441" s="39">
        <f>SUBTOTAL(103,$A$16:A441)</f>
        <v>386</v>
      </c>
      <c r="C441" s="33" t="s">
        <v>1365</v>
      </c>
      <c r="D441" s="330">
        <v>1962</v>
      </c>
      <c r="E441" s="330"/>
      <c r="F441" s="331" t="s">
        <v>48</v>
      </c>
      <c r="G441" s="330">
        <v>4</v>
      </c>
      <c r="H441" s="330" t="s">
        <v>61</v>
      </c>
      <c r="I441" s="38">
        <v>1905.34</v>
      </c>
      <c r="J441" s="38">
        <v>1905.34</v>
      </c>
      <c r="K441" s="38">
        <v>1830.34</v>
      </c>
      <c r="L441" s="332">
        <v>101</v>
      </c>
      <c r="M441" s="330" t="s">
        <v>46</v>
      </c>
      <c r="N441" s="330" t="s">
        <v>47</v>
      </c>
      <c r="O441" s="333" t="s">
        <v>49</v>
      </c>
      <c r="P441" s="38">
        <v>131037.61</v>
      </c>
      <c r="Q441" s="38">
        <v>0</v>
      </c>
      <c r="R441" s="38">
        <v>0</v>
      </c>
      <c r="S441" s="38">
        <f t="shared" si="76"/>
        <v>131037.61</v>
      </c>
      <c r="T441" s="38">
        <f t="shared" si="63"/>
        <v>68.773872379732751</v>
      </c>
      <c r="U441" s="38">
        <f>T441</f>
        <v>68.773872379732751</v>
      </c>
      <c r="V441" s="458">
        <f t="shared" si="66"/>
        <v>0</v>
      </c>
      <c r="W441" s="458">
        <f t="shared" si="77"/>
        <v>2936.8398180902095</v>
      </c>
      <c r="X441" s="458">
        <v>0</v>
      </c>
      <c r="Y441" s="459">
        <v>0</v>
      </c>
      <c r="Z441" s="459">
        <v>0</v>
      </c>
      <c r="AA441" s="459">
        <v>0</v>
      </c>
      <c r="AB441" s="459">
        <v>0</v>
      </c>
      <c r="AC441" s="459">
        <v>0</v>
      </c>
      <c r="AD441" s="459">
        <v>0</v>
      </c>
      <c r="AE441" s="459">
        <v>896.9</v>
      </c>
      <c r="AF441" s="458">
        <f t="shared" si="78"/>
        <v>2936.8398180902095</v>
      </c>
      <c r="AG441" s="459">
        <v>0</v>
      </c>
      <c r="AH441" s="458">
        <v>0</v>
      </c>
      <c r="AI441" s="459">
        <v>0</v>
      </c>
      <c r="AJ441" s="458">
        <v>0</v>
      </c>
      <c r="AK441" s="459">
        <v>0</v>
      </c>
      <c r="AL441" s="459">
        <v>0</v>
      </c>
      <c r="AM441" s="459">
        <v>0</v>
      </c>
      <c r="AN441" s="459"/>
      <c r="AO441" s="459">
        <v>0</v>
      </c>
      <c r="AP441" s="460"/>
      <c r="AQ441" s="460"/>
      <c r="AR441" s="460"/>
      <c r="AS441" s="460"/>
      <c r="AT441" s="460"/>
      <c r="AU441" s="460"/>
      <c r="AV441" s="460"/>
      <c r="AW441" s="460"/>
      <c r="AX441" s="460"/>
      <c r="AY441" s="460"/>
      <c r="AZ441" s="460"/>
      <c r="BA441" s="460"/>
      <c r="BB441" s="460"/>
      <c r="BC441" s="460"/>
      <c r="BD441" s="460"/>
      <c r="BE441" s="460"/>
      <c r="BF441" s="460"/>
      <c r="BG441" s="460"/>
      <c r="BH441" s="460"/>
      <c r="BI441" s="460"/>
      <c r="BJ441" s="460"/>
      <c r="BK441" s="460"/>
      <c r="BL441" s="460"/>
      <c r="BM441" s="460"/>
      <c r="BN441" s="460"/>
      <c r="BO441" s="460"/>
      <c r="BP441" s="460"/>
      <c r="BQ441" s="460"/>
      <c r="BR441" s="460"/>
      <c r="BS441" s="460"/>
      <c r="BT441" s="460"/>
      <c r="BU441" s="460"/>
      <c r="BV441" s="460"/>
      <c r="BW441" s="460"/>
      <c r="BX441" s="460"/>
      <c r="BY441" s="460"/>
      <c r="BZ441" s="460"/>
      <c r="CA441" s="460"/>
      <c r="CB441" s="460"/>
      <c r="CC441" s="460"/>
      <c r="CD441" s="460"/>
      <c r="CE441" s="460"/>
      <c r="CF441" s="460"/>
      <c r="CG441" s="460"/>
      <c r="CH441" s="460"/>
      <c r="CI441" s="460"/>
      <c r="CJ441" s="460"/>
      <c r="CK441" s="460"/>
    </row>
    <row r="442" spans="1:89" s="329" customFormat="1" ht="36" customHeight="1" x14ac:dyDescent="0.25">
      <c r="A442" s="329">
        <v>1</v>
      </c>
      <c r="B442" s="39">
        <f>SUBTOTAL(103,$A$16:A442)</f>
        <v>387</v>
      </c>
      <c r="C442" s="33" t="s">
        <v>1366</v>
      </c>
      <c r="D442" s="330">
        <v>1971</v>
      </c>
      <c r="E442" s="330"/>
      <c r="F442" s="331" t="s">
        <v>48</v>
      </c>
      <c r="G442" s="330">
        <v>2</v>
      </c>
      <c r="H442" s="330" t="s">
        <v>56</v>
      </c>
      <c r="I442" s="38">
        <v>754.85</v>
      </c>
      <c r="J442" s="38">
        <v>754.85</v>
      </c>
      <c r="K442" s="38">
        <v>754.85</v>
      </c>
      <c r="L442" s="332">
        <v>42</v>
      </c>
      <c r="M442" s="330" t="s">
        <v>46</v>
      </c>
      <c r="N442" s="330" t="s">
        <v>47</v>
      </c>
      <c r="O442" s="333" t="s">
        <v>49</v>
      </c>
      <c r="P442" s="38">
        <v>2938871.62</v>
      </c>
      <c r="Q442" s="38">
        <v>0</v>
      </c>
      <c r="R442" s="38">
        <v>0</v>
      </c>
      <c r="S442" s="38">
        <f t="shared" si="76"/>
        <v>2938871.62</v>
      </c>
      <c r="T442" s="38">
        <f t="shared" si="63"/>
        <v>3893.3186990792874</v>
      </c>
      <c r="U442" s="38">
        <v>5647.7305292442197</v>
      </c>
      <c r="V442" s="458">
        <f t="shared" si="66"/>
        <v>1754.4118301649323</v>
      </c>
      <c r="W442" s="458">
        <f t="shared" si="77"/>
        <v>5628.5324369079945</v>
      </c>
      <c r="X442" s="458">
        <v>0</v>
      </c>
      <c r="Y442" s="459">
        <v>0</v>
      </c>
      <c r="Z442" s="459">
        <v>0</v>
      </c>
      <c r="AA442" s="459">
        <v>0</v>
      </c>
      <c r="AB442" s="459">
        <v>0</v>
      </c>
      <c r="AC442" s="459">
        <v>0</v>
      </c>
      <c r="AD442" s="459">
        <v>0</v>
      </c>
      <c r="AE442" s="459">
        <v>681</v>
      </c>
      <c r="AF442" s="458">
        <f t="shared" si="78"/>
        <v>5628.5324369079945</v>
      </c>
      <c r="AG442" s="459">
        <v>0</v>
      </c>
      <c r="AH442" s="458">
        <v>0</v>
      </c>
      <c r="AI442" s="459">
        <v>0</v>
      </c>
      <c r="AJ442" s="458">
        <v>0</v>
      </c>
      <c r="AK442" s="459">
        <v>0</v>
      </c>
      <c r="AL442" s="459">
        <v>0</v>
      </c>
      <c r="AM442" s="459">
        <v>0</v>
      </c>
      <c r="AN442" s="459"/>
      <c r="AO442" s="459">
        <v>0</v>
      </c>
      <c r="AP442" s="460"/>
      <c r="AQ442" s="460"/>
      <c r="AR442" s="460"/>
      <c r="AS442" s="460"/>
      <c r="AT442" s="460"/>
      <c r="AU442" s="460"/>
      <c r="AV442" s="460"/>
      <c r="AW442" s="460"/>
      <c r="AX442" s="460"/>
      <c r="AY442" s="460"/>
      <c r="AZ442" s="460"/>
      <c r="BA442" s="460"/>
      <c r="BB442" s="460"/>
      <c r="BC442" s="460"/>
      <c r="BD442" s="460"/>
      <c r="BE442" s="460"/>
      <c r="BF442" s="460"/>
      <c r="BG442" s="460"/>
      <c r="BH442" s="460"/>
      <c r="BI442" s="460"/>
      <c r="BJ442" s="460"/>
      <c r="BK442" s="460"/>
      <c r="BL442" s="460"/>
      <c r="BM442" s="460"/>
      <c r="BN442" s="460"/>
      <c r="BO442" s="460"/>
      <c r="BP442" s="460"/>
      <c r="BQ442" s="460"/>
      <c r="BR442" s="460"/>
      <c r="BS442" s="460"/>
      <c r="BT442" s="460"/>
      <c r="BU442" s="460"/>
      <c r="BV442" s="460"/>
      <c r="BW442" s="460"/>
      <c r="BX442" s="460"/>
      <c r="BY442" s="460"/>
      <c r="BZ442" s="460"/>
      <c r="CA442" s="460"/>
      <c r="CB442" s="460"/>
      <c r="CC442" s="460"/>
      <c r="CD442" s="460"/>
      <c r="CE442" s="460"/>
      <c r="CF442" s="460"/>
      <c r="CG442" s="460"/>
      <c r="CH442" s="460"/>
      <c r="CI442" s="460"/>
      <c r="CJ442" s="460"/>
      <c r="CK442" s="460"/>
    </row>
    <row r="443" spans="1:89" s="329" customFormat="1" ht="36" customHeight="1" x14ac:dyDescent="0.25">
      <c r="A443" s="329">
        <v>1</v>
      </c>
      <c r="B443" s="39">
        <f>SUBTOTAL(103,$A$16:A443)</f>
        <v>388</v>
      </c>
      <c r="C443" s="33" t="s">
        <v>1145</v>
      </c>
      <c r="D443" s="330">
        <v>1978</v>
      </c>
      <c r="E443" s="330"/>
      <c r="F443" s="331" t="s">
        <v>48</v>
      </c>
      <c r="G443" s="330">
        <v>3</v>
      </c>
      <c r="H443" s="330" t="s">
        <v>61</v>
      </c>
      <c r="I443" s="38">
        <v>1326.37</v>
      </c>
      <c r="J443" s="38">
        <v>1326.37</v>
      </c>
      <c r="K443" s="38">
        <v>1326.37</v>
      </c>
      <c r="L443" s="332">
        <v>61</v>
      </c>
      <c r="M443" s="330" t="s">
        <v>46</v>
      </c>
      <c r="N443" s="330" t="s">
        <v>47</v>
      </c>
      <c r="O443" s="333" t="s">
        <v>49</v>
      </c>
      <c r="P443" s="38">
        <v>2250403.9200000004</v>
      </c>
      <c r="Q443" s="38">
        <v>0</v>
      </c>
      <c r="R443" s="38">
        <v>0</v>
      </c>
      <c r="S443" s="38">
        <f t="shared" si="76"/>
        <v>2250403.9200000004</v>
      </c>
      <c r="T443" s="38">
        <f t="shared" si="63"/>
        <v>1696.6637665206545</v>
      </c>
      <c r="U443" s="38">
        <v>3202.3786085330644</v>
      </c>
      <c r="V443" s="458">
        <f t="shared" si="66"/>
        <v>1505.7148420124099</v>
      </c>
      <c r="W443" s="458">
        <f t="shared" si="77"/>
        <v>3191.4928979093315</v>
      </c>
      <c r="X443" s="458">
        <v>0</v>
      </c>
      <c r="Y443" s="459">
        <v>0</v>
      </c>
      <c r="Z443" s="459">
        <v>0</v>
      </c>
      <c r="AA443" s="459">
        <v>0</v>
      </c>
      <c r="AB443" s="459">
        <v>0</v>
      </c>
      <c r="AC443" s="459">
        <v>0</v>
      </c>
      <c r="AD443" s="459">
        <v>0</v>
      </c>
      <c r="AE443" s="459">
        <v>678.5</v>
      </c>
      <c r="AF443" s="458">
        <f t="shared" si="78"/>
        <v>3191.4928979093315</v>
      </c>
      <c r="AG443" s="459">
        <v>0</v>
      </c>
      <c r="AH443" s="458">
        <v>0</v>
      </c>
      <c r="AI443" s="459">
        <v>0</v>
      </c>
      <c r="AJ443" s="458">
        <v>0</v>
      </c>
      <c r="AK443" s="459">
        <v>0</v>
      </c>
      <c r="AL443" s="459">
        <v>0</v>
      </c>
      <c r="AM443" s="459">
        <v>0</v>
      </c>
      <c r="AN443" s="459"/>
      <c r="AO443" s="459">
        <v>0</v>
      </c>
      <c r="AP443" s="460"/>
      <c r="AQ443" s="460"/>
      <c r="AR443" s="460"/>
      <c r="AS443" s="460"/>
      <c r="AT443" s="460"/>
      <c r="AU443" s="460"/>
      <c r="AV443" s="460"/>
      <c r="AW443" s="460"/>
      <c r="AX443" s="460"/>
      <c r="AY443" s="460"/>
      <c r="AZ443" s="460"/>
      <c r="BA443" s="460"/>
      <c r="BB443" s="460"/>
      <c r="BC443" s="460"/>
      <c r="BD443" s="460"/>
      <c r="BE443" s="460"/>
      <c r="BF443" s="460"/>
      <c r="BG443" s="460"/>
      <c r="BH443" s="460"/>
      <c r="BI443" s="460"/>
      <c r="BJ443" s="460"/>
      <c r="BK443" s="460"/>
      <c r="BL443" s="460"/>
      <c r="BM443" s="460"/>
      <c r="BN443" s="460"/>
      <c r="BO443" s="460"/>
      <c r="BP443" s="460"/>
      <c r="BQ443" s="460"/>
      <c r="BR443" s="460"/>
      <c r="BS443" s="460"/>
      <c r="BT443" s="460"/>
      <c r="BU443" s="460"/>
      <c r="BV443" s="460"/>
      <c r="BW443" s="460"/>
      <c r="BX443" s="460"/>
      <c r="BY443" s="460"/>
      <c r="BZ443" s="460"/>
      <c r="CA443" s="460"/>
      <c r="CB443" s="460"/>
      <c r="CC443" s="460"/>
      <c r="CD443" s="460"/>
      <c r="CE443" s="460"/>
      <c r="CF443" s="460"/>
      <c r="CG443" s="460"/>
      <c r="CH443" s="460"/>
      <c r="CI443" s="460"/>
      <c r="CJ443" s="460"/>
      <c r="CK443" s="460"/>
    </row>
    <row r="444" spans="1:89" s="329" customFormat="1" ht="36" customHeight="1" x14ac:dyDescent="0.25">
      <c r="A444" s="329">
        <v>1</v>
      </c>
      <c r="B444" s="39">
        <f>SUBTOTAL(103,$A$16:A444)</f>
        <v>389</v>
      </c>
      <c r="C444" s="33" t="s">
        <v>1093</v>
      </c>
      <c r="D444" s="330">
        <v>1983</v>
      </c>
      <c r="E444" s="330"/>
      <c r="F444" s="331" t="s">
        <v>48</v>
      </c>
      <c r="G444" s="330">
        <v>5</v>
      </c>
      <c r="H444" s="330" t="s">
        <v>1969</v>
      </c>
      <c r="I444" s="38">
        <v>5165.2</v>
      </c>
      <c r="J444" s="38">
        <v>4087.35</v>
      </c>
      <c r="K444" s="38">
        <v>4087.35</v>
      </c>
      <c r="L444" s="332">
        <v>153</v>
      </c>
      <c r="M444" s="330" t="s">
        <v>46</v>
      </c>
      <c r="N444" s="330" t="s">
        <v>50</v>
      </c>
      <c r="O444" s="333" t="s">
        <v>2088</v>
      </c>
      <c r="P444" s="38">
        <v>2695968.78</v>
      </c>
      <c r="Q444" s="38">
        <v>0</v>
      </c>
      <c r="R444" s="38">
        <v>0</v>
      </c>
      <c r="S444" s="38">
        <f t="shared" si="76"/>
        <v>2695968.78</v>
      </c>
      <c r="T444" s="38">
        <f t="shared" si="63"/>
        <v>521.94857507937741</v>
      </c>
      <c r="U444" s="38">
        <v>1544.0678885812747</v>
      </c>
      <c r="V444" s="458">
        <f t="shared" si="66"/>
        <v>1022.1193135018973</v>
      </c>
      <c r="W444" s="458">
        <f t="shared" si="77"/>
        <v>1538.8192036900798</v>
      </c>
      <c r="X444" s="458">
        <v>0</v>
      </c>
      <c r="Y444" s="459">
        <v>0</v>
      </c>
      <c r="Z444" s="459">
        <v>0</v>
      </c>
      <c r="AA444" s="459">
        <v>0</v>
      </c>
      <c r="AB444" s="459">
        <v>0</v>
      </c>
      <c r="AC444" s="459">
        <v>0</v>
      </c>
      <c r="AD444" s="459">
        <v>0</v>
      </c>
      <c r="AE444" s="459">
        <v>1273.99</v>
      </c>
      <c r="AF444" s="458">
        <f t="shared" si="78"/>
        <v>1538.8192036900798</v>
      </c>
      <c r="AG444" s="459">
        <v>0</v>
      </c>
      <c r="AH444" s="458">
        <v>0</v>
      </c>
      <c r="AI444" s="459">
        <v>0</v>
      </c>
      <c r="AJ444" s="458">
        <v>0</v>
      </c>
      <c r="AK444" s="459">
        <v>0</v>
      </c>
      <c r="AL444" s="459">
        <v>0</v>
      </c>
      <c r="AM444" s="459">
        <v>0</v>
      </c>
      <c r="AN444" s="459"/>
      <c r="AO444" s="459">
        <v>0</v>
      </c>
      <c r="AP444" s="460"/>
      <c r="AQ444" s="460"/>
      <c r="AR444" s="460"/>
      <c r="AS444" s="460"/>
      <c r="AT444" s="460"/>
      <c r="AU444" s="460"/>
      <c r="AV444" s="460"/>
      <c r="AW444" s="460"/>
      <c r="AX444" s="460"/>
      <c r="AY444" s="460"/>
      <c r="AZ444" s="460"/>
      <c r="BA444" s="460"/>
      <c r="BB444" s="460"/>
      <c r="BC444" s="460"/>
      <c r="BD444" s="460"/>
      <c r="BE444" s="460"/>
      <c r="BF444" s="460"/>
      <c r="BG444" s="460"/>
      <c r="BH444" s="460"/>
      <c r="BI444" s="460"/>
      <c r="BJ444" s="460"/>
      <c r="BK444" s="460"/>
      <c r="BL444" s="460"/>
      <c r="BM444" s="460"/>
      <c r="BN444" s="460"/>
      <c r="BO444" s="460"/>
      <c r="BP444" s="460"/>
      <c r="BQ444" s="460"/>
      <c r="BR444" s="460"/>
      <c r="BS444" s="460"/>
      <c r="BT444" s="460"/>
      <c r="BU444" s="460"/>
      <c r="BV444" s="460"/>
      <c r="BW444" s="460"/>
      <c r="BX444" s="460"/>
      <c r="BY444" s="460"/>
      <c r="BZ444" s="460"/>
      <c r="CA444" s="460"/>
      <c r="CB444" s="460"/>
      <c r="CC444" s="460"/>
      <c r="CD444" s="460"/>
      <c r="CE444" s="460"/>
      <c r="CF444" s="460"/>
      <c r="CG444" s="460"/>
      <c r="CH444" s="460"/>
      <c r="CI444" s="460"/>
      <c r="CJ444" s="460"/>
      <c r="CK444" s="460"/>
    </row>
    <row r="445" spans="1:89" s="329" customFormat="1" ht="36" customHeight="1" x14ac:dyDescent="0.25">
      <c r="A445" s="329">
        <v>1</v>
      </c>
      <c r="B445" s="39">
        <f>SUBTOTAL(103,$A$16:A445)</f>
        <v>390</v>
      </c>
      <c r="C445" s="33" t="s">
        <v>1095</v>
      </c>
      <c r="D445" s="330">
        <v>1959</v>
      </c>
      <c r="E445" s="330"/>
      <c r="F445" s="331" t="s">
        <v>48</v>
      </c>
      <c r="G445" s="330" t="s">
        <v>56</v>
      </c>
      <c r="H445" s="330" t="s">
        <v>57</v>
      </c>
      <c r="I445" s="38">
        <v>264.3</v>
      </c>
      <c r="J445" s="38">
        <v>264.3</v>
      </c>
      <c r="K445" s="38">
        <v>264.3</v>
      </c>
      <c r="L445" s="332">
        <v>15</v>
      </c>
      <c r="M445" s="330" t="s">
        <v>46</v>
      </c>
      <c r="N445" s="330" t="s">
        <v>47</v>
      </c>
      <c r="O445" s="333" t="s">
        <v>49</v>
      </c>
      <c r="P445" s="38">
        <v>800120.67999999993</v>
      </c>
      <c r="Q445" s="38">
        <v>0</v>
      </c>
      <c r="R445" s="38">
        <v>0</v>
      </c>
      <c r="S445" s="38">
        <f t="shared" si="76"/>
        <v>800120.67999999993</v>
      </c>
      <c r="T445" s="38">
        <f t="shared" si="63"/>
        <v>3027.3200151343167</v>
      </c>
      <c r="U445" s="38">
        <v>5542.5064699205441</v>
      </c>
      <c r="V445" s="458">
        <f t="shared" si="66"/>
        <v>2515.1864547862274</v>
      </c>
      <c r="W445" s="458">
        <f t="shared" si="77"/>
        <v>85213.180607264454</v>
      </c>
      <c r="X445" s="458">
        <v>0</v>
      </c>
      <c r="Y445" s="459">
        <v>0</v>
      </c>
      <c r="Z445" s="459">
        <v>0</v>
      </c>
      <c r="AA445" s="459">
        <v>0</v>
      </c>
      <c r="AB445" s="459">
        <v>0</v>
      </c>
      <c r="AC445" s="459">
        <v>0</v>
      </c>
      <c r="AD445" s="459">
        <v>0</v>
      </c>
      <c r="AE445" s="459">
        <v>0</v>
      </c>
      <c r="AF445" s="458">
        <v>0</v>
      </c>
      <c r="AG445" s="459">
        <v>0</v>
      </c>
      <c r="AH445" s="458">
        <v>0</v>
      </c>
      <c r="AI445" s="459">
        <v>2886.45</v>
      </c>
      <c r="AJ445" s="458">
        <f>7802.61*AI445/I445</f>
        <v>85213.180607264454</v>
      </c>
      <c r="AK445" s="459">
        <v>0</v>
      </c>
      <c r="AL445" s="459">
        <v>0</v>
      </c>
      <c r="AM445" s="459">
        <v>0</v>
      </c>
      <c r="AN445" s="459"/>
      <c r="AO445" s="459">
        <v>0</v>
      </c>
      <c r="AP445" s="460"/>
      <c r="AQ445" s="460"/>
      <c r="AR445" s="460"/>
      <c r="AS445" s="460"/>
      <c r="AT445" s="460"/>
      <c r="AU445" s="460"/>
      <c r="AV445" s="460"/>
      <c r="AW445" s="460"/>
      <c r="AX445" s="460"/>
      <c r="AY445" s="460"/>
      <c r="AZ445" s="460"/>
      <c r="BA445" s="460"/>
      <c r="BB445" s="460"/>
      <c r="BC445" s="460"/>
      <c r="BD445" s="460"/>
      <c r="BE445" s="460"/>
      <c r="BF445" s="460"/>
      <c r="BG445" s="460"/>
      <c r="BH445" s="460"/>
      <c r="BI445" s="460"/>
      <c r="BJ445" s="460"/>
      <c r="BK445" s="460"/>
      <c r="BL445" s="460"/>
      <c r="BM445" s="460"/>
      <c r="BN445" s="460"/>
      <c r="BO445" s="460"/>
      <c r="BP445" s="460"/>
      <c r="BQ445" s="460"/>
      <c r="BR445" s="460"/>
      <c r="BS445" s="460"/>
      <c r="BT445" s="460"/>
      <c r="BU445" s="460"/>
      <c r="BV445" s="460"/>
      <c r="BW445" s="460"/>
      <c r="BX445" s="460"/>
      <c r="BY445" s="460"/>
      <c r="BZ445" s="460"/>
      <c r="CA445" s="460"/>
      <c r="CB445" s="460"/>
      <c r="CC445" s="460"/>
      <c r="CD445" s="460"/>
      <c r="CE445" s="460"/>
      <c r="CF445" s="460"/>
      <c r="CG445" s="460"/>
      <c r="CH445" s="460"/>
      <c r="CI445" s="460"/>
      <c r="CJ445" s="460"/>
      <c r="CK445" s="460"/>
    </row>
    <row r="446" spans="1:89" s="329" customFormat="1" ht="36" customHeight="1" x14ac:dyDescent="0.25">
      <c r="A446" s="329">
        <v>1</v>
      </c>
      <c r="B446" s="39">
        <f>SUBTOTAL(103,$A$16:A446)</f>
        <v>391</v>
      </c>
      <c r="C446" s="33" t="s">
        <v>1097</v>
      </c>
      <c r="D446" s="330">
        <v>1957</v>
      </c>
      <c r="E446" s="330"/>
      <c r="F446" s="331" t="s">
        <v>68</v>
      </c>
      <c r="G446" s="330">
        <v>2</v>
      </c>
      <c r="H446" s="330" t="s">
        <v>56</v>
      </c>
      <c r="I446" s="38">
        <v>276.5</v>
      </c>
      <c r="J446" s="38">
        <v>234.3</v>
      </c>
      <c r="K446" s="38">
        <v>234.3</v>
      </c>
      <c r="L446" s="332">
        <v>12</v>
      </c>
      <c r="M446" s="330" t="s">
        <v>46</v>
      </c>
      <c r="N446" s="330" t="s">
        <v>47</v>
      </c>
      <c r="O446" s="333" t="s">
        <v>49</v>
      </c>
      <c r="P446" s="38">
        <v>1220568.99</v>
      </c>
      <c r="Q446" s="38">
        <v>0</v>
      </c>
      <c r="R446" s="38">
        <v>0</v>
      </c>
      <c r="S446" s="38">
        <f t="shared" si="76"/>
        <v>1220568.99</v>
      </c>
      <c r="T446" s="38">
        <f t="shared" si="63"/>
        <v>4414.354394213382</v>
      </c>
      <c r="U446" s="38">
        <v>7866.7834264014464</v>
      </c>
      <c r="V446" s="458">
        <f t="shared" si="66"/>
        <v>3452.4290321880644</v>
      </c>
      <c r="W446" s="458">
        <f t="shared" si="77"/>
        <v>5279.9455334538879</v>
      </c>
      <c r="X446" s="458">
        <v>0</v>
      </c>
      <c r="Y446" s="459">
        <v>0</v>
      </c>
      <c r="Z446" s="459">
        <v>0</v>
      </c>
      <c r="AA446" s="459">
        <v>0</v>
      </c>
      <c r="AB446" s="459">
        <v>0</v>
      </c>
      <c r="AC446" s="459">
        <v>0</v>
      </c>
      <c r="AD446" s="459">
        <v>0</v>
      </c>
      <c r="AE446" s="459">
        <v>234</v>
      </c>
      <c r="AF446" s="458">
        <f>6238.91*AE446/I446</f>
        <v>5279.9455334538879</v>
      </c>
      <c r="AG446" s="459">
        <v>0</v>
      </c>
      <c r="AH446" s="458">
        <v>0</v>
      </c>
      <c r="AI446" s="459">
        <v>0</v>
      </c>
      <c r="AJ446" s="458">
        <v>0</v>
      </c>
      <c r="AK446" s="459">
        <v>0</v>
      </c>
      <c r="AL446" s="459">
        <v>0</v>
      </c>
      <c r="AM446" s="459">
        <v>0</v>
      </c>
      <c r="AN446" s="459"/>
      <c r="AO446" s="459">
        <v>0</v>
      </c>
      <c r="AP446" s="460"/>
      <c r="AQ446" s="460"/>
      <c r="AR446" s="460"/>
      <c r="AS446" s="460"/>
      <c r="AT446" s="460"/>
      <c r="AU446" s="460"/>
      <c r="AV446" s="460"/>
      <c r="AW446" s="460"/>
      <c r="AX446" s="460"/>
      <c r="AY446" s="460"/>
      <c r="AZ446" s="460"/>
      <c r="BA446" s="460"/>
      <c r="BB446" s="460"/>
      <c r="BC446" s="460"/>
      <c r="BD446" s="460"/>
      <c r="BE446" s="460"/>
      <c r="BF446" s="460"/>
      <c r="BG446" s="460"/>
      <c r="BH446" s="460"/>
      <c r="BI446" s="460"/>
      <c r="BJ446" s="460"/>
      <c r="BK446" s="460"/>
      <c r="BL446" s="460"/>
      <c r="BM446" s="460"/>
      <c r="BN446" s="460"/>
      <c r="BO446" s="460"/>
      <c r="BP446" s="460"/>
      <c r="BQ446" s="460"/>
      <c r="BR446" s="460"/>
      <c r="BS446" s="460"/>
      <c r="BT446" s="460"/>
      <c r="BU446" s="460"/>
      <c r="BV446" s="460"/>
      <c r="BW446" s="460"/>
      <c r="BX446" s="460"/>
      <c r="BY446" s="460"/>
      <c r="BZ446" s="460"/>
      <c r="CA446" s="460"/>
      <c r="CB446" s="460"/>
      <c r="CC446" s="460"/>
      <c r="CD446" s="460"/>
      <c r="CE446" s="460"/>
      <c r="CF446" s="460"/>
      <c r="CG446" s="460"/>
      <c r="CH446" s="460"/>
      <c r="CI446" s="460"/>
      <c r="CJ446" s="460"/>
      <c r="CK446" s="460"/>
    </row>
    <row r="447" spans="1:89" s="329" customFormat="1" ht="36" customHeight="1" x14ac:dyDescent="0.25">
      <c r="A447" s="329">
        <v>1</v>
      </c>
      <c r="B447" s="39">
        <f>SUBTOTAL(103,$A$16:A447)</f>
        <v>392</v>
      </c>
      <c r="C447" s="33" t="s">
        <v>1367</v>
      </c>
      <c r="D447" s="330">
        <v>1970</v>
      </c>
      <c r="E447" s="330"/>
      <c r="F447" s="331" t="s">
        <v>48</v>
      </c>
      <c r="G447" s="330">
        <v>2</v>
      </c>
      <c r="H447" s="330" t="s">
        <v>56</v>
      </c>
      <c r="I447" s="38">
        <v>726.6</v>
      </c>
      <c r="J447" s="38">
        <v>482.19</v>
      </c>
      <c r="K447" s="38">
        <v>482.19</v>
      </c>
      <c r="L447" s="332">
        <v>33</v>
      </c>
      <c r="M447" s="330" t="s">
        <v>46</v>
      </c>
      <c r="N447" s="330" t="s">
        <v>47</v>
      </c>
      <c r="O447" s="333" t="s">
        <v>49</v>
      </c>
      <c r="P447" s="38">
        <v>87656.1</v>
      </c>
      <c r="Q447" s="38">
        <v>0</v>
      </c>
      <c r="R447" s="38">
        <v>0</v>
      </c>
      <c r="S447" s="38">
        <f t="shared" si="76"/>
        <v>87656.1</v>
      </c>
      <c r="T447" s="38">
        <f t="shared" si="63"/>
        <v>120.63872832369943</v>
      </c>
      <c r="U447" s="38">
        <v>120.63872832369943</v>
      </c>
      <c r="V447" s="458">
        <f t="shared" si="66"/>
        <v>0</v>
      </c>
      <c r="W447" s="458">
        <f t="shared" si="77"/>
        <v>2009.227828241123</v>
      </c>
      <c r="X447" s="458">
        <v>0</v>
      </c>
      <c r="Y447" s="459">
        <v>0</v>
      </c>
      <c r="Z447" s="459">
        <v>0</v>
      </c>
      <c r="AA447" s="459">
        <v>0</v>
      </c>
      <c r="AB447" s="459">
        <v>0</v>
      </c>
      <c r="AC447" s="459">
        <v>0</v>
      </c>
      <c r="AD447" s="459">
        <v>0</v>
      </c>
      <c r="AE447" s="459">
        <v>234</v>
      </c>
      <c r="AF447" s="458">
        <f>6238.91*AE447/I447</f>
        <v>2009.227828241123</v>
      </c>
      <c r="AG447" s="459">
        <v>0</v>
      </c>
      <c r="AH447" s="458">
        <v>0</v>
      </c>
      <c r="AI447" s="459">
        <v>0</v>
      </c>
      <c r="AJ447" s="458">
        <v>0</v>
      </c>
      <c r="AK447" s="459">
        <v>0</v>
      </c>
      <c r="AL447" s="459">
        <v>0</v>
      </c>
      <c r="AM447" s="459">
        <v>0</v>
      </c>
      <c r="AN447" s="459"/>
      <c r="AO447" s="459">
        <v>0</v>
      </c>
      <c r="AP447" s="460"/>
      <c r="AQ447" s="460"/>
      <c r="AR447" s="460"/>
      <c r="AS447" s="460"/>
      <c r="AT447" s="460"/>
      <c r="AU447" s="460"/>
      <c r="AV447" s="460"/>
      <c r="AW447" s="460"/>
      <c r="AX447" s="460"/>
      <c r="AY447" s="460"/>
      <c r="AZ447" s="460"/>
      <c r="BA447" s="460"/>
      <c r="BB447" s="460"/>
      <c r="BC447" s="460"/>
      <c r="BD447" s="460"/>
      <c r="BE447" s="460"/>
      <c r="BF447" s="460"/>
      <c r="BG447" s="460"/>
      <c r="BH447" s="460"/>
      <c r="BI447" s="460"/>
      <c r="BJ447" s="460"/>
      <c r="BK447" s="460"/>
      <c r="BL447" s="460"/>
      <c r="BM447" s="460"/>
      <c r="BN447" s="460"/>
      <c r="BO447" s="460"/>
      <c r="BP447" s="460"/>
      <c r="BQ447" s="460"/>
      <c r="BR447" s="460"/>
      <c r="BS447" s="460"/>
      <c r="BT447" s="460"/>
      <c r="BU447" s="460"/>
      <c r="BV447" s="460"/>
      <c r="BW447" s="460"/>
      <c r="BX447" s="460"/>
      <c r="BY447" s="460"/>
      <c r="BZ447" s="460"/>
      <c r="CA447" s="460"/>
      <c r="CB447" s="460"/>
      <c r="CC447" s="460"/>
      <c r="CD447" s="460"/>
      <c r="CE447" s="460"/>
      <c r="CF447" s="460"/>
      <c r="CG447" s="460"/>
      <c r="CH447" s="460"/>
      <c r="CI447" s="460"/>
      <c r="CJ447" s="460"/>
      <c r="CK447" s="460"/>
    </row>
    <row r="448" spans="1:89" s="329" customFormat="1" ht="36" customHeight="1" x14ac:dyDescent="0.25">
      <c r="A448" s="329">
        <v>1</v>
      </c>
      <c r="B448" s="39">
        <f>SUBTOTAL(103,$A$16:A448)</f>
        <v>393</v>
      </c>
      <c r="C448" s="33" t="s">
        <v>1368</v>
      </c>
      <c r="D448" s="330">
        <v>1973</v>
      </c>
      <c r="E448" s="330"/>
      <c r="F448" s="331" t="s">
        <v>48</v>
      </c>
      <c r="G448" s="330">
        <v>2</v>
      </c>
      <c r="H448" s="330" t="s">
        <v>56</v>
      </c>
      <c r="I448" s="38">
        <v>701.7</v>
      </c>
      <c r="J448" s="38">
        <v>482.5</v>
      </c>
      <c r="K448" s="38">
        <v>482.5</v>
      </c>
      <c r="L448" s="332">
        <v>31</v>
      </c>
      <c r="M448" s="330" t="s">
        <v>46</v>
      </c>
      <c r="N448" s="330" t="s">
        <v>47</v>
      </c>
      <c r="O448" s="333" t="s">
        <v>49</v>
      </c>
      <c r="P448" s="38">
        <v>87189.55</v>
      </c>
      <c r="Q448" s="38">
        <v>0</v>
      </c>
      <c r="R448" s="38">
        <v>0</v>
      </c>
      <c r="S448" s="38">
        <f t="shared" si="76"/>
        <v>87189.55</v>
      </c>
      <c r="T448" s="38">
        <f t="shared" si="63"/>
        <v>124.25473849223314</v>
      </c>
      <c r="U448" s="38">
        <v>124.25473849223314</v>
      </c>
      <c r="V448" s="458">
        <f t="shared" si="66"/>
        <v>0</v>
      </c>
      <c r="W448" s="458">
        <f t="shared" si="77"/>
        <v>3089.3140495938433</v>
      </c>
      <c r="X448" s="458">
        <v>0</v>
      </c>
      <c r="Y448" s="459">
        <v>0</v>
      </c>
      <c r="Z448" s="459">
        <v>0</v>
      </c>
      <c r="AA448" s="459">
        <v>0</v>
      </c>
      <c r="AB448" s="459">
        <v>0</v>
      </c>
      <c r="AC448" s="459">
        <v>0</v>
      </c>
      <c r="AD448" s="459">
        <v>0</v>
      </c>
      <c r="AE448" s="459">
        <v>347.46</v>
      </c>
      <c r="AF448" s="458">
        <f>6238.91*AE448/I448</f>
        <v>3089.3140495938433</v>
      </c>
      <c r="AG448" s="459">
        <v>0</v>
      </c>
      <c r="AH448" s="458">
        <v>0</v>
      </c>
      <c r="AI448" s="459">
        <v>0</v>
      </c>
      <c r="AJ448" s="458">
        <v>0</v>
      </c>
      <c r="AK448" s="459">
        <v>0</v>
      </c>
      <c r="AL448" s="459">
        <v>0</v>
      </c>
      <c r="AM448" s="459">
        <v>0</v>
      </c>
      <c r="AN448" s="459"/>
      <c r="AO448" s="459">
        <v>0</v>
      </c>
      <c r="AP448" s="460"/>
      <c r="AQ448" s="460"/>
      <c r="AR448" s="460"/>
      <c r="AS448" s="460"/>
      <c r="AT448" s="460"/>
      <c r="AU448" s="460"/>
      <c r="AV448" s="460"/>
      <c r="AW448" s="460"/>
      <c r="AX448" s="460"/>
      <c r="AY448" s="460"/>
      <c r="AZ448" s="460"/>
      <c r="BA448" s="460"/>
      <c r="BB448" s="460"/>
      <c r="BC448" s="460"/>
      <c r="BD448" s="460"/>
      <c r="BE448" s="460"/>
      <c r="BF448" s="460"/>
      <c r="BG448" s="460"/>
      <c r="BH448" s="460"/>
      <c r="BI448" s="460"/>
      <c r="BJ448" s="460"/>
      <c r="BK448" s="460"/>
      <c r="BL448" s="460"/>
      <c r="BM448" s="460"/>
      <c r="BN448" s="460"/>
      <c r="BO448" s="460"/>
      <c r="BP448" s="460"/>
      <c r="BQ448" s="460"/>
      <c r="BR448" s="460"/>
      <c r="BS448" s="460"/>
      <c r="BT448" s="460"/>
      <c r="BU448" s="460"/>
      <c r="BV448" s="460"/>
      <c r="BW448" s="460"/>
      <c r="BX448" s="460"/>
      <c r="BY448" s="460"/>
      <c r="BZ448" s="460"/>
      <c r="CA448" s="460"/>
      <c r="CB448" s="460"/>
      <c r="CC448" s="460"/>
      <c r="CD448" s="460"/>
      <c r="CE448" s="460"/>
      <c r="CF448" s="460"/>
      <c r="CG448" s="460"/>
      <c r="CH448" s="460"/>
      <c r="CI448" s="460"/>
      <c r="CJ448" s="460"/>
      <c r="CK448" s="460"/>
    </row>
    <row r="449" spans="1:89" s="329" customFormat="1" ht="36" customHeight="1" x14ac:dyDescent="0.25">
      <c r="B449" s="33" t="s">
        <v>128</v>
      </c>
      <c r="C449" s="33"/>
      <c r="D449" s="330" t="s">
        <v>131</v>
      </c>
      <c r="E449" s="330" t="s">
        <v>131</v>
      </c>
      <c r="F449" s="330" t="s">
        <v>131</v>
      </c>
      <c r="G449" s="330" t="s">
        <v>131</v>
      </c>
      <c r="H449" s="330" t="s">
        <v>131</v>
      </c>
      <c r="I449" s="38">
        <f>I450</f>
        <v>878.6</v>
      </c>
      <c r="J449" s="38">
        <f t="shared" ref="J449:L449" si="79">J450</f>
        <v>878.6</v>
      </c>
      <c r="K449" s="38">
        <f t="shared" si="79"/>
        <v>878.6</v>
      </c>
      <c r="L449" s="338">
        <f t="shared" si="79"/>
        <v>55</v>
      </c>
      <c r="M449" s="330" t="s">
        <v>131</v>
      </c>
      <c r="N449" s="330" t="s">
        <v>131</v>
      </c>
      <c r="O449" s="333" t="s">
        <v>131</v>
      </c>
      <c r="P449" s="38">
        <v>3623254.4499999997</v>
      </c>
      <c r="Q449" s="38">
        <f>Q450</f>
        <v>0</v>
      </c>
      <c r="R449" s="38">
        <f>R450</f>
        <v>0</v>
      </c>
      <c r="S449" s="38">
        <f>S450</f>
        <v>3623254.4499999997</v>
      </c>
      <c r="T449" s="38">
        <f t="shared" si="63"/>
        <v>4123.8953448668335</v>
      </c>
      <c r="U449" s="38">
        <f>U450</f>
        <v>5965.9197439107666</v>
      </c>
      <c r="V449" s="458">
        <f t="shared" si="66"/>
        <v>1842.024399043933</v>
      </c>
      <c r="W449" s="458"/>
      <c r="X449" s="458"/>
      <c r="Y449" s="459"/>
      <c r="Z449" s="459"/>
      <c r="AA449" s="459"/>
      <c r="AB449" s="459"/>
      <c r="AC449" s="459"/>
      <c r="AD449" s="459"/>
      <c r="AE449" s="459"/>
      <c r="AF449" s="459"/>
      <c r="AG449" s="459"/>
      <c r="AH449" s="459"/>
      <c r="AI449" s="459"/>
      <c r="AJ449" s="459"/>
      <c r="AK449" s="459"/>
      <c r="AL449" s="459"/>
      <c r="AM449" s="459"/>
      <c r="AN449" s="459"/>
      <c r="AO449" s="459"/>
      <c r="AP449" s="460"/>
      <c r="AQ449" s="460"/>
      <c r="AR449" s="460"/>
      <c r="AS449" s="460"/>
      <c r="AT449" s="460"/>
      <c r="AU449" s="460"/>
      <c r="AV449" s="460"/>
      <c r="AW449" s="460"/>
      <c r="AX449" s="460"/>
      <c r="AY449" s="460"/>
      <c r="AZ449" s="460"/>
      <c r="BA449" s="460"/>
      <c r="BB449" s="460"/>
      <c r="BC449" s="460"/>
      <c r="BD449" s="460"/>
      <c r="BE449" s="460"/>
      <c r="BF449" s="460"/>
      <c r="BG449" s="460"/>
      <c r="BH449" s="460"/>
      <c r="BI449" s="460"/>
      <c r="BJ449" s="460"/>
      <c r="BK449" s="460"/>
      <c r="BL449" s="460"/>
      <c r="BM449" s="460"/>
      <c r="BN449" s="460"/>
      <c r="BO449" s="460"/>
      <c r="BP449" s="460"/>
      <c r="BQ449" s="460"/>
      <c r="BR449" s="460"/>
      <c r="BS449" s="460"/>
      <c r="BT449" s="460"/>
      <c r="BU449" s="460"/>
      <c r="BV449" s="460"/>
      <c r="BW449" s="460"/>
      <c r="BX449" s="460"/>
      <c r="BY449" s="460"/>
      <c r="BZ449" s="460"/>
      <c r="CA449" s="460"/>
      <c r="CB449" s="460"/>
      <c r="CC449" s="460"/>
      <c r="CD449" s="460"/>
      <c r="CE449" s="460"/>
      <c r="CF449" s="460"/>
      <c r="CG449" s="460"/>
      <c r="CH449" s="460"/>
      <c r="CI449" s="460"/>
      <c r="CJ449" s="460"/>
      <c r="CK449" s="460"/>
    </row>
    <row r="450" spans="1:89" s="329" customFormat="1" ht="36" customHeight="1" x14ac:dyDescent="0.25">
      <c r="A450" s="329">
        <v>1</v>
      </c>
      <c r="B450" s="39">
        <f>SUBTOTAL(103,$A$16:A450)</f>
        <v>394</v>
      </c>
      <c r="C450" s="33" t="s">
        <v>1169</v>
      </c>
      <c r="D450" s="330">
        <v>1979</v>
      </c>
      <c r="E450" s="330"/>
      <c r="F450" s="331" t="s">
        <v>48</v>
      </c>
      <c r="G450" s="330">
        <v>2</v>
      </c>
      <c r="H450" s="330" t="s">
        <v>61</v>
      </c>
      <c r="I450" s="38">
        <v>878.6</v>
      </c>
      <c r="J450" s="38">
        <v>878.6</v>
      </c>
      <c r="K450" s="38">
        <v>878.6</v>
      </c>
      <c r="L450" s="332">
        <v>55</v>
      </c>
      <c r="M450" s="330" t="s">
        <v>46</v>
      </c>
      <c r="N450" s="330" t="s">
        <v>47</v>
      </c>
      <c r="O450" s="333" t="s">
        <v>49</v>
      </c>
      <c r="P450" s="38">
        <v>3623254.4499999997</v>
      </c>
      <c r="Q450" s="38">
        <v>0</v>
      </c>
      <c r="R450" s="38">
        <v>0</v>
      </c>
      <c r="S450" s="38">
        <f>P450-R450-Q450</f>
        <v>3623254.4499999997</v>
      </c>
      <c r="T450" s="38">
        <f t="shared" si="63"/>
        <v>4123.8953448668335</v>
      </c>
      <c r="U450" s="38">
        <v>5965.9197439107666</v>
      </c>
      <c r="V450" s="458">
        <f>U450-T450</f>
        <v>1842.024399043933</v>
      </c>
      <c r="W450" s="458">
        <f>X450+Y450+Z450+AA450+AB450+AD450+AF450+AH450+AJ450+AL450+AN450+AO450</f>
        <v>5945.6400443887997</v>
      </c>
      <c r="X450" s="458">
        <v>0</v>
      </c>
      <c r="Y450" s="459">
        <v>0</v>
      </c>
      <c r="Z450" s="459">
        <v>0</v>
      </c>
      <c r="AA450" s="459">
        <v>0</v>
      </c>
      <c r="AB450" s="459">
        <v>0</v>
      </c>
      <c r="AC450" s="459">
        <v>0</v>
      </c>
      <c r="AD450" s="459">
        <v>0</v>
      </c>
      <c r="AE450" s="459">
        <v>837.3</v>
      </c>
      <c r="AF450" s="458">
        <f>6238.91*AE450/I450</f>
        <v>5945.6400443887997</v>
      </c>
      <c r="AG450" s="459">
        <v>0</v>
      </c>
      <c r="AH450" s="458">
        <v>0</v>
      </c>
      <c r="AI450" s="459">
        <v>0</v>
      </c>
      <c r="AJ450" s="458">
        <v>0</v>
      </c>
      <c r="AK450" s="459">
        <v>0</v>
      </c>
      <c r="AL450" s="459">
        <v>0</v>
      </c>
      <c r="AM450" s="459">
        <v>0</v>
      </c>
      <c r="AN450" s="459"/>
      <c r="AO450" s="459">
        <v>0</v>
      </c>
      <c r="AP450" s="460"/>
      <c r="AQ450" s="460"/>
      <c r="AR450" s="460"/>
      <c r="AS450" s="460"/>
      <c r="AT450" s="460"/>
      <c r="AU450" s="460"/>
      <c r="AV450" s="460"/>
      <c r="AW450" s="460"/>
      <c r="AX450" s="460"/>
      <c r="AY450" s="460"/>
      <c r="AZ450" s="460"/>
      <c r="BA450" s="460"/>
      <c r="BB450" s="460"/>
      <c r="BC450" s="460"/>
      <c r="BD450" s="460"/>
      <c r="BE450" s="460"/>
      <c r="BF450" s="460"/>
      <c r="BG450" s="460"/>
      <c r="BH450" s="460"/>
      <c r="BI450" s="460"/>
      <c r="BJ450" s="460"/>
      <c r="BK450" s="460"/>
      <c r="BL450" s="460"/>
      <c r="BM450" s="460"/>
      <c r="BN450" s="460"/>
      <c r="BO450" s="460"/>
      <c r="BP450" s="460"/>
      <c r="BQ450" s="460"/>
      <c r="BR450" s="460"/>
      <c r="BS450" s="460"/>
      <c r="BT450" s="460"/>
      <c r="BU450" s="460"/>
      <c r="BV450" s="460"/>
      <c r="BW450" s="460"/>
      <c r="BX450" s="460"/>
      <c r="BY450" s="460"/>
      <c r="BZ450" s="460"/>
      <c r="CA450" s="460"/>
      <c r="CB450" s="460"/>
      <c r="CC450" s="460"/>
      <c r="CD450" s="460"/>
      <c r="CE450" s="460"/>
      <c r="CF450" s="460"/>
      <c r="CG450" s="460"/>
      <c r="CH450" s="460"/>
      <c r="CI450" s="460"/>
      <c r="CJ450" s="460"/>
      <c r="CK450" s="460"/>
    </row>
    <row r="451" spans="1:89" s="329" customFormat="1" ht="36" customHeight="1" x14ac:dyDescent="0.25">
      <c r="B451" s="33" t="s">
        <v>1369</v>
      </c>
      <c r="C451" s="462"/>
      <c r="D451" s="330" t="s">
        <v>90</v>
      </c>
      <c r="E451" s="330" t="s">
        <v>90</v>
      </c>
      <c r="F451" s="330" t="s">
        <v>90</v>
      </c>
      <c r="G451" s="330" t="s">
        <v>90</v>
      </c>
      <c r="H451" s="330" t="s">
        <v>90</v>
      </c>
      <c r="I451" s="38">
        <f>I452</f>
        <v>940.6</v>
      </c>
      <c r="J451" s="38">
        <f t="shared" ref="J451:L451" si="80">J452</f>
        <v>853.9</v>
      </c>
      <c r="K451" s="38">
        <f t="shared" si="80"/>
        <v>853.9</v>
      </c>
      <c r="L451" s="338">
        <f t="shared" si="80"/>
        <v>33</v>
      </c>
      <c r="M451" s="330" t="s">
        <v>90</v>
      </c>
      <c r="N451" s="330" t="s">
        <v>90</v>
      </c>
      <c r="O451" s="333" t="s">
        <v>90</v>
      </c>
      <c r="P451" s="38">
        <v>3515825.94</v>
      </c>
      <c r="Q451" s="38">
        <f>Q452</f>
        <v>0</v>
      </c>
      <c r="R451" s="38">
        <f>R452</f>
        <v>0</v>
      </c>
      <c r="S451" s="38">
        <f>S452</f>
        <v>3515825.94</v>
      </c>
      <c r="T451" s="38">
        <f t="shared" si="63"/>
        <v>3737.8544971294918</v>
      </c>
      <c r="U451" s="38">
        <f>U452</f>
        <v>5367.1512011482027</v>
      </c>
      <c r="V451" s="458">
        <f t="shared" si="66"/>
        <v>1629.2967040187109</v>
      </c>
      <c r="W451" s="458"/>
      <c r="X451" s="458"/>
      <c r="Y451" s="459"/>
      <c r="Z451" s="459"/>
      <c r="AA451" s="459"/>
      <c r="AB451" s="459"/>
      <c r="AC451" s="459"/>
      <c r="AD451" s="459"/>
      <c r="AE451" s="459"/>
      <c r="AF451" s="459"/>
      <c r="AG451" s="459"/>
      <c r="AH451" s="459"/>
      <c r="AI451" s="459"/>
      <c r="AJ451" s="459"/>
      <c r="AK451" s="459"/>
      <c r="AL451" s="459"/>
      <c r="AM451" s="459"/>
      <c r="AN451" s="459"/>
      <c r="AO451" s="459"/>
      <c r="AP451" s="460"/>
      <c r="AQ451" s="460"/>
      <c r="AR451" s="460"/>
      <c r="AS451" s="460"/>
      <c r="AT451" s="460"/>
      <c r="AU451" s="460"/>
      <c r="AV451" s="460"/>
      <c r="AW451" s="460"/>
      <c r="AX451" s="460"/>
      <c r="AY451" s="460"/>
      <c r="AZ451" s="460"/>
      <c r="BA451" s="460"/>
      <c r="BB451" s="460"/>
      <c r="BC451" s="460"/>
      <c r="BD451" s="460"/>
      <c r="BE451" s="460"/>
      <c r="BF451" s="460"/>
      <c r="BG451" s="460"/>
      <c r="BH451" s="460"/>
      <c r="BI451" s="460"/>
      <c r="BJ451" s="460"/>
      <c r="BK451" s="460"/>
      <c r="BL451" s="460"/>
      <c r="BM451" s="460"/>
      <c r="BN451" s="460"/>
      <c r="BO451" s="460"/>
      <c r="BP451" s="460"/>
      <c r="BQ451" s="460"/>
      <c r="BR451" s="460"/>
      <c r="BS451" s="460"/>
      <c r="BT451" s="460"/>
      <c r="BU451" s="460"/>
      <c r="BV451" s="460"/>
      <c r="BW451" s="460"/>
      <c r="BX451" s="460"/>
      <c r="BY451" s="460"/>
      <c r="BZ451" s="460"/>
      <c r="CA451" s="460"/>
      <c r="CB451" s="460"/>
      <c r="CC451" s="460"/>
      <c r="CD451" s="460"/>
      <c r="CE451" s="460"/>
      <c r="CF451" s="460"/>
      <c r="CG451" s="460"/>
      <c r="CH451" s="460"/>
      <c r="CI451" s="460"/>
      <c r="CJ451" s="460"/>
      <c r="CK451" s="460"/>
    </row>
    <row r="452" spans="1:89" s="329" customFormat="1" ht="36" customHeight="1" x14ac:dyDescent="0.25">
      <c r="A452" s="329">
        <v>1</v>
      </c>
      <c r="B452" s="39">
        <f>SUBTOTAL(103,$A$16:A452)</f>
        <v>395</v>
      </c>
      <c r="C452" s="33" t="s">
        <v>1099</v>
      </c>
      <c r="D452" s="330">
        <v>1995</v>
      </c>
      <c r="E452" s="330"/>
      <c r="F452" s="331" t="s">
        <v>48</v>
      </c>
      <c r="G452" s="330">
        <v>2</v>
      </c>
      <c r="H452" s="330" t="s">
        <v>61</v>
      </c>
      <c r="I452" s="38">
        <v>940.6</v>
      </c>
      <c r="J452" s="38">
        <v>853.9</v>
      </c>
      <c r="K452" s="38">
        <v>853.9</v>
      </c>
      <c r="L452" s="332">
        <v>33</v>
      </c>
      <c r="M452" s="330" t="s">
        <v>46</v>
      </c>
      <c r="N452" s="330" t="s">
        <v>50</v>
      </c>
      <c r="O452" s="333" t="s">
        <v>2089</v>
      </c>
      <c r="P452" s="38">
        <v>3515825.94</v>
      </c>
      <c r="Q452" s="38">
        <v>0</v>
      </c>
      <c r="R452" s="38">
        <v>0</v>
      </c>
      <c r="S452" s="38">
        <f>P452-Q452-R452</f>
        <v>3515825.94</v>
      </c>
      <c r="T452" s="38">
        <f t="shared" si="63"/>
        <v>3737.8544971294918</v>
      </c>
      <c r="U452" s="38">
        <v>5367.1512011482027</v>
      </c>
      <c r="V452" s="458">
        <f>U452-T452</f>
        <v>1629.2967040187109</v>
      </c>
      <c r="W452" s="458">
        <f>X452+Y452+Z452+AA452+AB452+AD452+AF452+AH452+AJ452+AL452+AN452+AO452</f>
        <v>5348.9068702955556</v>
      </c>
      <c r="X452" s="458">
        <v>0</v>
      </c>
      <c r="Y452" s="459">
        <v>0</v>
      </c>
      <c r="Z452" s="459">
        <v>0</v>
      </c>
      <c r="AA452" s="459">
        <v>0</v>
      </c>
      <c r="AB452" s="459">
        <v>0</v>
      </c>
      <c r="AC452" s="459">
        <v>0</v>
      </c>
      <c r="AD452" s="459">
        <v>0</v>
      </c>
      <c r="AE452" s="459">
        <v>806.42</v>
      </c>
      <c r="AF452" s="458">
        <f>6238.91*AE452/I452</f>
        <v>5348.9068702955556</v>
      </c>
      <c r="AG452" s="459">
        <v>0</v>
      </c>
      <c r="AH452" s="458">
        <v>0</v>
      </c>
      <c r="AI452" s="459">
        <v>0</v>
      </c>
      <c r="AJ452" s="458">
        <v>0</v>
      </c>
      <c r="AK452" s="459">
        <v>0</v>
      </c>
      <c r="AL452" s="459">
        <v>0</v>
      </c>
      <c r="AM452" s="459">
        <v>0</v>
      </c>
      <c r="AN452" s="459"/>
      <c r="AO452" s="459">
        <v>0</v>
      </c>
      <c r="AP452" s="460"/>
      <c r="AQ452" s="460"/>
      <c r="AR452" s="460"/>
      <c r="AS452" s="460"/>
      <c r="AT452" s="460"/>
      <c r="AU452" s="460"/>
      <c r="AV452" s="460"/>
      <c r="AW452" s="460"/>
      <c r="AX452" s="460"/>
      <c r="AY452" s="460"/>
      <c r="AZ452" s="460"/>
      <c r="BA452" s="460"/>
      <c r="BB452" s="460"/>
      <c r="BC452" s="460"/>
      <c r="BD452" s="460"/>
      <c r="BE452" s="460"/>
      <c r="BF452" s="460"/>
      <c r="BG452" s="460"/>
      <c r="BH452" s="460"/>
      <c r="BI452" s="460"/>
      <c r="BJ452" s="460"/>
      <c r="BK452" s="460"/>
      <c r="BL452" s="460"/>
      <c r="BM452" s="460"/>
      <c r="BN452" s="460"/>
      <c r="BO452" s="460"/>
      <c r="BP452" s="460"/>
      <c r="BQ452" s="460"/>
      <c r="BR452" s="460"/>
      <c r="BS452" s="460"/>
      <c r="BT452" s="460"/>
      <c r="BU452" s="460"/>
      <c r="BV452" s="460"/>
      <c r="BW452" s="460"/>
      <c r="BX452" s="460"/>
      <c r="BY452" s="460"/>
      <c r="BZ452" s="460"/>
      <c r="CA452" s="460"/>
      <c r="CB452" s="460"/>
      <c r="CC452" s="460"/>
      <c r="CD452" s="460"/>
      <c r="CE452" s="460"/>
      <c r="CF452" s="460"/>
      <c r="CG452" s="460"/>
      <c r="CH452" s="460"/>
      <c r="CI452" s="460"/>
      <c r="CJ452" s="460"/>
      <c r="CK452" s="460"/>
    </row>
    <row r="453" spans="1:89" s="329" customFormat="1" ht="36" customHeight="1" x14ac:dyDescent="0.25">
      <c r="B453" s="33" t="s">
        <v>114</v>
      </c>
      <c r="C453" s="33"/>
      <c r="D453" s="330" t="s">
        <v>90</v>
      </c>
      <c r="E453" s="330" t="s">
        <v>90</v>
      </c>
      <c r="F453" s="330" t="s">
        <v>90</v>
      </c>
      <c r="G453" s="330" t="s">
        <v>90</v>
      </c>
      <c r="H453" s="330" t="s">
        <v>90</v>
      </c>
      <c r="I453" s="38">
        <f>I454</f>
        <v>340.3</v>
      </c>
      <c r="J453" s="38">
        <f t="shared" ref="J453:L453" si="81">J454</f>
        <v>309.10000000000002</v>
      </c>
      <c r="K453" s="38">
        <f t="shared" si="81"/>
        <v>309.10000000000002</v>
      </c>
      <c r="L453" s="338">
        <f t="shared" si="81"/>
        <v>19</v>
      </c>
      <c r="M453" s="330" t="s">
        <v>90</v>
      </c>
      <c r="N453" s="330" t="s">
        <v>90</v>
      </c>
      <c r="O453" s="333" t="s">
        <v>90</v>
      </c>
      <c r="P453" s="38">
        <v>1371104.41</v>
      </c>
      <c r="Q453" s="38">
        <f>Q454</f>
        <v>0</v>
      </c>
      <c r="R453" s="38">
        <f>R454</f>
        <v>0</v>
      </c>
      <c r="S453" s="38">
        <f>S454</f>
        <v>1371104.41</v>
      </c>
      <c r="T453" s="38">
        <f t="shared" si="63"/>
        <v>4029.1049368204522</v>
      </c>
      <c r="U453" s="38">
        <f>U454</f>
        <v>5555.6196885101372</v>
      </c>
      <c r="V453" s="458">
        <f t="shared" si="66"/>
        <v>1526.514751689685</v>
      </c>
      <c r="W453" s="458"/>
      <c r="X453" s="458"/>
      <c r="Y453" s="459"/>
      <c r="Z453" s="459"/>
      <c r="AA453" s="459"/>
      <c r="AB453" s="459"/>
      <c r="AC453" s="459"/>
      <c r="AD453" s="459"/>
      <c r="AE453" s="459"/>
      <c r="AF453" s="459"/>
      <c r="AG453" s="459"/>
      <c r="AH453" s="459"/>
      <c r="AI453" s="459"/>
      <c r="AJ453" s="459"/>
      <c r="AK453" s="459"/>
      <c r="AL453" s="459"/>
      <c r="AM453" s="459"/>
      <c r="AN453" s="459"/>
      <c r="AO453" s="459"/>
      <c r="AP453" s="460"/>
      <c r="AQ453" s="460"/>
      <c r="AR453" s="460"/>
      <c r="AS453" s="460"/>
      <c r="AT453" s="460"/>
      <c r="AU453" s="460"/>
      <c r="AV453" s="460"/>
      <c r="AW453" s="460"/>
      <c r="AX453" s="460"/>
      <c r="AY453" s="460"/>
      <c r="AZ453" s="460"/>
      <c r="BA453" s="460"/>
      <c r="BB453" s="460"/>
      <c r="BC453" s="460"/>
      <c r="BD453" s="460"/>
      <c r="BE453" s="460"/>
      <c r="BF453" s="460"/>
      <c r="BG453" s="460"/>
      <c r="BH453" s="460"/>
      <c r="BI453" s="460"/>
      <c r="BJ453" s="460"/>
      <c r="BK453" s="460"/>
      <c r="BL453" s="460"/>
      <c r="BM453" s="460"/>
      <c r="BN453" s="460"/>
      <c r="BO453" s="460"/>
      <c r="BP453" s="460"/>
      <c r="BQ453" s="460"/>
      <c r="BR453" s="460"/>
      <c r="BS453" s="460"/>
      <c r="BT453" s="460"/>
      <c r="BU453" s="460"/>
      <c r="BV453" s="460"/>
      <c r="BW453" s="460"/>
      <c r="BX453" s="460"/>
      <c r="BY453" s="460"/>
      <c r="BZ453" s="460"/>
      <c r="CA453" s="460"/>
      <c r="CB453" s="460"/>
      <c r="CC453" s="460"/>
      <c r="CD453" s="460"/>
      <c r="CE453" s="460"/>
      <c r="CF453" s="460"/>
      <c r="CG453" s="460"/>
      <c r="CH453" s="460"/>
      <c r="CI453" s="460"/>
      <c r="CJ453" s="460"/>
      <c r="CK453" s="460"/>
    </row>
    <row r="454" spans="1:89" s="329" customFormat="1" ht="36" customHeight="1" x14ac:dyDescent="0.25">
      <c r="A454" s="329">
        <v>1</v>
      </c>
      <c r="B454" s="39">
        <f>SUBTOTAL(103,$A$16:A454)</f>
        <v>396</v>
      </c>
      <c r="C454" s="33" t="s">
        <v>1101</v>
      </c>
      <c r="D454" s="330">
        <v>1981</v>
      </c>
      <c r="E454" s="330"/>
      <c r="F454" s="331" t="s">
        <v>48</v>
      </c>
      <c r="G454" s="330">
        <v>2</v>
      </c>
      <c r="H454" s="330" t="s">
        <v>57</v>
      </c>
      <c r="I454" s="38">
        <v>340.3</v>
      </c>
      <c r="J454" s="38">
        <v>309.10000000000002</v>
      </c>
      <c r="K454" s="38">
        <v>309.10000000000002</v>
      </c>
      <c r="L454" s="332">
        <v>19</v>
      </c>
      <c r="M454" s="330" t="s">
        <v>46</v>
      </c>
      <c r="N454" s="330" t="s">
        <v>50</v>
      </c>
      <c r="O454" s="333" t="s">
        <v>2089</v>
      </c>
      <c r="P454" s="38">
        <v>1371104.41</v>
      </c>
      <c r="Q454" s="38">
        <v>0</v>
      </c>
      <c r="R454" s="38">
        <v>0</v>
      </c>
      <c r="S454" s="38">
        <f>P454-Q454-R454</f>
        <v>1371104.41</v>
      </c>
      <c r="T454" s="38">
        <f t="shared" si="63"/>
        <v>4029.1049368204522</v>
      </c>
      <c r="U454" s="38">
        <v>5555.6196885101372</v>
      </c>
      <c r="V454" s="458">
        <f>U454-T454</f>
        <v>1526.514751689685</v>
      </c>
      <c r="W454" s="458">
        <f>X454+Y454+Z454+AA454+AB454+AD454+AF454+AH454+AJ454+AL454+AN454+AO454</f>
        <v>5536.734704672348</v>
      </c>
      <c r="X454" s="458">
        <v>0</v>
      </c>
      <c r="Y454" s="459">
        <v>0</v>
      </c>
      <c r="Z454" s="459">
        <v>0</v>
      </c>
      <c r="AA454" s="459">
        <v>0</v>
      </c>
      <c r="AB454" s="459">
        <v>0</v>
      </c>
      <c r="AC454" s="459">
        <v>0</v>
      </c>
      <c r="AD454" s="459">
        <v>0</v>
      </c>
      <c r="AE454" s="459">
        <v>302</v>
      </c>
      <c r="AF454" s="458">
        <f>6238.91*AE454/I454</f>
        <v>5536.734704672348</v>
      </c>
      <c r="AG454" s="459">
        <v>0</v>
      </c>
      <c r="AH454" s="458">
        <v>0</v>
      </c>
      <c r="AI454" s="459">
        <v>0</v>
      </c>
      <c r="AJ454" s="458">
        <v>0</v>
      </c>
      <c r="AK454" s="459">
        <v>0</v>
      </c>
      <c r="AL454" s="459">
        <v>0</v>
      </c>
      <c r="AM454" s="459">
        <v>0</v>
      </c>
      <c r="AN454" s="459"/>
      <c r="AO454" s="459">
        <v>0</v>
      </c>
      <c r="AP454" s="460"/>
      <c r="AQ454" s="460"/>
      <c r="AR454" s="460"/>
      <c r="AS454" s="460"/>
      <c r="AT454" s="460"/>
      <c r="AU454" s="460"/>
      <c r="AV454" s="460"/>
      <c r="AW454" s="460"/>
      <c r="AX454" s="460"/>
      <c r="AY454" s="460"/>
      <c r="AZ454" s="460"/>
      <c r="BA454" s="460"/>
      <c r="BB454" s="460"/>
      <c r="BC454" s="460"/>
      <c r="BD454" s="460"/>
      <c r="BE454" s="460"/>
      <c r="BF454" s="460"/>
      <c r="BG454" s="460"/>
      <c r="BH454" s="460"/>
      <c r="BI454" s="460"/>
      <c r="BJ454" s="460"/>
      <c r="BK454" s="460"/>
      <c r="BL454" s="460"/>
      <c r="BM454" s="460"/>
      <c r="BN454" s="460"/>
      <c r="BO454" s="460"/>
      <c r="BP454" s="460"/>
      <c r="BQ454" s="460"/>
      <c r="BR454" s="460"/>
      <c r="BS454" s="460"/>
      <c r="BT454" s="460"/>
      <c r="BU454" s="460"/>
      <c r="BV454" s="460"/>
      <c r="BW454" s="460"/>
      <c r="BX454" s="460"/>
      <c r="BY454" s="460"/>
      <c r="BZ454" s="460"/>
      <c r="CA454" s="460"/>
      <c r="CB454" s="460"/>
      <c r="CC454" s="460"/>
      <c r="CD454" s="460"/>
      <c r="CE454" s="460"/>
      <c r="CF454" s="460"/>
      <c r="CG454" s="460"/>
      <c r="CH454" s="460"/>
      <c r="CI454" s="460"/>
      <c r="CJ454" s="460"/>
      <c r="CK454" s="460"/>
    </row>
    <row r="455" spans="1:89" s="329" customFormat="1" ht="36" customHeight="1" x14ac:dyDescent="0.25">
      <c r="B455" s="33" t="s">
        <v>237</v>
      </c>
      <c r="C455" s="33"/>
      <c r="D455" s="330" t="s">
        <v>90</v>
      </c>
      <c r="E455" s="330" t="s">
        <v>90</v>
      </c>
      <c r="F455" s="330" t="s">
        <v>90</v>
      </c>
      <c r="G455" s="330" t="s">
        <v>90</v>
      </c>
      <c r="H455" s="330" t="s">
        <v>90</v>
      </c>
      <c r="I455" s="38">
        <f>I456</f>
        <v>953.9</v>
      </c>
      <c r="J455" s="38">
        <f t="shared" ref="J455:L455" si="82">J456</f>
        <v>865.7</v>
      </c>
      <c r="K455" s="38">
        <f t="shared" si="82"/>
        <v>865.7</v>
      </c>
      <c r="L455" s="338">
        <f t="shared" si="82"/>
        <v>28</v>
      </c>
      <c r="M455" s="330" t="s">
        <v>90</v>
      </c>
      <c r="N455" s="330" t="s">
        <v>90</v>
      </c>
      <c r="O455" s="333" t="s">
        <v>90</v>
      </c>
      <c r="P455" s="38">
        <v>40161.910000000003</v>
      </c>
      <c r="Q455" s="38">
        <f>Q456</f>
        <v>0</v>
      </c>
      <c r="R455" s="38">
        <f>R456</f>
        <v>0</v>
      </c>
      <c r="S455" s="38">
        <f>S456</f>
        <v>40161.910000000003</v>
      </c>
      <c r="T455" s="38">
        <f t="shared" si="63"/>
        <v>42.102851451934171</v>
      </c>
      <c r="U455" s="38">
        <f>U456</f>
        <v>42.102851451934171</v>
      </c>
      <c r="V455" s="458">
        <f t="shared" si="66"/>
        <v>0</v>
      </c>
      <c r="W455" s="458"/>
      <c r="X455" s="458"/>
      <c r="Y455" s="459"/>
      <c r="Z455" s="459"/>
      <c r="AA455" s="459"/>
      <c r="AB455" s="459"/>
      <c r="AC455" s="459"/>
      <c r="AD455" s="459"/>
      <c r="AE455" s="459"/>
      <c r="AF455" s="459"/>
      <c r="AG455" s="459"/>
      <c r="AH455" s="459"/>
      <c r="AI455" s="459"/>
      <c r="AJ455" s="459"/>
      <c r="AK455" s="459"/>
      <c r="AL455" s="459"/>
      <c r="AM455" s="459"/>
      <c r="AN455" s="459"/>
      <c r="AO455" s="459"/>
      <c r="AP455" s="460"/>
      <c r="AQ455" s="460"/>
      <c r="AR455" s="460"/>
      <c r="AS455" s="460"/>
      <c r="AT455" s="460"/>
      <c r="AU455" s="460"/>
      <c r="AV455" s="460"/>
      <c r="AW455" s="460"/>
      <c r="AX455" s="460"/>
      <c r="AY455" s="460"/>
      <c r="AZ455" s="460"/>
      <c r="BA455" s="460"/>
      <c r="BB455" s="460"/>
      <c r="BC455" s="460"/>
      <c r="BD455" s="460"/>
      <c r="BE455" s="460"/>
      <c r="BF455" s="460"/>
      <c r="BG455" s="460"/>
      <c r="BH455" s="460"/>
      <c r="BI455" s="460"/>
      <c r="BJ455" s="460"/>
      <c r="BK455" s="460"/>
      <c r="BL455" s="460"/>
      <c r="BM455" s="460"/>
      <c r="BN455" s="460"/>
      <c r="BO455" s="460"/>
      <c r="BP455" s="460"/>
      <c r="BQ455" s="460"/>
      <c r="BR455" s="460"/>
      <c r="BS455" s="460"/>
      <c r="BT455" s="460"/>
      <c r="BU455" s="460"/>
      <c r="BV455" s="460"/>
      <c r="BW455" s="460"/>
      <c r="BX455" s="460"/>
      <c r="BY455" s="460"/>
      <c r="BZ455" s="460"/>
      <c r="CA455" s="460"/>
      <c r="CB455" s="460"/>
      <c r="CC455" s="460"/>
      <c r="CD455" s="460"/>
      <c r="CE455" s="460"/>
      <c r="CF455" s="460"/>
      <c r="CG455" s="460"/>
      <c r="CH455" s="460"/>
      <c r="CI455" s="460"/>
      <c r="CJ455" s="460"/>
      <c r="CK455" s="460"/>
    </row>
    <row r="456" spans="1:89" s="329" customFormat="1" ht="36" customHeight="1" x14ac:dyDescent="0.25">
      <c r="A456" s="329">
        <v>1</v>
      </c>
      <c r="B456" s="39">
        <f>SUBTOTAL(103,$A$16:A456)</f>
        <v>397</v>
      </c>
      <c r="C456" s="33" t="s">
        <v>1370</v>
      </c>
      <c r="D456" s="330">
        <v>1984</v>
      </c>
      <c r="E456" s="330"/>
      <c r="F456" s="331" t="s">
        <v>48</v>
      </c>
      <c r="G456" s="330">
        <v>2</v>
      </c>
      <c r="H456" s="330" t="s">
        <v>61</v>
      </c>
      <c r="I456" s="38">
        <v>953.9</v>
      </c>
      <c r="J456" s="38">
        <v>865.7</v>
      </c>
      <c r="K456" s="38">
        <v>865.7</v>
      </c>
      <c r="L456" s="332">
        <v>28</v>
      </c>
      <c r="M456" s="330" t="s">
        <v>46</v>
      </c>
      <c r="N456" s="330" t="s">
        <v>47</v>
      </c>
      <c r="O456" s="333" t="s">
        <v>49</v>
      </c>
      <c r="P456" s="38">
        <v>40161.910000000003</v>
      </c>
      <c r="Q456" s="38">
        <v>0</v>
      </c>
      <c r="R456" s="38">
        <v>0</v>
      </c>
      <c r="S456" s="38">
        <f>P456-Q456-R456</f>
        <v>40161.910000000003</v>
      </c>
      <c r="T456" s="38">
        <f t="shared" si="63"/>
        <v>42.102851451934171</v>
      </c>
      <c r="U456" s="38">
        <v>42.102851451934171</v>
      </c>
      <c r="V456" s="458">
        <f>U456-T456</f>
        <v>0</v>
      </c>
      <c r="W456" s="458">
        <f>T456</f>
        <v>42.102851451934171</v>
      </c>
      <c r="X456" s="458">
        <v>0</v>
      </c>
      <c r="Y456" s="459">
        <v>0</v>
      </c>
      <c r="Z456" s="459">
        <v>0</v>
      </c>
      <c r="AA456" s="459">
        <v>0</v>
      </c>
      <c r="AB456" s="459">
        <v>0</v>
      </c>
      <c r="AC456" s="459">
        <v>0</v>
      </c>
      <c r="AD456" s="459">
        <v>0</v>
      </c>
      <c r="AE456" s="459">
        <v>735</v>
      </c>
      <c r="AF456" s="458">
        <f>6436.53*AE456/I456</f>
        <v>4959.4816542614526</v>
      </c>
      <c r="AG456" s="459">
        <v>0</v>
      </c>
      <c r="AH456" s="458">
        <v>0</v>
      </c>
      <c r="AI456" s="459">
        <v>0</v>
      </c>
      <c r="AJ456" s="458">
        <v>0</v>
      </c>
      <c r="AK456" s="459">
        <v>0</v>
      </c>
      <c r="AL456" s="459">
        <v>0</v>
      </c>
      <c r="AM456" s="459">
        <v>0</v>
      </c>
      <c r="AN456" s="459"/>
      <c r="AO456" s="459">
        <v>0</v>
      </c>
      <c r="AP456" s="460"/>
      <c r="AQ456" s="460"/>
      <c r="AR456" s="460"/>
      <c r="AS456" s="460"/>
      <c r="AT456" s="460"/>
      <c r="AU456" s="460"/>
      <c r="AV456" s="460"/>
      <c r="AW456" s="460"/>
      <c r="AX456" s="460"/>
      <c r="AY456" s="460"/>
      <c r="AZ456" s="460"/>
      <c r="BA456" s="460"/>
      <c r="BB456" s="460"/>
      <c r="BC456" s="460"/>
      <c r="BD456" s="460"/>
      <c r="BE456" s="460"/>
      <c r="BF456" s="460"/>
      <c r="BG456" s="460"/>
      <c r="BH456" s="460"/>
      <c r="BI456" s="460"/>
      <c r="BJ456" s="460"/>
      <c r="BK456" s="460"/>
      <c r="BL456" s="460"/>
      <c r="BM456" s="460"/>
      <c r="BN456" s="460"/>
      <c r="BO456" s="460"/>
      <c r="BP456" s="460"/>
      <c r="BQ456" s="460"/>
      <c r="BR456" s="460"/>
      <c r="BS456" s="460"/>
      <c r="BT456" s="460"/>
      <c r="BU456" s="460"/>
      <c r="BV456" s="460"/>
      <c r="BW456" s="460"/>
      <c r="BX456" s="460"/>
      <c r="BY456" s="460"/>
      <c r="BZ456" s="460"/>
      <c r="CA456" s="460"/>
      <c r="CB456" s="460"/>
      <c r="CC456" s="460"/>
      <c r="CD456" s="460"/>
      <c r="CE456" s="460"/>
      <c r="CF456" s="460"/>
      <c r="CG456" s="460"/>
      <c r="CH456" s="460"/>
      <c r="CI456" s="460"/>
      <c r="CJ456" s="460"/>
      <c r="CK456" s="460"/>
    </row>
    <row r="457" spans="1:89" s="329" customFormat="1" ht="36" customHeight="1" x14ac:dyDescent="0.25">
      <c r="B457" s="33" t="s">
        <v>1371</v>
      </c>
      <c r="C457" s="462"/>
      <c r="D457" s="330" t="s">
        <v>90</v>
      </c>
      <c r="E457" s="330" t="s">
        <v>90</v>
      </c>
      <c r="F457" s="330" t="s">
        <v>90</v>
      </c>
      <c r="G457" s="330" t="s">
        <v>90</v>
      </c>
      <c r="H457" s="330" t="s">
        <v>90</v>
      </c>
      <c r="I457" s="38">
        <f>I458</f>
        <v>1446.38</v>
      </c>
      <c r="J457" s="38">
        <f t="shared" ref="J457:L457" si="83">J458</f>
        <v>996.18</v>
      </c>
      <c r="K457" s="38">
        <f t="shared" si="83"/>
        <v>996.18</v>
      </c>
      <c r="L457" s="338">
        <f t="shared" si="83"/>
        <v>78</v>
      </c>
      <c r="M457" s="330" t="s">
        <v>90</v>
      </c>
      <c r="N457" s="330" t="s">
        <v>90</v>
      </c>
      <c r="O457" s="333" t="s">
        <v>90</v>
      </c>
      <c r="P457" s="38">
        <v>127877.6</v>
      </c>
      <c r="Q457" s="38">
        <f>Q458</f>
        <v>0</v>
      </c>
      <c r="R457" s="38">
        <f>R458</f>
        <v>0</v>
      </c>
      <c r="S457" s="38">
        <f>S458</f>
        <v>127877.6</v>
      </c>
      <c r="T457" s="38">
        <f t="shared" si="63"/>
        <v>88.412173840899342</v>
      </c>
      <c r="U457" s="38">
        <f>MAX(U458)</f>
        <v>88.412173840899342</v>
      </c>
      <c r="V457" s="458">
        <f t="shared" si="66"/>
        <v>0</v>
      </c>
      <c r="W457" s="458"/>
      <c r="X457" s="458"/>
      <c r="Y457" s="459"/>
      <c r="Z457" s="459"/>
      <c r="AA457" s="459"/>
      <c r="AB457" s="459"/>
      <c r="AC457" s="459"/>
      <c r="AD457" s="459"/>
      <c r="AE457" s="459"/>
      <c r="AF457" s="459"/>
      <c r="AG457" s="459"/>
      <c r="AH457" s="459"/>
      <c r="AI457" s="459"/>
      <c r="AJ457" s="459"/>
      <c r="AK457" s="459"/>
      <c r="AL457" s="459"/>
      <c r="AM457" s="459"/>
      <c r="AN457" s="459"/>
      <c r="AO457" s="459"/>
      <c r="AP457" s="460"/>
      <c r="AQ457" s="460"/>
      <c r="AR457" s="460"/>
      <c r="AS457" s="460"/>
      <c r="AT457" s="460"/>
      <c r="AU457" s="460"/>
      <c r="AV457" s="460"/>
      <c r="AW457" s="460"/>
      <c r="AX457" s="460"/>
      <c r="AY457" s="460"/>
      <c r="AZ457" s="460"/>
      <c r="BA457" s="460"/>
      <c r="BB457" s="460"/>
      <c r="BC457" s="460"/>
      <c r="BD457" s="460"/>
      <c r="BE457" s="460"/>
      <c r="BF457" s="460"/>
      <c r="BG457" s="460"/>
      <c r="BH457" s="460"/>
      <c r="BI457" s="460"/>
      <c r="BJ457" s="460"/>
      <c r="BK457" s="460"/>
      <c r="BL457" s="460"/>
      <c r="BM457" s="460"/>
      <c r="BN457" s="460"/>
      <c r="BO457" s="460"/>
      <c r="BP457" s="460"/>
      <c r="BQ457" s="460"/>
      <c r="BR457" s="460"/>
      <c r="BS457" s="460"/>
      <c r="BT457" s="460"/>
      <c r="BU457" s="460"/>
      <c r="BV457" s="460"/>
      <c r="BW457" s="460"/>
      <c r="BX457" s="460"/>
      <c r="BY457" s="460"/>
      <c r="BZ457" s="460"/>
      <c r="CA457" s="460"/>
      <c r="CB457" s="460"/>
      <c r="CC457" s="460"/>
      <c r="CD457" s="460"/>
      <c r="CE457" s="460"/>
      <c r="CF457" s="460"/>
      <c r="CG457" s="460"/>
      <c r="CH457" s="460"/>
      <c r="CI457" s="460"/>
      <c r="CJ457" s="460"/>
      <c r="CK457" s="460"/>
    </row>
    <row r="458" spans="1:89" s="329" customFormat="1" ht="36" customHeight="1" x14ac:dyDescent="0.25">
      <c r="A458" s="329">
        <v>1</v>
      </c>
      <c r="B458" s="39">
        <f>SUBTOTAL(103,$A$16:A458)</f>
        <v>398</v>
      </c>
      <c r="C458" s="33" t="s">
        <v>1372</v>
      </c>
      <c r="D458" s="330">
        <v>1969</v>
      </c>
      <c r="E458" s="330"/>
      <c r="F458" s="331" t="s">
        <v>48</v>
      </c>
      <c r="G458" s="330">
        <v>2</v>
      </c>
      <c r="H458" s="330" t="s">
        <v>57</v>
      </c>
      <c r="I458" s="38">
        <v>1446.38</v>
      </c>
      <c r="J458" s="38">
        <v>996.18</v>
      </c>
      <c r="K458" s="38">
        <v>996.18</v>
      </c>
      <c r="L458" s="332">
        <v>78</v>
      </c>
      <c r="M458" s="330" t="s">
        <v>46</v>
      </c>
      <c r="N458" s="330" t="s">
        <v>50</v>
      </c>
      <c r="O458" s="333" t="s">
        <v>2090</v>
      </c>
      <c r="P458" s="38">
        <v>127877.6</v>
      </c>
      <c r="Q458" s="38">
        <v>0</v>
      </c>
      <c r="R458" s="38">
        <v>0</v>
      </c>
      <c r="S458" s="38">
        <f>P458-Q458-R458</f>
        <v>127877.6</v>
      </c>
      <c r="T458" s="38">
        <f t="shared" si="63"/>
        <v>88.412173840899342</v>
      </c>
      <c r="U458" s="38">
        <v>88.412173840899342</v>
      </c>
      <c r="V458" s="458">
        <f>U458-T458</f>
        <v>0</v>
      </c>
      <c r="W458" s="458">
        <f>X458+Y458+Z458+AA458+AB458+AD458+AF458+AH458+AJ458+AL458+AN458+AO458</f>
        <v>4227.1960342371985</v>
      </c>
      <c r="X458" s="458">
        <v>0</v>
      </c>
      <c r="Y458" s="459">
        <v>0</v>
      </c>
      <c r="Z458" s="459">
        <v>0</v>
      </c>
      <c r="AA458" s="459">
        <v>0</v>
      </c>
      <c r="AB458" s="459">
        <v>0</v>
      </c>
      <c r="AC458" s="459">
        <v>0</v>
      </c>
      <c r="AD458" s="459">
        <v>0</v>
      </c>
      <c r="AE458" s="459">
        <v>980</v>
      </c>
      <c r="AF458" s="458">
        <f>6238.91*AE458/I458</f>
        <v>4227.1960342371985</v>
      </c>
      <c r="AG458" s="459">
        <v>0</v>
      </c>
      <c r="AH458" s="458">
        <v>0</v>
      </c>
      <c r="AI458" s="459">
        <v>0</v>
      </c>
      <c r="AJ458" s="458">
        <v>0</v>
      </c>
      <c r="AK458" s="459">
        <v>0</v>
      </c>
      <c r="AL458" s="459">
        <v>0</v>
      </c>
      <c r="AM458" s="459">
        <v>0</v>
      </c>
      <c r="AN458" s="459"/>
      <c r="AO458" s="459">
        <v>0</v>
      </c>
      <c r="AP458" s="460"/>
      <c r="AQ458" s="460"/>
      <c r="AR458" s="460"/>
      <c r="AS458" s="460"/>
      <c r="AT458" s="460"/>
      <c r="AU458" s="460"/>
      <c r="AV458" s="460"/>
      <c r="AW458" s="460"/>
      <c r="AX458" s="460"/>
      <c r="AY458" s="460"/>
      <c r="AZ458" s="460"/>
      <c r="BA458" s="460"/>
      <c r="BB458" s="460"/>
      <c r="BC458" s="460"/>
      <c r="BD458" s="460"/>
      <c r="BE458" s="460"/>
      <c r="BF458" s="460"/>
      <c r="BG458" s="460"/>
      <c r="BH458" s="460"/>
      <c r="BI458" s="460"/>
      <c r="BJ458" s="460"/>
      <c r="BK458" s="460"/>
      <c r="BL458" s="460"/>
      <c r="BM458" s="460"/>
      <c r="BN458" s="460"/>
      <c r="BO458" s="460"/>
      <c r="BP458" s="460"/>
      <c r="BQ458" s="460"/>
      <c r="BR458" s="460"/>
      <c r="BS458" s="460"/>
      <c r="BT458" s="460"/>
      <c r="BU458" s="460"/>
      <c r="BV458" s="460"/>
      <c r="BW458" s="460"/>
      <c r="BX458" s="460"/>
      <c r="BY458" s="460"/>
      <c r="BZ458" s="460"/>
      <c r="CA458" s="460"/>
      <c r="CB458" s="460"/>
      <c r="CC458" s="460"/>
      <c r="CD458" s="460"/>
      <c r="CE458" s="460"/>
      <c r="CF458" s="460"/>
      <c r="CG458" s="460"/>
      <c r="CH458" s="460"/>
      <c r="CI458" s="460"/>
      <c r="CJ458" s="460"/>
      <c r="CK458" s="460"/>
    </row>
    <row r="459" spans="1:89" s="329" customFormat="1" ht="36" customHeight="1" x14ac:dyDescent="0.25">
      <c r="B459" s="33" t="s">
        <v>1373</v>
      </c>
      <c r="C459" s="33"/>
      <c r="D459" s="330" t="s">
        <v>90</v>
      </c>
      <c r="E459" s="330" t="s">
        <v>90</v>
      </c>
      <c r="F459" s="330" t="s">
        <v>90</v>
      </c>
      <c r="G459" s="330" t="s">
        <v>90</v>
      </c>
      <c r="H459" s="330" t="s">
        <v>90</v>
      </c>
      <c r="I459" s="38">
        <f>I460</f>
        <v>676.3</v>
      </c>
      <c r="J459" s="38">
        <f t="shared" ref="J459:L459" si="84">J460</f>
        <v>633.29999999999995</v>
      </c>
      <c r="K459" s="38">
        <f t="shared" si="84"/>
        <v>633.29999999999995</v>
      </c>
      <c r="L459" s="338">
        <f t="shared" si="84"/>
        <v>32</v>
      </c>
      <c r="M459" s="330" t="s">
        <v>90</v>
      </c>
      <c r="N459" s="330" t="s">
        <v>90</v>
      </c>
      <c r="O459" s="333" t="s">
        <v>90</v>
      </c>
      <c r="P459" s="38">
        <v>87573.72</v>
      </c>
      <c r="Q459" s="38">
        <f>Q460</f>
        <v>0</v>
      </c>
      <c r="R459" s="38">
        <f>R460</f>
        <v>0</v>
      </c>
      <c r="S459" s="38">
        <f>S460</f>
        <v>87573.72</v>
      </c>
      <c r="T459" s="38">
        <f t="shared" si="63"/>
        <v>129.48945734141654</v>
      </c>
      <c r="U459" s="38">
        <f>MAX(U460)</f>
        <v>129.48945734141654</v>
      </c>
      <c r="V459" s="458">
        <f t="shared" si="66"/>
        <v>0</v>
      </c>
      <c r="W459" s="458"/>
      <c r="X459" s="458"/>
      <c r="Y459" s="459"/>
      <c r="Z459" s="459"/>
      <c r="AA459" s="459"/>
      <c r="AB459" s="459"/>
      <c r="AC459" s="459"/>
      <c r="AD459" s="459"/>
      <c r="AE459" s="459"/>
      <c r="AF459" s="459"/>
      <c r="AG459" s="459"/>
      <c r="AH459" s="459"/>
      <c r="AI459" s="459"/>
      <c r="AJ459" s="459"/>
      <c r="AK459" s="459"/>
      <c r="AL459" s="459"/>
      <c r="AM459" s="459"/>
      <c r="AN459" s="459"/>
      <c r="AO459" s="459"/>
      <c r="AP459" s="460"/>
      <c r="AQ459" s="460"/>
      <c r="AR459" s="460"/>
      <c r="AS459" s="460"/>
      <c r="AT459" s="460"/>
      <c r="AU459" s="460"/>
      <c r="AV459" s="460"/>
      <c r="AW459" s="460"/>
      <c r="AX459" s="460"/>
      <c r="AY459" s="460"/>
      <c r="AZ459" s="460"/>
      <c r="BA459" s="460"/>
      <c r="BB459" s="460"/>
      <c r="BC459" s="460"/>
      <c r="BD459" s="460"/>
      <c r="BE459" s="460"/>
      <c r="BF459" s="460"/>
      <c r="BG459" s="460"/>
      <c r="BH459" s="460"/>
      <c r="BI459" s="460"/>
      <c r="BJ459" s="460"/>
      <c r="BK459" s="460"/>
      <c r="BL459" s="460"/>
      <c r="BM459" s="460"/>
      <c r="BN459" s="460"/>
      <c r="BO459" s="460"/>
      <c r="BP459" s="460"/>
      <c r="BQ459" s="460"/>
      <c r="BR459" s="460"/>
      <c r="BS459" s="460"/>
      <c r="BT459" s="460"/>
      <c r="BU459" s="460"/>
      <c r="BV459" s="460"/>
      <c r="BW459" s="460"/>
      <c r="BX459" s="460"/>
      <c r="BY459" s="460"/>
      <c r="BZ459" s="460"/>
      <c r="CA459" s="460"/>
      <c r="CB459" s="460"/>
      <c r="CC459" s="460"/>
      <c r="CD459" s="460"/>
      <c r="CE459" s="460"/>
      <c r="CF459" s="460"/>
      <c r="CG459" s="460"/>
      <c r="CH459" s="460"/>
      <c r="CI459" s="460"/>
      <c r="CJ459" s="460"/>
      <c r="CK459" s="460"/>
    </row>
    <row r="460" spans="1:89" s="329" customFormat="1" ht="36" customHeight="1" x14ac:dyDescent="0.25">
      <c r="A460" s="329">
        <v>1</v>
      </c>
      <c r="B460" s="39">
        <f>SUBTOTAL(103,$A$16:A460)</f>
        <v>399</v>
      </c>
      <c r="C460" s="33" t="s">
        <v>1374</v>
      </c>
      <c r="D460" s="330">
        <v>1965</v>
      </c>
      <c r="E460" s="330"/>
      <c r="F460" s="331" t="s">
        <v>48</v>
      </c>
      <c r="G460" s="330">
        <v>2</v>
      </c>
      <c r="H460" s="330" t="s">
        <v>56</v>
      </c>
      <c r="I460" s="38">
        <v>676.3</v>
      </c>
      <c r="J460" s="38">
        <v>633.29999999999995</v>
      </c>
      <c r="K460" s="38">
        <v>633.29999999999995</v>
      </c>
      <c r="L460" s="332">
        <v>32</v>
      </c>
      <c r="M460" s="330" t="s">
        <v>46</v>
      </c>
      <c r="N460" s="330" t="s">
        <v>50</v>
      </c>
      <c r="O460" s="333" t="s">
        <v>2091</v>
      </c>
      <c r="P460" s="38">
        <v>87573.72</v>
      </c>
      <c r="Q460" s="38">
        <v>0</v>
      </c>
      <c r="R460" s="38">
        <v>0</v>
      </c>
      <c r="S460" s="38">
        <f>P460-Q460-R460</f>
        <v>87573.72</v>
      </c>
      <c r="T460" s="38">
        <f t="shared" si="63"/>
        <v>129.48945734141654</v>
      </c>
      <c r="U460" s="38">
        <v>129.48945734141654</v>
      </c>
      <c r="V460" s="458">
        <f>U460-T460</f>
        <v>0</v>
      </c>
      <c r="W460" s="458">
        <f>X460+Y460+Z460+AA460+AB460+AD460+AF460+AH460+AJ460+AL460+AN460+AO460</f>
        <v>5803.4604739822853</v>
      </c>
      <c r="X460" s="458">
        <v>0</v>
      </c>
      <c r="Y460" s="459">
        <v>0</v>
      </c>
      <c r="Z460" s="459">
        <v>0</v>
      </c>
      <c r="AA460" s="459">
        <v>0</v>
      </c>
      <c r="AB460" s="459">
        <v>0</v>
      </c>
      <c r="AC460" s="459">
        <v>0</v>
      </c>
      <c r="AD460" s="459">
        <v>0</v>
      </c>
      <c r="AE460" s="459">
        <v>629.09712090000005</v>
      </c>
      <c r="AF460" s="458">
        <f>6238.91*AE460/I460</f>
        <v>5803.4604739822853</v>
      </c>
      <c r="AG460" s="459">
        <v>0</v>
      </c>
      <c r="AH460" s="458">
        <v>0</v>
      </c>
      <c r="AI460" s="459">
        <v>0</v>
      </c>
      <c r="AJ460" s="458">
        <v>0</v>
      </c>
      <c r="AK460" s="459">
        <v>0</v>
      </c>
      <c r="AL460" s="459">
        <v>0</v>
      </c>
      <c r="AM460" s="459">
        <v>0</v>
      </c>
      <c r="AN460" s="459"/>
      <c r="AO460" s="459">
        <v>0</v>
      </c>
      <c r="AP460" s="460"/>
      <c r="AQ460" s="460"/>
      <c r="AR460" s="460"/>
      <c r="AS460" s="460"/>
      <c r="AT460" s="460"/>
      <c r="AU460" s="460"/>
      <c r="AV460" s="460"/>
      <c r="AW460" s="460"/>
      <c r="AX460" s="460"/>
      <c r="AY460" s="460"/>
      <c r="AZ460" s="460"/>
      <c r="BA460" s="460"/>
      <c r="BB460" s="460"/>
      <c r="BC460" s="460"/>
      <c r="BD460" s="460"/>
      <c r="BE460" s="460"/>
      <c r="BF460" s="460"/>
      <c r="BG460" s="460"/>
      <c r="BH460" s="460"/>
      <c r="BI460" s="460"/>
      <c r="BJ460" s="460"/>
      <c r="BK460" s="460"/>
      <c r="BL460" s="460"/>
      <c r="BM460" s="460"/>
      <c r="BN460" s="460"/>
      <c r="BO460" s="460"/>
      <c r="BP460" s="460"/>
      <c r="BQ460" s="460"/>
      <c r="BR460" s="460"/>
      <c r="BS460" s="460"/>
      <c r="BT460" s="460"/>
      <c r="BU460" s="460"/>
      <c r="BV460" s="460"/>
      <c r="BW460" s="460"/>
      <c r="BX460" s="460"/>
      <c r="BY460" s="460"/>
      <c r="BZ460" s="460"/>
      <c r="CA460" s="460"/>
      <c r="CB460" s="460"/>
      <c r="CC460" s="460"/>
      <c r="CD460" s="460"/>
      <c r="CE460" s="460"/>
      <c r="CF460" s="460"/>
      <c r="CG460" s="460"/>
      <c r="CH460" s="460"/>
      <c r="CI460" s="460"/>
      <c r="CJ460" s="460"/>
      <c r="CK460" s="460"/>
    </row>
    <row r="461" spans="1:89" s="329" customFormat="1" ht="36" customHeight="1" x14ac:dyDescent="0.25">
      <c r="B461" s="33" t="s">
        <v>115</v>
      </c>
      <c r="C461" s="33"/>
      <c r="D461" s="330" t="s">
        <v>131</v>
      </c>
      <c r="E461" s="330" t="s">
        <v>131</v>
      </c>
      <c r="F461" s="330" t="s">
        <v>131</v>
      </c>
      <c r="G461" s="330" t="s">
        <v>131</v>
      </c>
      <c r="H461" s="330" t="s">
        <v>131</v>
      </c>
      <c r="I461" s="334">
        <f>SUM(I462:I466)</f>
        <v>3130</v>
      </c>
      <c r="J461" s="334">
        <f>SUM(J462:J466)</f>
        <v>2960</v>
      </c>
      <c r="K461" s="334">
        <f>SUM(K462:K466)</f>
        <v>2960</v>
      </c>
      <c r="L461" s="332">
        <f>SUM(L462:L466)</f>
        <v>140</v>
      </c>
      <c r="M461" s="330" t="s">
        <v>131</v>
      </c>
      <c r="N461" s="330" t="s">
        <v>131</v>
      </c>
      <c r="O461" s="333" t="s">
        <v>131</v>
      </c>
      <c r="P461" s="38">
        <v>4487931.54</v>
      </c>
      <c r="Q461" s="38">
        <f>SUM(Q462:Q466)</f>
        <v>0</v>
      </c>
      <c r="R461" s="38">
        <f>SUM(R462:R466)</f>
        <v>0</v>
      </c>
      <c r="S461" s="38">
        <f>SUM(S462:S466)</f>
        <v>4487931.54</v>
      </c>
      <c r="T461" s="38">
        <f t="shared" si="63"/>
        <v>1433.8439424920127</v>
      </c>
      <c r="U461" s="38">
        <f>MAX(U462:U466)</f>
        <v>9525.555317439057</v>
      </c>
      <c r="V461" s="458">
        <f t="shared" si="66"/>
        <v>8091.7113749470445</v>
      </c>
      <c r="W461" s="458"/>
      <c r="X461" s="458"/>
      <c r="Y461" s="459"/>
      <c r="Z461" s="459"/>
      <c r="AA461" s="459"/>
      <c r="AB461" s="459"/>
      <c r="AC461" s="459"/>
      <c r="AD461" s="459"/>
      <c r="AE461" s="459"/>
      <c r="AF461" s="459"/>
      <c r="AG461" s="459"/>
      <c r="AH461" s="459"/>
      <c r="AI461" s="459"/>
      <c r="AJ461" s="459"/>
      <c r="AK461" s="459"/>
      <c r="AL461" s="459"/>
      <c r="AM461" s="459"/>
      <c r="AN461" s="459"/>
      <c r="AO461" s="459"/>
      <c r="AP461" s="460"/>
      <c r="AQ461" s="460"/>
      <c r="AR461" s="460"/>
      <c r="AS461" s="460"/>
      <c r="AT461" s="460"/>
      <c r="AU461" s="460"/>
      <c r="AV461" s="460"/>
      <c r="AW461" s="460"/>
      <c r="AX461" s="460"/>
      <c r="AY461" s="460"/>
      <c r="AZ461" s="460"/>
      <c r="BA461" s="460"/>
      <c r="BB461" s="460"/>
      <c r="BC461" s="460"/>
      <c r="BD461" s="460"/>
      <c r="BE461" s="460"/>
      <c r="BF461" s="460"/>
      <c r="BG461" s="460"/>
      <c r="BH461" s="460"/>
      <c r="BI461" s="460"/>
      <c r="BJ461" s="460"/>
      <c r="BK461" s="460"/>
      <c r="BL461" s="460"/>
      <c r="BM461" s="460"/>
      <c r="BN461" s="460"/>
      <c r="BO461" s="460"/>
      <c r="BP461" s="460"/>
      <c r="BQ461" s="460"/>
      <c r="BR461" s="460"/>
      <c r="BS461" s="460"/>
      <c r="BT461" s="460"/>
      <c r="BU461" s="460"/>
      <c r="BV461" s="460"/>
      <c r="BW461" s="460"/>
      <c r="BX461" s="460"/>
      <c r="BY461" s="460"/>
      <c r="BZ461" s="460"/>
      <c r="CA461" s="460"/>
      <c r="CB461" s="460"/>
      <c r="CC461" s="460"/>
      <c r="CD461" s="460"/>
      <c r="CE461" s="460"/>
      <c r="CF461" s="460"/>
      <c r="CG461" s="460"/>
      <c r="CH461" s="460"/>
      <c r="CI461" s="460"/>
      <c r="CJ461" s="460"/>
      <c r="CK461" s="460"/>
    </row>
    <row r="462" spans="1:89" s="329" customFormat="1" ht="36" customHeight="1" x14ac:dyDescent="0.25">
      <c r="A462" s="329">
        <v>1</v>
      </c>
      <c r="B462" s="39">
        <f>SUBTOTAL(103,$A$16:A462)</f>
        <v>400</v>
      </c>
      <c r="C462" s="33" t="s">
        <v>1375</v>
      </c>
      <c r="D462" s="330">
        <v>1983</v>
      </c>
      <c r="E462" s="330"/>
      <c r="F462" s="331" t="s">
        <v>48</v>
      </c>
      <c r="G462" s="330">
        <v>3</v>
      </c>
      <c r="H462" s="330" t="s">
        <v>56</v>
      </c>
      <c r="I462" s="38">
        <v>1387.1</v>
      </c>
      <c r="J462" s="38">
        <v>1285.0999999999999</v>
      </c>
      <c r="K462" s="38">
        <v>1285.0999999999999</v>
      </c>
      <c r="L462" s="332">
        <v>58</v>
      </c>
      <c r="M462" s="330" t="s">
        <v>46</v>
      </c>
      <c r="N462" s="330" t="s">
        <v>50</v>
      </c>
      <c r="O462" s="333" t="s">
        <v>54</v>
      </c>
      <c r="P462" s="38">
        <v>141265.9</v>
      </c>
      <c r="Q462" s="38">
        <v>0</v>
      </c>
      <c r="R462" s="38">
        <v>0</v>
      </c>
      <c r="S462" s="38">
        <f>P462-Q462-R462</f>
        <v>141265.9</v>
      </c>
      <c r="T462" s="38">
        <f t="shared" si="63"/>
        <v>101.84262129622955</v>
      </c>
      <c r="U462" s="38">
        <v>101.84262129622955</v>
      </c>
      <c r="V462" s="458">
        <f t="shared" si="66"/>
        <v>0</v>
      </c>
      <c r="W462" s="458">
        <f>T462</f>
        <v>101.84262129622955</v>
      </c>
      <c r="X462" s="458">
        <v>0</v>
      </c>
      <c r="Y462" s="459">
        <v>0</v>
      </c>
      <c r="Z462" s="459">
        <v>0</v>
      </c>
      <c r="AA462" s="459">
        <v>0</v>
      </c>
      <c r="AB462" s="459">
        <v>0</v>
      </c>
      <c r="AC462" s="459">
        <v>0</v>
      </c>
      <c r="AD462" s="459">
        <v>0</v>
      </c>
      <c r="AE462" s="459">
        <v>0</v>
      </c>
      <c r="AF462" s="458">
        <v>0</v>
      </c>
      <c r="AG462" s="459">
        <v>0</v>
      </c>
      <c r="AH462" s="458">
        <v>0</v>
      </c>
      <c r="AI462" s="459">
        <v>0</v>
      </c>
      <c r="AJ462" s="458">
        <v>0</v>
      </c>
      <c r="AK462" s="459">
        <v>0</v>
      </c>
      <c r="AL462" s="459">
        <v>0</v>
      </c>
      <c r="AM462" s="459">
        <v>583.41</v>
      </c>
      <c r="AN462" s="459">
        <f>6984.52*AM462/I462</f>
        <v>2937.6676614519506</v>
      </c>
      <c r="AO462" s="459">
        <v>0</v>
      </c>
      <c r="AP462" s="460"/>
      <c r="AQ462" s="460"/>
      <c r="AR462" s="460"/>
      <c r="AS462" s="460"/>
      <c r="AT462" s="460"/>
      <c r="AU462" s="460"/>
      <c r="AV462" s="460"/>
      <c r="AW462" s="460"/>
      <c r="AX462" s="460"/>
      <c r="AY462" s="460"/>
      <c r="AZ462" s="460"/>
      <c r="BA462" s="460"/>
      <c r="BB462" s="460"/>
      <c r="BC462" s="460"/>
      <c r="BD462" s="460"/>
      <c r="BE462" s="460"/>
      <c r="BF462" s="460"/>
      <c r="BG462" s="460"/>
      <c r="BH462" s="460"/>
      <c r="BI462" s="460"/>
      <c r="BJ462" s="460"/>
      <c r="BK462" s="460"/>
      <c r="BL462" s="460"/>
      <c r="BM462" s="460"/>
      <c r="BN462" s="460"/>
      <c r="BO462" s="460"/>
      <c r="BP462" s="460"/>
      <c r="BQ462" s="460"/>
      <c r="BR462" s="460"/>
      <c r="BS462" s="460"/>
      <c r="BT462" s="460"/>
      <c r="BU462" s="460"/>
      <c r="BV462" s="460"/>
      <c r="BW462" s="460"/>
      <c r="BX462" s="460"/>
      <c r="BY462" s="460"/>
      <c r="BZ462" s="460"/>
      <c r="CA462" s="460"/>
      <c r="CB462" s="460"/>
      <c r="CC462" s="460"/>
      <c r="CD462" s="460"/>
      <c r="CE462" s="460"/>
      <c r="CF462" s="460"/>
      <c r="CG462" s="460"/>
      <c r="CH462" s="460"/>
      <c r="CI462" s="460"/>
      <c r="CJ462" s="460"/>
      <c r="CK462" s="460"/>
    </row>
    <row r="463" spans="1:89" s="329" customFormat="1" ht="36" customHeight="1" x14ac:dyDescent="0.25">
      <c r="A463" s="329">
        <v>1</v>
      </c>
      <c r="B463" s="39">
        <f>SUBTOTAL(103,$A$16:A463)</f>
        <v>401</v>
      </c>
      <c r="C463" s="33" t="s">
        <v>1171</v>
      </c>
      <c r="D463" s="330">
        <v>1964</v>
      </c>
      <c r="E463" s="330"/>
      <c r="F463" s="331" t="s">
        <v>48</v>
      </c>
      <c r="G463" s="330">
        <v>2</v>
      </c>
      <c r="H463" s="330" t="s">
        <v>57</v>
      </c>
      <c r="I463" s="38">
        <v>337.2</v>
      </c>
      <c r="J463" s="38">
        <v>337.2</v>
      </c>
      <c r="K463" s="38">
        <v>337.2</v>
      </c>
      <c r="L463" s="332">
        <v>18</v>
      </c>
      <c r="M463" s="330" t="s">
        <v>46</v>
      </c>
      <c r="N463" s="330" t="s">
        <v>50</v>
      </c>
      <c r="O463" s="333" t="s">
        <v>54</v>
      </c>
      <c r="P463" s="38">
        <v>1216558.3500000001</v>
      </c>
      <c r="Q463" s="38">
        <v>0</v>
      </c>
      <c r="R463" s="38">
        <v>0</v>
      </c>
      <c r="S463" s="38">
        <f>P463-Q463-R463</f>
        <v>1216558.3500000001</v>
      </c>
      <c r="T463" s="38">
        <f t="shared" ref="T463:T526" si="85">P463/I463</f>
        <v>3607.8242882562281</v>
      </c>
      <c r="U463" s="38">
        <v>5900.0248576512458</v>
      </c>
      <c r="V463" s="458">
        <f t="shared" si="66"/>
        <v>2292.2005693950177</v>
      </c>
      <c r="W463" s="458">
        <f t="shared" ref="W463:W466" si="86">X463+Y463+Z463+AA463+AB463+AD463+AF463+AH463+AJ463+AL463+AN463+AO463</f>
        <v>5879.9691518386717</v>
      </c>
      <c r="X463" s="458">
        <v>0</v>
      </c>
      <c r="Y463" s="459">
        <v>0</v>
      </c>
      <c r="Z463" s="459">
        <v>0</v>
      </c>
      <c r="AA463" s="459">
        <v>0</v>
      </c>
      <c r="AB463" s="459">
        <v>0</v>
      </c>
      <c r="AC463" s="459">
        <v>0</v>
      </c>
      <c r="AD463" s="459">
        <v>0</v>
      </c>
      <c r="AE463" s="459">
        <v>317.8</v>
      </c>
      <c r="AF463" s="458">
        <f>6238.91*AE463/I463</f>
        <v>5879.9691518386717</v>
      </c>
      <c r="AG463" s="459">
        <v>0</v>
      </c>
      <c r="AH463" s="458">
        <v>0</v>
      </c>
      <c r="AI463" s="459">
        <v>0</v>
      </c>
      <c r="AJ463" s="458">
        <v>0</v>
      </c>
      <c r="AK463" s="459">
        <v>0</v>
      </c>
      <c r="AL463" s="459">
        <v>0</v>
      </c>
      <c r="AM463" s="459">
        <v>0</v>
      </c>
      <c r="AN463" s="459"/>
      <c r="AO463" s="459">
        <v>0</v>
      </c>
      <c r="AP463" s="460"/>
      <c r="AQ463" s="460"/>
      <c r="AR463" s="460"/>
      <c r="AS463" s="460"/>
      <c r="AT463" s="460"/>
      <c r="AU463" s="460"/>
      <c r="AV463" s="460"/>
      <c r="AW463" s="460"/>
      <c r="AX463" s="460"/>
      <c r="AY463" s="460"/>
      <c r="AZ463" s="460"/>
      <c r="BA463" s="460"/>
      <c r="BB463" s="460"/>
      <c r="BC463" s="460"/>
      <c r="BD463" s="460"/>
      <c r="BE463" s="460"/>
      <c r="BF463" s="460"/>
      <c r="BG463" s="460"/>
      <c r="BH463" s="460"/>
      <c r="BI463" s="460"/>
      <c r="BJ463" s="460"/>
      <c r="BK463" s="460"/>
      <c r="BL463" s="460"/>
      <c r="BM463" s="460"/>
      <c r="BN463" s="460"/>
      <c r="BO463" s="460"/>
      <c r="BP463" s="460"/>
      <c r="BQ463" s="460"/>
      <c r="BR463" s="460"/>
      <c r="BS463" s="460"/>
      <c r="BT463" s="460"/>
      <c r="BU463" s="460"/>
      <c r="BV463" s="460"/>
      <c r="BW463" s="460"/>
      <c r="BX463" s="460"/>
      <c r="BY463" s="460"/>
      <c r="BZ463" s="460"/>
      <c r="CA463" s="460"/>
      <c r="CB463" s="460"/>
      <c r="CC463" s="460"/>
      <c r="CD463" s="460"/>
      <c r="CE463" s="460"/>
      <c r="CF463" s="460"/>
      <c r="CG463" s="460"/>
      <c r="CH463" s="460"/>
      <c r="CI463" s="460"/>
      <c r="CJ463" s="460"/>
      <c r="CK463" s="460"/>
    </row>
    <row r="464" spans="1:89" s="329" customFormat="1" ht="36" customHeight="1" x14ac:dyDescent="0.25">
      <c r="A464" s="329">
        <v>1</v>
      </c>
      <c r="B464" s="39">
        <f>SUBTOTAL(103,$A$16:A464)</f>
        <v>402</v>
      </c>
      <c r="C464" s="33" t="s">
        <v>1376</v>
      </c>
      <c r="D464" s="330">
        <v>1962</v>
      </c>
      <c r="E464" s="330"/>
      <c r="F464" s="331" t="s">
        <v>48</v>
      </c>
      <c r="G464" s="330">
        <v>2</v>
      </c>
      <c r="H464" s="330" t="s">
        <v>57</v>
      </c>
      <c r="I464" s="38">
        <v>373.3</v>
      </c>
      <c r="J464" s="38">
        <v>373.3</v>
      </c>
      <c r="K464" s="38">
        <v>373.3</v>
      </c>
      <c r="L464" s="332">
        <v>21</v>
      </c>
      <c r="M464" s="330" t="s">
        <v>46</v>
      </c>
      <c r="N464" s="330" t="s">
        <v>47</v>
      </c>
      <c r="O464" s="333" t="s">
        <v>49</v>
      </c>
      <c r="P464" s="38">
        <v>1592596.96</v>
      </c>
      <c r="Q464" s="38">
        <v>0</v>
      </c>
      <c r="R464" s="38">
        <v>0</v>
      </c>
      <c r="S464" s="38">
        <f>P464-Q464-R464</f>
        <v>1592596.96</v>
      </c>
      <c r="T464" s="38">
        <f t="shared" si="85"/>
        <v>4266.265630859898</v>
      </c>
      <c r="U464" s="38">
        <v>9525.555317439057</v>
      </c>
      <c r="V464" s="458">
        <f t="shared" si="66"/>
        <v>5259.289686579159</v>
      </c>
      <c r="W464" s="458">
        <f t="shared" si="86"/>
        <v>6309.1858023037767</v>
      </c>
      <c r="X464" s="458">
        <v>0</v>
      </c>
      <c r="Y464" s="459">
        <v>0</v>
      </c>
      <c r="Z464" s="459">
        <v>0</v>
      </c>
      <c r="AA464" s="459">
        <v>0</v>
      </c>
      <c r="AB464" s="459">
        <v>0</v>
      </c>
      <c r="AC464" s="459">
        <v>0</v>
      </c>
      <c r="AD464" s="459">
        <v>0</v>
      </c>
      <c r="AE464" s="459">
        <v>0</v>
      </c>
      <c r="AF464" s="458">
        <v>0</v>
      </c>
      <c r="AG464" s="459">
        <v>0</v>
      </c>
      <c r="AH464" s="458">
        <v>0</v>
      </c>
      <c r="AI464" s="459">
        <v>316.60000000000002</v>
      </c>
      <c r="AJ464" s="458">
        <f>7439.1*AI464/I464</f>
        <v>6309.1858023037767</v>
      </c>
      <c r="AK464" s="459">
        <v>0</v>
      </c>
      <c r="AL464" s="459">
        <v>0</v>
      </c>
      <c r="AM464" s="459">
        <v>0</v>
      </c>
      <c r="AN464" s="459"/>
      <c r="AO464" s="459">
        <v>0</v>
      </c>
      <c r="AP464" s="460"/>
      <c r="AQ464" s="460"/>
      <c r="AR464" s="460"/>
      <c r="AS464" s="460"/>
      <c r="AT464" s="460"/>
      <c r="AU464" s="460"/>
      <c r="AV464" s="460"/>
      <c r="AW464" s="460"/>
      <c r="AX464" s="460"/>
      <c r="AY464" s="460"/>
      <c r="AZ464" s="460"/>
      <c r="BA464" s="460"/>
      <c r="BB464" s="460"/>
      <c r="BC464" s="460"/>
      <c r="BD464" s="460"/>
      <c r="BE464" s="460"/>
      <c r="BF464" s="460"/>
      <c r="BG464" s="460"/>
      <c r="BH464" s="460"/>
      <c r="BI464" s="460"/>
      <c r="BJ464" s="460"/>
      <c r="BK464" s="460"/>
      <c r="BL464" s="460"/>
      <c r="BM464" s="460"/>
      <c r="BN464" s="460"/>
      <c r="BO464" s="460"/>
      <c r="BP464" s="460"/>
      <c r="BQ464" s="460"/>
      <c r="BR464" s="460"/>
      <c r="BS464" s="460"/>
      <c r="BT464" s="460"/>
      <c r="BU464" s="460"/>
      <c r="BV464" s="460"/>
      <c r="BW464" s="460"/>
      <c r="BX464" s="460"/>
      <c r="BY464" s="460"/>
      <c r="BZ464" s="460"/>
      <c r="CA464" s="460"/>
      <c r="CB464" s="460"/>
      <c r="CC464" s="460"/>
      <c r="CD464" s="460"/>
      <c r="CE464" s="460"/>
      <c r="CF464" s="460"/>
      <c r="CG464" s="460"/>
      <c r="CH464" s="460"/>
      <c r="CI464" s="460"/>
      <c r="CJ464" s="460"/>
      <c r="CK464" s="460"/>
    </row>
    <row r="465" spans="1:89" s="329" customFormat="1" ht="36" customHeight="1" x14ac:dyDescent="0.25">
      <c r="A465" s="329">
        <v>1</v>
      </c>
      <c r="B465" s="39">
        <f>SUBTOTAL(103,$A$16:A465)</f>
        <v>403</v>
      </c>
      <c r="C465" s="33" t="s">
        <v>1102</v>
      </c>
      <c r="D465" s="330">
        <v>1961</v>
      </c>
      <c r="E465" s="330"/>
      <c r="F465" s="331" t="s">
        <v>48</v>
      </c>
      <c r="G465" s="330">
        <v>2</v>
      </c>
      <c r="H465" s="330" t="s">
        <v>57</v>
      </c>
      <c r="I465" s="38">
        <v>230.2</v>
      </c>
      <c r="J465" s="38">
        <v>230.2</v>
      </c>
      <c r="K465" s="38">
        <v>230.2</v>
      </c>
      <c r="L465" s="332">
        <v>7</v>
      </c>
      <c r="M465" s="330" t="s">
        <v>46</v>
      </c>
      <c r="N465" s="330" t="s">
        <v>50</v>
      </c>
      <c r="O465" s="333" t="s">
        <v>54</v>
      </c>
      <c r="P465" s="38">
        <v>1450799.03</v>
      </c>
      <c r="Q465" s="38">
        <v>0</v>
      </c>
      <c r="R465" s="38">
        <v>0</v>
      </c>
      <c r="S465" s="38">
        <f>P465-Q465-R465</f>
        <v>1450799.03</v>
      </c>
      <c r="T465" s="38">
        <f t="shared" si="85"/>
        <v>6302.3415725456125</v>
      </c>
      <c r="U465" s="38">
        <v>6302.3415725456125</v>
      </c>
      <c r="V465" s="458">
        <f t="shared" ref="V465:V527" si="87">U465-T465</f>
        <v>0</v>
      </c>
      <c r="W465" s="458">
        <f>T465</f>
        <v>6302.3415725456125</v>
      </c>
      <c r="X465" s="458">
        <v>0</v>
      </c>
      <c r="Y465" s="459">
        <v>0</v>
      </c>
      <c r="Z465" s="459">
        <v>0</v>
      </c>
      <c r="AA465" s="459">
        <v>0</v>
      </c>
      <c r="AB465" s="459">
        <v>0</v>
      </c>
      <c r="AC465" s="459">
        <v>0</v>
      </c>
      <c r="AD465" s="459">
        <v>0</v>
      </c>
      <c r="AE465" s="459">
        <v>189.8</v>
      </c>
      <c r="AF465" s="458">
        <f>6436.53*AE465/I465</f>
        <v>5306.9217810599484</v>
      </c>
      <c r="AG465" s="459">
        <v>0</v>
      </c>
      <c r="AH465" s="458">
        <v>0</v>
      </c>
      <c r="AI465" s="459">
        <v>0</v>
      </c>
      <c r="AJ465" s="458">
        <v>0</v>
      </c>
      <c r="AK465" s="459">
        <v>0</v>
      </c>
      <c r="AL465" s="459">
        <v>0</v>
      </c>
      <c r="AM465" s="459">
        <v>0</v>
      </c>
      <c r="AN465" s="459"/>
      <c r="AO465" s="459">
        <v>0</v>
      </c>
      <c r="AP465" s="460"/>
      <c r="AQ465" s="460"/>
      <c r="AR465" s="460"/>
      <c r="AS465" s="460"/>
      <c r="AT465" s="460"/>
      <c r="AU465" s="460"/>
      <c r="AV465" s="460"/>
      <c r="AW465" s="460"/>
      <c r="AX465" s="460"/>
      <c r="AY465" s="460"/>
      <c r="AZ465" s="460"/>
      <c r="BA465" s="460"/>
      <c r="BB465" s="460"/>
      <c r="BC465" s="460"/>
      <c r="BD465" s="460"/>
      <c r="BE465" s="460"/>
      <c r="BF465" s="460"/>
      <c r="BG465" s="460"/>
      <c r="BH465" s="460"/>
      <c r="BI465" s="460"/>
      <c r="BJ465" s="460"/>
      <c r="BK465" s="460"/>
      <c r="BL465" s="460"/>
      <c r="BM465" s="460"/>
      <c r="BN465" s="460"/>
      <c r="BO465" s="460"/>
      <c r="BP465" s="460"/>
      <c r="BQ465" s="460"/>
      <c r="BR465" s="460"/>
      <c r="BS465" s="460"/>
      <c r="BT465" s="460"/>
      <c r="BU465" s="460"/>
      <c r="BV465" s="460"/>
      <c r="BW465" s="460"/>
      <c r="BX465" s="460"/>
      <c r="BY465" s="460"/>
      <c r="BZ465" s="460"/>
      <c r="CA465" s="460"/>
      <c r="CB465" s="460"/>
      <c r="CC465" s="460"/>
      <c r="CD465" s="460"/>
      <c r="CE465" s="460"/>
      <c r="CF465" s="460"/>
      <c r="CG465" s="460"/>
      <c r="CH465" s="460"/>
      <c r="CI465" s="460"/>
      <c r="CJ465" s="460"/>
      <c r="CK465" s="460"/>
    </row>
    <row r="466" spans="1:89" s="329" customFormat="1" ht="36" customHeight="1" x14ac:dyDescent="0.25">
      <c r="A466" s="329">
        <v>1</v>
      </c>
      <c r="B466" s="39">
        <f>SUBTOTAL(103,$A$16:A466)</f>
        <v>404</v>
      </c>
      <c r="C466" s="33" t="s">
        <v>1377</v>
      </c>
      <c r="D466" s="330">
        <v>1974</v>
      </c>
      <c r="E466" s="330"/>
      <c r="F466" s="331" t="s">
        <v>48</v>
      </c>
      <c r="G466" s="330">
        <v>2</v>
      </c>
      <c r="H466" s="330" t="s">
        <v>56</v>
      </c>
      <c r="I466" s="38">
        <v>802.2</v>
      </c>
      <c r="J466" s="38">
        <v>734.2</v>
      </c>
      <c r="K466" s="38">
        <v>734.2</v>
      </c>
      <c r="L466" s="332">
        <v>36</v>
      </c>
      <c r="M466" s="330" t="s">
        <v>46</v>
      </c>
      <c r="N466" s="330" t="s">
        <v>47</v>
      </c>
      <c r="O466" s="333" t="s">
        <v>49</v>
      </c>
      <c r="P466" s="38">
        <v>86711.3</v>
      </c>
      <c r="Q466" s="38">
        <v>0</v>
      </c>
      <c r="R466" s="38">
        <v>0</v>
      </c>
      <c r="S466" s="38">
        <f>P466-Q466-R466</f>
        <v>86711.3</v>
      </c>
      <c r="T466" s="38">
        <f t="shared" si="85"/>
        <v>108.09187235103465</v>
      </c>
      <c r="U466" s="38">
        <v>108.09187235103465</v>
      </c>
      <c r="V466" s="458">
        <f t="shared" si="87"/>
        <v>0</v>
      </c>
      <c r="W466" s="458">
        <f t="shared" si="86"/>
        <v>4641.4628371977051</v>
      </c>
      <c r="X466" s="458">
        <v>0</v>
      </c>
      <c r="Y466" s="459">
        <v>0</v>
      </c>
      <c r="Z466" s="459">
        <v>0</v>
      </c>
      <c r="AA466" s="459">
        <v>0</v>
      </c>
      <c r="AB466" s="459">
        <v>0</v>
      </c>
      <c r="AC466" s="459">
        <v>0</v>
      </c>
      <c r="AD466" s="459">
        <v>0</v>
      </c>
      <c r="AE466" s="459">
        <v>596.79999999999995</v>
      </c>
      <c r="AF466" s="458">
        <f>6238.91*AE466/I466</f>
        <v>4641.4628371977051</v>
      </c>
      <c r="AG466" s="459">
        <v>0</v>
      </c>
      <c r="AH466" s="458">
        <v>0</v>
      </c>
      <c r="AI466" s="459">
        <v>0</v>
      </c>
      <c r="AJ466" s="458">
        <v>0</v>
      </c>
      <c r="AK466" s="459">
        <v>0</v>
      </c>
      <c r="AL466" s="459">
        <v>0</v>
      </c>
      <c r="AM466" s="459">
        <v>0</v>
      </c>
      <c r="AN466" s="459"/>
      <c r="AO466" s="459">
        <v>0</v>
      </c>
      <c r="AP466" s="460"/>
      <c r="AQ466" s="460"/>
      <c r="AR466" s="460"/>
      <c r="AS466" s="460"/>
      <c r="AT466" s="460"/>
      <c r="AU466" s="460"/>
      <c r="AV466" s="460"/>
      <c r="AW466" s="460"/>
      <c r="AX466" s="460"/>
      <c r="AY466" s="460"/>
      <c r="AZ466" s="460"/>
      <c r="BA466" s="460"/>
      <c r="BB466" s="460"/>
      <c r="BC466" s="460"/>
      <c r="BD466" s="460"/>
      <c r="BE466" s="460"/>
      <c r="BF466" s="460"/>
      <c r="BG466" s="460"/>
      <c r="BH466" s="460"/>
      <c r="BI466" s="460"/>
      <c r="BJ466" s="460"/>
      <c r="BK466" s="460"/>
      <c r="BL466" s="460"/>
      <c r="BM466" s="460"/>
      <c r="BN466" s="460"/>
      <c r="BO466" s="460"/>
      <c r="BP466" s="460"/>
      <c r="BQ466" s="460"/>
      <c r="BR466" s="460"/>
      <c r="BS466" s="460"/>
      <c r="BT466" s="460"/>
      <c r="BU466" s="460"/>
      <c r="BV466" s="460"/>
      <c r="BW466" s="460"/>
      <c r="BX466" s="460"/>
      <c r="BY466" s="460"/>
      <c r="BZ466" s="460"/>
      <c r="CA466" s="460"/>
      <c r="CB466" s="460"/>
      <c r="CC466" s="460"/>
      <c r="CD466" s="460"/>
      <c r="CE466" s="460"/>
      <c r="CF466" s="460"/>
      <c r="CG466" s="460"/>
      <c r="CH466" s="460"/>
      <c r="CI466" s="460"/>
      <c r="CJ466" s="460"/>
      <c r="CK466" s="460"/>
    </row>
    <row r="467" spans="1:89" s="329" customFormat="1" ht="36" customHeight="1" x14ac:dyDescent="0.25">
      <c r="B467" s="33" t="s">
        <v>116</v>
      </c>
      <c r="C467" s="33"/>
      <c r="D467" s="330" t="s">
        <v>131</v>
      </c>
      <c r="E467" s="330" t="s">
        <v>131</v>
      </c>
      <c r="F467" s="330" t="s">
        <v>131</v>
      </c>
      <c r="G467" s="330" t="s">
        <v>131</v>
      </c>
      <c r="H467" s="330" t="s">
        <v>131</v>
      </c>
      <c r="I467" s="334">
        <f>SUM(I468:I478)</f>
        <v>36117.07</v>
      </c>
      <c r="J467" s="334">
        <f>SUM(J468:J478)</f>
        <v>29322.149999999998</v>
      </c>
      <c r="K467" s="334">
        <f>SUM(K468:K478)</f>
        <v>29294.05</v>
      </c>
      <c r="L467" s="332">
        <f>SUM(L468:L478)</f>
        <v>1569</v>
      </c>
      <c r="M467" s="330" t="s">
        <v>131</v>
      </c>
      <c r="N467" s="330" t="s">
        <v>131</v>
      </c>
      <c r="O467" s="333" t="s">
        <v>131</v>
      </c>
      <c r="P467" s="334">
        <v>25070660.309999999</v>
      </c>
      <c r="Q467" s="334">
        <f>SUM(Q468:Q478)</f>
        <v>0</v>
      </c>
      <c r="R467" s="334">
        <f>SUM(R468:R478)</f>
        <v>0</v>
      </c>
      <c r="S467" s="334">
        <f>SUM(S468:S478)</f>
        <v>25070660.309999999</v>
      </c>
      <c r="T467" s="38">
        <f t="shared" si="85"/>
        <v>694.14989394211659</v>
      </c>
      <c r="U467" s="38">
        <f>MAX(U468:U478)</f>
        <v>4269.38</v>
      </c>
      <c r="V467" s="458">
        <f t="shared" si="87"/>
        <v>3575.2301060578834</v>
      </c>
      <c r="W467" s="458"/>
      <c r="X467" s="458"/>
      <c r="Y467" s="459"/>
      <c r="Z467" s="459"/>
      <c r="AA467" s="459"/>
      <c r="AB467" s="459"/>
      <c r="AC467" s="459"/>
      <c r="AD467" s="459"/>
      <c r="AE467" s="459"/>
      <c r="AF467" s="459"/>
      <c r="AG467" s="459"/>
      <c r="AH467" s="459"/>
      <c r="AI467" s="459"/>
      <c r="AJ467" s="459"/>
      <c r="AK467" s="459"/>
      <c r="AL467" s="459"/>
      <c r="AM467" s="459"/>
      <c r="AN467" s="459"/>
      <c r="AO467" s="459"/>
      <c r="AP467" s="460"/>
      <c r="AQ467" s="460"/>
      <c r="AR467" s="460"/>
      <c r="AS467" s="460"/>
      <c r="AT467" s="460"/>
      <c r="AU467" s="460"/>
      <c r="AV467" s="460"/>
      <c r="AW467" s="460"/>
      <c r="AX467" s="460"/>
      <c r="AY467" s="460"/>
      <c r="AZ467" s="460"/>
      <c r="BA467" s="460"/>
      <c r="BB467" s="460"/>
      <c r="BC467" s="460"/>
      <c r="BD467" s="460"/>
      <c r="BE467" s="460"/>
      <c r="BF467" s="460"/>
      <c r="BG467" s="460"/>
      <c r="BH467" s="460"/>
      <c r="BI467" s="460"/>
      <c r="BJ467" s="460"/>
      <c r="BK467" s="460"/>
      <c r="BL467" s="460"/>
      <c r="BM467" s="460"/>
      <c r="BN467" s="460"/>
      <c r="BO467" s="460"/>
      <c r="BP467" s="460"/>
      <c r="BQ467" s="460"/>
      <c r="BR467" s="460"/>
      <c r="BS467" s="460"/>
      <c r="BT467" s="460"/>
      <c r="BU467" s="460"/>
      <c r="BV467" s="460"/>
      <c r="BW467" s="460"/>
      <c r="BX467" s="460"/>
      <c r="BY467" s="460"/>
      <c r="BZ467" s="460"/>
      <c r="CA467" s="460"/>
      <c r="CB467" s="460"/>
      <c r="CC467" s="460"/>
      <c r="CD467" s="460"/>
      <c r="CE467" s="460"/>
      <c r="CF467" s="460"/>
      <c r="CG467" s="460"/>
      <c r="CH467" s="460"/>
      <c r="CI467" s="460"/>
      <c r="CJ467" s="460"/>
      <c r="CK467" s="460"/>
    </row>
    <row r="468" spans="1:89" s="329" customFormat="1" ht="36" customHeight="1" x14ac:dyDescent="0.25">
      <c r="A468" s="329">
        <v>1</v>
      </c>
      <c r="B468" s="39">
        <f>SUBTOTAL(103,$A$16:A468)</f>
        <v>405</v>
      </c>
      <c r="C468" s="33" t="s">
        <v>1103</v>
      </c>
      <c r="D468" s="330">
        <v>1976</v>
      </c>
      <c r="E468" s="330"/>
      <c r="F468" s="331" t="s">
        <v>1991</v>
      </c>
      <c r="G468" s="330">
        <v>5</v>
      </c>
      <c r="H468" s="330" t="s">
        <v>1961</v>
      </c>
      <c r="I468" s="38">
        <v>6622.77</v>
      </c>
      <c r="J468" s="38">
        <v>6062.77</v>
      </c>
      <c r="K468" s="38">
        <v>6062.77</v>
      </c>
      <c r="L468" s="332">
        <v>252</v>
      </c>
      <c r="M468" s="330" t="s">
        <v>46</v>
      </c>
      <c r="N468" s="330" t="s">
        <v>50</v>
      </c>
      <c r="O468" s="333" t="s">
        <v>2092</v>
      </c>
      <c r="P468" s="38">
        <v>4629120.46</v>
      </c>
      <c r="Q468" s="38">
        <v>0</v>
      </c>
      <c r="R468" s="38">
        <v>0</v>
      </c>
      <c r="S468" s="38">
        <f t="shared" ref="S468:S475" si="88">P468-Q468-R468</f>
        <v>4629120.46</v>
      </c>
      <c r="T468" s="38">
        <f t="shared" si="85"/>
        <v>698.97043986126641</v>
      </c>
      <c r="U468" s="38">
        <v>1454.592380469199</v>
      </c>
      <c r="V468" s="458">
        <f t="shared" si="87"/>
        <v>755.62194060793263</v>
      </c>
      <c r="W468" s="458">
        <f t="shared" ref="W468:W478" si="89">X468+Y468+Z468+AA468+AB468+AD468+AF468+AH468+AJ468+AL468+AN468+AO468</f>
        <v>1449.6478459013372</v>
      </c>
      <c r="X468" s="458">
        <v>0</v>
      </c>
      <c r="Y468" s="459">
        <v>0</v>
      </c>
      <c r="Z468" s="459">
        <v>0</v>
      </c>
      <c r="AA468" s="459">
        <v>0</v>
      </c>
      <c r="AB468" s="459">
        <v>0</v>
      </c>
      <c r="AC468" s="459">
        <v>0</v>
      </c>
      <c r="AD468" s="459">
        <v>0</v>
      </c>
      <c r="AE468" s="459">
        <v>1538.84</v>
      </c>
      <c r="AF468" s="458">
        <f>6238.91*AE468/I468</f>
        <v>1449.6478459013372</v>
      </c>
      <c r="AG468" s="459">
        <v>0</v>
      </c>
      <c r="AH468" s="458">
        <v>0</v>
      </c>
      <c r="AI468" s="459">
        <v>0</v>
      </c>
      <c r="AJ468" s="458">
        <v>0</v>
      </c>
      <c r="AK468" s="459">
        <v>0</v>
      </c>
      <c r="AL468" s="459">
        <v>0</v>
      </c>
      <c r="AM468" s="459">
        <v>0</v>
      </c>
      <c r="AN468" s="459"/>
      <c r="AO468" s="459">
        <v>0</v>
      </c>
      <c r="AP468" s="460"/>
      <c r="AQ468" s="460"/>
      <c r="AR468" s="460"/>
      <c r="AS468" s="460"/>
      <c r="AT468" s="460"/>
      <c r="AU468" s="460"/>
      <c r="AV468" s="460"/>
      <c r="AW468" s="460"/>
      <c r="AX468" s="460"/>
      <c r="AY468" s="460"/>
      <c r="AZ468" s="460"/>
      <c r="BA468" s="460"/>
      <c r="BB468" s="460"/>
      <c r="BC468" s="460"/>
      <c r="BD468" s="460"/>
      <c r="BE468" s="460"/>
      <c r="BF468" s="460"/>
      <c r="BG468" s="460"/>
      <c r="BH468" s="460"/>
      <c r="BI468" s="460"/>
      <c r="BJ468" s="460"/>
      <c r="BK468" s="460"/>
      <c r="BL468" s="460"/>
      <c r="BM468" s="460"/>
      <c r="BN468" s="460"/>
      <c r="BO468" s="460"/>
      <c r="BP468" s="460"/>
      <c r="BQ468" s="460"/>
      <c r="BR468" s="460"/>
      <c r="BS468" s="460"/>
      <c r="BT468" s="460"/>
      <c r="BU468" s="460"/>
      <c r="BV468" s="460"/>
      <c r="BW468" s="460"/>
      <c r="BX468" s="460"/>
      <c r="BY468" s="460"/>
      <c r="BZ468" s="460"/>
      <c r="CA468" s="460"/>
      <c r="CB468" s="460"/>
      <c r="CC468" s="460"/>
      <c r="CD468" s="460"/>
      <c r="CE468" s="460"/>
      <c r="CF468" s="460"/>
      <c r="CG468" s="460"/>
      <c r="CH468" s="460"/>
      <c r="CI468" s="460"/>
      <c r="CJ468" s="460"/>
      <c r="CK468" s="460"/>
    </row>
    <row r="469" spans="1:89" s="329" customFormat="1" ht="36" customHeight="1" x14ac:dyDescent="0.25">
      <c r="A469" s="329">
        <v>1</v>
      </c>
      <c r="B469" s="39">
        <f>SUBTOTAL(103,$A$16:A469)</f>
        <v>406</v>
      </c>
      <c r="C469" s="33" t="s">
        <v>1378</v>
      </c>
      <c r="D469" s="330">
        <v>1969</v>
      </c>
      <c r="E469" s="330"/>
      <c r="F469" s="331" t="s">
        <v>1991</v>
      </c>
      <c r="G469" s="330">
        <v>5</v>
      </c>
      <c r="H469" s="330" t="s">
        <v>75</v>
      </c>
      <c r="I469" s="38">
        <v>4894</v>
      </c>
      <c r="J469" s="38">
        <v>4495.3</v>
      </c>
      <c r="K469" s="38">
        <v>4495.3</v>
      </c>
      <c r="L469" s="332">
        <v>218</v>
      </c>
      <c r="M469" s="330" t="s">
        <v>46</v>
      </c>
      <c r="N469" s="330" t="s">
        <v>50</v>
      </c>
      <c r="O469" s="333" t="s">
        <v>2092</v>
      </c>
      <c r="P469" s="38">
        <v>3612241.12</v>
      </c>
      <c r="Q469" s="38">
        <v>0</v>
      </c>
      <c r="R469" s="38">
        <v>0</v>
      </c>
      <c r="S469" s="38">
        <f t="shared" si="88"/>
        <v>3612241.12</v>
      </c>
      <c r="T469" s="38">
        <f t="shared" si="85"/>
        <v>738.09585615038827</v>
      </c>
      <c r="U469" s="38">
        <v>1285.0402276256641</v>
      </c>
      <c r="V469" s="458">
        <f t="shared" si="87"/>
        <v>546.94437147527583</v>
      </c>
      <c r="W469" s="458">
        <f t="shared" si="89"/>
        <v>1588.665639967307</v>
      </c>
      <c r="X469" s="458">
        <v>0</v>
      </c>
      <c r="Y469" s="459">
        <v>0</v>
      </c>
      <c r="Z469" s="459">
        <v>0</v>
      </c>
      <c r="AA469" s="459">
        <v>0</v>
      </c>
      <c r="AB469" s="459">
        <v>0</v>
      </c>
      <c r="AC469" s="459">
        <v>0</v>
      </c>
      <c r="AD469" s="459">
        <v>0</v>
      </c>
      <c r="AE469" s="459">
        <v>1246.2</v>
      </c>
      <c r="AF469" s="458">
        <f>6238.91*AE469/I469</f>
        <v>1588.665639967307</v>
      </c>
      <c r="AG469" s="459">
        <v>0</v>
      </c>
      <c r="AH469" s="458">
        <v>0</v>
      </c>
      <c r="AI469" s="459">
        <v>0</v>
      </c>
      <c r="AJ469" s="458">
        <v>0</v>
      </c>
      <c r="AK469" s="459">
        <v>0</v>
      </c>
      <c r="AL469" s="459">
        <v>0</v>
      </c>
      <c r="AM469" s="459">
        <v>0</v>
      </c>
      <c r="AN469" s="459"/>
      <c r="AO469" s="459">
        <v>0</v>
      </c>
      <c r="AP469" s="460"/>
      <c r="AQ469" s="460"/>
      <c r="AR469" s="460"/>
      <c r="AS469" s="460"/>
      <c r="AT469" s="460"/>
      <c r="AU469" s="460"/>
      <c r="AV469" s="460"/>
      <c r="AW469" s="460"/>
      <c r="AX469" s="460"/>
      <c r="AY469" s="460"/>
      <c r="AZ469" s="460"/>
      <c r="BA469" s="460"/>
      <c r="BB469" s="460"/>
      <c r="BC469" s="460"/>
      <c r="BD469" s="460"/>
      <c r="BE469" s="460"/>
      <c r="BF469" s="460"/>
      <c r="BG469" s="460"/>
      <c r="BH469" s="460"/>
      <c r="BI469" s="460"/>
      <c r="BJ469" s="460"/>
      <c r="BK469" s="460"/>
      <c r="BL469" s="460"/>
      <c r="BM469" s="460"/>
      <c r="BN469" s="460"/>
      <c r="BO469" s="460"/>
      <c r="BP469" s="460"/>
      <c r="BQ469" s="460"/>
      <c r="BR469" s="460"/>
      <c r="BS469" s="460"/>
      <c r="BT469" s="460"/>
      <c r="BU469" s="460"/>
      <c r="BV469" s="460"/>
      <c r="BW469" s="460"/>
      <c r="BX469" s="460"/>
      <c r="BY469" s="460"/>
      <c r="BZ469" s="460"/>
      <c r="CA469" s="460"/>
      <c r="CB469" s="460"/>
      <c r="CC469" s="460"/>
      <c r="CD469" s="460"/>
      <c r="CE469" s="460"/>
      <c r="CF469" s="460"/>
      <c r="CG469" s="460"/>
      <c r="CH469" s="460"/>
      <c r="CI469" s="460"/>
      <c r="CJ469" s="460"/>
      <c r="CK469" s="460"/>
    </row>
    <row r="470" spans="1:89" s="329" customFormat="1" ht="36" customHeight="1" x14ac:dyDescent="0.25">
      <c r="A470" s="329">
        <v>1</v>
      </c>
      <c r="B470" s="39">
        <f>SUBTOTAL(103,$A$16:A470)</f>
        <v>407</v>
      </c>
      <c r="C470" s="33" t="s">
        <v>1104</v>
      </c>
      <c r="D470" s="330">
        <v>1987</v>
      </c>
      <c r="E470" s="330"/>
      <c r="F470" s="331" t="s">
        <v>1991</v>
      </c>
      <c r="G470" s="330">
        <v>5</v>
      </c>
      <c r="H470" s="330" t="s">
        <v>1977</v>
      </c>
      <c r="I470" s="38">
        <v>7649.2</v>
      </c>
      <c r="J470" s="38">
        <v>5430.3</v>
      </c>
      <c r="K470" s="38">
        <v>5430.3</v>
      </c>
      <c r="L470" s="332">
        <v>315</v>
      </c>
      <c r="M470" s="330" t="s">
        <v>46</v>
      </c>
      <c r="N470" s="330" t="s">
        <v>50</v>
      </c>
      <c r="O470" s="333" t="s">
        <v>2092</v>
      </c>
      <c r="P470" s="38">
        <v>4309479.43</v>
      </c>
      <c r="Q470" s="38">
        <v>0</v>
      </c>
      <c r="R470" s="38">
        <v>0</v>
      </c>
      <c r="S470" s="38">
        <f t="shared" si="88"/>
        <v>4309479.43</v>
      </c>
      <c r="T470" s="38">
        <f t="shared" si="85"/>
        <v>563.38956099984307</v>
      </c>
      <c r="U470" s="38">
        <v>1124.1694535376248</v>
      </c>
      <c r="V470" s="458">
        <f t="shared" si="87"/>
        <v>560.77989253778173</v>
      </c>
      <c r="W470" s="458">
        <f t="shared" si="89"/>
        <v>1120.3481116979551</v>
      </c>
      <c r="X470" s="458">
        <v>0</v>
      </c>
      <c r="Y470" s="459">
        <v>0</v>
      </c>
      <c r="Z470" s="459">
        <v>0</v>
      </c>
      <c r="AA470" s="459">
        <v>0</v>
      </c>
      <c r="AB470" s="459">
        <v>0</v>
      </c>
      <c r="AC470" s="459">
        <v>0</v>
      </c>
      <c r="AD470" s="459">
        <v>0</v>
      </c>
      <c r="AE470" s="459">
        <v>1373.6</v>
      </c>
      <c r="AF470" s="458">
        <f>6238.91*AE470/I470</f>
        <v>1120.3481116979551</v>
      </c>
      <c r="AG470" s="459">
        <v>0</v>
      </c>
      <c r="AH470" s="458">
        <v>0</v>
      </c>
      <c r="AI470" s="459">
        <v>0</v>
      </c>
      <c r="AJ470" s="458">
        <v>0</v>
      </c>
      <c r="AK470" s="459">
        <v>0</v>
      </c>
      <c r="AL470" s="459">
        <v>0</v>
      </c>
      <c r="AM470" s="459">
        <v>0</v>
      </c>
      <c r="AN470" s="459"/>
      <c r="AO470" s="459">
        <v>0</v>
      </c>
      <c r="AP470" s="460"/>
      <c r="AQ470" s="460"/>
      <c r="AR470" s="460"/>
      <c r="AS470" s="460"/>
      <c r="AT470" s="460"/>
      <c r="AU470" s="460"/>
      <c r="AV470" s="460"/>
      <c r="AW470" s="460"/>
      <c r="AX470" s="460"/>
      <c r="AY470" s="460"/>
      <c r="AZ470" s="460"/>
      <c r="BA470" s="460"/>
      <c r="BB470" s="460"/>
      <c r="BC470" s="460"/>
      <c r="BD470" s="460"/>
      <c r="BE470" s="460"/>
      <c r="BF470" s="460"/>
      <c r="BG470" s="460"/>
      <c r="BH470" s="460"/>
      <c r="BI470" s="460"/>
      <c r="BJ470" s="460"/>
      <c r="BK470" s="460"/>
      <c r="BL470" s="460"/>
      <c r="BM470" s="460"/>
      <c r="BN470" s="460"/>
      <c r="BO470" s="460"/>
      <c r="BP470" s="460"/>
      <c r="BQ470" s="460"/>
      <c r="BR470" s="460"/>
      <c r="BS470" s="460"/>
      <c r="BT470" s="460"/>
      <c r="BU470" s="460"/>
      <c r="BV470" s="460"/>
      <c r="BW470" s="460"/>
      <c r="BX470" s="460"/>
      <c r="BY470" s="460"/>
      <c r="BZ470" s="460"/>
      <c r="CA470" s="460"/>
      <c r="CB470" s="460"/>
      <c r="CC470" s="460"/>
      <c r="CD470" s="460"/>
      <c r="CE470" s="460"/>
      <c r="CF470" s="460"/>
      <c r="CG470" s="460"/>
      <c r="CH470" s="460"/>
      <c r="CI470" s="460"/>
      <c r="CJ470" s="460"/>
      <c r="CK470" s="460"/>
    </row>
    <row r="471" spans="1:89" s="329" customFormat="1" ht="36" customHeight="1" x14ac:dyDescent="0.25">
      <c r="A471" s="329">
        <v>1</v>
      </c>
      <c r="B471" s="39">
        <f>SUBTOTAL(103,$A$16:A471)</f>
        <v>408</v>
      </c>
      <c r="C471" s="33" t="s">
        <v>1379</v>
      </c>
      <c r="D471" s="330">
        <v>1963</v>
      </c>
      <c r="E471" s="330"/>
      <c r="F471" s="331" t="s">
        <v>48</v>
      </c>
      <c r="G471" s="330">
        <v>2</v>
      </c>
      <c r="H471" s="330" t="s">
        <v>56</v>
      </c>
      <c r="I471" s="38">
        <v>683.63</v>
      </c>
      <c r="J471" s="38">
        <v>683.63</v>
      </c>
      <c r="K471" s="38">
        <v>683.63</v>
      </c>
      <c r="L471" s="332">
        <v>42</v>
      </c>
      <c r="M471" s="330" t="s">
        <v>46</v>
      </c>
      <c r="N471" s="330" t="s">
        <v>50</v>
      </c>
      <c r="O471" s="333" t="s">
        <v>2092</v>
      </c>
      <c r="P471" s="38">
        <v>1168062.6099999999</v>
      </c>
      <c r="Q471" s="38">
        <v>0</v>
      </c>
      <c r="R471" s="38">
        <v>0</v>
      </c>
      <c r="S471" s="38">
        <f t="shared" si="88"/>
        <v>1168062.6099999999</v>
      </c>
      <c r="T471" s="38">
        <f t="shared" si="85"/>
        <v>1708.6181267644777</v>
      </c>
      <c r="U471" s="38">
        <v>4269.38</v>
      </c>
      <c r="V471" s="458">
        <f t="shared" si="87"/>
        <v>2560.7618732355222</v>
      </c>
      <c r="W471" s="458">
        <f t="shared" si="89"/>
        <v>4341.5</v>
      </c>
      <c r="X471" s="458">
        <v>101.55</v>
      </c>
      <c r="Y471" s="459">
        <v>0</v>
      </c>
      <c r="Z471" s="459">
        <v>3259.66</v>
      </c>
      <c r="AA471" s="459">
        <v>184.98</v>
      </c>
      <c r="AB471" s="459">
        <v>795.31</v>
      </c>
      <c r="AC471" s="459">
        <v>0</v>
      </c>
      <c r="AD471" s="459">
        <v>0</v>
      </c>
      <c r="AE471" s="459">
        <v>0</v>
      </c>
      <c r="AF471" s="458">
        <v>0</v>
      </c>
      <c r="AG471" s="459">
        <v>0</v>
      </c>
      <c r="AH471" s="458">
        <v>0</v>
      </c>
      <c r="AI471" s="459">
        <v>0</v>
      </c>
      <c r="AJ471" s="458">
        <v>0</v>
      </c>
      <c r="AK471" s="459">
        <v>0</v>
      </c>
      <c r="AL471" s="459">
        <v>0</v>
      </c>
      <c r="AM471" s="459">
        <v>0</v>
      </c>
      <c r="AN471" s="459"/>
      <c r="AO471" s="459">
        <v>0</v>
      </c>
      <c r="AP471" s="460"/>
      <c r="AQ471" s="460"/>
      <c r="AR471" s="460"/>
      <c r="AS471" s="460"/>
      <c r="AT471" s="460"/>
      <c r="AU471" s="460"/>
      <c r="AV471" s="460"/>
      <c r="AW471" s="460"/>
      <c r="AX471" s="460"/>
      <c r="AY471" s="460"/>
      <c r="AZ471" s="460"/>
      <c r="BA471" s="460"/>
      <c r="BB471" s="460"/>
      <c r="BC471" s="460"/>
      <c r="BD471" s="460"/>
      <c r="BE471" s="460"/>
      <c r="BF471" s="460"/>
      <c r="BG471" s="460"/>
      <c r="BH471" s="460"/>
      <c r="BI471" s="460"/>
      <c r="BJ471" s="460"/>
      <c r="BK471" s="460"/>
      <c r="BL471" s="460"/>
      <c r="BM471" s="460"/>
      <c r="BN471" s="460"/>
      <c r="BO471" s="460"/>
      <c r="BP471" s="460"/>
      <c r="BQ471" s="460"/>
      <c r="BR471" s="460"/>
      <c r="BS471" s="460"/>
      <c r="BT471" s="460"/>
      <c r="BU471" s="460"/>
      <c r="BV471" s="460"/>
      <c r="BW471" s="460"/>
      <c r="BX471" s="460"/>
      <c r="BY471" s="460"/>
      <c r="BZ471" s="460"/>
      <c r="CA471" s="460"/>
      <c r="CB471" s="460"/>
      <c r="CC471" s="460"/>
      <c r="CD471" s="460"/>
      <c r="CE471" s="460"/>
      <c r="CF471" s="460"/>
      <c r="CG471" s="460"/>
      <c r="CH471" s="460"/>
      <c r="CI471" s="460"/>
      <c r="CJ471" s="460"/>
      <c r="CK471" s="460"/>
    </row>
    <row r="472" spans="1:89" s="329" customFormat="1" ht="36" customHeight="1" x14ac:dyDescent="0.25">
      <c r="A472" s="329">
        <v>1</v>
      </c>
      <c r="B472" s="39">
        <f>SUBTOTAL(103,$A$16:A472)</f>
        <v>409</v>
      </c>
      <c r="C472" s="33" t="s">
        <v>1380</v>
      </c>
      <c r="D472" s="330" t="s">
        <v>58</v>
      </c>
      <c r="E472" s="330"/>
      <c r="F472" s="331" t="s">
        <v>48</v>
      </c>
      <c r="G472" s="330" t="s">
        <v>56</v>
      </c>
      <c r="H472" s="330" t="s">
        <v>56</v>
      </c>
      <c r="I472" s="38">
        <v>1132.77</v>
      </c>
      <c r="J472" s="38">
        <v>1132.77</v>
      </c>
      <c r="K472" s="38">
        <v>1132.77</v>
      </c>
      <c r="L472" s="332">
        <v>25</v>
      </c>
      <c r="M472" s="330" t="s">
        <v>46</v>
      </c>
      <c r="N472" s="330" t="s">
        <v>50</v>
      </c>
      <c r="O472" s="333" t="s">
        <v>2092</v>
      </c>
      <c r="P472" s="38">
        <v>1211468.1399999999</v>
      </c>
      <c r="Q472" s="38">
        <v>0</v>
      </c>
      <c r="R472" s="38">
        <v>0</v>
      </c>
      <c r="S472" s="38">
        <f t="shared" si="88"/>
        <v>1211468.1399999999</v>
      </c>
      <c r="T472" s="38">
        <f t="shared" si="85"/>
        <v>1069.4740679926199</v>
      </c>
      <c r="U472" s="38">
        <v>4269.38</v>
      </c>
      <c r="V472" s="458">
        <f t="shared" si="87"/>
        <v>3199.9059320073802</v>
      </c>
      <c r="W472" s="458">
        <f t="shared" si="89"/>
        <v>4341.5</v>
      </c>
      <c r="X472" s="458">
        <v>101.55</v>
      </c>
      <c r="Y472" s="459">
        <v>0</v>
      </c>
      <c r="Z472" s="459">
        <v>3259.66</v>
      </c>
      <c r="AA472" s="459">
        <v>184.98</v>
      </c>
      <c r="AB472" s="459">
        <v>795.31</v>
      </c>
      <c r="AC472" s="459">
        <v>0</v>
      </c>
      <c r="AD472" s="459">
        <v>0</v>
      </c>
      <c r="AE472" s="459">
        <v>0</v>
      </c>
      <c r="AF472" s="458">
        <v>0</v>
      </c>
      <c r="AG472" s="459">
        <v>0</v>
      </c>
      <c r="AH472" s="458">
        <v>0</v>
      </c>
      <c r="AI472" s="459">
        <v>0</v>
      </c>
      <c r="AJ472" s="458">
        <v>0</v>
      </c>
      <c r="AK472" s="459">
        <v>0</v>
      </c>
      <c r="AL472" s="459">
        <v>0</v>
      </c>
      <c r="AM472" s="459">
        <v>0</v>
      </c>
      <c r="AN472" s="459"/>
      <c r="AO472" s="459">
        <v>0</v>
      </c>
      <c r="AP472" s="460"/>
      <c r="AQ472" s="460"/>
      <c r="AR472" s="460"/>
      <c r="AS472" s="460"/>
      <c r="AT472" s="460"/>
      <c r="AU472" s="460"/>
      <c r="AV472" s="460"/>
      <c r="AW472" s="460"/>
      <c r="AX472" s="460"/>
      <c r="AY472" s="460"/>
      <c r="AZ472" s="460"/>
      <c r="BA472" s="460"/>
      <c r="BB472" s="460"/>
      <c r="BC472" s="460"/>
      <c r="BD472" s="460"/>
      <c r="BE472" s="460"/>
      <c r="BF472" s="460"/>
      <c r="BG472" s="460"/>
      <c r="BH472" s="460"/>
      <c r="BI472" s="460"/>
      <c r="BJ472" s="460"/>
      <c r="BK472" s="460"/>
      <c r="BL472" s="460"/>
      <c r="BM472" s="460"/>
      <c r="BN472" s="460"/>
      <c r="BO472" s="460"/>
      <c r="BP472" s="460"/>
      <c r="BQ472" s="460"/>
      <c r="BR472" s="460"/>
      <c r="BS472" s="460"/>
      <c r="BT472" s="460"/>
      <c r="BU472" s="460"/>
      <c r="BV472" s="460"/>
      <c r="BW472" s="460"/>
      <c r="BX472" s="460"/>
      <c r="BY472" s="460"/>
      <c r="BZ472" s="460"/>
      <c r="CA472" s="460"/>
      <c r="CB472" s="460"/>
      <c r="CC472" s="460"/>
      <c r="CD472" s="460"/>
      <c r="CE472" s="460"/>
      <c r="CF472" s="460"/>
      <c r="CG472" s="460"/>
      <c r="CH472" s="460"/>
      <c r="CI472" s="460"/>
      <c r="CJ472" s="460"/>
      <c r="CK472" s="460"/>
    </row>
    <row r="473" spans="1:89" s="329" customFormat="1" ht="36" customHeight="1" x14ac:dyDescent="0.25">
      <c r="A473" s="329">
        <v>1</v>
      </c>
      <c r="B473" s="39">
        <f>SUBTOTAL(103,$A$16:A473)</f>
        <v>410</v>
      </c>
      <c r="C473" s="33" t="s">
        <v>1381</v>
      </c>
      <c r="D473" s="330">
        <v>1964</v>
      </c>
      <c r="E473" s="330"/>
      <c r="F473" s="331" t="s">
        <v>48</v>
      </c>
      <c r="G473" s="330">
        <v>2</v>
      </c>
      <c r="H473" s="330" t="s">
        <v>59</v>
      </c>
      <c r="I473" s="38">
        <v>768.3</v>
      </c>
      <c r="J473" s="38">
        <v>297</v>
      </c>
      <c r="K473" s="38">
        <v>268.89999999999998</v>
      </c>
      <c r="L473" s="332">
        <v>80</v>
      </c>
      <c r="M473" s="330" t="s">
        <v>46</v>
      </c>
      <c r="N473" s="330" t="s">
        <v>50</v>
      </c>
      <c r="O473" s="333" t="s">
        <v>2091</v>
      </c>
      <c r="P473" s="38">
        <v>1950467.94</v>
      </c>
      <c r="Q473" s="38">
        <v>0</v>
      </c>
      <c r="R473" s="38">
        <v>0</v>
      </c>
      <c r="S473" s="38">
        <f t="shared" si="88"/>
        <v>1950467.94</v>
      </c>
      <c r="T473" s="38">
        <f t="shared" si="85"/>
        <v>2538.6801249511909</v>
      </c>
      <c r="U473" s="38">
        <v>3259.66</v>
      </c>
      <c r="V473" s="458">
        <f t="shared" si="87"/>
        <v>720.97987504880894</v>
      </c>
      <c r="W473" s="458">
        <f t="shared" si="89"/>
        <v>3259.66</v>
      </c>
      <c r="X473" s="458">
        <v>0</v>
      </c>
      <c r="Y473" s="459">
        <v>0</v>
      </c>
      <c r="Z473" s="459">
        <v>3259.66</v>
      </c>
      <c r="AA473" s="459">
        <v>0</v>
      </c>
      <c r="AB473" s="459">
        <v>0</v>
      </c>
      <c r="AC473" s="459">
        <v>0</v>
      </c>
      <c r="AD473" s="459">
        <v>0</v>
      </c>
      <c r="AE473" s="459">
        <v>0</v>
      </c>
      <c r="AF473" s="458">
        <v>0</v>
      </c>
      <c r="AG473" s="459">
        <v>0</v>
      </c>
      <c r="AH473" s="458">
        <v>0</v>
      </c>
      <c r="AI473" s="459">
        <v>0</v>
      </c>
      <c r="AJ473" s="458">
        <v>0</v>
      </c>
      <c r="AK473" s="459">
        <v>0</v>
      </c>
      <c r="AL473" s="459">
        <v>0</v>
      </c>
      <c r="AM473" s="459">
        <v>0</v>
      </c>
      <c r="AN473" s="459"/>
      <c r="AO473" s="459">
        <v>0</v>
      </c>
      <c r="AP473" s="460"/>
      <c r="AQ473" s="460"/>
      <c r="AR473" s="460"/>
      <c r="AS473" s="460"/>
      <c r="AT473" s="460"/>
      <c r="AU473" s="460"/>
      <c r="AV473" s="460"/>
      <c r="AW473" s="460"/>
      <c r="AX473" s="460"/>
      <c r="AY473" s="460"/>
      <c r="AZ473" s="460"/>
      <c r="BA473" s="460"/>
      <c r="BB473" s="460"/>
      <c r="BC473" s="460"/>
      <c r="BD473" s="460"/>
      <c r="BE473" s="460"/>
      <c r="BF473" s="460"/>
      <c r="BG473" s="460"/>
      <c r="BH473" s="460"/>
      <c r="BI473" s="460"/>
      <c r="BJ473" s="460"/>
      <c r="BK473" s="460"/>
      <c r="BL473" s="460"/>
      <c r="BM473" s="460"/>
      <c r="BN473" s="460"/>
      <c r="BO473" s="460"/>
      <c r="BP473" s="460"/>
      <c r="BQ473" s="460"/>
      <c r="BR473" s="460"/>
      <c r="BS473" s="460"/>
      <c r="BT473" s="460"/>
      <c r="BU473" s="460"/>
      <c r="BV473" s="460"/>
      <c r="BW473" s="460"/>
      <c r="BX473" s="460"/>
      <c r="BY473" s="460"/>
      <c r="BZ473" s="460"/>
      <c r="CA473" s="460"/>
      <c r="CB473" s="460"/>
      <c r="CC473" s="460"/>
      <c r="CD473" s="460"/>
      <c r="CE473" s="460"/>
      <c r="CF473" s="460"/>
      <c r="CG473" s="460"/>
      <c r="CH473" s="460"/>
      <c r="CI473" s="460"/>
      <c r="CJ473" s="460"/>
      <c r="CK473" s="460"/>
    </row>
    <row r="474" spans="1:89" s="329" customFormat="1" ht="36" customHeight="1" x14ac:dyDescent="0.25">
      <c r="A474" s="329">
        <v>1</v>
      </c>
      <c r="B474" s="39">
        <f>SUBTOTAL(103,$A$16:A474)</f>
        <v>411</v>
      </c>
      <c r="C474" s="33" t="s">
        <v>1133</v>
      </c>
      <c r="D474" s="330">
        <v>1958</v>
      </c>
      <c r="E474" s="330"/>
      <c r="F474" s="331" t="s">
        <v>48</v>
      </c>
      <c r="G474" s="330">
        <v>2</v>
      </c>
      <c r="H474" s="330" t="s">
        <v>56</v>
      </c>
      <c r="I474" s="38">
        <v>554</v>
      </c>
      <c r="J474" s="38">
        <v>554</v>
      </c>
      <c r="K474" s="38">
        <v>554</v>
      </c>
      <c r="L474" s="332">
        <v>30</v>
      </c>
      <c r="M474" s="330" t="s">
        <v>46</v>
      </c>
      <c r="N474" s="330" t="s">
        <v>50</v>
      </c>
      <c r="O474" s="333" t="s">
        <v>2091</v>
      </c>
      <c r="P474" s="38">
        <v>55068.52</v>
      </c>
      <c r="Q474" s="38">
        <v>0</v>
      </c>
      <c r="R474" s="38">
        <v>0</v>
      </c>
      <c r="S474" s="38">
        <f t="shared" si="88"/>
        <v>55068.52</v>
      </c>
      <c r="T474" s="38">
        <f t="shared" si="85"/>
        <v>99.40166064981949</v>
      </c>
      <c r="U474" s="38">
        <v>99.40166064981949</v>
      </c>
      <c r="V474" s="458">
        <f t="shared" si="87"/>
        <v>0</v>
      </c>
      <c r="W474" s="458">
        <f>T474</f>
        <v>99.40166064981949</v>
      </c>
      <c r="X474" s="458">
        <v>0</v>
      </c>
      <c r="Y474" s="459">
        <v>0</v>
      </c>
      <c r="Z474" s="459">
        <v>0</v>
      </c>
      <c r="AA474" s="459">
        <v>0</v>
      </c>
      <c r="AB474" s="459">
        <v>0</v>
      </c>
      <c r="AC474" s="459">
        <v>0</v>
      </c>
      <c r="AD474" s="459">
        <v>0</v>
      </c>
      <c r="AE474" s="459">
        <v>500</v>
      </c>
      <c r="AF474" s="458">
        <f>6436.53*AE474/I474</f>
        <v>5809.1425992779787</v>
      </c>
      <c r="AG474" s="459">
        <v>0</v>
      </c>
      <c r="AH474" s="458">
        <v>0</v>
      </c>
      <c r="AI474" s="459">
        <v>0</v>
      </c>
      <c r="AJ474" s="458">
        <v>0</v>
      </c>
      <c r="AK474" s="459">
        <v>0</v>
      </c>
      <c r="AL474" s="459">
        <v>0</v>
      </c>
      <c r="AM474" s="459">
        <v>0</v>
      </c>
      <c r="AN474" s="459"/>
      <c r="AO474" s="459">
        <v>0</v>
      </c>
      <c r="AP474" s="460"/>
      <c r="AQ474" s="460"/>
      <c r="AR474" s="460"/>
      <c r="AS474" s="460"/>
      <c r="AT474" s="460"/>
      <c r="AU474" s="460"/>
      <c r="AV474" s="460"/>
      <c r="AW474" s="460"/>
      <c r="AX474" s="460"/>
      <c r="AY474" s="460"/>
      <c r="AZ474" s="460"/>
      <c r="BA474" s="460"/>
      <c r="BB474" s="460"/>
      <c r="BC474" s="460"/>
      <c r="BD474" s="460"/>
      <c r="BE474" s="460"/>
      <c r="BF474" s="460"/>
      <c r="BG474" s="460"/>
      <c r="BH474" s="460"/>
      <c r="BI474" s="460"/>
      <c r="BJ474" s="460"/>
      <c r="BK474" s="460"/>
      <c r="BL474" s="460"/>
      <c r="BM474" s="460"/>
      <c r="BN474" s="460"/>
      <c r="BO474" s="460"/>
      <c r="BP474" s="460"/>
      <c r="BQ474" s="460"/>
      <c r="BR474" s="460"/>
      <c r="BS474" s="460"/>
      <c r="BT474" s="460"/>
      <c r="BU474" s="460"/>
      <c r="BV474" s="460"/>
      <c r="BW474" s="460"/>
      <c r="BX474" s="460"/>
      <c r="BY474" s="460"/>
      <c r="BZ474" s="460"/>
      <c r="CA474" s="460"/>
      <c r="CB474" s="460"/>
      <c r="CC474" s="460"/>
      <c r="CD474" s="460"/>
      <c r="CE474" s="460"/>
      <c r="CF474" s="460"/>
      <c r="CG474" s="460"/>
      <c r="CH474" s="460"/>
      <c r="CI474" s="460"/>
      <c r="CJ474" s="460"/>
      <c r="CK474" s="460"/>
    </row>
    <row r="475" spans="1:89" s="329" customFormat="1" ht="36" customHeight="1" x14ac:dyDescent="0.25">
      <c r="A475" s="329">
        <v>1</v>
      </c>
      <c r="B475" s="39">
        <f>SUBTOTAL(103,$A$16:A475)</f>
        <v>412</v>
      </c>
      <c r="C475" s="33" t="s">
        <v>1177</v>
      </c>
      <c r="D475" s="330">
        <v>1973</v>
      </c>
      <c r="E475" s="330"/>
      <c r="F475" s="331" t="s">
        <v>48</v>
      </c>
      <c r="G475" s="330">
        <v>5</v>
      </c>
      <c r="H475" s="330" t="s">
        <v>61</v>
      </c>
      <c r="I475" s="38">
        <v>3131.46</v>
      </c>
      <c r="J475" s="38">
        <v>3131.28</v>
      </c>
      <c r="K475" s="38">
        <v>3131.28</v>
      </c>
      <c r="L475" s="332">
        <v>208</v>
      </c>
      <c r="M475" s="330" t="s">
        <v>46</v>
      </c>
      <c r="N475" s="330" t="s">
        <v>50</v>
      </c>
      <c r="O475" s="333" t="s">
        <v>244</v>
      </c>
      <c r="P475" s="38">
        <v>98964.25</v>
      </c>
      <c r="Q475" s="38">
        <v>0</v>
      </c>
      <c r="R475" s="38">
        <v>0</v>
      </c>
      <c r="S475" s="38">
        <f t="shared" si="88"/>
        <v>98964.25</v>
      </c>
      <c r="T475" s="38">
        <f t="shared" si="85"/>
        <v>31.603229803350512</v>
      </c>
      <c r="U475" s="38">
        <v>31.603229803350512</v>
      </c>
      <c r="V475" s="458">
        <f t="shared" si="87"/>
        <v>0</v>
      </c>
      <c r="W475" s="458">
        <f t="shared" si="89"/>
        <v>1908.6546786482984</v>
      </c>
      <c r="X475" s="458">
        <v>0</v>
      </c>
      <c r="Y475" s="459">
        <v>0</v>
      </c>
      <c r="Z475" s="459">
        <v>0</v>
      </c>
      <c r="AA475" s="459">
        <v>0</v>
      </c>
      <c r="AB475" s="459">
        <v>0</v>
      </c>
      <c r="AC475" s="459">
        <v>0</v>
      </c>
      <c r="AD475" s="459">
        <v>0</v>
      </c>
      <c r="AE475" s="459">
        <v>958</v>
      </c>
      <c r="AF475" s="458">
        <f>6238.91*AE475/I475</f>
        <v>1908.6546786482984</v>
      </c>
      <c r="AG475" s="459">
        <v>0</v>
      </c>
      <c r="AH475" s="458">
        <v>0</v>
      </c>
      <c r="AI475" s="459">
        <v>0</v>
      </c>
      <c r="AJ475" s="458">
        <v>0</v>
      </c>
      <c r="AK475" s="459">
        <v>0</v>
      </c>
      <c r="AL475" s="459">
        <v>0</v>
      </c>
      <c r="AM475" s="459">
        <v>0</v>
      </c>
      <c r="AN475" s="459"/>
      <c r="AO475" s="459">
        <v>0</v>
      </c>
      <c r="AP475" s="460"/>
      <c r="AQ475" s="460"/>
      <c r="AR475" s="460"/>
      <c r="AS475" s="460"/>
      <c r="AT475" s="460"/>
      <c r="AU475" s="460"/>
      <c r="AV475" s="460"/>
      <c r="AW475" s="460"/>
      <c r="AX475" s="460"/>
      <c r="AY475" s="460"/>
      <c r="AZ475" s="460"/>
      <c r="BA475" s="460"/>
      <c r="BB475" s="460"/>
      <c r="BC475" s="460"/>
      <c r="BD475" s="460"/>
      <c r="BE475" s="460"/>
      <c r="BF475" s="460"/>
      <c r="BG475" s="460"/>
      <c r="BH475" s="460"/>
      <c r="BI475" s="460"/>
      <c r="BJ475" s="460"/>
      <c r="BK475" s="460"/>
      <c r="BL475" s="460"/>
      <c r="BM475" s="460"/>
      <c r="BN475" s="460"/>
      <c r="BO475" s="460"/>
      <c r="BP475" s="460"/>
      <c r="BQ475" s="460"/>
      <c r="BR475" s="460"/>
      <c r="BS475" s="460"/>
      <c r="BT475" s="460"/>
      <c r="BU475" s="460"/>
      <c r="BV475" s="460"/>
      <c r="BW475" s="460"/>
      <c r="BX475" s="460"/>
      <c r="BY475" s="460"/>
      <c r="BZ475" s="460"/>
      <c r="CA475" s="460"/>
      <c r="CB475" s="460"/>
      <c r="CC475" s="460"/>
      <c r="CD475" s="460"/>
      <c r="CE475" s="460"/>
      <c r="CF475" s="460"/>
      <c r="CG475" s="460"/>
      <c r="CH475" s="460"/>
      <c r="CI475" s="460"/>
      <c r="CJ475" s="460"/>
      <c r="CK475" s="460"/>
    </row>
    <row r="476" spans="1:89" s="329" customFormat="1" ht="36" customHeight="1" x14ac:dyDescent="0.25">
      <c r="A476" s="329">
        <v>1</v>
      </c>
      <c r="B476" s="39">
        <f>SUBTOTAL(103,$A$16:A476)</f>
        <v>413</v>
      </c>
      <c r="C476" s="33" t="s">
        <v>1382</v>
      </c>
      <c r="D476" s="330">
        <v>1961</v>
      </c>
      <c r="E476" s="330"/>
      <c r="F476" s="331" t="s">
        <v>1981</v>
      </c>
      <c r="G476" s="330">
        <v>2</v>
      </c>
      <c r="H476" s="330" t="s">
        <v>56</v>
      </c>
      <c r="I476" s="38">
        <v>970.74</v>
      </c>
      <c r="J476" s="38">
        <v>543.79999999999995</v>
      </c>
      <c r="K476" s="38">
        <v>543.79999999999995</v>
      </c>
      <c r="L476" s="332">
        <v>42</v>
      </c>
      <c r="M476" s="330" t="s">
        <v>46</v>
      </c>
      <c r="N476" s="330" t="s">
        <v>47</v>
      </c>
      <c r="O476" s="333" t="s">
        <v>49</v>
      </c>
      <c r="P476" s="38">
        <v>2349863.39</v>
      </c>
      <c r="Q476" s="38">
        <v>0</v>
      </c>
      <c r="R476" s="38">
        <v>0</v>
      </c>
      <c r="S476" s="38">
        <f>P476-R476-Q476</f>
        <v>2349863.39</v>
      </c>
      <c r="T476" s="38">
        <f t="shared" si="85"/>
        <v>2420.6928631765459</v>
      </c>
      <c r="U476" s="38">
        <v>3311.5021169417146</v>
      </c>
      <c r="V476" s="458">
        <f t="shared" si="87"/>
        <v>890.80925376516871</v>
      </c>
      <c r="W476" s="458">
        <f t="shared" si="89"/>
        <v>3370.0422848548528</v>
      </c>
      <c r="X476" s="458">
        <v>0</v>
      </c>
      <c r="Y476" s="459">
        <v>0</v>
      </c>
      <c r="Z476" s="459">
        <v>0</v>
      </c>
      <c r="AA476" s="459">
        <v>0</v>
      </c>
      <c r="AB476" s="459">
        <v>0</v>
      </c>
      <c r="AC476" s="459">
        <v>0</v>
      </c>
      <c r="AD476" s="459">
        <v>0</v>
      </c>
      <c r="AE476" s="459">
        <v>524.36</v>
      </c>
      <c r="AF476" s="458">
        <f>6238.91*AE476/I476</f>
        <v>3370.0422848548528</v>
      </c>
      <c r="AG476" s="459">
        <v>0</v>
      </c>
      <c r="AH476" s="458">
        <v>0</v>
      </c>
      <c r="AI476" s="459">
        <v>0</v>
      </c>
      <c r="AJ476" s="458">
        <v>0</v>
      </c>
      <c r="AK476" s="459">
        <v>0</v>
      </c>
      <c r="AL476" s="459">
        <v>0</v>
      </c>
      <c r="AM476" s="459">
        <v>0</v>
      </c>
      <c r="AN476" s="459"/>
      <c r="AO476" s="459">
        <v>0</v>
      </c>
      <c r="AP476" s="460"/>
      <c r="AQ476" s="460"/>
      <c r="AR476" s="460"/>
      <c r="AS476" s="460"/>
      <c r="AT476" s="460"/>
      <c r="AU476" s="460"/>
      <c r="AV476" s="460"/>
      <c r="AW476" s="460"/>
      <c r="AX476" s="460"/>
      <c r="AY476" s="460"/>
      <c r="AZ476" s="460"/>
      <c r="BA476" s="460"/>
      <c r="BB476" s="460"/>
      <c r="BC476" s="460"/>
      <c r="BD476" s="460"/>
      <c r="BE476" s="460"/>
      <c r="BF476" s="460"/>
      <c r="BG476" s="460"/>
      <c r="BH476" s="460"/>
      <c r="BI476" s="460"/>
      <c r="BJ476" s="460"/>
      <c r="BK476" s="460"/>
      <c r="BL476" s="460"/>
      <c r="BM476" s="460"/>
      <c r="BN476" s="460"/>
      <c r="BO476" s="460"/>
      <c r="BP476" s="460"/>
      <c r="BQ476" s="460"/>
      <c r="BR476" s="460"/>
      <c r="BS476" s="460"/>
      <c r="BT476" s="460"/>
      <c r="BU476" s="460"/>
      <c r="BV476" s="460"/>
      <c r="BW476" s="460"/>
      <c r="BX476" s="460"/>
      <c r="BY476" s="460"/>
      <c r="BZ476" s="460"/>
      <c r="CA476" s="460"/>
      <c r="CB476" s="460"/>
      <c r="CC476" s="460"/>
      <c r="CD476" s="460"/>
      <c r="CE476" s="460"/>
      <c r="CF476" s="460"/>
      <c r="CG476" s="460"/>
      <c r="CH476" s="460"/>
      <c r="CI476" s="460"/>
      <c r="CJ476" s="460"/>
      <c r="CK476" s="460"/>
    </row>
    <row r="477" spans="1:89" s="329" customFormat="1" ht="36" customHeight="1" x14ac:dyDescent="0.25">
      <c r="A477" s="329">
        <v>1</v>
      </c>
      <c r="B477" s="39">
        <f>SUBTOTAL(103,$A$16:A477)</f>
        <v>414</v>
      </c>
      <c r="C477" s="33" t="s">
        <v>1383</v>
      </c>
      <c r="D477" s="330">
        <v>1983</v>
      </c>
      <c r="E477" s="330"/>
      <c r="F477" s="331" t="s">
        <v>1991</v>
      </c>
      <c r="G477" s="330">
        <v>5</v>
      </c>
      <c r="H477" s="330" t="s">
        <v>59</v>
      </c>
      <c r="I477" s="334">
        <v>4333.8</v>
      </c>
      <c r="J477" s="334">
        <v>3128.2</v>
      </c>
      <c r="K477" s="334">
        <v>3128.2</v>
      </c>
      <c r="L477" s="332">
        <v>151</v>
      </c>
      <c r="M477" s="330" t="s">
        <v>46</v>
      </c>
      <c r="N477" s="330" t="s">
        <v>50</v>
      </c>
      <c r="O477" s="333" t="s">
        <v>2093</v>
      </c>
      <c r="P477" s="38">
        <v>2515213.65</v>
      </c>
      <c r="Q477" s="38">
        <v>0</v>
      </c>
      <c r="R477" s="38">
        <v>0</v>
      </c>
      <c r="S477" s="38">
        <f>P477-Q477-R477</f>
        <v>2515213.65</v>
      </c>
      <c r="T477" s="38">
        <f t="shared" si="85"/>
        <v>580.37141769347909</v>
      </c>
      <c r="U477" s="38">
        <v>1142.7757424892702</v>
      </c>
      <c r="V477" s="458">
        <f t="shared" si="87"/>
        <v>562.40432479579113</v>
      </c>
      <c r="W477" s="458">
        <f t="shared" si="89"/>
        <v>1200.4769599427752</v>
      </c>
      <c r="X477" s="458">
        <v>0</v>
      </c>
      <c r="Y477" s="459">
        <v>0</v>
      </c>
      <c r="Z477" s="459">
        <v>0</v>
      </c>
      <c r="AA477" s="459">
        <v>0</v>
      </c>
      <c r="AB477" s="459">
        <v>0</v>
      </c>
      <c r="AC477" s="459">
        <v>0</v>
      </c>
      <c r="AD477" s="459">
        <v>0</v>
      </c>
      <c r="AE477" s="459">
        <v>833.9</v>
      </c>
      <c r="AF477" s="458">
        <f>6238.91*AE477/I477</f>
        <v>1200.4769599427752</v>
      </c>
      <c r="AG477" s="459">
        <v>0</v>
      </c>
      <c r="AH477" s="458">
        <v>0</v>
      </c>
      <c r="AI477" s="459">
        <v>0</v>
      </c>
      <c r="AJ477" s="458">
        <v>0</v>
      </c>
      <c r="AK477" s="459">
        <v>0</v>
      </c>
      <c r="AL477" s="459">
        <v>0</v>
      </c>
      <c r="AM477" s="459">
        <v>0</v>
      </c>
      <c r="AN477" s="459"/>
      <c r="AO477" s="459">
        <v>0</v>
      </c>
      <c r="AP477" s="460"/>
      <c r="AQ477" s="460"/>
      <c r="AR477" s="460"/>
      <c r="AS477" s="460"/>
      <c r="AT477" s="460"/>
      <c r="AU477" s="460"/>
      <c r="AV477" s="460"/>
      <c r="AW477" s="460"/>
      <c r="AX477" s="460"/>
      <c r="AY477" s="460"/>
      <c r="AZ477" s="460"/>
      <c r="BA477" s="460"/>
      <c r="BB477" s="460"/>
      <c r="BC477" s="460"/>
      <c r="BD477" s="460"/>
      <c r="BE477" s="460"/>
      <c r="BF477" s="460"/>
      <c r="BG477" s="460"/>
      <c r="BH477" s="460"/>
      <c r="BI477" s="460"/>
      <c r="BJ477" s="460"/>
      <c r="BK477" s="460"/>
      <c r="BL477" s="460"/>
      <c r="BM477" s="460"/>
      <c r="BN477" s="460"/>
      <c r="BO477" s="460"/>
      <c r="BP477" s="460"/>
      <c r="BQ477" s="460"/>
      <c r="BR477" s="460"/>
      <c r="BS477" s="460"/>
      <c r="BT477" s="460"/>
      <c r="BU477" s="460"/>
      <c r="BV477" s="460"/>
      <c r="BW477" s="460"/>
      <c r="BX477" s="460"/>
      <c r="BY477" s="460"/>
      <c r="BZ477" s="460"/>
      <c r="CA477" s="460"/>
      <c r="CB477" s="460"/>
      <c r="CC477" s="460"/>
      <c r="CD477" s="460"/>
      <c r="CE477" s="460"/>
      <c r="CF477" s="460"/>
      <c r="CG477" s="460"/>
      <c r="CH477" s="460"/>
      <c r="CI477" s="460"/>
      <c r="CJ477" s="460"/>
      <c r="CK477" s="460"/>
    </row>
    <row r="478" spans="1:89" s="329" customFormat="1" ht="36" customHeight="1" x14ac:dyDescent="0.25">
      <c r="A478" s="329">
        <v>1</v>
      </c>
      <c r="B478" s="39">
        <f>SUBTOTAL(103,$A$16:A478)</f>
        <v>415</v>
      </c>
      <c r="C478" s="33" t="s">
        <v>954</v>
      </c>
      <c r="D478" s="330">
        <v>1985</v>
      </c>
      <c r="E478" s="330"/>
      <c r="F478" s="331" t="s">
        <v>1991</v>
      </c>
      <c r="G478" s="330">
        <v>5</v>
      </c>
      <c r="H478" s="330" t="s">
        <v>75</v>
      </c>
      <c r="I478" s="334">
        <v>5376.4</v>
      </c>
      <c r="J478" s="334">
        <v>3863.1</v>
      </c>
      <c r="K478" s="334">
        <v>3863.1</v>
      </c>
      <c r="L478" s="332">
        <v>206</v>
      </c>
      <c r="M478" s="330" t="s">
        <v>46</v>
      </c>
      <c r="N478" s="330" t="s">
        <v>50</v>
      </c>
      <c r="O478" s="333" t="s">
        <v>2093</v>
      </c>
      <c r="P478" s="38">
        <v>3170710.8</v>
      </c>
      <c r="Q478" s="38">
        <v>0</v>
      </c>
      <c r="R478" s="38">
        <v>0</v>
      </c>
      <c r="S478" s="38">
        <f>P478-Q478-R478</f>
        <v>3170710.8</v>
      </c>
      <c r="T478" s="38">
        <f t="shared" si="85"/>
        <v>589.74607544081539</v>
      </c>
      <c r="U478" s="38">
        <v>1154.3462469682315</v>
      </c>
      <c r="V478" s="458">
        <f t="shared" si="87"/>
        <v>564.60017152741614</v>
      </c>
      <c r="W478" s="458">
        <f t="shared" si="89"/>
        <v>1202.0844559556583</v>
      </c>
      <c r="X478" s="458">
        <v>0</v>
      </c>
      <c r="Y478" s="459">
        <v>0</v>
      </c>
      <c r="Z478" s="459">
        <v>0</v>
      </c>
      <c r="AA478" s="459">
        <v>0</v>
      </c>
      <c r="AB478" s="459">
        <v>0</v>
      </c>
      <c r="AC478" s="459">
        <v>0</v>
      </c>
      <c r="AD478" s="459">
        <v>0</v>
      </c>
      <c r="AE478" s="459">
        <v>1035.9000000000001</v>
      </c>
      <c r="AF478" s="458">
        <f>6238.91*AE478/I478</f>
        <v>1202.0844559556583</v>
      </c>
      <c r="AG478" s="459">
        <v>0</v>
      </c>
      <c r="AH478" s="458">
        <v>0</v>
      </c>
      <c r="AI478" s="459">
        <v>0</v>
      </c>
      <c r="AJ478" s="458">
        <v>0</v>
      </c>
      <c r="AK478" s="459">
        <v>0</v>
      </c>
      <c r="AL478" s="459">
        <v>0</v>
      </c>
      <c r="AM478" s="459">
        <v>0</v>
      </c>
      <c r="AN478" s="459"/>
      <c r="AO478" s="459">
        <v>0</v>
      </c>
      <c r="AP478" s="460"/>
      <c r="AQ478" s="460"/>
      <c r="AR478" s="460"/>
      <c r="AS478" s="460"/>
      <c r="AT478" s="460"/>
      <c r="AU478" s="460"/>
      <c r="AV478" s="460"/>
      <c r="AW478" s="460"/>
      <c r="AX478" s="460"/>
      <c r="AY478" s="460"/>
      <c r="AZ478" s="460"/>
      <c r="BA478" s="460"/>
      <c r="BB478" s="460"/>
      <c r="BC478" s="460"/>
      <c r="BD478" s="460"/>
      <c r="BE478" s="460"/>
      <c r="BF478" s="460"/>
      <c r="BG478" s="460"/>
      <c r="BH478" s="460"/>
      <c r="BI478" s="460"/>
      <c r="BJ478" s="460"/>
      <c r="BK478" s="460"/>
      <c r="BL478" s="460"/>
      <c r="BM478" s="460"/>
      <c r="BN478" s="460"/>
      <c r="BO478" s="460"/>
      <c r="BP478" s="460"/>
      <c r="BQ478" s="460"/>
      <c r="BR478" s="460"/>
      <c r="BS478" s="460"/>
      <c r="BT478" s="460"/>
      <c r="BU478" s="460"/>
      <c r="BV478" s="460"/>
      <c r="BW478" s="460"/>
      <c r="BX478" s="460"/>
      <c r="BY478" s="460"/>
      <c r="BZ478" s="460"/>
      <c r="CA478" s="460"/>
      <c r="CB478" s="460"/>
      <c r="CC478" s="460"/>
      <c r="CD478" s="460"/>
      <c r="CE478" s="460"/>
      <c r="CF478" s="460"/>
      <c r="CG478" s="460"/>
      <c r="CH478" s="460"/>
      <c r="CI478" s="460"/>
      <c r="CJ478" s="460"/>
      <c r="CK478" s="460"/>
    </row>
    <row r="479" spans="1:89" s="329" customFormat="1" ht="36" customHeight="1" x14ac:dyDescent="0.25">
      <c r="B479" s="33" t="s">
        <v>117</v>
      </c>
      <c r="C479" s="33"/>
      <c r="D479" s="330" t="s">
        <v>131</v>
      </c>
      <c r="E479" s="330" t="s">
        <v>131</v>
      </c>
      <c r="F479" s="330" t="s">
        <v>131</v>
      </c>
      <c r="G479" s="330" t="s">
        <v>131</v>
      </c>
      <c r="H479" s="330" t="s">
        <v>131</v>
      </c>
      <c r="I479" s="334">
        <f>SUM(I480:I487)</f>
        <v>32478.429999999997</v>
      </c>
      <c r="J479" s="334">
        <f>SUM(J480:J487)</f>
        <v>21805.200000000001</v>
      </c>
      <c r="K479" s="334">
        <f>SUM(K480:K487)</f>
        <v>20949.2</v>
      </c>
      <c r="L479" s="332">
        <f>SUM(L480:L487)</f>
        <v>1444</v>
      </c>
      <c r="M479" s="330" t="s">
        <v>131</v>
      </c>
      <c r="N479" s="330" t="s">
        <v>131</v>
      </c>
      <c r="O479" s="333" t="s">
        <v>131</v>
      </c>
      <c r="P479" s="38">
        <v>25373135.099999998</v>
      </c>
      <c r="Q479" s="38">
        <f>SUM(Q480:Q487)</f>
        <v>0</v>
      </c>
      <c r="R479" s="38">
        <f>SUM(R480:R487)</f>
        <v>0</v>
      </c>
      <c r="S479" s="38">
        <f>SUM(S480:S487)</f>
        <v>25373135.099999998</v>
      </c>
      <c r="T479" s="38">
        <f t="shared" si="85"/>
        <v>781.23034580181366</v>
      </c>
      <c r="U479" s="38">
        <f>MAX(U480:U487)</f>
        <v>3833.4996998928186</v>
      </c>
      <c r="V479" s="458">
        <f t="shared" si="87"/>
        <v>3052.269354091005</v>
      </c>
      <c r="W479" s="458"/>
      <c r="X479" s="458"/>
      <c r="Y479" s="459"/>
      <c r="Z479" s="459"/>
      <c r="AA479" s="459"/>
      <c r="AB479" s="459"/>
      <c r="AC479" s="459"/>
      <c r="AD479" s="459"/>
      <c r="AE479" s="459"/>
      <c r="AF479" s="459"/>
      <c r="AG479" s="459"/>
      <c r="AH479" s="459"/>
      <c r="AI479" s="459"/>
      <c r="AJ479" s="459"/>
      <c r="AK479" s="459"/>
      <c r="AL479" s="459"/>
      <c r="AM479" s="459"/>
      <c r="AN479" s="459"/>
      <c r="AO479" s="459"/>
      <c r="AP479" s="460"/>
      <c r="AQ479" s="460"/>
      <c r="AR479" s="460"/>
      <c r="AS479" s="460"/>
      <c r="AT479" s="460"/>
      <c r="AU479" s="460"/>
      <c r="AV479" s="460"/>
      <c r="AW479" s="460"/>
      <c r="AX479" s="460"/>
      <c r="AY479" s="460"/>
      <c r="AZ479" s="460"/>
      <c r="BA479" s="460"/>
      <c r="BB479" s="460"/>
      <c r="BC479" s="460"/>
      <c r="BD479" s="460"/>
      <c r="BE479" s="460"/>
      <c r="BF479" s="460"/>
      <c r="BG479" s="460"/>
      <c r="BH479" s="460"/>
      <c r="BI479" s="460"/>
      <c r="BJ479" s="460"/>
      <c r="BK479" s="460"/>
      <c r="BL479" s="460"/>
      <c r="BM479" s="460"/>
      <c r="BN479" s="460"/>
      <c r="BO479" s="460"/>
      <c r="BP479" s="460"/>
      <c r="BQ479" s="460"/>
      <c r="BR479" s="460"/>
      <c r="BS479" s="460"/>
      <c r="BT479" s="460"/>
      <c r="BU479" s="460"/>
      <c r="BV479" s="460"/>
      <c r="BW479" s="460"/>
      <c r="BX479" s="460"/>
      <c r="BY479" s="460"/>
      <c r="BZ479" s="460"/>
      <c r="CA479" s="460"/>
      <c r="CB479" s="460"/>
      <c r="CC479" s="460"/>
      <c r="CD479" s="460"/>
      <c r="CE479" s="460"/>
      <c r="CF479" s="460"/>
      <c r="CG479" s="460"/>
      <c r="CH479" s="460"/>
      <c r="CI479" s="460"/>
      <c r="CJ479" s="460"/>
      <c r="CK479" s="460"/>
    </row>
    <row r="480" spans="1:89" s="329" customFormat="1" ht="36" customHeight="1" x14ac:dyDescent="0.25">
      <c r="A480" s="329">
        <v>1</v>
      </c>
      <c r="B480" s="39">
        <f>SUBTOTAL(103,$A$16:A480)</f>
        <v>416</v>
      </c>
      <c r="C480" s="33" t="s">
        <v>1105</v>
      </c>
      <c r="D480" s="330">
        <v>1982</v>
      </c>
      <c r="E480" s="330"/>
      <c r="F480" s="331" t="s">
        <v>48</v>
      </c>
      <c r="G480" s="330">
        <v>5</v>
      </c>
      <c r="H480" s="330" t="s">
        <v>1969</v>
      </c>
      <c r="I480" s="38">
        <v>3868.3</v>
      </c>
      <c r="J480" s="38">
        <v>2289.6</v>
      </c>
      <c r="K480" s="38">
        <v>2289.6</v>
      </c>
      <c r="L480" s="332">
        <v>192</v>
      </c>
      <c r="M480" s="330" t="s">
        <v>46</v>
      </c>
      <c r="N480" s="330" t="s">
        <v>2094</v>
      </c>
      <c r="O480" s="333" t="s">
        <v>2095</v>
      </c>
      <c r="P480" s="38">
        <v>2050029.61</v>
      </c>
      <c r="Q480" s="38">
        <v>0</v>
      </c>
      <c r="R480" s="38">
        <v>0</v>
      </c>
      <c r="S480" s="38">
        <f t="shared" ref="S480:S487" si="90">P480-Q480-R480</f>
        <v>2050029.61</v>
      </c>
      <c r="T480" s="38">
        <f t="shared" si="85"/>
        <v>529.95621073856728</v>
      </c>
      <c r="U480" s="38">
        <v>1666.6867815836415</v>
      </c>
      <c r="V480" s="458">
        <f t="shared" si="87"/>
        <v>1136.7305708450742</v>
      </c>
      <c r="W480" s="458">
        <f t="shared" ref="W480:W487" si="91">X480+Y480+Z480+AA480+AB480+AD480+AF480+AH480+AJ480+AL480+AN480+AO480</f>
        <v>1661.0212834578497</v>
      </c>
      <c r="X480" s="458">
        <v>0</v>
      </c>
      <c r="Y480" s="459">
        <v>0</v>
      </c>
      <c r="Z480" s="459">
        <v>0</v>
      </c>
      <c r="AA480" s="459">
        <v>0</v>
      </c>
      <c r="AB480" s="459">
        <v>0</v>
      </c>
      <c r="AC480" s="459">
        <v>0</v>
      </c>
      <c r="AD480" s="459">
        <v>0</v>
      </c>
      <c r="AE480" s="459">
        <v>1029.8800000000001</v>
      </c>
      <c r="AF480" s="458">
        <f t="shared" ref="AF480:AF485" si="92">6238.91*AE480/I480</f>
        <v>1661.0212834578497</v>
      </c>
      <c r="AG480" s="459">
        <v>0</v>
      </c>
      <c r="AH480" s="458">
        <v>0</v>
      </c>
      <c r="AI480" s="459">
        <v>0</v>
      </c>
      <c r="AJ480" s="458">
        <v>0</v>
      </c>
      <c r="AK480" s="459">
        <v>0</v>
      </c>
      <c r="AL480" s="459">
        <v>0</v>
      </c>
      <c r="AM480" s="459">
        <v>0</v>
      </c>
      <c r="AN480" s="459"/>
      <c r="AO480" s="459">
        <v>0</v>
      </c>
      <c r="AP480" s="460"/>
      <c r="AQ480" s="460"/>
      <c r="AR480" s="460"/>
      <c r="AS480" s="460"/>
      <c r="AT480" s="460"/>
      <c r="AU480" s="460"/>
      <c r="AV480" s="460"/>
      <c r="AW480" s="460"/>
      <c r="AX480" s="460"/>
      <c r="AY480" s="460"/>
      <c r="AZ480" s="460"/>
      <c r="BA480" s="460"/>
      <c r="BB480" s="460"/>
      <c r="BC480" s="460"/>
      <c r="BD480" s="460"/>
      <c r="BE480" s="460"/>
      <c r="BF480" s="460"/>
      <c r="BG480" s="460"/>
      <c r="BH480" s="460"/>
      <c r="BI480" s="460"/>
      <c r="BJ480" s="460"/>
      <c r="BK480" s="460"/>
      <c r="BL480" s="460"/>
      <c r="BM480" s="460"/>
      <c r="BN480" s="460"/>
      <c r="BO480" s="460"/>
      <c r="BP480" s="460"/>
      <c r="BQ480" s="460"/>
      <c r="BR480" s="460"/>
      <c r="BS480" s="460"/>
      <c r="BT480" s="460"/>
      <c r="BU480" s="460"/>
      <c r="BV480" s="460"/>
      <c r="BW480" s="460"/>
      <c r="BX480" s="460"/>
      <c r="BY480" s="460"/>
      <c r="BZ480" s="460"/>
      <c r="CA480" s="460"/>
      <c r="CB480" s="460"/>
      <c r="CC480" s="460"/>
      <c r="CD480" s="460"/>
      <c r="CE480" s="460"/>
      <c r="CF480" s="460"/>
      <c r="CG480" s="460"/>
      <c r="CH480" s="460"/>
      <c r="CI480" s="460"/>
      <c r="CJ480" s="460"/>
      <c r="CK480" s="460"/>
    </row>
    <row r="481" spans="1:89" s="329" customFormat="1" ht="36" customHeight="1" x14ac:dyDescent="0.25">
      <c r="A481" s="329">
        <v>1</v>
      </c>
      <c r="B481" s="39">
        <f>SUBTOTAL(103,$A$16:A481)</f>
        <v>417</v>
      </c>
      <c r="C481" s="33" t="s">
        <v>1384</v>
      </c>
      <c r="D481" s="330">
        <v>1964</v>
      </c>
      <c r="E481" s="330"/>
      <c r="F481" s="331" t="s">
        <v>48</v>
      </c>
      <c r="G481" s="330">
        <v>4</v>
      </c>
      <c r="H481" s="330" t="s">
        <v>56</v>
      </c>
      <c r="I481" s="38">
        <v>839.7</v>
      </c>
      <c r="J481" s="38">
        <v>839.7</v>
      </c>
      <c r="K481" s="38">
        <v>839.7</v>
      </c>
      <c r="L481" s="332">
        <v>75</v>
      </c>
      <c r="M481" s="330" t="s">
        <v>46</v>
      </c>
      <c r="N481" s="330" t="s">
        <v>2094</v>
      </c>
      <c r="O481" s="333" t="s">
        <v>2096</v>
      </c>
      <c r="P481" s="38">
        <v>1930217.85</v>
      </c>
      <c r="Q481" s="38">
        <v>0</v>
      </c>
      <c r="R481" s="38">
        <v>0</v>
      </c>
      <c r="S481" s="38">
        <f t="shared" si="90"/>
        <v>1930217.85</v>
      </c>
      <c r="T481" s="38">
        <f t="shared" si="85"/>
        <v>2298.6993569131832</v>
      </c>
      <c r="U481" s="38">
        <v>3833.4996998928186</v>
      </c>
      <c r="V481" s="458">
        <f t="shared" si="87"/>
        <v>1534.8003429796354</v>
      </c>
      <c r="W481" s="458">
        <f t="shared" si="91"/>
        <v>3829.90465368584</v>
      </c>
      <c r="X481" s="458">
        <v>0</v>
      </c>
      <c r="Y481" s="459">
        <v>0</v>
      </c>
      <c r="Z481" s="459">
        <v>0</v>
      </c>
      <c r="AA481" s="459">
        <v>0</v>
      </c>
      <c r="AB481" s="459">
        <v>0</v>
      </c>
      <c r="AC481" s="459">
        <v>0</v>
      </c>
      <c r="AD481" s="459">
        <v>0</v>
      </c>
      <c r="AE481" s="459">
        <v>515.47</v>
      </c>
      <c r="AF481" s="458">
        <f t="shared" si="92"/>
        <v>3829.90465368584</v>
      </c>
      <c r="AG481" s="459">
        <v>0</v>
      </c>
      <c r="AH481" s="458">
        <v>0</v>
      </c>
      <c r="AI481" s="459">
        <v>0</v>
      </c>
      <c r="AJ481" s="458">
        <v>0</v>
      </c>
      <c r="AK481" s="459">
        <v>0</v>
      </c>
      <c r="AL481" s="459">
        <v>0</v>
      </c>
      <c r="AM481" s="459">
        <v>0</v>
      </c>
      <c r="AN481" s="459"/>
      <c r="AO481" s="459">
        <v>0</v>
      </c>
      <c r="AP481" s="460"/>
      <c r="AQ481" s="460"/>
      <c r="AR481" s="460"/>
      <c r="AS481" s="460"/>
      <c r="AT481" s="460"/>
      <c r="AU481" s="460"/>
      <c r="AV481" s="460"/>
      <c r="AW481" s="460"/>
      <c r="AX481" s="460"/>
      <c r="AY481" s="460"/>
      <c r="AZ481" s="460"/>
      <c r="BA481" s="460"/>
      <c r="BB481" s="460"/>
      <c r="BC481" s="460"/>
      <c r="BD481" s="460"/>
      <c r="BE481" s="460"/>
      <c r="BF481" s="460"/>
      <c r="BG481" s="460"/>
      <c r="BH481" s="460"/>
      <c r="BI481" s="460"/>
      <c r="BJ481" s="460"/>
      <c r="BK481" s="460"/>
      <c r="BL481" s="460"/>
      <c r="BM481" s="460"/>
      <c r="BN481" s="460"/>
      <c r="BO481" s="460"/>
      <c r="BP481" s="460"/>
      <c r="BQ481" s="460"/>
      <c r="BR481" s="460"/>
      <c r="BS481" s="460"/>
      <c r="BT481" s="460"/>
      <c r="BU481" s="460"/>
      <c r="BV481" s="460"/>
      <c r="BW481" s="460"/>
      <c r="BX481" s="460"/>
      <c r="BY481" s="460"/>
      <c r="BZ481" s="460"/>
      <c r="CA481" s="460"/>
      <c r="CB481" s="460"/>
      <c r="CC481" s="460"/>
      <c r="CD481" s="460"/>
      <c r="CE481" s="460"/>
      <c r="CF481" s="460"/>
      <c r="CG481" s="460"/>
      <c r="CH481" s="460"/>
      <c r="CI481" s="460"/>
      <c r="CJ481" s="460"/>
      <c r="CK481" s="460"/>
    </row>
    <row r="482" spans="1:89" s="329" customFormat="1" ht="36" customHeight="1" x14ac:dyDescent="0.25">
      <c r="A482" s="329">
        <v>1</v>
      </c>
      <c r="B482" s="39">
        <f>SUBTOTAL(103,$A$16:A482)</f>
        <v>418</v>
      </c>
      <c r="C482" s="33" t="s">
        <v>1385</v>
      </c>
      <c r="D482" s="330">
        <v>1972</v>
      </c>
      <c r="E482" s="330"/>
      <c r="F482" s="331" t="s">
        <v>48</v>
      </c>
      <c r="G482" s="330">
        <v>5</v>
      </c>
      <c r="H482" s="330" t="s">
        <v>1961</v>
      </c>
      <c r="I482" s="38">
        <v>8090.9</v>
      </c>
      <c r="J482" s="38">
        <v>6096.3</v>
      </c>
      <c r="K482" s="38">
        <v>6096.3</v>
      </c>
      <c r="L482" s="332">
        <v>307</v>
      </c>
      <c r="M482" s="330" t="s">
        <v>46</v>
      </c>
      <c r="N482" s="330" t="s">
        <v>50</v>
      </c>
      <c r="O482" s="333" t="s">
        <v>55</v>
      </c>
      <c r="P482" s="38">
        <v>10368880.9</v>
      </c>
      <c r="Q482" s="38">
        <v>0</v>
      </c>
      <c r="R482" s="38">
        <v>0</v>
      </c>
      <c r="S482" s="38">
        <f t="shared" si="90"/>
        <v>10368880.9</v>
      </c>
      <c r="T482" s="38">
        <f t="shared" si="85"/>
        <v>1281.5485174702444</v>
      </c>
      <c r="U482" s="38">
        <v>1512.1358222941822</v>
      </c>
      <c r="V482" s="458">
        <f t="shared" si="87"/>
        <v>230.58730482393776</v>
      </c>
      <c r="W482" s="458">
        <f t="shared" si="91"/>
        <v>1283.1447424143173</v>
      </c>
      <c r="X482" s="458">
        <v>0</v>
      </c>
      <c r="Y482" s="459">
        <v>0</v>
      </c>
      <c r="Z482" s="459">
        <v>0</v>
      </c>
      <c r="AA482" s="459">
        <v>0</v>
      </c>
      <c r="AB482" s="459">
        <v>0</v>
      </c>
      <c r="AC482" s="459">
        <v>0</v>
      </c>
      <c r="AD482" s="459">
        <v>0</v>
      </c>
      <c r="AE482" s="459">
        <v>1664.04</v>
      </c>
      <c r="AF482" s="458">
        <f t="shared" si="92"/>
        <v>1283.1447424143173</v>
      </c>
      <c r="AG482" s="459">
        <v>0</v>
      </c>
      <c r="AH482" s="458">
        <v>0</v>
      </c>
      <c r="AI482" s="459">
        <v>0</v>
      </c>
      <c r="AJ482" s="458">
        <v>0</v>
      </c>
      <c r="AK482" s="459">
        <v>0</v>
      </c>
      <c r="AL482" s="459">
        <v>0</v>
      </c>
      <c r="AM482" s="459">
        <v>0</v>
      </c>
      <c r="AN482" s="459"/>
      <c r="AO482" s="459">
        <v>0</v>
      </c>
      <c r="AP482" s="460"/>
      <c r="AQ482" s="460"/>
      <c r="AR482" s="460"/>
      <c r="AS482" s="460"/>
      <c r="AT482" s="460"/>
      <c r="AU482" s="460"/>
      <c r="AV482" s="460"/>
      <c r="AW482" s="460"/>
      <c r="AX482" s="460"/>
      <c r="AY482" s="460"/>
      <c r="AZ482" s="460"/>
      <c r="BA482" s="460"/>
      <c r="BB482" s="460"/>
      <c r="BC482" s="460"/>
      <c r="BD482" s="460"/>
      <c r="BE482" s="460"/>
      <c r="BF482" s="460"/>
      <c r="BG482" s="460"/>
      <c r="BH482" s="460"/>
      <c r="BI482" s="460"/>
      <c r="BJ482" s="460"/>
      <c r="BK482" s="460"/>
      <c r="BL482" s="460"/>
      <c r="BM482" s="460"/>
      <c r="BN482" s="460"/>
      <c r="BO482" s="460"/>
      <c r="BP482" s="460"/>
      <c r="BQ482" s="460"/>
      <c r="BR482" s="460"/>
      <c r="BS482" s="460"/>
      <c r="BT482" s="460"/>
      <c r="BU482" s="460"/>
      <c r="BV482" s="460"/>
      <c r="BW482" s="460"/>
      <c r="BX482" s="460"/>
      <c r="BY482" s="460"/>
      <c r="BZ482" s="460"/>
      <c r="CA482" s="460"/>
      <c r="CB482" s="460"/>
      <c r="CC482" s="460"/>
      <c r="CD482" s="460"/>
      <c r="CE482" s="460"/>
      <c r="CF482" s="460"/>
      <c r="CG482" s="460"/>
      <c r="CH482" s="460"/>
      <c r="CI482" s="460"/>
      <c r="CJ482" s="460"/>
      <c r="CK482" s="460"/>
    </row>
    <row r="483" spans="1:89" s="329" customFormat="1" ht="36" customHeight="1" x14ac:dyDescent="0.25">
      <c r="A483" s="329">
        <v>1</v>
      </c>
      <c r="B483" s="39">
        <f>SUBTOTAL(103,$A$16:A483)</f>
        <v>419</v>
      </c>
      <c r="C483" s="33" t="s">
        <v>1107</v>
      </c>
      <c r="D483" s="330">
        <v>1928</v>
      </c>
      <c r="E483" s="330"/>
      <c r="F483" s="331" t="s">
        <v>48</v>
      </c>
      <c r="G483" s="330">
        <v>3</v>
      </c>
      <c r="H483" s="330" t="s">
        <v>61</v>
      </c>
      <c r="I483" s="38">
        <v>1739</v>
      </c>
      <c r="J483" s="38">
        <v>1665.2</v>
      </c>
      <c r="K483" s="38">
        <v>998.7</v>
      </c>
      <c r="L483" s="332">
        <v>235</v>
      </c>
      <c r="M483" s="330" t="s">
        <v>46</v>
      </c>
      <c r="N483" s="330" t="s">
        <v>50</v>
      </c>
      <c r="O483" s="333" t="s">
        <v>2091</v>
      </c>
      <c r="P483" s="38">
        <v>29614.32</v>
      </c>
      <c r="Q483" s="38">
        <v>0</v>
      </c>
      <c r="R483" s="38">
        <v>0</v>
      </c>
      <c r="S483" s="38">
        <f t="shared" si="90"/>
        <v>29614.32</v>
      </c>
      <c r="T483" s="38">
        <f t="shared" si="85"/>
        <v>17.029511213340999</v>
      </c>
      <c r="U483" s="38">
        <v>17.029511213340999</v>
      </c>
      <c r="V483" s="458">
        <f t="shared" si="87"/>
        <v>0</v>
      </c>
      <c r="W483" s="458">
        <f t="shared" si="91"/>
        <v>3964.3447671075328</v>
      </c>
      <c r="X483" s="458">
        <v>0</v>
      </c>
      <c r="Y483" s="459">
        <v>0</v>
      </c>
      <c r="Z483" s="459">
        <v>0</v>
      </c>
      <c r="AA483" s="459">
        <v>0</v>
      </c>
      <c r="AB483" s="459">
        <v>0</v>
      </c>
      <c r="AC483" s="459">
        <v>0</v>
      </c>
      <c r="AD483" s="459">
        <v>0</v>
      </c>
      <c r="AE483" s="459">
        <v>1105</v>
      </c>
      <c r="AF483" s="458">
        <f t="shared" si="92"/>
        <v>3964.3447671075328</v>
      </c>
      <c r="AG483" s="459">
        <v>0</v>
      </c>
      <c r="AH483" s="458">
        <v>0</v>
      </c>
      <c r="AI483" s="459">
        <v>0</v>
      </c>
      <c r="AJ483" s="458">
        <v>0</v>
      </c>
      <c r="AK483" s="459">
        <v>0</v>
      </c>
      <c r="AL483" s="459">
        <v>0</v>
      </c>
      <c r="AM483" s="459">
        <v>0</v>
      </c>
      <c r="AN483" s="459"/>
      <c r="AO483" s="459">
        <v>0</v>
      </c>
      <c r="AP483" s="460"/>
      <c r="AQ483" s="460"/>
      <c r="AR483" s="460"/>
      <c r="AS483" s="460"/>
      <c r="AT483" s="460"/>
      <c r="AU483" s="460"/>
      <c r="AV483" s="460"/>
      <c r="AW483" s="460"/>
      <c r="AX483" s="460"/>
      <c r="AY483" s="460"/>
      <c r="AZ483" s="460"/>
      <c r="BA483" s="460"/>
      <c r="BB483" s="460"/>
      <c r="BC483" s="460"/>
      <c r="BD483" s="460"/>
      <c r="BE483" s="460"/>
      <c r="BF483" s="460"/>
      <c r="BG483" s="460"/>
      <c r="BH483" s="460"/>
      <c r="BI483" s="460"/>
      <c r="BJ483" s="460"/>
      <c r="BK483" s="460"/>
      <c r="BL483" s="460"/>
      <c r="BM483" s="460"/>
      <c r="BN483" s="460"/>
      <c r="BO483" s="460"/>
      <c r="BP483" s="460"/>
      <c r="BQ483" s="460"/>
      <c r="BR483" s="460"/>
      <c r="BS483" s="460"/>
      <c r="BT483" s="460"/>
      <c r="BU483" s="460"/>
      <c r="BV483" s="460"/>
      <c r="BW483" s="460"/>
      <c r="BX483" s="460"/>
      <c r="BY483" s="460"/>
      <c r="BZ483" s="460"/>
      <c r="CA483" s="460"/>
      <c r="CB483" s="460"/>
      <c r="CC483" s="460"/>
      <c r="CD483" s="460"/>
      <c r="CE483" s="460"/>
      <c r="CF483" s="460"/>
      <c r="CG483" s="460"/>
      <c r="CH483" s="460"/>
      <c r="CI483" s="460"/>
      <c r="CJ483" s="460"/>
      <c r="CK483" s="460"/>
    </row>
    <row r="484" spans="1:89" s="329" customFormat="1" ht="36" customHeight="1" x14ac:dyDescent="0.25">
      <c r="A484" s="329">
        <v>1</v>
      </c>
      <c r="B484" s="39">
        <f>SUBTOTAL(103,$A$16:A484)</f>
        <v>420</v>
      </c>
      <c r="C484" s="33" t="s">
        <v>1173</v>
      </c>
      <c r="D484" s="330">
        <v>1962</v>
      </c>
      <c r="E484" s="330"/>
      <c r="F484" s="331" t="s">
        <v>48</v>
      </c>
      <c r="G484" s="330">
        <v>3</v>
      </c>
      <c r="H484" s="330" t="s">
        <v>61</v>
      </c>
      <c r="I484" s="38">
        <v>1520.4</v>
      </c>
      <c r="J484" s="38">
        <v>1093.04</v>
      </c>
      <c r="K484" s="38">
        <v>903.54</v>
      </c>
      <c r="L484" s="332">
        <v>135</v>
      </c>
      <c r="M484" s="330" t="s">
        <v>46</v>
      </c>
      <c r="N484" s="330" t="s">
        <v>50</v>
      </c>
      <c r="O484" s="333" t="s">
        <v>2097</v>
      </c>
      <c r="P484" s="38">
        <v>3408422.6399999997</v>
      </c>
      <c r="Q484" s="38">
        <v>0</v>
      </c>
      <c r="R484" s="38">
        <v>0</v>
      </c>
      <c r="S484" s="38">
        <f t="shared" si="90"/>
        <v>3408422.6399999997</v>
      </c>
      <c r="T484" s="38">
        <f t="shared" si="85"/>
        <v>2241.7933701657457</v>
      </c>
      <c r="U484" s="38">
        <v>3439.8517046172051</v>
      </c>
      <c r="V484" s="458">
        <f t="shared" si="87"/>
        <v>1198.0583344514594</v>
      </c>
      <c r="W484" s="458">
        <f t="shared" si="91"/>
        <v>3428.1587617074451</v>
      </c>
      <c r="X484" s="458">
        <v>0</v>
      </c>
      <c r="Y484" s="459">
        <v>0</v>
      </c>
      <c r="Z484" s="459">
        <v>0</v>
      </c>
      <c r="AA484" s="459">
        <v>0</v>
      </c>
      <c r="AB484" s="459">
        <v>0</v>
      </c>
      <c r="AC484" s="459">
        <v>0</v>
      </c>
      <c r="AD484" s="459">
        <v>0</v>
      </c>
      <c r="AE484" s="459">
        <v>835.43</v>
      </c>
      <c r="AF484" s="458">
        <f t="shared" si="92"/>
        <v>3428.1587617074451</v>
      </c>
      <c r="AG484" s="459">
        <v>0</v>
      </c>
      <c r="AH484" s="458">
        <v>0</v>
      </c>
      <c r="AI484" s="459">
        <v>0</v>
      </c>
      <c r="AJ484" s="458">
        <v>0</v>
      </c>
      <c r="AK484" s="459">
        <v>0</v>
      </c>
      <c r="AL484" s="459">
        <v>0</v>
      </c>
      <c r="AM484" s="459">
        <v>0</v>
      </c>
      <c r="AN484" s="459"/>
      <c r="AO484" s="459">
        <v>0</v>
      </c>
      <c r="AP484" s="460"/>
      <c r="AQ484" s="460"/>
      <c r="AR484" s="460"/>
      <c r="AS484" s="460"/>
      <c r="AT484" s="460"/>
      <c r="AU484" s="460"/>
      <c r="AV484" s="460"/>
      <c r="AW484" s="460"/>
      <c r="AX484" s="460"/>
      <c r="AY484" s="460"/>
      <c r="AZ484" s="460"/>
      <c r="BA484" s="460"/>
      <c r="BB484" s="460"/>
      <c r="BC484" s="460"/>
      <c r="BD484" s="460"/>
      <c r="BE484" s="460"/>
      <c r="BF484" s="460"/>
      <c r="BG484" s="460"/>
      <c r="BH484" s="460"/>
      <c r="BI484" s="460"/>
      <c r="BJ484" s="460"/>
      <c r="BK484" s="460"/>
      <c r="BL484" s="460"/>
      <c r="BM484" s="460"/>
      <c r="BN484" s="460"/>
      <c r="BO484" s="460"/>
      <c r="BP484" s="460"/>
      <c r="BQ484" s="460"/>
      <c r="BR484" s="460"/>
      <c r="BS484" s="460"/>
      <c r="BT484" s="460"/>
      <c r="BU484" s="460"/>
      <c r="BV484" s="460"/>
      <c r="BW484" s="460"/>
      <c r="BX484" s="460"/>
      <c r="BY484" s="460"/>
      <c r="BZ484" s="460"/>
      <c r="CA484" s="460"/>
      <c r="CB484" s="460"/>
      <c r="CC484" s="460"/>
      <c r="CD484" s="460"/>
      <c r="CE484" s="460"/>
      <c r="CF484" s="460"/>
      <c r="CG484" s="460"/>
      <c r="CH484" s="460"/>
      <c r="CI484" s="460"/>
      <c r="CJ484" s="460"/>
      <c r="CK484" s="460"/>
    </row>
    <row r="485" spans="1:89" s="329" customFormat="1" ht="36" customHeight="1" x14ac:dyDescent="0.25">
      <c r="A485" s="329">
        <v>1</v>
      </c>
      <c r="B485" s="39">
        <f>SUBTOTAL(103,$A$16:A485)</f>
        <v>421</v>
      </c>
      <c r="C485" s="33" t="s">
        <v>1108</v>
      </c>
      <c r="D485" s="330">
        <v>1970</v>
      </c>
      <c r="E485" s="330"/>
      <c r="F485" s="331" t="s">
        <v>48</v>
      </c>
      <c r="G485" s="330">
        <v>5</v>
      </c>
      <c r="H485" s="330" t="s">
        <v>1969</v>
      </c>
      <c r="I485" s="38">
        <v>7885.15</v>
      </c>
      <c r="J485" s="38">
        <v>4459.3599999999997</v>
      </c>
      <c r="K485" s="38">
        <v>4459.3599999999997</v>
      </c>
      <c r="L485" s="332">
        <v>224</v>
      </c>
      <c r="M485" s="330" t="s">
        <v>46</v>
      </c>
      <c r="N485" s="330" t="s">
        <v>50</v>
      </c>
      <c r="O485" s="333" t="s">
        <v>2098</v>
      </c>
      <c r="P485" s="38">
        <v>6178941.4499999993</v>
      </c>
      <c r="Q485" s="38">
        <v>0</v>
      </c>
      <c r="R485" s="38">
        <v>0</v>
      </c>
      <c r="S485" s="38">
        <f t="shared" si="90"/>
        <v>6178941.4499999993</v>
      </c>
      <c r="T485" s="38">
        <f t="shared" si="85"/>
        <v>783.61748983849384</v>
      </c>
      <c r="U485" s="38">
        <v>1112.6015695326025</v>
      </c>
      <c r="V485" s="458">
        <f t="shared" si="87"/>
        <v>328.98407969410869</v>
      </c>
      <c r="W485" s="458">
        <f t="shared" si="91"/>
        <v>1108.8195499134449</v>
      </c>
      <c r="X485" s="458">
        <v>0</v>
      </c>
      <c r="Y485" s="459">
        <v>0</v>
      </c>
      <c r="Z485" s="459">
        <v>0</v>
      </c>
      <c r="AA485" s="459">
        <v>0</v>
      </c>
      <c r="AB485" s="459">
        <v>0</v>
      </c>
      <c r="AC485" s="459">
        <v>0</v>
      </c>
      <c r="AD485" s="459">
        <v>0</v>
      </c>
      <c r="AE485" s="459">
        <v>1401.4</v>
      </c>
      <c r="AF485" s="458">
        <f t="shared" si="92"/>
        <v>1108.8195499134449</v>
      </c>
      <c r="AG485" s="459">
        <v>0</v>
      </c>
      <c r="AH485" s="458">
        <v>0</v>
      </c>
      <c r="AI485" s="459">
        <v>0</v>
      </c>
      <c r="AJ485" s="458">
        <v>0</v>
      </c>
      <c r="AK485" s="459">
        <v>0</v>
      </c>
      <c r="AL485" s="459">
        <v>0</v>
      </c>
      <c r="AM485" s="459">
        <v>0</v>
      </c>
      <c r="AN485" s="459"/>
      <c r="AO485" s="459">
        <v>0</v>
      </c>
      <c r="AP485" s="460"/>
      <c r="AQ485" s="460"/>
      <c r="AR485" s="460"/>
      <c r="AS485" s="460"/>
      <c r="AT485" s="460"/>
      <c r="AU485" s="460"/>
      <c r="AV485" s="460"/>
      <c r="AW485" s="460"/>
      <c r="AX485" s="460"/>
      <c r="AY485" s="460"/>
      <c r="AZ485" s="460"/>
      <c r="BA485" s="460"/>
      <c r="BB485" s="460"/>
      <c r="BC485" s="460"/>
      <c r="BD485" s="460"/>
      <c r="BE485" s="460"/>
      <c r="BF485" s="460"/>
      <c r="BG485" s="460"/>
      <c r="BH485" s="460"/>
      <c r="BI485" s="460"/>
      <c r="BJ485" s="460"/>
      <c r="BK485" s="460"/>
      <c r="BL485" s="460"/>
      <c r="BM485" s="460"/>
      <c r="BN485" s="460"/>
      <c r="BO485" s="460"/>
      <c r="BP485" s="460"/>
      <c r="BQ485" s="460"/>
      <c r="BR485" s="460"/>
      <c r="BS485" s="460"/>
      <c r="BT485" s="460"/>
      <c r="BU485" s="460"/>
      <c r="BV485" s="460"/>
      <c r="BW485" s="460"/>
      <c r="BX485" s="460"/>
      <c r="BY485" s="460"/>
      <c r="BZ485" s="460"/>
      <c r="CA485" s="460"/>
      <c r="CB485" s="460"/>
      <c r="CC485" s="460"/>
      <c r="CD485" s="460"/>
      <c r="CE485" s="460"/>
      <c r="CF485" s="460"/>
      <c r="CG485" s="460"/>
      <c r="CH485" s="460"/>
      <c r="CI485" s="460"/>
      <c r="CJ485" s="460"/>
      <c r="CK485" s="460"/>
    </row>
    <row r="486" spans="1:89" s="329" customFormat="1" ht="36" customHeight="1" x14ac:dyDescent="0.25">
      <c r="A486" s="329">
        <v>1</v>
      </c>
      <c r="B486" s="39">
        <f>SUBTOTAL(103,$A$16:A486)</f>
        <v>422</v>
      </c>
      <c r="C486" s="33" t="s">
        <v>1386</v>
      </c>
      <c r="D486" s="330">
        <v>1966</v>
      </c>
      <c r="E486" s="330"/>
      <c r="F486" s="331" t="s">
        <v>48</v>
      </c>
      <c r="G486" s="330">
        <v>4</v>
      </c>
      <c r="H486" s="330" t="s">
        <v>56</v>
      </c>
      <c r="I486" s="38">
        <v>1285.3</v>
      </c>
      <c r="J486" s="38">
        <v>836.8</v>
      </c>
      <c r="K486" s="38">
        <v>836.8</v>
      </c>
      <c r="L486" s="332">
        <v>76</v>
      </c>
      <c r="M486" s="330" t="s">
        <v>46</v>
      </c>
      <c r="N486" s="330" t="s">
        <v>2094</v>
      </c>
      <c r="O486" s="333" t="s">
        <v>2099</v>
      </c>
      <c r="P486" s="38">
        <v>387946.49</v>
      </c>
      <c r="Q486" s="38">
        <v>0</v>
      </c>
      <c r="R486" s="38">
        <v>0</v>
      </c>
      <c r="S486" s="38">
        <f t="shared" si="90"/>
        <v>387946.49</v>
      </c>
      <c r="T486" s="38">
        <f t="shared" si="85"/>
        <v>301.83341632303745</v>
      </c>
      <c r="U486" s="38">
        <v>1325.0673928265776</v>
      </c>
      <c r="V486" s="458">
        <f t="shared" si="87"/>
        <v>1023.2339765035401</v>
      </c>
      <c r="W486" s="458">
        <f t="shared" si="91"/>
        <v>1325.0673928265776</v>
      </c>
      <c r="X486" s="458">
        <v>0</v>
      </c>
      <c r="Y486" s="459">
        <v>0</v>
      </c>
      <c r="Z486" s="459">
        <v>0</v>
      </c>
      <c r="AA486" s="459">
        <v>0</v>
      </c>
      <c r="AB486" s="459">
        <v>0</v>
      </c>
      <c r="AC486" s="459">
        <v>0</v>
      </c>
      <c r="AD486" s="459">
        <v>0</v>
      </c>
      <c r="AE486" s="459">
        <v>0</v>
      </c>
      <c r="AF486" s="458">
        <v>0</v>
      </c>
      <c r="AG486" s="459">
        <v>192</v>
      </c>
      <c r="AH486" s="458">
        <f>8870.36*AG486/I486</f>
        <v>1325.0673928265776</v>
      </c>
      <c r="AI486" s="459">
        <v>0</v>
      </c>
      <c r="AJ486" s="458">
        <v>0</v>
      </c>
      <c r="AK486" s="459">
        <v>0</v>
      </c>
      <c r="AL486" s="459">
        <v>0</v>
      </c>
      <c r="AM486" s="459">
        <v>0</v>
      </c>
      <c r="AN486" s="459"/>
      <c r="AO486" s="459">
        <v>0</v>
      </c>
      <c r="AP486" s="460"/>
      <c r="AQ486" s="460"/>
      <c r="AR486" s="460"/>
      <c r="AS486" s="460"/>
      <c r="AT486" s="460"/>
      <c r="AU486" s="460"/>
      <c r="AV486" s="460"/>
      <c r="AW486" s="460"/>
      <c r="AX486" s="460"/>
      <c r="AY486" s="460"/>
      <c r="AZ486" s="460"/>
      <c r="BA486" s="460"/>
      <c r="BB486" s="460"/>
      <c r="BC486" s="460"/>
      <c r="BD486" s="460"/>
      <c r="BE486" s="460"/>
      <c r="BF486" s="460"/>
      <c r="BG486" s="460"/>
      <c r="BH486" s="460"/>
      <c r="BI486" s="460"/>
      <c r="BJ486" s="460"/>
      <c r="BK486" s="460"/>
      <c r="BL486" s="460"/>
      <c r="BM486" s="460"/>
      <c r="BN486" s="460"/>
      <c r="BO486" s="460"/>
      <c r="BP486" s="460"/>
      <c r="BQ486" s="460"/>
      <c r="BR486" s="460"/>
      <c r="BS486" s="460"/>
      <c r="BT486" s="460"/>
      <c r="BU486" s="460"/>
      <c r="BV486" s="460"/>
      <c r="BW486" s="460"/>
      <c r="BX486" s="460"/>
      <c r="BY486" s="460"/>
      <c r="BZ486" s="460"/>
      <c r="CA486" s="460"/>
      <c r="CB486" s="460"/>
      <c r="CC486" s="460"/>
      <c r="CD486" s="460"/>
      <c r="CE486" s="460"/>
      <c r="CF486" s="460"/>
      <c r="CG486" s="460"/>
      <c r="CH486" s="460"/>
      <c r="CI486" s="460"/>
      <c r="CJ486" s="460"/>
      <c r="CK486" s="460"/>
    </row>
    <row r="487" spans="1:89" s="329" customFormat="1" ht="36" customHeight="1" x14ac:dyDescent="0.25">
      <c r="A487" s="329">
        <v>1</v>
      </c>
      <c r="B487" s="39">
        <f>SUBTOTAL(103,$A$16:A487)</f>
        <v>423</v>
      </c>
      <c r="C487" s="33" t="s">
        <v>1387</v>
      </c>
      <c r="D487" s="330">
        <v>1983</v>
      </c>
      <c r="E487" s="330"/>
      <c r="F487" s="331" t="s">
        <v>48</v>
      </c>
      <c r="G487" s="330">
        <v>5</v>
      </c>
      <c r="H487" s="330" t="s">
        <v>1969</v>
      </c>
      <c r="I487" s="38">
        <v>7249.68</v>
      </c>
      <c r="J487" s="38">
        <v>4525.2</v>
      </c>
      <c r="K487" s="38">
        <v>4525.2</v>
      </c>
      <c r="L487" s="332">
        <v>200</v>
      </c>
      <c r="M487" s="330" t="s">
        <v>46</v>
      </c>
      <c r="N487" s="330" t="s">
        <v>71</v>
      </c>
      <c r="O487" s="333" t="s">
        <v>2100</v>
      </c>
      <c r="P487" s="38">
        <v>1019081.84</v>
      </c>
      <c r="Q487" s="38">
        <v>0</v>
      </c>
      <c r="R487" s="38">
        <v>0</v>
      </c>
      <c r="S487" s="38">
        <f t="shared" si="90"/>
        <v>1019081.84</v>
      </c>
      <c r="T487" s="38">
        <f t="shared" si="85"/>
        <v>140.5692168481919</v>
      </c>
      <c r="U487" s="38">
        <v>3259.66</v>
      </c>
      <c r="V487" s="458">
        <f t="shared" si="87"/>
        <v>3119.090783151808</v>
      </c>
      <c r="W487" s="458">
        <f t="shared" si="91"/>
        <v>3259.66</v>
      </c>
      <c r="X487" s="458">
        <v>0</v>
      </c>
      <c r="Y487" s="459">
        <v>0</v>
      </c>
      <c r="Z487" s="459">
        <v>3259.66</v>
      </c>
      <c r="AA487" s="459">
        <v>0</v>
      </c>
      <c r="AB487" s="459">
        <v>0</v>
      </c>
      <c r="AC487" s="459">
        <v>0</v>
      </c>
      <c r="AD487" s="459">
        <v>0</v>
      </c>
      <c r="AE487" s="459">
        <v>0</v>
      </c>
      <c r="AF487" s="458">
        <v>0</v>
      </c>
      <c r="AG487" s="459">
        <v>0</v>
      </c>
      <c r="AH487" s="458">
        <v>0</v>
      </c>
      <c r="AI487" s="459">
        <v>0</v>
      </c>
      <c r="AJ487" s="458">
        <v>0</v>
      </c>
      <c r="AK487" s="459">
        <v>0</v>
      </c>
      <c r="AL487" s="459">
        <v>0</v>
      </c>
      <c r="AM487" s="459">
        <v>0</v>
      </c>
      <c r="AN487" s="459"/>
      <c r="AO487" s="459">
        <v>0</v>
      </c>
      <c r="AP487" s="460"/>
      <c r="AQ487" s="460"/>
      <c r="AR487" s="460"/>
      <c r="AS487" s="460"/>
      <c r="AT487" s="460"/>
      <c r="AU487" s="460"/>
      <c r="AV487" s="460"/>
      <c r="AW487" s="460"/>
      <c r="AX487" s="460"/>
      <c r="AY487" s="460"/>
      <c r="AZ487" s="460"/>
      <c r="BA487" s="460"/>
      <c r="BB487" s="460"/>
      <c r="BC487" s="460"/>
      <c r="BD487" s="460"/>
      <c r="BE487" s="460"/>
      <c r="BF487" s="460"/>
      <c r="BG487" s="460"/>
      <c r="BH487" s="460"/>
      <c r="BI487" s="460"/>
      <c r="BJ487" s="460"/>
      <c r="BK487" s="460"/>
      <c r="BL487" s="460"/>
      <c r="BM487" s="460"/>
      <c r="BN487" s="460"/>
      <c r="BO487" s="460"/>
      <c r="BP487" s="460"/>
      <c r="BQ487" s="460"/>
      <c r="BR487" s="460"/>
      <c r="BS487" s="460"/>
      <c r="BT487" s="460"/>
      <c r="BU487" s="460"/>
      <c r="BV487" s="460"/>
      <c r="BW487" s="460"/>
      <c r="BX487" s="460"/>
      <c r="BY487" s="460"/>
      <c r="BZ487" s="460"/>
      <c r="CA487" s="460"/>
      <c r="CB487" s="460"/>
      <c r="CC487" s="460"/>
      <c r="CD487" s="460"/>
      <c r="CE487" s="460"/>
      <c r="CF487" s="460"/>
      <c r="CG487" s="460"/>
      <c r="CH487" s="460"/>
      <c r="CI487" s="460"/>
      <c r="CJ487" s="460"/>
      <c r="CK487" s="460"/>
    </row>
    <row r="488" spans="1:89" s="329" customFormat="1" ht="36" customHeight="1" x14ac:dyDescent="0.25">
      <c r="B488" s="33" t="s">
        <v>1388</v>
      </c>
      <c r="C488" s="33"/>
      <c r="D488" s="330" t="s">
        <v>131</v>
      </c>
      <c r="E488" s="330" t="s">
        <v>131</v>
      </c>
      <c r="F488" s="330" t="s">
        <v>131</v>
      </c>
      <c r="G488" s="330" t="s">
        <v>131</v>
      </c>
      <c r="H488" s="330" t="s">
        <v>131</v>
      </c>
      <c r="I488" s="334">
        <f>SUM(I489:I489)</f>
        <v>546.02</v>
      </c>
      <c r="J488" s="334">
        <f>SUM(J489:J489)</f>
        <v>546.02</v>
      </c>
      <c r="K488" s="334">
        <f>SUM(K489:K489)</f>
        <v>546.02</v>
      </c>
      <c r="L488" s="332">
        <f>SUM(L489:L489)</f>
        <v>20</v>
      </c>
      <c r="M488" s="330" t="s">
        <v>131</v>
      </c>
      <c r="N488" s="330" t="s">
        <v>131</v>
      </c>
      <c r="O488" s="333" t="s">
        <v>131</v>
      </c>
      <c r="P488" s="38">
        <v>1499263.62</v>
      </c>
      <c r="Q488" s="38">
        <f>Q489</f>
        <v>0</v>
      </c>
      <c r="R488" s="38">
        <f>R489</f>
        <v>0</v>
      </c>
      <c r="S488" s="38">
        <f>S489</f>
        <v>1499263.62</v>
      </c>
      <c r="T488" s="38">
        <f t="shared" si="85"/>
        <v>2745.8034870517567</v>
      </c>
      <c r="U488" s="38">
        <f>MAX(U489)</f>
        <v>5554.7405829456802</v>
      </c>
      <c r="V488" s="458">
        <f t="shared" si="87"/>
        <v>2808.9370958939235</v>
      </c>
      <c r="W488" s="458"/>
      <c r="X488" s="458"/>
      <c r="Y488" s="459"/>
      <c r="Z488" s="459"/>
      <c r="AA488" s="459"/>
      <c r="AB488" s="459"/>
      <c r="AC488" s="459"/>
      <c r="AD488" s="459"/>
      <c r="AE488" s="459"/>
      <c r="AF488" s="459"/>
      <c r="AG488" s="459"/>
      <c r="AH488" s="459"/>
      <c r="AI488" s="459"/>
      <c r="AJ488" s="459"/>
      <c r="AK488" s="459"/>
      <c r="AL488" s="459"/>
      <c r="AM488" s="459"/>
      <c r="AN488" s="459"/>
      <c r="AO488" s="459"/>
      <c r="AP488" s="460"/>
      <c r="AQ488" s="460"/>
      <c r="AR488" s="460"/>
      <c r="AS488" s="460"/>
      <c r="AT488" s="460"/>
      <c r="AU488" s="460"/>
      <c r="AV488" s="460"/>
      <c r="AW488" s="460"/>
      <c r="AX488" s="460"/>
      <c r="AY488" s="460"/>
      <c r="AZ488" s="460"/>
      <c r="BA488" s="460"/>
      <c r="BB488" s="460"/>
      <c r="BC488" s="460"/>
      <c r="BD488" s="460"/>
      <c r="BE488" s="460"/>
      <c r="BF488" s="460"/>
      <c r="BG488" s="460"/>
      <c r="BH488" s="460"/>
      <c r="BI488" s="460"/>
      <c r="BJ488" s="460"/>
      <c r="BK488" s="460"/>
      <c r="BL488" s="460"/>
      <c r="BM488" s="460"/>
      <c r="BN488" s="460"/>
      <c r="BO488" s="460"/>
      <c r="BP488" s="460"/>
      <c r="BQ488" s="460"/>
      <c r="BR488" s="460"/>
      <c r="BS488" s="460"/>
      <c r="BT488" s="460"/>
      <c r="BU488" s="460"/>
      <c r="BV488" s="460"/>
      <c r="BW488" s="460"/>
      <c r="BX488" s="460"/>
      <c r="BY488" s="460"/>
      <c r="BZ488" s="460"/>
      <c r="CA488" s="460"/>
      <c r="CB488" s="460"/>
      <c r="CC488" s="460"/>
      <c r="CD488" s="460"/>
      <c r="CE488" s="460"/>
      <c r="CF488" s="460"/>
      <c r="CG488" s="460"/>
      <c r="CH488" s="460"/>
      <c r="CI488" s="460"/>
      <c r="CJ488" s="460"/>
      <c r="CK488" s="460"/>
    </row>
    <row r="489" spans="1:89" s="329" customFormat="1" ht="36" customHeight="1" x14ac:dyDescent="0.25">
      <c r="A489" s="329">
        <v>1</v>
      </c>
      <c r="B489" s="39">
        <f>SUBTOTAL(103,$A$16:A489)</f>
        <v>424</v>
      </c>
      <c r="C489" s="33" t="s">
        <v>1110</v>
      </c>
      <c r="D489" s="330">
        <v>1976</v>
      </c>
      <c r="E489" s="330"/>
      <c r="F489" s="331" t="s">
        <v>48</v>
      </c>
      <c r="G489" s="330">
        <v>2</v>
      </c>
      <c r="H489" s="330" t="s">
        <v>56</v>
      </c>
      <c r="I489" s="38">
        <v>546.02</v>
      </c>
      <c r="J489" s="38">
        <v>546.02</v>
      </c>
      <c r="K489" s="38">
        <v>546.02</v>
      </c>
      <c r="L489" s="332">
        <v>20</v>
      </c>
      <c r="M489" s="330" t="s">
        <v>46</v>
      </c>
      <c r="N489" s="330" t="s">
        <v>50</v>
      </c>
      <c r="O489" s="333" t="s">
        <v>2091</v>
      </c>
      <c r="P489" s="38">
        <v>1499263.62</v>
      </c>
      <c r="Q489" s="38">
        <v>0</v>
      </c>
      <c r="R489" s="38">
        <v>0</v>
      </c>
      <c r="S489" s="38">
        <f>P489-Q489-R489</f>
        <v>1499263.62</v>
      </c>
      <c r="T489" s="38">
        <f t="shared" si="85"/>
        <v>2745.8034870517567</v>
      </c>
      <c r="U489" s="38">
        <v>5554.7405829456802</v>
      </c>
      <c r="V489" s="458">
        <f>U489-T489</f>
        <v>2808.9370958939235</v>
      </c>
      <c r="W489" s="458">
        <f>X489+Y489+Z489+AA489+AB489+AD489+AF489+AH489+AJ489+AL489+AN489+AO489</f>
        <v>5535.8585874143801</v>
      </c>
      <c r="X489" s="458">
        <v>0</v>
      </c>
      <c r="Y489" s="459">
        <v>0</v>
      </c>
      <c r="Z489" s="459">
        <v>0</v>
      </c>
      <c r="AA489" s="459">
        <v>0</v>
      </c>
      <c r="AB489" s="459">
        <v>0</v>
      </c>
      <c r="AC489" s="459">
        <v>0</v>
      </c>
      <c r="AD489" s="459">
        <v>0</v>
      </c>
      <c r="AE489" s="459">
        <v>484.49</v>
      </c>
      <c r="AF489" s="458">
        <f>6238.91*AE489/I489</f>
        <v>5535.8585874143801</v>
      </c>
      <c r="AG489" s="459">
        <v>0</v>
      </c>
      <c r="AH489" s="458">
        <v>0</v>
      </c>
      <c r="AI489" s="459">
        <v>0</v>
      </c>
      <c r="AJ489" s="458">
        <v>0</v>
      </c>
      <c r="AK489" s="459">
        <v>0</v>
      </c>
      <c r="AL489" s="459">
        <v>0</v>
      </c>
      <c r="AM489" s="459">
        <v>0</v>
      </c>
      <c r="AN489" s="459"/>
      <c r="AO489" s="459">
        <v>0</v>
      </c>
      <c r="AP489" s="460"/>
      <c r="AQ489" s="460"/>
      <c r="AR489" s="460"/>
      <c r="AS489" s="460"/>
      <c r="AT489" s="460"/>
      <c r="AU489" s="460"/>
      <c r="AV489" s="460"/>
      <c r="AW489" s="460"/>
      <c r="AX489" s="460"/>
      <c r="AY489" s="460"/>
      <c r="AZ489" s="460"/>
      <c r="BA489" s="460"/>
      <c r="BB489" s="460"/>
      <c r="BC489" s="460"/>
      <c r="BD489" s="460"/>
      <c r="BE489" s="460"/>
      <c r="BF489" s="460"/>
      <c r="BG489" s="460"/>
      <c r="BH489" s="460"/>
      <c r="BI489" s="460"/>
      <c r="BJ489" s="460"/>
      <c r="BK489" s="460"/>
      <c r="BL489" s="460"/>
      <c r="BM489" s="460"/>
      <c r="BN489" s="460"/>
      <c r="BO489" s="460"/>
      <c r="BP489" s="460"/>
      <c r="BQ489" s="460"/>
      <c r="BR489" s="460"/>
      <c r="BS489" s="460"/>
      <c r="BT489" s="460"/>
      <c r="BU489" s="460"/>
      <c r="BV489" s="460"/>
      <c r="BW489" s="460"/>
      <c r="BX489" s="460"/>
      <c r="BY489" s="460"/>
      <c r="BZ489" s="460"/>
      <c r="CA489" s="460"/>
      <c r="CB489" s="460"/>
      <c r="CC489" s="460"/>
      <c r="CD489" s="460"/>
      <c r="CE489" s="460"/>
      <c r="CF489" s="460"/>
      <c r="CG489" s="460"/>
      <c r="CH489" s="460"/>
      <c r="CI489" s="460"/>
      <c r="CJ489" s="460"/>
      <c r="CK489" s="460"/>
    </row>
    <row r="490" spans="1:89" s="329" customFormat="1" ht="36" customHeight="1" x14ac:dyDescent="0.25">
      <c r="B490" s="33" t="s">
        <v>212</v>
      </c>
      <c r="C490" s="33"/>
      <c r="D490" s="330" t="s">
        <v>131</v>
      </c>
      <c r="E490" s="330" t="s">
        <v>131</v>
      </c>
      <c r="F490" s="330" t="s">
        <v>131</v>
      </c>
      <c r="G490" s="330" t="s">
        <v>131</v>
      </c>
      <c r="H490" s="330" t="s">
        <v>131</v>
      </c>
      <c r="I490" s="334">
        <f>I491</f>
        <v>1598.9</v>
      </c>
      <c r="J490" s="334">
        <f>J491</f>
        <v>874</v>
      </c>
      <c r="K490" s="334">
        <f>K491</f>
        <v>874</v>
      </c>
      <c r="L490" s="332">
        <f>L491</f>
        <v>38</v>
      </c>
      <c r="M490" s="330" t="s">
        <v>131</v>
      </c>
      <c r="N490" s="330" t="s">
        <v>131</v>
      </c>
      <c r="O490" s="333" t="s">
        <v>131</v>
      </c>
      <c r="P490" s="38">
        <v>474650.14999999997</v>
      </c>
      <c r="Q490" s="38">
        <f>Q491</f>
        <v>0</v>
      </c>
      <c r="R490" s="38">
        <f>R491</f>
        <v>0</v>
      </c>
      <c r="S490" s="38">
        <f>S491</f>
        <v>474650.14999999997</v>
      </c>
      <c r="T490" s="38">
        <f t="shared" si="85"/>
        <v>296.8604352992682</v>
      </c>
      <c r="U490" s="38">
        <f>MAX(U491)</f>
        <v>555.05949715429358</v>
      </c>
      <c r="V490" s="458">
        <f t="shared" si="87"/>
        <v>258.19906185502538</v>
      </c>
      <c r="W490" s="458"/>
      <c r="X490" s="458"/>
      <c r="Y490" s="459"/>
      <c r="Z490" s="459"/>
      <c r="AA490" s="459"/>
      <c r="AB490" s="459"/>
      <c r="AC490" s="459"/>
      <c r="AD490" s="459"/>
      <c r="AE490" s="459"/>
      <c r="AF490" s="459"/>
      <c r="AG490" s="459"/>
      <c r="AH490" s="459"/>
      <c r="AI490" s="459"/>
      <c r="AJ490" s="459"/>
      <c r="AK490" s="459"/>
      <c r="AL490" s="459"/>
      <c r="AM490" s="459"/>
      <c r="AN490" s="459"/>
      <c r="AO490" s="459"/>
      <c r="AP490" s="460"/>
      <c r="AQ490" s="460"/>
      <c r="AR490" s="460"/>
      <c r="AS490" s="460"/>
      <c r="AT490" s="460"/>
      <c r="AU490" s="460"/>
      <c r="AV490" s="460"/>
      <c r="AW490" s="460"/>
      <c r="AX490" s="460"/>
      <c r="AY490" s="460"/>
      <c r="AZ490" s="460"/>
      <c r="BA490" s="460"/>
      <c r="BB490" s="460"/>
      <c r="BC490" s="460"/>
      <c r="BD490" s="460"/>
      <c r="BE490" s="460"/>
      <c r="BF490" s="460"/>
      <c r="BG490" s="460"/>
      <c r="BH490" s="460"/>
      <c r="BI490" s="460"/>
      <c r="BJ490" s="460"/>
      <c r="BK490" s="460"/>
      <c r="BL490" s="460"/>
      <c r="BM490" s="460"/>
      <c r="BN490" s="460"/>
      <c r="BO490" s="460"/>
      <c r="BP490" s="460"/>
      <c r="BQ490" s="460"/>
      <c r="BR490" s="460"/>
      <c r="BS490" s="460"/>
      <c r="BT490" s="460"/>
      <c r="BU490" s="460"/>
      <c r="BV490" s="460"/>
      <c r="BW490" s="460"/>
      <c r="BX490" s="460"/>
      <c r="BY490" s="460"/>
      <c r="BZ490" s="460"/>
      <c r="CA490" s="460"/>
      <c r="CB490" s="460"/>
      <c r="CC490" s="460"/>
      <c r="CD490" s="460"/>
      <c r="CE490" s="460"/>
      <c r="CF490" s="460"/>
      <c r="CG490" s="460"/>
      <c r="CH490" s="460"/>
      <c r="CI490" s="460"/>
      <c r="CJ490" s="460"/>
      <c r="CK490" s="460"/>
    </row>
    <row r="491" spans="1:89" s="329" customFormat="1" ht="36" customHeight="1" x14ac:dyDescent="0.25">
      <c r="A491" s="329">
        <v>1</v>
      </c>
      <c r="B491" s="39">
        <f>SUBTOTAL(103,$A$16:A491)</f>
        <v>425</v>
      </c>
      <c r="C491" s="33" t="s">
        <v>200</v>
      </c>
      <c r="D491" s="330">
        <v>1974</v>
      </c>
      <c r="E491" s="330"/>
      <c r="F491" s="331" t="s">
        <v>48</v>
      </c>
      <c r="G491" s="330">
        <v>2</v>
      </c>
      <c r="H491" s="330" t="s">
        <v>61</v>
      </c>
      <c r="I491" s="38">
        <v>1598.9</v>
      </c>
      <c r="J491" s="38">
        <v>874</v>
      </c>
      <c r="K491" s="38">
        <v>874</v>
      </c>
      <c r="L491" s="332">
        <v>38</v>
      </c>
      <c r="M491" s="330" t="s">
        <v>46</v>
      </c>
      <c r="N491" s="330" t="s">
        <v>50</v>
      </c>
      <c r="O491" s="333" t="s">
        <v>55</v>
      </c>
      <c r="P491" s="38">
        <v>474650.14999999997</v>
      </c>
      <c r="Q491" s="38">
        <v>0</v>
      </c>
      <c r="R491" s="38">
        <v>0</v>
      </c>
      <c r="S491" s="38">
        <f>P491-Q491-R491</f>
        <v>474650.14999999997</v>
      </c>
      <c r="T491" s="38">
        <f t="shared" si="85"/>
        <v>296.8604352992682</v>
      </c>
      <c r="U491" s="38">
        <v>555.05949715429358</v>
      </c>
      <c r="V491" s="458">
        <f>U491-T491</f>
        <v>258.19906185502538</v>
      </c>
      <c r="W491" s="458">
        <f>X491+Y491+Z491+AA491+AB491+AD491+AF491+AH491+AJ491+AL491+AN491+AO491</f>
        <v>555.05949715429358</v>
      </c>
      <c r="X491" s="458">
        <v>0</v>
      </c>
      <c r="Y491" s="459">
        <v>0</v>
      </c>
      <c r="Z491" s="459">
        <v>0</v>
      </c>
      <c r="AA491" s="459">
        <v>0</v>
      </c>
      <c r="AB491" s="459">
        <v>0</v>
      </c>
      <c r="AC491" s="459">
        <v>0</v>
      </c>
      <c r="AD491" s="459">
        <v>0</v>
      </c>
      <c r="AE491" s="459">
        <v>0</v>
      </c>
      <c r="AF491" s="458">
        <v>0</v>
      </c>
      <c r="AG491" s="459">
        <v>0</v>
      </c>
      <c r="AH491" s="458">
        <v>0</v>
      </c>
      <c r="AI491" s="459">
        <v>119.3</v>
      </c>
      <c r="AJ491" s="458">
        <f>7439.1*AI491/I491</f>
        <v>555.05949715429358</v>
      </c>
      <c r="AK491" s="459">
        <v>0</v>
      </c>
      <c r="AL491" s="459">
        <v>0</v>
      </c>
      <c r="AM491" s="459">
        <v>0</v>
      </c>
      <c r="AN491" s="459"/>
      <c r="AO491" s="459">
        <v>0</v>
      </c>
      <c r="AP491" s="460"/>
      <c r="AQ491" s="460"/>
      <c r="AR491" s="460"/>
      <c r="AS491" s="460"/>
      <c r="AT491" s="460"/>
      <c r="AU491" s="460"/>
      <c r="AV491" s="460"/>
      <c r="AW491" s="460"/>
      <c r="AX491" s="460"/>
      <c r="AY491" s="460"/>
      <c r="AZ491" s="460"/>
      <c r="BA491" s="460"/>
      <c r="BB491" s="460"/>
      <c r="BC491" s="460"/>
      <c r="BD491" s="460"/>
      <c r="BE491" s="460"/>
      <c r="BF491" s="460"/>
      <c r="BG491" s="460"/>
      <c r="BH491" s="460"/>
      <c r="BI491" s="460"/>
      <c r="BJ491" s="460"/>
      <c r="BK491" s="460"/>
      <c r="BL491" s="460"/>
      <c r="BM491" s="460"/>
      <c r="BN491" s="460"/>
      <c r="BO491" s="460"/>
      <c r="BP491" s="460"/>
      <c r="BQ491" s="460"/>
      <c r="BR491" s="460"/>
      <c r="BS491" s="460"/>
      <c r="BT491" s="460"/>
      <c r="BU491" s="460"/>
      <c r="BV491" s="460"/>
      <c r="BW491" s="460"/>
      <c r="BX491" s="460"/>
      <c r="BY491" s="460"/>
      <c r="BZ491" s="460"/>
      <c r="CA491" s="460"/>
      <c r="CB491" s="460"/>
      <c r="CC491" s="460"/>
      <c r="CD491" s="460"/>
      <c r="CE491" s="460"/>
      <c r="CF491" s="460"/>
      <c r="CG491" s="460"/>
      <c r="CH491" s="460"/>
      <c r="CI491" s="460"/>
      <c r="CJ491" s="460"/>
      <c r="CK491" s="460"/>
    </row>
    <row r="492" spans="1:89" s="329" customFormat="1" ht="36" customHeight="1" x14ac:dyDescent="0.25">
      <c r="B492" s="33" t="s">
        <v>127</v>
      </c>
      <c r="C492" s="462"/>
      <c r="D492" s="330" t="s">
        <v>131</v>
      </c>
      <c r="E492" s="330" t="s">
        <v>131</v>
      </c>
      <c r="F492" s="330" t="s">
        <v>131</v>
      </c>
      <c r="G492" s="330" t="s">
        <v>131</v>
      </c>
      <c r="H492" s="330" t="s">
        <v>131</v>
      </c>
      <c r="I492" s="334">
        <f>SUM(I493:I496)</f>
        <v>9103.2800000000007</v>
      </c>
      <c r="J492" s="334">
        <f>SUM(J493:J496)</f>
        <v>6597.92</v>
      </c>
      <c r="K492" s="334">
        <f>SUM(K493:K496)</f>
        <v>6581.6</v>
      </c>
      <c r="L492" s="332">
        <f>SUM(L493:L496)</f>
        <v>365</v>
      </c>
      <c r="M492" s="330" t="s">
        <v>131</v>
      </c>
      <c r="N492" s="330" t="s">
        <v>131</v>
      </c>
      <c r="O492" s="333" t="s">
        <v>131</v>
      </c>
      <c r="P492" s="38">
        <v>3392825.56</v>
      </c>
      <c r="Q492" s="38">
        <f>SUM(Q493:Q496)</f>
        <v>0</v>
      </c>
      <c r="R492" s="38">
        <f>SUM(R493:R496)</f>
        <v>0</v>
      </c>
      <c r="S492" s="38">
        <f>SUM(S493:S496)</f>
        <v>3392825.56</v>
      </c>
      <c r="T492" s="38">
        <f t="shared" si="85"/>
        <v>372.70363649146242</v>
      </c>
      <c r="U492" s="38">
        <f>MAX(U493:U496)</f>
        <v>845.95975666199149</v>
      </c>
      <c r="V492" s="458">
        <f t="shared" si="87"/>
        <v>473.25612017052907</v>
      </c>
      <c r="W492" s="458"/>
      <c r="X492" s="458"/>
      <c r="Y492" s="459"/>
      <c r="Z492" s="459"/>
      <c r="AA492" s="459"/>
      <c r="AB492" s="459"/>
      <c r="AC492" s="459"/>
      <c r="AD492" s="459"/>
      <c r="AE492" s="459"/>
      <c r="AF492" s="459"/>
      <c r="AG492" s="459"/>
      <c r="AH492" s="459"/>
      <c r="AI492" s="459"/>
      <c r="AJ492" s="459"/>
      <c r="AK492" s="459"/>
      <c r="AL492" s="459"/>
      <c r="AM492" s="459"/>
      <c r="AN492" s="459"/>
      <c r="AO492" s="459"/>
      <c r="AP492" s="460"/>
      <c r="AQ492" s="460"/>
      <c r="AR492" s="460"/>
      <c r="AS492" s="460"/>
      <c r="AT492" s="460"/>
      <c r="AU492" s="460"/>
      <c r="AV492" s="460"/>
      <c r="AW492" s="460"/>
      <c r="AX492" s="460"/>
      <c r="AY492" s="460"/>
      <c r="AZ492" s="460"/>
      <c r="BA492" s="460"/>
      <c r="BB492" s="460"/>
      <c r="BC492" s="460"/>
      <c r="BD492" s="460"/>
      <c r="BE492" s="460"/>
      <c r="BF492" s="460"/>
      <c r="BG492" s="460"/>
      <c r="BH492" s="460"/>
      <c r="BI492" s="460"/>
      <c r="BJ492" s="460"/>
      <c r="BK492" s="460"/>
      <c r="BL492" s="460"/>
      <c r="BM492" s="460"/>
      <c r="BN492" s="460"/>
      <c r="BO492" s="460"/>
      <c r="BP492" s="460"/>
      <c r="BQ492" s="460"/>
      <c r="BR492" s="460"/>
      <c r="BS492" s="460"/>
      <c r="BT492" s="460"/>
      <c r="BU492" s="460"/>
      <c r="BV492" s="460"/>
      <c r="BW492" s="460"/>
      <c r="BX492" s="460"/>
      <c r="BY492" s="460"/>
      <c r="BZ492" s="460"/>
      <c r="CA492" s="460"/>
      <c r="CB492" s="460"/>
      <c r="CC492" s="460"/>
      <c r="CD492" s="460"/>
      <c r="CE492" s="460"/>
      <c r="CF492" s="460"/>
      <c r="CG492" s="460"/>
      <c r="CH492" s="460"/>
      <c r="CI492" s="460"/>
      <c r="CJ492" s="460"/>
      <c r="CK492" s="460"/>
    </row>
    <row r="493" spans="1:89" s="329" customFormat="1" ht="36" customHeight="1" x14ac:dyDescent="0.25">
      <c r="A493" s="329">
        <v>1</v>
      </c>
      <c r="B493" s="39">
        <f>SUBTOTAL(103,$A$16:A493)</f>
        <v>426</v>
      </c>
      <c r="C493" s="33" t="s">
        <v>1389</v>
      </c>
      <c r="D493" s="330">
        <v>1978</v>
      </c>
      <c r="E493" s="330"/>
      <c r="F493" s="331" t="s">
        <v>63</v>
      </c>
      <c r="G493" s="330">
        <v>3</v>
      </c>
      <c r="H493" s="330" t="s">
        <v>1977</v>
      </c>
      <c r="I493" s="334">
        <v>3214.48</v>
      </c>
      <c r="J493" s="334">
        <v>1869.92</v>
      </c>
      <c r="K493" s="334">
        <v>1853.6</v>
      </c>
      <c r="L493" s="332">
        <v>124</v>
      </c>
      <c r="M493" s="330" t="s">
        <v>46</v>
      </c>
      <c r="N493" s="330" t="s">
        <v>47</v>
      </c>
      <c r="O493" s="333" t="s">
        <v>49</v>
      </c>
      <c r="P493" s="38">
        <v>837346.34</v>
      </c>
      <c r="Q493" s="38">
        <v>0</v>
      </c>
      <c r="R493" s="38">
        <v>0</v>
      </c>
      <c r="S493" s="38">
        <f>P493-Q493-R493</f>
        <v>837346.34</v>
      </c>
      <c r="T493" s="38">
        <f t="shared" si="85"/>
        <v>260.49200492770211</v>
      </c>
      <c r="U493" s="38">
        <v>377.42490916104623</v>
      </c>
      <c r="V493" s="458">
        <f t="shared" si="87"/>
        <v>116.93290423334412</v>
      </c>
      <c r="W493" s="458">
        <f t="shared" ref="W493:W496" si="93">X493+Y493+Z493+AA493+AB493+AD493+AF493+AH493+AJ493+AL493+AN493+AO493</f>
        <v>376.14194457579458</v>
      </c>
      <c r="X493" s="458">
        <v>0</v>
      </c>
      <c r="Y493" s="459">
        <v>0</v>
      </c>
      <c r="Z493" s="459">
        <v>0</v>
      </c>
      <c r="AA493" s="459">
        <v>0</v>
      </c>
      <c r="AB493" s="459">
        <v>0</v>
      </c>
      <c r="AC493" s="459">
        <v>0</v>
      </c>
      <c r="AD493" s="459">
        <v>0</v>
      </c>
      <c r="AE493" s="459">
        <v>193.8</v>
      </c>
      <c r="AF493" s="458">
        <f>6238.91*AE493/I493</f>
        <v>376.14194457579458</v>
      </c>
      <c r="AG493" s="459">
        <v>0</v>
      </c>
      <c r="AH493" s="458">
        <v>0</v>
      </c>
      <c r="AI493" s="459">
        <v>0</v>
      </c>
      <c r="AJ493" s="458">
        <v>0</v>
      </c>
      <c r="AK493" s="459">
        <v>0</v>
      </c>
      <c r="AL493" s="459">
        <v>0</v>
      </c>
      <c r="AM493" s="459">
        <v>0</v>
      </c>
      <c r="AN493" s="459"/>
      <c r="AO493" s="459">
        <v>0</v>
      </c>
      <c r="AP493" s="460"/>
      <c r="AQ493" s="460"/>
      <c r="AR493" s="460"/>
      <c r="AS493" s="460"/>
      <c r="AT493" s="460"/>
      <c r="AU493" s="460"/>
      <c r="AV493" s="460"/>
      <c r="AW493" s="460"/>
      <c r="AX493" s="460"/>
      <c r="AY493" s="460"/>
      <c r="AZ493" s="460"/>
      <c r="BA493" s="460"/>
      <c r="BB493" s="460"/>
      <c r="BC493" s="460"/>
      <c r="BD493" s="460"/>
      <c r="BE493" s="460"/>
      <c r="BF493" s="460"/>
      <c r="BG493" s="460"/>
      <c r="BH493" s="460"/>
      <c r="BI493" s="460"/>
      <c r="BJ493" s="460"/>
      <c r="BK493" s="460"/>
      <c r="BL493" s="460"/>
      <c r="BM493" s="460"/>
      <c r="BN493" s="460"/>
      <c r="BO493" s="460"/>
      <c r="BP493" s="460"/>
      <c r="BQ493" s="460"/>
      <c r="BR493" s="460"/>
      <c r="BS493" s="460"/>
      <c r="BT493" s="460"/>
      <c r="BU493" s="460"/>
      <c r="BV493" s="460"/>
      <c r="BW493" s="460"/>
      <c r="BX493" s="460"/>
      <c r="BY493" s="460"/>
      <c r="BZ493" s="460"/>
      <c r="CA493" s="460"/>
      <c r="CB493" s="460"/>
      <c r="CC493" s="460"/>
      <c r="CD493" s="460"/>
      <c r="CE493" s="460"/>
      <c r="CF493" s="460"/>
      <c r="CG493" s="460"/>
      <c r="CH493" s="460"/>
      <c r="CI493" s="460"/>
      <c r="CJ493" s="460"/>
      <c r="CK493" s="460"/>
    </row>
    <row r="494" spans="1:89" s="329" customFormat="1" ht="36" customHeight="1" x14ac:dyDescent="0.25">
      <c r="A494" s="329">
        <v>1</v>
      </c>
      <c r="B494" s="39">
        <f>SUBTOTAL(103,$A$16:A494)</f>
        <v>427</v>
      </c>
      <c r="C494" s="33" t="s">
        <v>1390</v>
      </c>
      <c r="D494" s="330">
        <v>1980</v>
      </c>
      <c r="E494" s="330"/>
      <c r="F494" s="331" t="s">
        <v>63</v>
      </c>
      <c r="G494" s="330">
        <v>5</v>
      </c>
      <c r="H494" s="330" t="s">
        <v>56</v>
      </c>
      <c r="I494" s="334">
        <v>2143.8000000000002</v>
      </c>
      <c r="J494" s="334">
        <v>2143.8000000000002</v>
      </c>
      <c r="K494" s="334">
        <v>2143.8000000000002</v>
      </c>
      <c r="L494" s="332">
        <v>95</v>
      </c>
      <c r="M494" s="330" t="s">
        <v>46</v>
      </c>
      <c r="N494" s="330" t="s">
        <v>47</v>
      </c>
      <c r="O494" s="333" t="s">
        <v>49</v>
      </c>
      <c r="P494" s="38">
        <v>848636.41</v>
      </c>
      <c r="Q494" s="38">
        <v>0</v>
      </c>
      <c r="R494" s="38">
        <v>0</v>
      </c>
      <c r="S494" s="38">
        <f>P494-Q494-R494</f>
        <v>848636.41</v>
      </c>
      <c r="T494" s="38">
        <f t="shared" si="85"/>
        <v>395.85614796156358</v>
      </c>
      <c r="U494" s="38">
        <v>633.75736342009509</v>
      </c>
      <c r="V494" s="458">
        <f t="shared" si="87"/>
        <v>237.90121545853151</v>
      </c>
      <c r="W494" s="458">
        <f t="shared" si="93"/>
        <v>631.60305872749325</v>
      </c>
      <c r="X494" s="458">
        <v>0</v>
      </c>
      <c r="Y494" s="459">
        <v>0</v>
      </c>
      <c r="Z494" s="459">
        <v>0</v>
      </c>
      <c r="AA494" s="459">
        <v>0</v>
      </c>
      <c r="AB494" s="459">
        <v>0</v>
      </c>
      <c r="AC494" s="459">
        <v>0</v>
      </c>
      <c r="AD494" s="459">
        <v>0</v>
      </c>
      <c r="AE494" s="459">
        <v>217.03</v>
      </c>
      <c r="AF494" s="458">
        <f>6238.91*AE494/I494</f>
        <v>631.60305872749325</v>
      </c>
      <c r="AG494" s="459">
        <v>0</v>
      </c>
      <c r="AH494" s="458">
        <v>0</v>
      </c>
      <c r="AI494" s="459">
        <v>0</v>
      </c>
      <c r="AJ494" s="458">
        <v>0</v>
      </c>
      <c r="AK494" s="459">
        <v>0</v>
      </c>
      <c r="AL494" s="459">
        <v>0</v>
      </c>
      <c r="AM494" s="459">
        <v>0</v>
      </c>
      <c r="AN494" s="459"/>
      <c r="AO494" s="459">
        <v>0</v>
      </c>
      <c r="AP494" s="460"/>
      <c r="AQ494" s="460"/>
      <c r="AR494" s="460"/>
      <c r="AS494" s="460"/>
      <c r="AT494" s="460"/>
      <c r="AU494" s="460"/>
      <c r="AV494" s="460"/>
      <c r="AW494" s="460"/>
      <c r="AX494" s="460"/>
      <c r="AY494" s="460"/>
      <c r="AZ494" s="460"/>
      <c r="BA494" s="460"/>
      <c r="BB494" s="460"/>
      <c r="BC494" s="460"/>
      <c r="BD494" s="460"/>
      <c r="BE494" s="460"/>
      <c r="BF494" s="460"/>
      <c r="BG494" s="460"/>
      <c r="BH494" s="460"/>
      <c r="BI494" s="460"/>
      <c r="BJ494" s="460"/>
      <c r="BK494" s="460"/>
      <c r="BL494" s="460"/>
      <c r="BM494" s="460"/>
      <c r="BN494" s="460"/>
      <c r="BO494" s="460"/>
      <c r="BP494" s="460"/>
      <c r="BQ494" s="460"/>
      <c r="BR494" s="460"/>
      <c r="BS494" s="460"/>
      <c r="BT494" s="460"/>
      <c r="BU494" s="460"/>
      <c r="BV494" s="460"/>
      <c r="BW494" s="460"/>
      <c r="BX494" s="460"/>
      <c r="BY494" s="460"/>
      <c r="BZ494" s="460"/>
      <c r="CA494" s="460"/>
      <c r="CB494" s="460"/>
      <c r="CC494" s="460"/>
      <c r="CD494" s="460"/>
      <c r="CE494" s="460"/>
      <c r="CF494" s="460"/>
      <c r="CG494" s="460"/>
      <c r="CH494" s="460"/>
      <c r="CI494" s="460"/>
      <c r="CJ494" s="460"/>
      <c r="CK494" s="460"/>
    </row>
    <row r="495" spans="1:89" s="329" customFormat="1" ht="36" customHeight="1" x14ac:dyDescent="0.25">
      <c r="A495" s="329">
        <v>1</v>
      </c>
      <c r="B495" s="39">
        <f>SUBTOTAL(103,$A$16:A495)</f>
        <v>428</v>
      </c>
      <c r="C495" s="33" t="s">
        <v>393</v>
      </c>
      <c r="D495" s="330">
        <v>1982</v>
      </c>
      <c r="E495" s="330"/>
      <c r="F495" s="331" t="s">
        <v>63</v>
      </c>
      <c r="G495" s="330">
        <v>5</v>
      </c>
      <c r="H495" s="330" t="s">
        <v>61</v>
      </c>
      <c r="I495" s="334">
        <v>2319</v>
      </c>
      <c r="J495" s="334">
        <v>1158.2</v>
      </c>
      <c r="K495" s="334">
        <v>1158.2</v>
      </c>
      <c r="L495" s="332">
        <v>93</v>
      </c>
      <c r="M495" s="330" t="s">
        <v>46</v>
      </c>
      <c r="N495" s="330" t="s">
        <v>47</v>
      </c>
      <c r="O495" s="333" t="s">
        <v>49</v>
      </c>
      <c r="P495" s="38">
        <v>854226.54</v>
      </c>
      <c r="Q495" s="38">
        <v>0</v>
      </c>
      <c r="R495" s="38">
        <v>0</v>
      </c>
      <c r="S495" s="38">
        <f>P495-Q495-R495</f>
        <v>854226.54</v>
      </c>
      <c r="T495" s="38">
        <f t="shared" si="85"/>
        <v>368.35987063389393</v>
      </c>
      <c r="U495" s="38">
        <v>521.54752393272952</v>
      </c>
      <c r="V495" s="458">
        <f t="shared" si="87"/>
        <v>153.18765329883558</v>
      </c>
      <c r="W495" s="458">
        <f t="shared" si="93"/>
        <v>581.51806662354466</v>
      </c>
      <c r="X495" s="458">
        <v>0</v>
      </c>
      <c r="Y495" s="459">
        <v>0</v>
      </c>
      <c r="Z495" s="459">
        <v>0</v>
      </c>
      <c r="AA495" s="459">
        <v>0</v>
      </c>
      <c r="AB495" s="459">
        <v>0</v>
      </c>
      <c r="AC495" s="459">
        <v>0</v>
      </c>
      <c r="AD495" s="459">
        <v>0</v>
      </c>
      <c r="AE495" s="459">
        <v>216.15</v>
      </c>
      <c r="AF495" s="458">
        <f>6238.91*AE495/I495</f>
        <v>581.51806662354466</v>
      </c>
      <c r="AG495" s="459">
        <v>0</v>
      </c>
      <c r="AH495" s="458">
        <v>0</v>
      </c>
      <c r="AI495" s="459">
        <v>0</v>
      </c>
      <c r="AJ495" s="458">
        <v>0</v>
      </c>
      <c r="AK495" s="459">
        <v>0</v>
      </c>
      <c r="AL495" s="459">
        <v>0</v>
      </c>
      <c r="AM495" s="459">
        <v>0</v>
      </c>
      <c r="AN495" s="459"/>
      <c r="AO495" s="459">
        <v>0</v>
      </c>
      <c r="AP495" s="460"/>
      <c r="AQ495" s="460"/>
      <c r="AR495" s="460"/>
      <c r="AS495" s="460"/>
      <c r="AT495" s="460"/>
      <c r="AU495" s="460"/>
      <c r="AV495" s="460"/>
      <c r="AW495" s="460"/>
      <c r="AX495" s="460"/>
      <c r="AY495" s="460"/>
      <c r="AZ495" s="460"/>
      <c r="BA495" s="460"/>
      <c r="BB495" s="460"/>
      <c r="BC495" s="460"/>
      <c r="BD495" s="460"/>
      <c r="BE495" s="460"/>
      <c r="BF495" s="460"/>
      <c r="BG495" s="460"/>
      <c r="BH495" s="460"/>
      <c r="BI495" s="460"/>
      <c r="BJ495" s="460"/>
      <c r="BK495" s="460"/>
      <c r="BL495" s="460"/>
      <c r="BM495" s="460"/>
      <c r="BN495" s="460"/>
      <c r="BO495" s="460"/>
      <c r="BP495" s="460"/>
      <c r="BQ495" s="460"/>
      <c r="BR495" s="460"/>
      <c r="BS495" s="460"/>
      <c r="BT495" s="460"/>
      <c r="BU495" s="460"/>
      <c r="BV495" s="460"/>
      <c r="BW495" s="460"/>
      <c r="BX495" s="460"/>
      <c r="BY495" s="460"/>
      <c r="BZ495" s="460"/>
      <c r="CA495" s="460"/>
      <c r="CB495" s="460"/>
      <c r="CC495" s="460"/>
      <c r="CD495" s="460"/>
      <c r="CE495" s="460"/>
      <c r="CF495" s="460"/>
      <c r="CG495" s="460"/>
      <c r="CH495" s="460"/>
      <c r="CI495" s="460"/>
      <c r="CJ495" s="460"/>
      <c r="CK495" s="460"/>
    </row>
    <row r="496" spans="1:89" s="329" customFormat="1" ht="36" customHeight="1" x14ac:dyDescent="0.25">
      <c r="A496" s="329">
        <v>1</v>
      </c>
      <c r="B496" s="39">
        <f>SUBTOTAL(103,$A$16:A496)</f>
        <v>429</v>
      </c>
      <c r="C496" s="33" t="s">
        <v>1391</v>
      </c>
      <c r="D496" s="330">
        <v>1983</v>
      </c>
      <c r="E496" s="330"/>
      <c r="F496" s="331" t="s">
        <v>63</v>
      </c>
      <c r="G496" s="330">
        <v>5</v>
      </c>
      <c r="H496" s="330" t="s">
        <v>56</v>
      </c>
      <c r="I496" s="334">
        <v>1426</v>
      </c>
      <c r="J496" s="334">
        <v>1426</v>
      </c>
      <c r="K496" s="334">
        <v>1426</v>
      </c>
      <c r="L496" s="332">
        <v>53</v>
      </c>
      <c r="M496" s="330" t="s">
        <v>46</v>
      </c>
      <c r="N496" s="330" t="s">
        <v>47</v>
      </c>
      <c r="O496" s="333" t="s">
        <v>49</v>
      </c>
      <c r="P496" s="38">
        <v>852616.27</v>
      </c>
      <c r="Q496" s="38">
        <v>0</v>
      </c>
      <c r="R496" s="38">
        <v>0</v>
      </c>
      <c r="S496" s="38">
        <f>P496-Q496-R496</f>
        <v>852616.27</v>
      </c>
      <c r="T496" s="38">
        <f t="shared" si="85"/>
        <v>597.90762272089762</v>
      </c>
      <c r="U496" s="38">
        <v>845.95975666199149</v>
      </c>
      <c r="V496" s="458">
        <f t="shared" si="87"/>
        <v>248.05213394109387</v>
      </c>
      <c r="W496" s="458">
        <f t="shared" si="93"/>
        <v>942.9679328892006</v>
      </c>
      <c r="X496" s="458">
        <v>0</v>
      </c>
      <c r="Y496" s="459">
        <v>0</v>
      </c>
      <c r="Z496" s="459">
        <v>0</v>
      </c>
      <c r="AA496" s="459">
        <v>0</v>
      </c>
      <c r="AB496" s="459">
        <v>0</v>
      </c>
      <c r="AC496" s="459">
        <v>0</v>
      </c>
      <c r="AD496" s="459">
        <v>0</v>
      </c>
      <c r="AE496" s="459">
        <v>215.53</v>
      </c>
      <c r="AF496" s="458">
        <f>6238.91*AE496/I496</f>
        <v>942.9679328892006</v>
      </c>
      <c r="AG496" s="459">
        <v>0</v>
      </c>
      <c r="AH496" s="458">
        <v>0</v>
      </c>
      <c r="AI496" s="459">
        <v>0</v>
      </c>
      <c r="AJ496" s="458">
        <v>0</v>
      </c>
      <c r="AK496" s="459">
        <v>0</v>
      </c>
      <c r="AL496" s="459">
        <v>0</v>
      </c>
      <c r="AM496" s="459">
        <v>0</v>
      </c>
      <c r="AN496" s="459"/>
      <c r="AO496" s="459">
        <v>0</v>
      </c>
      <c r="AP496" s="460"/>
      <c r="AQ496" s="460"/>
      <c r="AR496" s="460"/>
      <c r="AS496" s="460"/>
      <c r="AT496" s="460"/>
      <c r="AU496" s="460"/>
      <c r="AV496" s="460"/>
      <c r="AW496" s="460"/>
      <c r="AX496" s="460"/>
      <c r="AY496" s="460"/>
      <c r="AZ496" s="460"/>
      <c r="BA496" s="460"/>
      <c r="BB496" s="460"/>
      <c r="BC496" s="460"/>
      <c r="BD496" s="460"/>
      <c r="BE496" s="460"/>
      <c r="BF496" s="460"/>
      <c r="BG496" s="460"/>
      <c r="BH496" s="460"/>
      <c r="BI496" s="460"/>
      <c r="BJ496" s="460"/>
      <c r="BK496" s="460"/>
      <c r="BL496" s="460"/>
      <c r="BM496" s="460"/>
      <c r="BN496" s="460"/>
      <c r="BO496" s="460"/>
      <c r="BP496" s="460"/>
      <c r="BQ496" s="460"/>
      <c r="BR496" s="460"/>
      <c r="BS496" s="460"/>
      <c r="BT496" s="460"/>
      <c r="BU496" s="460"/>
      <c r="BV496" s="460"/>
      <c r="BW496" s="460"/>
      <c r="BX496" s="460"/>
      <c r="BY496" s="460"/>
      <c r="BZ496" s="460"/>
      <c r="CA496" s="460"/>
      <c r="CB496" s="460"/>
      <c r="CC496" s="460"/>
      <c r="CD496" s="460"/>
      <c r="CE496" s="460"/>
      <c r="CF496" s="460"/>
      <c r="CG496" s="460"/>
      <c r="CH496" s="460"/>
      <c r="CI496" s="460"/>
      <c r="CJ496" s="460"/>
      <c r="CK496" s="460"/>
    </row>
    <row r="497" spans="1:89" s="329" customFormat="1" ht="36" customHeight="1" x14ac:dyDescent="0.25">
      <c r="B497" s="33" t="s">
        <v>1392</v>
      </c>
      <c r="C497" s="462"/>
      <c r="D497" s="330" t="s">
        <v>131</v>
      </c>
      <c r="E497" s="330" t="s">
        <v>131</v>
      </c>
      <c r="F497" s="330" t="s">
        <v>131</v>
      </c>
      <c r="G497" s="330" t="s">
        <v>131</v>
      </c>
      <c r="H497" s="330" t="s">
        <v>131</v>
      </c>
      <c r="I497" s="334">
        <f>SUM(I498:I502)</f>
        <v>2977.1</v>
      </c>
      <c r="J497" s="334">
        <f>SUM(J498:J502)</f>
        <v>2780.3</v>
      </c>
      <c r="K497" s="334">
        <f>SUM(K498:K502)</f>
        <v>2727.3</v>
      </c>
      <c r="L497" s="332">
        <f>SUM(L498:L502)</f>
        <v>125</v>
      </c>
      <c r="M497" s="330" t="s">
        <v>131</v>
      </c>
      <c r="N497" s="330" t="s">
        <v>131</v>
      </c>
      <c r="O497" s="333" t="s">
        <v>131</v>
      </c>
      <c r="P497" s="38">
        <v>7769795.6899999995</v>
      </c>
      <c r="Q497" s="38">
        <f>SUM(Q498:Q502)</f>
        <v>0</v>
      </c>
      <c r="R497" s="38">
        <f>SUM(R498:R502)</f>
        <v>0</v>
      </c>
      <c r="S497" s="38">
        <f>SUM(S498:S502)</f>
        <v>7769795.6899999995</v>
      </c>
      <c r="T497" s="38">
        <f t="shared" si="85"/>
        <v>2609.8537805246715</v>
      </c>
      <c r="U497" s="38">
        <f>MAX(U498:U502)</f>
        <v>9465.485926216641</v>
      </c>
      <c r="V497" s="458">
        <f t="shared" si="87"/>
        <v>6855.6321456919695</v>
      </c>
      <c r="W497" s="458"/>
      <c r="X497" s="458"/>
      <c r="Y497" s="459"/>
      <c r="Z497" s="459"/>
      <c r="AA497" s="459"/>
      <c r="AB497" s="459"/>
      <c r="AC497" s="459"/>
      <c r="AD497" s="459"/>
      <c r="AE497" s="459"/>
      <c r="AF497" s="459"/>
      <c r="AG497" s="459"/>
      <c r="AH497" s="459"/>
      <c r="AI497" s="459"/>
      <c r="AJ497" s="459"/>
      <c r="AK497" s="459"/>
      <c r="AL497" s="459"/>
      <c r="AM497" s="459"/>
      <c r="AN497" s="459"/>
      <c r="AO497" s="459"/>
      <c r="AP497" s="460"/>
      <c r="AQ497" s="460"/>
      <c r="AR497" s="460"/>
      <c r="AS497" s="460"/>
      <c r="AT497" s="460"/>
      <c r="AU497" s="460"/>
      <c r="AV497" s="460"/>
      <c r="AW497" s="460"/>
      <c r="AX497" s="460"/>
      <c r="AY497" s="460"/>
      <c r="AZ497" s="460"/>
      <c r="BA497" s="460"/>
      <c r="BB497" s="460"/>
      <c r="BC497" s="460"/>
      <c r="BD497" s="460"/>
      <c r="BE497" s="460"/>
      <c r="BF497" s="460"/>
      <c r="BG497" s="460"/>
      <c r="BH497" s="460"/>
      <c r="BI497" s="460"/>
      <c r="BJ497" s="460"/>
      <c r="BK497" s="460"/>
      <c r="BL497" s="460"/>
      <c r="BM497" s="460"/>
      <c r="BN497" s="460"/>
      <c r="BO497" s="460"/>
      <c r="BP497" s="460"/>
      <c r="BQ497" s="460"/>
      <c r="BR497" s="460"/>
      <c r="BS497" s="460"/>
      <c r="BT497" s="460"/>
      <c r="BU497" s="460"/>
      <c r="BV497" s="460"/>
      <c r="BW497" s="460"/>
      <c r="BX497" s="460"/>
      <c r="BY497" s="460"/>
      <c r="BZ497" s="460"/>
      <c r="CA497" s="460"/>
      <c r="CB497" s="460"/>
      <c r="CC497" s="460"/>
      <c r="CD497" s="460"/>
      <c r="CE497" s="460"/>
      <c r="CF497" s="460"/>
      <c r="CG497" s="460"/>
      <c r="CH497" s="460"/>
      <c r="CI497" s="460"/>
      <c r="CJ497" s="460"/>
      <c r="CK497" s="460"/>
    </row>
    <row r="498" spans="1:89" s="329" customFormat="1" ht="36" customHeight="1" x14ac:dyDescent="0.25">
      <c r="A498" s="329">
        <v>1</v>
      </c>
      <c r="B498" s="39">
        <f>SUBTOTAL(103,$A$16:A498)</f>
        <v>430</v>
      </c>
      <c r="C498" s="33" t="s">
        <v>1393</v>
      </c>
      <c r="D498" s="330">
        <v>1969</v>
      </c>
      <c r="E498" s="330"/>
      <c r="F498" s="331" t="s">
        <v>48</v>
      </c>
      <c r="G498" s="330">
        <v>2</v>
      </c>
      <c r="H498" s="330" t="s">
        <v>56</v>
      </c>
      <c r="I498" s="38">
        <v>773.4</v>
      </c>
      <c r="J498" s="38">
        <v>714.5</v>
      </c>
      <c r="K498" s="38">
        <v>714.5</v>
      </c>
      <c r="L498" s="332">
        <v>41</v>
      </c>
      <c r="M498" s="330" t="s">
        <v>46</v>
      </c>
      <c r="N498" s="330" t="s">
        <v>50</v>
      </c>
      <c r="O498" s="333" t="s">
        <v>51</v>
      </c>
      <c r="P498" s="38">
        <v>2421334.88</v>
      </c>
      <c r="Q498" s="38">
        <v>0</v>
      </c>
      <c r="R498" s="38">
        <v>0</v>
      </c>
      <c r="S498" s="38">
        <f>P498-Q498-R498</f>
        <v>2421334.88</v>
      </c>
      <c r="T498" s="38">
        <f t="shared" si="85"/>
        <v>3130.7665890871476</v>
      </c>
      <c r="U498" s="38">
        <v>5091.3621799844841</v>
      </c>
      <c r="V498" s="458">
        <f t="shared" si="87"/>
        <v>1960.5955908973365</v>
      </c>
      <c r="W498" s="458">
        <f t="shared" ref="W498:W502" si="94">X498+Y498+Z498+AA498+AB498+AD498+AF498+AH498+AJ498+AL498+AN498+AO498</f>
        <v>5074.0553271269719</v>
      </c>
      <c r="X498" s="458">
        <v>0</v>
      </c>
      <c r="Y498" s="459">
        <v>0</v>
      </c>
      <c r="Z498" s="459">
        <v>0</v>
      </c>
      <c r="AA498" s="459">
        <v>0</v>
      </c>
      <c r="AB498" s="459">
        <v>0</v>
      </c>
      <c r="AC498" s="459">
        <v>0</v>
      </c>
      <c r="AD498" s="459">
        <v>0</v>
      </c>
      <c r="AE498" s="459">
        <v>629</v>
      </c>
      <c r="AF498" s="458">
        <f>6238.91*AE498/I498</f>
        <v>5074.0553271269719</v>
      </c>
      <c r="AG498" s="459">
        <v>0</v>
      </c>
      <c r="AH498" s="458">
        <v>0</v>
      </c>
      <c r="AI498" s="459">
        <v>0</v>
      </c>
      <c r="AJ498" s="458">
        <v>0</v>
      </c>
      <c r="AK498" s="459">
        <v>0</v>
      </c>
      <c r="AL498" s="459">
        <v>0</v>
      </c>
      <c r="AM498" s="459">
        <v>0</v>
      </c>
      <c r="AN498" s="459"/>
      <c r="AO498" s="459">
        <v>0</v>
      </c>
      <c r="AP498" s="460"/>
      <c r="AQ498" s="460"/>
      <c r="AR498" s="460"/>
      <c r="AS498" s="460"/>
      <c r="AT498" s="460"/>
      <c r="AU498" s="460"/>
      <c r="AV498" s="460"/>
      <c r="AW498" s="460"/>
      <c r="AX498" s="460"/>
      <c r="AY498" s="460"/>
      <c r="AZ498" s="460"/>
      <c r="BA498" s="460"/>
      <c r="BB498" s="460"/>
      <c r="BC498" s="460"/>
      <c r="BD498" s="460"/>
      <c r="BE498" s="460"/>
      <c r="BF498" s="460"/>
      <c r="BG498" s="460"/>
      <c r="BH498" s="460"/>
      <c r="BI498" s="460"/>
      <c r="BJ498" s="460"/>
      <c r="BK498" s="460"/>
      <c r="BL498" s="460"/>
      <c r="BM498" s="460"/>
      <c r="BN498" s="460"/>
      <c r="BO498" s="460"/>
      <c r="BP498" s="460"/>
      <c r="BQ498" s="460"/>
      <c r="BR498" s="460"/>
      <c r="BS498" s="460"/>
      <c r="BT498" s="460"/>
      <c r="BU498" s="460"/>
      <c r="BV498" s="460"/>
      <c r="BW498" s="460"/>
      <c r="BX498" s="460"/>
      <c r="BY498" s="460"/>
      <c r="BZ498" s="460"/>
      <c r="CA498" s="460"/>
      <c r="CB498" s="460"/>
      <c r="CC498" s="460"/>
      <c r="CD498" s="460"/>
      <c r="CE498" s="460"/>
      <c r="CF498" s="460"/>
      <c r="CG498" s="460"/>
      <c r="CH498" s="460"/>
      <c r="CI498" s="460"/>
      <c r="CJ498" s="460"/>
      <c r="CK498" s="460"/>
    </row>
    <row r="499" spans="1:89" s="329" customFormat="1" ht="36" customHeight="1" x14ac:dyDescent="0.25">
      <c r="A499" s="329">
        <v>1</v>
      </c>
      <c r="B499" s="39">
        <f>SUBTOTAL(103,$A$16:A499)</f>
        <v>431</v>
      </c>
      <c r="C499" s="33" t="s">
        <v>1394</v>
      </c>
      <c r="D499" s="330">
        <v>1960</v>
      </c>
      <c r="E499" s="330"/>
      <c r="F499" s="331" t="s">
        <v>48</v>
      </c>
      <c r="G499" s="330">
        <v>2</v>
      </c>
      <c r="H499" s="330" t="s">
        <v>57</v>
      </c>
      <c r="I499" s="38">
        <v>382.2</v>
      </c>
      <c r="J499" s="38">
        <v>358.4</v>
      </c>
      <c r="K499" s="38">
        <v>358.4</v>
      </c>
      <c r="L499" s="332">
        <v>21</v>
      </c>
      <c r="M499" s="330" t="s">
        <v>46</v>
      </c>
      <c r="N499" s="330" t="s">
        <v>50</v>
      </c>
      <c r="O499" s="333" t="s">
        <v>51</v>
      </c>
      <c r="P499" s="38">
        <v>1656413.77</v>
      </c>
      <c r="Q499" s="38">
        <v>0</v>
      </c>
      <c r="R499" s="38">
        <v>0</v>
      </c>
      <c r="S499" s="38">
        <f>P499-Q499-R499</f>
        <v>1656413.77</v>
      </c>
      <c r="T499" s="38">
        <f t="shared" si="85"/>
        <v>4333.892647828362</v>
      </c>
      <c r="U499" s="38">
        <v>9465.485926216641</v>
      </c>
      <c r="V499" s="458">
        <f t="shared" si="87"/>
        <v>5131.593278388279</v>
      </c>
      <c r="W499" s="458">
        <f t="shared" si="94"/>
        <v>9465.485926216641</v>
      </c>
      <c r="X499" s="458">
        <v>0</v>
      </c>
      <c r="Y499" s="459">
        <v>0</v>
      </c>
      <c r="Z499" s="459">
        <v>0</v>
      </c>
      <c r="AA499" s="459">
        <v>0</v>
      </c>
      <c r="AB499" s="459">
        <v>0</v>
      </c>
      <c r="AC499" s="459">
        <v>0</v>
      </c>
      <c r="AD499" s="459">
        <v>0</v>
      </c>
      <c r="AE499" s="459">
        <v>0</v>
      </c>
      <c r="AF499" s="458">
        <v>0</v>
      </c>
      <c r="AG499" s="459">
        <v>0</v>
      </c>
      <c r="AH499" s="458">
        <v>0</v>
      </c>
      <c r="AI499" s="459">
        <v>486.31</v>
      </c>
      <c r="AJ499" s="458">
        <f>7439.1*AI499/I499</f>
        <v>9465.485926216641</v>
      </c>
      <c r="AK499" s="459">
        <v>0</v>
      </c>
      <c r="AL499" s="459">
        <v>0</v>
      </c>
      <c r="AM499" s="459">
        <v>0</v>
      </c>
      <c r="AN499" s="459"/>
      <c r="AO499" s="459">
        <v>0</v>
      </c>
      <c r="AP499" s="460"/>
      <c r="AQ499" s="460"/>
      <c r="AR499" s="460"/>
      <c r="AS499" s="460"/>
      <c r="AT499" s="460"/>
      <c r="AU499" s="460"/>
      <c r="AV499" s="460"/>
      <c r="AW499" s="460"/>
      <c r="AX499" s="460"/>
      <c r="AY499" s="460"/>
      <c r="AZ499" s="460"/>
      <c r="BA499" s="460"/>
      <c r="BB499" s="460"/>
      <c r="BC499" s="460"/>
      <c r="BD499" s="460"/>
      <c r="BE499" s="460"/>
      <c r="BF499" s="460"/>
      <c r="BG499" s="460"/>
      <c r="BH499" s="460"/>
      <c r="BI499" s="460"/>
      <c r="BJ499" s="460"/>
      <c r="BK499" s="460"/>
      <c r="BL499" s="460"/>
      <c r="BM499" s="460"/>
      <c r="BN499" s="460"/>
      <c r="BO499" s="460"/>
      <c r="BP499" s="460"/>
      <c r="BQ499" s="460"/>
      <c r="BR499" s="460"/>
      <c r="BS499" s="460"/>
      <c r="BT499" s="460"/>
      <c r="BU499" s="460"/>
      <c r="BV499" s="460"/>
      <c r="BW499" s="460"/>
      <c r="BX499" s="460"/>
      <c r="BY499" s="460"/>
      <c r="BZ499" s="460"/>
      <c r="CA499" s="460"/>
      <c r="CB499" s="460"/>
      <c r="CC499" s="460"/>
      <c r="CD499" s="460"/>
      <c r="CE499" s="460"/>
      <c r="CF499" s="460"/>
      <c r="CG499" s="460"/>
      <c r="CH499" s="460"/>
      <c r="CI499" s="460"/>
      <c r="CJ499" s="460"/>
      <c r="CK499" s="460"/>
    </row>
    <row r="500" spans="1:89" s="329" customFormat="1" ht="36" customHeight="1" x14ac:dyDescent="0.25">
      <c r="A500" s="329">
        <v>1</v>
      </c>
      <c r="B500" s="39">
        <f>SUBTOTAL(103,$A$16:A500)</f>
        <v>432</v>
      </c>
      <c r="C500" s="33" t="s">
        <v>1395</v>
      </c>
      <c r="D500" s="330">
        <v>1965</v>
      </c>
      <c r="E500" s="330"/>
      <c r="F500" s="331" t="s">
        <v>68</v>
      </c>
      <c r="G500" s="330">
        <v>2</v>
      </c>
      <c r="H500" s="330" t="s">
        <v>57</v>
      </c>
      <c r="I500" s="38">
        <v>377</v>
      </c>
      <c r="J500" s="38">
        <v>377</v>
      </c>
      <c r="K500" s="38">
        <v>377</v>
      </c>
      <c r="L500" s="332">
        <v>23</v>
      </c>
      <c r="M500" s="330" t="s">
        <v>46</v>
      </c>
      <c r="N500" s="330" t="s">
        <v>50</v>
      </c>
      <c r="O500" s="333" t="s">
        <v>51</v>
      </c>
      <c r="P500" s="38">
        <v>510085.62</v>
      </c>
      <c r="Q500" s="38">
        <v>0</v>
      </c>
      <c r="R500" s="38">
        <v>0</v>
      </c>
      <c r="S500" s="38">
        <f>P500-Q500-R500</f>
        <v>510085.62</v>
      </c>
      <c r="T500" s="38">
        <f t="shared" si="85"/>
        <v>1353.0122546419097</v>
      </c>
      <c r="U500" s="38">
        <v>4631.2681034482757</v>
      </c>
      <c r="V500" s="458">
        <f t="shared" si="87"/>
        <v>3278.255848806366</v>
      </c>
      <c r="W500" s="458">
        <f t="shared" si="94"/>
        <v>4631.2681034482757</v>
      </c>
      <c r="X500" s="458">
        <v>0</v>
      </c>
      <c r="Y500" s="459">
        <v>0</v>
      </c>
      <c r="Z500" s="459">
        <v>0</v>
      </c>
      <c r="AA500" s="459">
        <v>0</v>
      </c>
      <c r="AB500" s="459">
        <v>0</v>
      </c>
      <c r="AC500" s="459">
        <v>0</v>
      </c>
      <c r="AD500" s="459">
        <v>0</v>
      </c>
      <c r="AE500" s="459">
        <v>0</v>
      </c>
      <c r="AF500" s="458">
        <v>0</v>
      </c>
      <c r="AG500" s="459">
        <v>0</v>
      </c>
      <c r="AH500" s="458">
        <v>0</v>
      </c>
      <c r="AI500" s="459">
        <v>438.75</v>
      </c>
      <c r="AJ500" s="458">
        <f>3979.46*AI500/I500</f>
        <v>4631.2681034482757</v>
      </c>
      <c r="AK500" s="459">
        <v>0</v>
      </c>
      <c r="AL500" s="459">
        <v>0</v>
      </c>
      <c r="AM500" s="459">
        <v>0</v>
      </c>
      <c r="AN500" s="459"/>
      <c r="AO500" s="459">
        <v>0</v>
      </c>
      <c r="AP500" s="460"/>
      <c r="AQ500" s="460"/>
      <c r="AR500" s="460"/>
      <c r="AS500" s="460"/>
      <c r="AT500" s="460"/>
      <c r="AU500" s="460"/>
      <c r="AV500" s="460"/>
      <c r="AW500" s="460"/>
      <c r="AX500" s="460"/>
      <c r="AY500" s="460"/>
      <c r="AZ500" s="460"/>
      <c r="BA500" s="460"/>
      <c r="BB500" s="460"/>
      <c r="BC500" s="460"/>
      <c r="BD500" s="460"/>
      <c r="BE500" s="460"/>
      <c r="BF500" s="460"/>
      <c r="BG500" s="460"/>
      <c r="BH500" s="460"/>
      <c r="BI500" s="460"/>
      <c r="BJ500" s="460"/>
      <c r="BK500" s="460"/>
      <c r="BL500" s="460"/>
      <c r="BM500" s="460"/>
      <c r="BN500" s="460"/>
      <c r="BO500" s="460"/>
      <c r="BP500" s="460"/>
      <c r="BQ500" s="460"/>
      <c r="BR500" s="460"/>
      <c r="BS500" s="460"/>
      <c r="BT500" s="460"/>
      <c r="BU500" s="460"/>
      <c r="BV500" s="460"/>
      <c r="BW500" s="460"/>
      <c r="BX500" s="460"/>
      <c r="BY500" s="460"/>
      <c r="BZ500" s="460"/>
      <c r="CA500" s="460"/>
      <c r="CB500" s="460"/>
      <c r="CC500" s="460"/>
      <c r="CD500" s="460"/>
      <c r="CE500" s="460"/>
      <c r="CF500" s="460"/>
      <c r="CG500" s="460"/>
      <c r="CH500" s="460"/>
      <c r="CI500" s="460"/>
      <c r="CJ500" s="460"/>
      <c r="CK500" s="460"/>
    </row>
    <row r="501" spans="1:89" s="329" customFormat="1" ht="36" customHeight="1" x14ac:dyDescent="0.25">
      <c r="A501" s="329">
        <v>1</v>
      </c>
      <c r="B501" s="39">
        <f>SUBTOTAL(103,$A$16:A501)</f>
        <v>433</v>
      </c>
      <c r="C501" s="33" t="s">
        <v>1396</v>
      </c>
      <c r="D501" s="330">
        <v>1917</v>
      </c>
      <c r="E501" s="330"/>
      <c r="F501" s="331" t="s">
        <v>48</v>
      </c>
      <c r="G501" s="330">
        <v>2</v>
      </c>
      <c r="H501" s="330" t="s">
        <v>57</v>
      </c>
      <c r="I501" s="38">
        <v>319.3</v>
      </c>
      <c r="J501" s="38">
        <v>205.2</v>
      </c>
      <c r="K501" s="38">
        <v>152.19999999999999</v>
      </c>
      <c r="L501" s="332">
        <v>14</v>
      </c>
      <c r="M501" s="330" t="s">
        <v>46</v>
      </c>
      <c r="N501" s="330" t="s">
        <v>47</v>
      </c>
      <c r="O501" s="333" t="s">
        <v>49</v>
      </c>
      <c r="P501" s="38">
        <v>81322.009999999995</v>
      </c>
      <c r="Q501" s="38">
        <v>0</v>
      </c>
      <c r="R501" s="38">
        <v>0</v>
      </c>
      <c r="S501" s="38">
        <f>P501-Q501-R501</f>
        <v>81322.009999999995</v>
      </c>
      <c r="T501" s="38">
        <f t="shared" si="85"/>
        <v>254.68841215158156</v>
      </c>
      <c r="U501" s="38">
        <v>460.38208581271527</v>
      </c>
      <c r="V501" s="458">
        <f t="shared" si="87"/>
        <v>205.69367366113372</v>
      </c>
      <c r="W501" s="458">
        <f t="shared" si="94"/>
        <v>16986.682774819921</v>
      </c>
      <c r="X501" s="458">
        <v>0</v>
      </c>
      <c r="Y501" s="459">
        <v>0</v>
      </c>
      <c r="Z501" s="459">
        <v>0</v>
      </c>
      <c r="AA501" s="459">
        <v>0</v>
      </c>
      <c r="AB501" s="459">
        <v>0</v>
      </c>
      <c r="AC501" s="459">
        <v>0</v>
      </c>
      <c r="AD501" s="459">
        <v>0</v>
      </c>
      <c r="AE501" s="459">
        <v>0</v>
      </c>
      <c r="AF501" s="458">
        <v>0</v>
      </c>
      <c r="AG501" s="459">
        <v>0</v>
      </c>
      <c r="AH501" s="458">
        <v>0</v>
      </c>
      <c r="AI501" s="459">
        <v>729.1</v>
      </c>
      <c r="AJ501" s="458">
        <f>7439.1*AI501/I501</f>
        <v>16986.682774819921</v>
      </c>
      <c r="AK501" s="459">
        <v>0</v>
      </c>
      <c r="AL501" s="459">
        <v>0</v>
      </c>
      <c r="AM501" s="459">
        <v>0</v>
      </c>
      <c r="AN501" s="459"/>
      <c r="AO501" s="459">
        <v>0</v>
      </c>
      <c r="AP501" s="460"/>
      <c r="AQ501" s="460"/>
      <c r="AR501" s="460"/>
      <c r="AS501" s="460"/>
      <c r="AT501" s="460"/>
      <c r="AU501" s="460"/>
      <c r="AV501" s="460"/>
      <c r="AW501" s="460"/>
      <c r="AX501" s="460"/>
      <c r="AY501" s="460"/>
      <c r="AZ501" s="460"/>
      <c r="BA501" s="460"/>
      <c r="BB501" s="460"/>
      <c r="BC501" s="460"/>
      <c r="BD501" s="460"/>
      <c r="BE501" s="460"/>
      <c r="BF501" s="460"/>
      <c r="BG501" s="460"/>
      <c r="BH501" s="460"/>
      <c r="BI501" s="460"/>
      <c r="BJ501" s="460"/>
      <c r="BK501" s="460"/>
      <c r="BL501" s="460"/>
      <c r="BM501" s="460"/>
      <c r="BN501" s="460"/>
      <c r="BO501" s="460"/>
      <c r="BP501" s="460"/>
      <c r="BQ501" s="460"/>
      <c r="BR501" s="460"/>
      <c r="BS501" s="460"/>
      <c r="BT501" s="460"/>
      <c r="BU501" s="460"/>
      <c r="BV501" s="460"/>
      <c r="BW501" s="460"/>
      <c r="BX501" s="460"/>
      <c r="BY501" s="460"/>
      <c r="BZ501" s="460"/>
      <c r="CA501" s="460"/>
      <c r="CB501" s="460"/>
      <c r="CC501" s="460"/>
      <c r="CD501" s="460"/>
      <c r="CE501" s="460"/>
      <c r="CF501" s="460"/>
      <c r="CG501" s="460"/>
      <c r="CH501" s="460"/>
      <c r="CI501" s="460"/>
      <c r="CJ501" s="460"/>
      <c r="CK501" s="460"/>
    </row>
    <row r="502" spans="1:89" s="329" customFormat="1" ht="36" customHeight="1" x14ac:dyDescent="0.25">
      <c r="A502" s="329">
        <v>1</v>
      </c>
      <c r="B502" s="39">
        <f>SUBTOTAL(103,$A$16:A502)</f>
        <v>434</v>
      </c>
      <c r="C502" s="33" t="s">
        <v>1111</v>
      </c>
      <c r="D502" s="330">
        <v>1978</v>
      </c>
      <c r="E502" s="330"/>
      <c r="F502" s="331" t="s">
        <v>2004</v>
      </c>
      <c r="G502" s="330">
        <v>2</v>
      </c>
      <c r="H502" s="330" t="s">
        <v>59</v>
      </c>
      <c r="I502" s="38">
        <v>1125.2</v>
      </c>
      <c r="J502" s="38">
        <v>1125.2</v>
      </c>
      <c r="K502" s="38">
        <v>1125.2</v>
      </c>
      <c r="L502" s="332">
        <v>26</v>
      </c>
      <c r="M502" s="330" t="s">
        <v>46</v>
      </c>
      <c r="N502" s="330" t="s">
        <v>50</v>
      </c>
      <c r="O502" s="333" t="s">
        <v>2101</v>
      </c>
      <c r="P502" s="38">
        <v>3100639.4099999997</v>
      </c>
      <c r="Q502" s="38">
        <v>0</v>
      </c>
      <c r="R502" s="38">
        <v>0</v>
      </c>
      <c r="S502" s="38">
        <f>P502-Q502-R502</f>
        <v>3100639.4099999997</v>
      </c>
      <c r="T502" s="38">
        <f t="shared" si="85"/>
        <v>2755.6340295058653</v>
      </c>
      <c r="U502" s="38">
        <v>5141.9015268396734</v>
      </c>
      <c r="V502" s="458">
        <f t="shared" si="87"/>
        <v>2386.267497333808</v>
      </c>
      <c r="W502" s="458">
        <f t="shared" si="94"/>
        <v>5124.4228777106291</v>
      </c>
      <c r="X502" s="458">
        <v>0</v>
      </c>
      <c r="Y502" s="459">
        <v>0</v>
      </c>
      <c r="Z502" s="459">
        <v>0</v>
      </c>
      <c r="AA502" s="459">
        <v>0</v>
      </c>
      <c r="AB502" s="459">
        <v>0</v>
      </c>
      <c r="AC502" s="459">
        <v>0</v>
      </c>
      <c r="AD502" s="459">
        <v>0</v>
      </c>
      <c r="AE502" s="459">
        <v>924.2</v>
      </c>
      <c r="AF502" s="458">
        <f>6238.91*AE502/I502</f>
        <v>5124.4228777106291</v>
      </c>
      <c r="AG502" s="459">
        <v>0</v>
      </c>
      <c r="AH502" s="458">
        <v>0</v>
      </c>
      <c r="AI502" s="459">
        <v>0</v>
      </c>
      <c r="AJ502" s="458">
        <v>0</v>
      </c>
      <c r="AK502" s="459">
        <v>0</v>
      </c>
      <c r="AL502" s="459">
        <v>0</v>
      </c>
      <c r="AM502" s="459">
        <v>0</v>
      </c>
      <c r="AN502" s="459"/>
      <c r="AO502" s="459">
        <v>0</v>
      </c>
      <c r="AP502" s="460"/>
      <c r="AQ502" s="460"/>
      <c r="AR502" s="460"/>
      <c r="AS502" s="460"/>
      <c r="AT502" s="460"/>
      <c r="AU502" s="460"/>
      <c r="AV502" s="460"/>
      <c r="AW502" s="460"/>
      <c r="AX502" s="460"/>
      <c r="AY502" s="460"/>
      <c r="AZ502" s="460"/>
      <c r="BA502" s="460"/>
      <c r="BB502" s="460"/>
      <c r="BC502" s="460"/>
      <c r="BD502" s="460"/>
      <c r="BE502" s="460"/>
      <c r="BF502" s="460"/>
      <c r="BG502" s="460"/>
      <c r="BH502" s="460"/>
      <c r="BI502" s="460"/>
      <c r="BJ502" s="460"/>
      <c r="BK502" s="460"/>
      <c r="BL502" s="460"/>
      <c r="BM502" s="460"/>
      <c r="BN502" s="460"/>
      <c r="BO502" s="460"/>
      <c r="BP502" s="460"/>
      <c r="BQ502" s="460"/>
      <c r="BR502" s="460"/>
      <c r="BS502" s="460"/>
      <c r="BT502" s="460"/>
      <c r="BU502" s="460"/>
      <c r="BV502" s="460"/>
      <c r="BW502" s="460"/>
      <c r="BX502" s="460"/>
      <c r="BY502" s="460"/>
      <c r="BZ502" s="460"/>
      <c r="CA502" s="460"/>
      <c r="CB502" s="460"/>
      <c r="CC502" s="460"/>
      <c r="CD502" s="460"/>
      <c r="CE502" s="460"/>
      <c r="CF502" s="460"/>
      <c r="CG502" s="460"/>
      <c r="CH502" s="460"/>
      <c r="CI502" s="460"/>
      <c r="CJ502" s="460"/>
      <c r="CK502" s="460"/>
    </row>
    <row r="503" spans="1:89" s="329" customFormat="1" ht="36" customHeight="1" x14ac:dyDescent="0.25">
      <c r="B503" s="33" t="s">
        <v>1397</v>
      </c>
      <c r="C503" s="33"/>
      <c r="D503" s="330" t="s">
        <v>131</v>
      </c>
      <c r="E503" s="330" t="s">
        <v>131</v>
      </c>
      <c r="F503" s="330" t="s">
        <v>131</v>
      </c>
      <c r="G503" s="330" t="s">
        <v>131</v>
      </c>
      <c r="H503" s="330" t="s">
        <v>131</v>
      </c>
      <c r="I503" s="334">
        <f>I504</f>
        <v>1191.0999999999999</v>
      </c>
      <c r="J503" s="334">
        <f>J504</f>
        <v>714.7</v>
      </c>
      <c r="K503" s="334">
        <f>K504</f>
        <v>714.7</v>
      </c>
      <c r="L503" s="332">
        <f>L504</f>
        <v>26</v>
      </c>
      <c r="M503" s="330" t="s">
        <v>131</v>
      </c>
      <c r="N503" s="330" t="s">
        <v>131</v>
      </c>
      <c r="O503" s="333" t="s">
        <v>131</v>
      </c>
      <c r="P503" s="38">
        <v>2846268.34</v>
      </c>
      <c r="Q503" s="38">
        <f>Q504</f>
        <v>0</v>
      </c>
      <c r="R503" s="38">
        <f>R504</f>
        <v>0</v>
      </c>
      <c r="S503" s="38">
        <f>S504</f>
        <v>2846268.34</v>
      </c>
      <c r="T503" s="38">
        <f t="shared" si="85"/>
        <v>2389.6132482579128</v>
      </c>
      <c r="U503" s="38">
        <f>MAX(U504)</f>
        <v>3222.8599680967177</v>
      </c>
      <c r="V503" s="458">
        <f t="shared" si="87"/>
        <v>833.24671983880489</v>
      </c>
      <c r="W503" s="458"/>
      <c r="X503" s="458"/>
      <c r="Y503" s="459"/>
      <c r="Z503" s="459"/>
      <c r="AA503" s="459"/>
      <c r="AB503" s="459"/>
      <c r="AC503" s="459"/>
      <c r="AD503" s="459"/>
      <c r="AE503" s="459"/>
      <c r="AF503" s="459"/>
      <c r="AG503" s="459"/>
      <c r="AH503" s="459"/>
      <c r="AI503" s="459"/>
      <c r="AJ503" s="459"/>
      <c r="AK503" s="459"/>
      <c r="AL503" s="459"/>
      <c r="AM503" s="459"/>
      <c r="AN503" s="459"/>
      <c r="AO503" s="459"/>
      <c r="AP503" s="460"/>
      <c r="AQ503" s="460"/>
      <c r="AR503" s="460"/>
      <c r="AS503" s="460"/>
      <c r="AT503" s="460"/>
      <c r="AU503" s="460"/>
      <c r="AV503" s="460"/>
      <c r="AW503" s="460"/>
      <c r="AX503" s="460"/>
      <c r="AY503" s="460"/>
      <c r="AZ503" s="460"/>
      <c r="BA503" s="460"/>
      <c r="BB503" s="460"/>
      <c r="BC503" s="460"/>
      <c r="BD503" s="460"/>
      <c r="BE503" s="460"/>
      <c r="BF503" s="460"/>
      <c r="BG503" s="460"/>
      <c r="BH503" s="460"/>
      <c r="BI503" s="460"/>
      <c r="BJ503" s="460"/>
      <c r="BK503" s="460"/>
      <c r="BL503" s="460"/>
      <c r="BM503" s="460"/>
      <c r="BN503" s="460"/>
      <c r="BO503" s="460"/>
      <c r="BP503" s="460"/>
      <c r="BQ503" s="460"/>
      <c r="BR503" s="460"/>
      <c r="BS503" s="460"/>
      <c r="BT503" s="460"/>
      <c r="BU503" s="460"/>
      <c r="BV503" s="460"/>
      <c r="BW503" s="460"/>
      <c r="BX503" s="460"/>
      <c r="BY503" s="460"/>
      <c r="BZ503" s="460"/>
      <c r="CA503" s="460"/>
      <c r="CB503" s="460"/>
      <c r="CC503" s="460"/>
      <c r="CD503" s="460"/>
      <c r="CE503" s="460"/>
      <c r="CF503" s="460"/>
      <c r="CG503" s="460"/>
      <c r="CH503" s="460"/>
      <c r="CI503" s="460"/>
      <c r="CJ503" s="460"/>
      <c r="CK503" s="460"/>
    </row>
    <row r="504" spans="1:89" s="329" customFormat="1" ht="36" customHeight="1" x14ac:dyDescent="0.25">
      <c r="A504" s="329">
        <v>1</v>
      </c>
      <c r="B504" s="39">
        <f>SUBTOTAL(103,$A$16:A504)</f>
        <v>435</v>
      </c>
      <c r="C504" s="33" t="s">
        <v>1175</v>
      </c>
      <c r="D504" s="330">
        <v>1967</v>
      </c>
      <c r="E504" s="330"/>
      <c r="F504" s="331" t="s">
        <v>48</v>
      </c>
      <c r="G504" s="330">
        <v>2</v>
      </c>
      <c r="H504" s="330" t="s">
        <v>56</v>
      </c>
      <c r="I504" s="38">
        <v>1191.0999999999999</v>
      </c>
      <c r="J504" s="38">
        <v>714.7</v>
      </c>
      <c r="K504" s="38">
        <v>714.7</v>
      </c>
      <c r="L504" s="332">
        <v>26</v>
      </c>
      <c r="M504" s="330" t="s">
        <v>46</v>
      </c>
      <c r="N504" s="330" t="s">
        <v>50</v>
      </c>
      <c r="O504" s="333" t="s">
        <v>2102</v>
      </c>
      <c r="P504" s="38">
        <v>2846268.34</v>
      </c>
      <c r="Q504" s="38">
        <v>0</v>
      </c>
      <c r="R504" s="38">
        <v>0</v>
      </c>
      <c r="S504" s="38">
        <f>P504-Q504-R504</f>
        <v>2846268.34</v>
      </c>
      <c r="T504" s="38">
        <f t="shared" si="85"/>
        <v>2389.6132482579128</v>
      </c>
      <c r="U504" s="38">
        <v>3222.8599680967177</v>
      </c>
      <c r="V504" s="458">
        <f>U504-T504</f>
        <v>833.24671983880489</v>
      </c>
      <c r="W504" s="458">
        <f>X504+Y504+Z504+AA504+AB504+AD504+AF504+AH504+AJ504+AL504+AN504+AO504</f>
        <v>3211.90463605071</v>
      </c>
      <c r="X504" s="458">
        <v>0</v>
      </c>
      <c r="Y504" s="459">
        <v>0</v>
      </c>
      <c r="Z504" s="459">
        <v>0</v>
      </c>
      <c r="AA504" s="459">
        <v>0</v>
      </c>
      <c r="AB504" s="459">
        <v>0</v>
      </c>
      <c r="AC504" s="459">
        <v>0</v>
      </c>
      <c r="AD504" s="459">
        <v>0</v>
      </c>
      <c r="AE504" s="459">
        <v>613.20000000000005</v>
      </c>
      <c r="AF504" s="458">
        <f>6238.91*AE504/I504</f>
        <v>3211.90463605071</v>
      </c>
      <c r="AG504" s="459">
        <v>0</v>
      </c>
      <c r="AH504" s="458">
        <v>0</v>
      </c>
      <c r="AI504" s="459">
        <v>0</v>
      </c>
      <c r="AJ504" s="458">
        <v>0</v>
      </c>
      <c r="AK504" s="459">
        <v>0</v>
      </c>
      <c r="AL504" s="459">
        <v>0</v>
      </c>
      <c r="AM504" s="459">
        <v>0</v>
      </c>
      <c r="AN504" s="459"/>
      <c r="AO504" s="459">
        <v>0</v>
      </c>
      <c r="AP504" s="460"/>
      <c r="AQ504" s="460"/>
      <c r="AR504" s="460"/>
      <c r="AS504" s="460"/>
      <c r="AT504" s="460"/>
      <c r="AU504" s="460"/>
      <c r="AV504" s="460"/>
      <c r="AW504" s="460"/>
      <c r="AX504" s="460"/>
      <c r="AY504" s="460"/>
      <c r="AZ504" s="460"/>
      <c r="BA504" s="460"/>
      <c r="BB504" s="460"/>
      <c r="BC504" s="460"/>
      <c r="BD504" s="460"/>
      <c r="BE504" s="460"/>
      <c r="BF504" s="460"/>
      <c r="BG504" s="460"/>
      <c r="BH504" s="460"/>
      <c r="BI504" s="460"/>
      <c r="BJ504" s="460"/>
      <c r="BK504" s="460"/>
      <c r="BL504" s="460"/>
      <c r="BM504" s="460"/>
      <c r="BN504" s="460"/>
      <c r="BO504" s="460"/>
      <c r="BP504" s="460"/>
      <c r="BQ504" s="460"/>
      <c r="BR504" s="460"/>
      <c r="BS504" s="460"/>
      <c r="BT504" s="460"/>
      <c r="BU504" s="460"/>
      <c r="BV504" s="460"/>
      <c r="BW504" s="460"/>
      <c r="BX504" s="460"/>
      <c r="BY504" s="460"/>
      <c r="BZ504" s="460"/>
      <c r="CA504" s="460"/>
      <c r="CB504" s="460"/>
      <c r="CC504" s="460"/>
      <c r="CD504" s="460"/>
      <c r="CE504" s="460"/>
      <c r="CF504" s="460"/>
      <c r="CG504" s="460"/>
      <c r="CH504" s="460"/>
      <c r="CI504" s="460"/>
      <c r="CJ504" s="460"/>
      <c r="CK504" s="460"/>
    </row>
    <row r="505" spans="1:89" s="329" customFormat="1" ht="36" customHeight="1" x14ac:dyDescent="0.25">
      <c r="B505" s="33" t="s">
        <v>1398</v>
      </c>
      <c r="C505" s="33"/>
      <c r="D505" s="330" t="s">
        <v>131</v>
      </c>
      <c r="E505" s="330" t="s">
        <v>131</v>
      </c>
      <c r="F505" s="330" t="s">
        <v>131</v>
      </c>
      <c r="G505" s="330" t="s">
        <v>131</v>
      </c>
      <c r="H505" s="330" t="s">
        <v>131</v>
      </c>
      <c r="I505" s="334">
        <f>SUM(I506:I507)</f>
        <v>1414.1</v>
      </c>
      <c r="J505" s="334">
        <f>SUM(J506:J507)</f>
        <v>1414.1</v>
      </c>
      <c r="K505" s="334">
        <f>SUM(K506:K507)</f>
        <v>1414.1</v>
      </c>
      <c r="L505" s="332">
        <f>SUM(L506:L507)</f>
        <v>84</v>
      </c>
      <c r="M505" s="330" t="s">
        <v>131</v>
      </c>
      <c r="N505" s="330" t="s">
        <v>131</v>
      </c>
      <c r="O505" s="333" t="s">
        <v>131</v>
      </c>
      <c r="P505" s="38">
        <v>2804062.75</v>
      </c>
      <c r="Q505" s="334">
        <f t="shared" ref="Q505:S505" si="95">SUM(Q506:Q507)</f>
        <v>0</v>
      </c>
      <c r="R505" s="334">
        <f t="shared" si="95"/>
        <v>0</v>
      </c>
      <c r="S505" s="334">
        <f t="shared" si="95"/>
        <v>2804062.75</v>
      </c>
      <c r="T505" s="38">
        <f t="shared" si="85"/>
        <v>1982.9310161940459</v>
      </c>
      <c r="U505" s="38">
        <f>MAX(U506:U507)</f>
        <v>5402.5617042492913</v>
      </c>
      <c r="V505" s="458">
        <f t="shared" si="87"/>
        <v>3419.6306880552456</v>
      </c>
      <c r="W505" s="458"/>
      <c r="X505" s="458"/>
      <c r="Y505" s="459"/>
      <c r="Z505" s="459"/>
      <c r="AA505" s="459"/>
      <c r="AB505" s="459"/>
      <c r="AC505" s="459"/>
      <c r="AD505" s="459"/>
      <c r="AE505" s="459"/>
      <c r="AF505" s="459"/>
      <c r="AG505" s="459"/>
      <c r="AH505" s="459"/>
      <c r="AI505" s="459"/>
      <c r="AJ505" s="459"/>
      <c r="AK505" s="459"/>
      <c r="AL505" s="459"/>
      <c r="AM505" s="459"/>
      <c r="AN505" s="459"/>
      <c r="AO505" s="459"/>
      <c r="AP505" s="460"/>
      <c r="AQ505" s="460"/>
      <c r="AR505" s="460"/>
      <c r="AS505" s="460"/>
      <c r="AT505" s="460"/>
      <c r="AU505" s="460"/>
      <c r="AV505" s="460"/>
      <c r="AW505" s="460"/>
      <c r="AX505" s="460"/>
      <c r="AY505" s="460"/>
      <c r="AZ505" s="460"/>
      <c r="BA505" s="460"/>
      <c r="BB505" s="460"/>
      <c r="BC505" s="460"/>
      <c r="BD505" s="460"/>
      <c r="BE505" s="460"/>
      <c r="BF505" s="460"/>
      <c r="BG505" s="460"/>
      <c r="BH505" s="460"/>
      <c r="BI505" s="460"/>
      <c r="BJ505" s="460"/>
      <c r="BK505" s="460"/>
      <c r="BL505" s="460"/>
      <c r="BM505" s="460"/>
      <c r="BN505" s="460"/>
      <c r="BO505" s="460"/>
      <c r="BP505" s="460"/>
      <c r="BQ505" s="460"/>
      <c r="BR505" s="460"/>
      <c r="BS505" s="460"/>
      <c r="BT505" s="460"/>
      <c r="BU505" s="460"/>
      <c r="BV505" s="460"/>
      <c r="BW505" s="460"/>
      <c r="BX505" s="460"/>
      <c r="BY505" s="460"/>
      <c r="BZ505" s="460"/>
      <c r="CA505" s="460"/>
      <c r="CB505" s="460"/>
      <c r="CC505" s="460"/>
      <c r="CD505" s="460"/>
      <c r="CE505" s="460"/>
      <c r="CF505" s="460"/>
      <c r="CG505" s="460"/>
      <c r="CH505" s="460"/>
      <c r="CI505" s="460"/>
      <c r="CJ505" s="460"/>
      <c r="CK505" s="460"/>
    </row>
    <row r="506" spans="1:89" s="329" customFormat="1" ht="36" customHeight="1" x14ac:dyDescent="0.25">
      <c r="A506" s="329">
        <v>1</v>
      </c>
      <c r="B506" s="39">
        <f>SUBTOTAL(103,$A$16:A506)</f>
        <v>436</v>
      </c>
      <c r="C506" s="33" t="s">
        <v>1399</v>
      </c>
      <c r="D506" s="330">
        <v>1979</v>
      </c>
      <c r="E506" s="330"/>
      <c r="F506" s="331" t="s">
        <v>48</v>
      </c>
      <c r="G506" s="330">
        <v>2</v>
      </c>
      <c r="H506" s="330" t="s">
        <v>56</v>
      </c>
      <c r="I506" s="38">
        <v>706</v>
      </c>
      <c r="J506" s="38">
        <v>706</v>
      </c>
      <c r="K506" s="38">
        <v>706</v>
      </c>
      <c r="L506" s="332">
        <v>42</v>
      </c>
      <c r="M506" s="330" t="s">
        <v>46</v>
      </c>
      <c r="N506" s="330" t="s">
        <v>50</v>
      </c>
      <c r="O506" s="333" t="s">
        <v>2103</v>
      </c>
      <c r="P506" s="38">
        <v>2718963.56</v>
      </c>
      <c r="Q506" s="38">
        <v>0</v>
      </c>
      <c r="R506" s="38">
        <v>0</v>
      </c>
      <c r="S506" s="38">
        <f>P506-Q506-R506</f>
        <v>2718963.56</v>
      </c>
      <c r="T506" s="38">
        <f t="shared" si="85"/>
        <v>3851.2231728045326</v>
      </c>
      <c r="U506" s="38">
        <v>5402.5617042492913</v>
      </c>
      <c r="V506" s="458">
        <f>U506-T506</f>
        <v>1551.3385314447587</v>
      </c>
      <c r="W506" s="458">
        <f>X506+Y506+Z506+AA506+AB506+AD506+AF506+AH506+AJ506+AL506+AN506+AO506</f>
        <v>5384.1970039660055</v>
      </c>
      <c r="X506" s="458">
        <v>0</v>
      </c>
      <c r="Y506" s="459">
        <v>0</v>
      </c>
      <c r="Z506" s="459">
        <v>0</v>
      </c>
      <c r="AA506" s="459">
        <v>0</v>
      </c>
      <c r="AB506" s="459">
        <v>0</v>
      </c>
      <c r="AC506" s="459">
        <v>0</v>
      </c>
      <c r="AD506" s="459">
        <v>0</v>
      </c>
      <c r="AE506" s="459">
        <v>609.28</v>
      </c>
      <c r="AF506" s="458">
        <f>6238.91*AE506/I506</f>
        <v>5384.1970039660055</v>
      </c>
      <c r="AG506" s="459">
        <v>0</v>
      </c>
      <c r="AH506" s="458">
        <v>0</v>
      </c>
      <c r="AI506" s="459">
        <v>0</v>
      </c>
      <c r="AJ506" s="458">
        <v>0</v>
      </c>
      <c r="AK506" s="459">
        <v>0</v>
      </c>
      <c r="AL506" s="459">
        <v>0</v>
      </c>
      <c r="AM506" s="459">
        <v>0</v>
      </c>
      <c r="AN506" s="459"/>
      <c r="AO506" s="459">
        <v>0</v>
      </c>
      <c r="AP506" s="460"/>
      <c r="AQ506" s="460"/>
      <c r="AR506" s="460"/>
      <c r="AS506" s="460"/>
      <c r="AT506" s="460"/>
      <c r="AU506" s="460"/>
      <c r="AV506" s="460"/>
      <c r="AW506" s="460"/>
      <c r="AX506" s="460"/>
      <c r="AY506" s="460"/>
      <c r="AZ506" s="460"/>
      <c r="BA506" s="460"/>
      <c r="BB506" s="460"/>
      <c r="BC506" s="460"/>
      <c r="BD506" s="460"/>
      <c r="BE506" s="460"/>
      <c r="BF506" s="460"/>
      <c r="BG506" s="460"/>
      <c r="BH506" s="460"/>
      <c r="BI506" s="460"/>
      <c r="BJ506" s="460"/>
      <c r="BK506" s="460"/>
      <c r="BL506" s="460"/>
      <c r="BM506" s="460"/>
      <c r="BN506" s="460"/>
      <c r="BO506" s="460"/>
      <c r="BP506" s="460"/>
      <c r="BQ506" s="460"/>
      <c r="BR506" s="460"/>
      <c r="BS506" s="460"/>
      <c r="BT506" s="460"/>
      <c r="BU506" s="460"/>
      <c r="BV506" s="460"/>
      <c r="BW506" s="460"/>
      <c r="BX506" s="460"/>
      <c r="BY506" s="460"/>
      <c r="BZ506" s="460"/>
      <c r="CA506" s="460"/>
      <c r="CB506" s="460"/>
      <c r="CC506" s="460"/>
      <c r="CD506" s="460"/>
      <c r="CE506" s="460"/>
      <c r="CF506" s="460"/>
      <c r="CG506" s="460"/>
      <c r="CH506" s="460"/>
      <c r="CI506" s="460"/>
      <c r="CJ506" s="460"/>
      <c r="CK506" s="460"/>
    </row>
    <row r="507" spans="1:89" s="329" customFormat="1" ht="36" customHeight="1" x14ac:dyDescent="0.25">
      <c r="A507" s="329">
        <v>1</v>
      </c>
      <c r="B507" s="39">
        <f>SUBTOTAL(103,$A$16:A507)</f>
        <v>437</v>
      </c>
      <c r="C507" s="33" t="s">
        <v>1400</v>
      </c>
      <c r="D507" s="330">
        <v>1969</v>
      </c>
      <c r="E507" s="330"/>
      <c r="F507" s="331" t="s">
        <v>48</v>
      </c>
      <c r="G507" s="330">
        <v>2</v>
      </c>
      <c r="H507" s="330" t="s">
        <v>56</v>
      </c>
      <c r="I507" s="38">
        <v>708.1</v>
      </c>
      <c r="J507" s="38">
        <v>708.1</v>
      </c>
      <c r="K507" s="38">
        <v>708.1</v>
      </c>
      <c r="L507" s="332">
        <v>42</v>
      </c>
      <c r="M507" s="330" t="s">
        <v>46</v>
      </c>
      <c r="N507" s="330" t="s">
        <v>50</v>
      </c>
      <c r="O507" s="333" t="s">
        <v>2103</v>
      </c>
      <c r="P507" s="38">
        <v>85099.19</v>
      </c>
      <c r="Q507" s="38">
        <v>0</v>
      </c>
      <c r="R507" s="38">
        <v>0</v>
      </c>
      <c r="S507" s="38">
        <f>P507-Q507-R507</f>
        <v>85099.19</v>
      </c>
      <c r="T507" s="38">
        <f t="shared" si="85"/>
        <v>120.17962152238384</v>
      </c>
      <c r="U507" s="38">
        <v>120.17962152238384</v>
      </c>
      <c r="V507" s="458">
        <f>U507-T507</f>
        <v>0</v>
      </c>
      <c r="W507" s="458">
        <f>X507+Y507+Z507+AA507+AB507+AD507+AF507+AH507+AJ507+AL507+AN507+AO507</f>
        <v>5368.229183448665</v>
      </c>
      <c r="X507" s="458">
        <v>0</v>
      </c>
      <c r="Y507" s="459">
        <v>0</v>
      </c>
      <c r="Z507" s="459">
        <v>0</v>
      </c>
      <c r="AA507" s="459">
        <v>0</v>
      </c>
      <c r="AB507" s="459">
        <v>0</v>
      </c>
      <c r="AC507" s="459">
        <v>0</v>
      </c>
      <c r="AD507" s="459">
        <v>0</v>
      </c>
      <c r="AE507" s="459">
        <v>609.28</v>
      </c>
      <c r="AF507" s="458">
        <f>6238.91*AE507/I507</f>
        <v>5368.229183448665</v>
      </c>
      <c r="AG507" s="459">
        <v>0</v>
      </c>
      <c r="AH507" s="458">
        <v>0</v>
      </c>
      <c r="AI507" s="459">
        <v>0</v>
      </c>
      <c r="AJ507" s="458">
        <v>0</v>
      </c>
      <c r="AK507" s="459">
        <v>0</v>
      </c>
      <c r="AL507" s="459">
        <v>0</v>
      </c>
      <c r="AM507" s="459">
        <v>0</v>
      </c>
      <c r="AN507" s="459"/>
      <c r="AO507" s="459">
        <v>0</v>
      </c>
      <c r="AP507" s="460"/>
      <c r="AQ507" s="460"/>
      <c r="AR507" s="460"/>
      <c r="AS507" s="460"/>
      <c r="AT507" s="460"/>
      <c r="AU507" s="460"/>
      <c r="AV507" s="460"/>
      <c r="AW507" s="460"/>
      <c r="AX507" s="460"/>
      <c r="AY507" s="460"/>
      <c r="AZ507" s="460"/>
      <c r="BA507" s="460"/>
      <c r="BB507" s="460"/>
      <c r="BC507" s="460"/>
      <c r="BD507" s="460"/>
      <c r="BE507" s="460"/>
      <c r="BF507" s="460"/>
      <c r="BG507" s="460"/>
      <c r="BH507" s="460"/>
      <c r="BI507" s="460"/>
      <c r="BJ507" s="460"/>
      <c r="BK507" s="460"/>
      <c r="BL507" s="460"/>
      <c r="BM507" s="460"/>
      <c r="BN507" s="460"/>
      <c r="BO507" s="460"/>
      <c r="BP507" s="460"/>
      <c r="BQ507" s="460"/>
      <c r="BR507" s="460"/>
      <c r="BS507" s="460"/>
      <c r="BT507" s="460"/>
      <c r="BU507" s="460"/>
      <c r="BV507" s="460"/>
      <c r="BW507" s="460"/>
      <c r="BX507" s="460"/>
      <c r="BY507" s="460"/>
      <c r="BZ507" s="460"/>
      <c r="CA507" s="460"/>
      <c r="CB507" s="460"/>
      <c r="CC507" s="460"/>
      <c r="CD507" s="460"/>
      <c r="CE507" s="460"/>
      <c r="CF507" s="460"/>
      <c r="CG507" s="460"/>
      <c r="CH507" s="460"/>
      <c r="CI507" s="460"/>
      <c r="CJ507" s="460"/>
      <c r="CK507" s="460"/>
    </row>
    <row r="508" spans="1:89" s="329" customFormat="1" ht="36" customHeight="1" x14ac:dyDescent="0.25">
      <c r="B508" s="33" t="s">
        <v>118</v>
      </c>
      <c r="C508" s="33"/>
      <c r="D508" s="330" t="s">
        <v>131</v>
      </c>
      <c r="E508" s="330" t="s">
        <v>131</v>
      </c>
      <c r="F508" s="330" t="s">
        <v>131</v>
      </c>
      <c r="G508" s="330" t="s">
        <v>131</v>
      </c>
      <c r="H508" s="330" t="s">
        <v>131</v>
      </c>
      <c r="I508" s="334">
        <f>SUM(I509:I510)</f>
        <v>2762.9</v>
      </c>
      <c r="J508" s="334">
        <f>SUM(J509:J510)</f>
        <v>2645</v>
      </c>
      <c r="K508" s="334">
        <f>SUM(K509:K510)</f>
        <v>2645</v>
      </c>
      <c r="L508" s="332">
        <f>SUM(L509:L510)</f>
        <v>125</v>
      </c>
      <c r="M508" s="330" t="s">
        <v>131</v>
      </c>
      <c r="N508" s="330" t="s">
        <v>131</v>
      </c>
      <c r="O508" s="333" t="s">
        <v>131</v>
      </c>
      <c r="P508" s="334">
        <v>4868704.13</v>
      </c>
      <c r="Q508" s="334">
        <f t="shared" ref="Q508:R508" si="96">SUM(Q509:Q510)</f>
        <v>0</v>
      </c>
      <c r="R508" s="334">
        <f t="shared" si="96"/>
        <v>0</v>
      </c>
      <c r="S508" s="334">
        <f>SUM(S509:S510)</f>
        <v>4868704.13</v>
      </c>
      <c r="T508" s="38">
        <f t="shared" si="85"/>
        <v>1762.171678309023</v>
      </c>
      <c r="U508" s="38">
        <f>MAX(U509:U510)</f>
        <v>3569.8449261624423</v>
      </c>
      <c r="V508" s="458">
        <f t="shared" si="87"/>
        <v>1807.6732478534193</v>
      </c>
      <c r="W508" s="458"/>
      <c r="X508" s="458"/>
      <c r="Y508" s="459"/>
      <c r="Z508" s="459"/>
      <c r="AA508" s="459"/>
      <c r="AB508" s="459"/>
      <c r="AC508" s="459"/>
      <c r="AD508" s="459"/>
      <c r="AE508" s="459"/>
      <c r="AF508" s="459"/>
      <c r="AG508" s="459"/>
      <c r="AH508" s="459"/>
      <c r="AI508" s="459"/>
      <c r="AJ508" s="459"/>
      <c r="AK508" s="459"/>
      <c r="AL508" s="459"/>
      <c r="AM508" s="459"/>
      <c r="AN508" s="459"/>
      <c r="AO508" s="459"/>
      <c r="AP508" s="460"/>
      <c r="AQ508" s="460"/>
      <c r="AR508" s="460"/>
      <c r="AS508" s="460"/>
      <c r="AT508" s="460"/>
      <c r="AU508" s="460"/>
      <c r="AV508" s="460"/>
      <c r="AW508" s="460"/>
      <c r="AX508" s="460"/>
      <c r="AY508" s="460"/>
      <c r="AZ508" s="460"/>
      <c r="BA508" s="460"/>
      <c r="BB508" s="460"/>
      <c r="BC508" s="460"/>
      <c r="BD508" s="460"/>
      <c r="BE508" s="460"/>
      <c r="BF508" s="460"/>
      <c r="BG508" s="460"/>
      <c r="BH508" s="460"/>
      <c r="BI508" s="460"/>
      <c r="BJ508" s="460"/>
      <c r="BK508" s="460"/>
      <c r="BL508" s="460"/>
      <c r="BM508" s="460"/>
      <c r="BN508" s="460"/>
      <c r="BO508" s="460"/>
      <c r="BP508" s="460"/>
      <c r="BQ508" s="460"/>
      <c r="BR508" s="460"/>
      <c r="BS508" s="460"/>
      <c r="BT508" s="460"/>
      <c r="BU508" s="460"/>
      <c r="BV508" s="460"/>
      <c r="BW508" s="460"/>
      <c r="BX508" s="460"/>
      <c r="BY508" s="460"/>
      <c r="BZ508" s="460"/>
      <c r="CA508" s="460"/>
      <c r="CB508" s="460"/>
      <c r="CC508" s="460"/>
      <c r="CD508" s="460"/>
      <c r="CE508" s="460"/>
      <c r="CF508" s="460"/>
      <c r="CG508" s="460"/>
      <c r="CH508" s="460"/>
      <c r="CI508" s="460"/>
      <c r="CJ508" s="460"/>
      <c r="CK508" s="460"/>
    </row>
    <row r="509" spans="1:89" s="329" customFormat="1" ht="36" customHeight="1" x14ac:dyDescent="0.25">
      <c r="A509" s="329">
        <v>1</v>
      </c>
      <c r="B509" s="39">
        <f>SUBTOTAL(103,$A$16:A509)</f>
        <v>438</v>
      </c>
      <c r="C509" s="33" t="s">
        <v>1401</v>
      </c>
      <c r="D509" s="330">
        <v>1980</v>
      </c>
      <c r="E509" s="330"/>
      <c r="F509" s="331" t="s">
        <v>48</v>
      </c>
      <c r="G509" s="330" t="s">
        <v>61</v>
      </c>
      <c r="H509" s="330" t="s">
        <v>61</v>
      </c>
      <c r="I509" s="38">
        <v>2004.4</v>
      </c>
      <c r="J509" s="38">
        <v>1886.5</v>
      </c>
      <c r="K509" s="38">
        <v>1886.5</v>
      </c>
      <c r="L509" s="332">
        <v>94</v>
      </c>
      <c r="M509" s="330" t="s">
        <v>46</v>
      </c>
      <c r="N509" s="330" t="s">
        <v>50</v>
      </c>
      <c r="O509" s="333" t="s">
        <v>51</v>
      </c>
      <c r="P509" s="38">
        <v>4831403.93</v>
      </c>
      <c r="Q509" s="38">
        <v>0</v>
      </c>
      <c r="R509" s="38">
        <v>0</v>
      </c>
      <c r="S509" s="38">
        <f>P509-Q509-R509</f>
        <v>4831403.93</v>
      </c>
      <c r="T509" s="38">
        <f t="shared" si="85"/>
        <v>2410.3990870085809</v>
      </c>
      <c r="U509" s="38">
        <v>3569.8449261624423</v>
      </c>
      <c r="V509" s="458">
        <f t="shared" si="87"/>
        <v>1159.4458391538615</v>
      </c>
      <c r="W509" s="458">
        <f t="shared" ref="W509" si="97">X509+Y509+Z509+AA509+AB509+AD509+AF509+AH509+AJ509+AL509+AN509+AO509</f>
        <v>3557.7101027738972</v>
      </c>
      <c r="X509" s="458">
        <v>0</v>
      </c>
      <c r="Y509" s="459">
        <v>0</v>
      </c>
      <c r="Z509" s="459">
        <v>0</v>
      </c>
      <c r="AA509" s="459">
        <v>0</v>
      </c>
      <c r="AB509" s="459">
        <v>0</v>
      </c>
      <c r="AC509" s="459">
        <v>0</v>
      </c>
      <c r="AD509" s="459">
        <v>0</v>
      </c>
      <c r="AE509" s="459">
        <v>1143</v>
      </c>
      <c r="AF509" s="458">
        <f>6238.91*AE509/I509</f>
        <v>3557.7101027738972</v>
      </c>
      <c r="AG509" s="459">
        <v>0</v>
      </c>
      <c r="AH509" s="458">
        <v>0</v>
      </c>
      <c r="AI509" s="459">
        <v>0</v>
      </c>
      <c r="AJ509" s="458">
        <v>0</v>
      </c>
      <c r="AK509" s="459">
        <v>0</v>
      </c>
      <c r="AL509" s="459">
        <v>0</v>
      </c>
      <c r="AM509" s="459">
        <v>0</v>
      </c>
      <c r="AN509" s="459"/>
      <c r="AO509" s="459">
        <v>0</v>
      </c>
      <c r="AP509" s="460"/>
      <c r="AQ509" s="460"/>
      <c r="AR509" s="460"/>
      <c r="AS509" s="460"/>
      <c r="AT509" s="460"/>
      <c r="AU509" s="460"/>
      <c r="AV509" s="460"/>
      <c r="AW509" s="460"/>
      <c r="AX509" s="460"/>
      <c r="AY509" s="460"/>
      <c r="AZ509" s="460"/>
      <c r="BA509" s="460"/>
      <c r="BB509" s="460"/>
      <c r="BC509" s="460"/>
      <c r="BD509" s="460"/>
      <c r="BE509" s="460"/>
      <c r="BF509" s="460"/>
      <c r="BG509" s="460"/>
      <c r="BH509" s="460"/>
      <c r="BI509" s="460"/>
      <c r="BJ509" s="460"/>
      <c r="BK509" s="460"/>
      <c r="BL509" s="460"/>
      <c r="BM509" s="460"/>
      <c r="BN509" s="460"/>
      <c r="BO509" s="460"/>
      <c r="BP509" s="460"/>
      <c r="BQ509" s="460"/>
      <c r="BR509" s="460"/>
      <c r="BS509" s="460"/>
      <c r="BT509" s="460"/>
      <c r="BU509" s="460"/>
      <c r="BV509" s="460"/>
      <c r="BW509" s="460"/>
      <c r="BX509" s="460"/>
      <c r="BY509" s="460"/>
      <c r="BZ509" s="460"/>
      <c r="CA509" s="460"/>
      <c r="CB509" s="460"/>
      <c r="CC509" s="460"/>
      <c r="CD509" s="460"/>
      <c r="CE509" s="460"/>
      <c r="CF509" s="460"/>
      <c r="CG509" s="460"/>
      <c r="CH509" s="460"/>
      <c r="CI509" s="460"/>
      <c r="CJ509" s="460"/>
      <c r="CK509" s="460"/>
    </row>
    <row r="510" spans="1:89" s="329" customFormat="1" ht="36" customHeight="1" x14ac:dyDescent="0.25">
      <c r="A510" s="329">
        <v>1</v>
      </c>
      <c r="B510" s="39">
        <f>SUBTOTAL(103,$A$16:A510)</f>
        <v>439</v>
      </c>
      <c r="C510" s="33" t="s">
        <v>1402</v>
      </c>
      <c r="D510" s="330">
        <v>1974</v>
      </c>
      <c r="E510" s="330"/>
      <c r="F510" s="331" t="s">
        <v>2004</v>
      </c>
      <c r="G510" s="330">
        <v>2</v>
      </c>
      <c r="H510" s="330" t="s">
        <v>61</v>
      </c>
      <c r="I510" s="334">
        <v>758.5</v>
      </c>
      <c r="J510" s="334">
        <v>758.5</v>
      </c>
      <c r="K510" s="334">
        <v>758.5</v>
      </c>
      <c r="L510" s="332">
        <v>31</v>
      </c>
      <c r="M510" s="330" t="s">
        <v>46</v>
      </c>
      <c r="N510" s="330" t="s">
        <v>47</v>
      </c>
      <c r="O510" s="333" t="s">
        <v>49</v>
      </c>
      <c r="P510" s="38">
        <v>37300.199999999997</v>
      </c>
      <c r="Q510" s="38">
        <v>0</v>
      </c>
      <c r="R510" s="38">
        <v>0</v>
      </c>
      <c r="S510" s="38">
        <f>P510-Q510-R510</f>
        <v>37300.199999999997</v>
      </c>
      <c r="T510" s="38">
        <f t="shared" si="85"/>
        <v>49.176268951878704</v>
      </c>
      <c r="U510" s="38">
        <v>59.011522742254449</v>
      </c>
      <c r="V510" s="458">
        <f t="shared" si="87"/>
        <v>9.8352537903757451</v>
      </c>
      <c r="W510" s="458">
        <f>T510</f>
        <v>49.176268951878704</v>
      </c>
      <c r="X510" s="458">
        <v>0</v>
      </c>
      <c r="Y510" s="459">
        <v>0</v>
      </c>
      <c r="Z510" s="459">
        <v>0</v>
      </c>
      <c r="AA510" s="459">
        <v>184.98</v>
      </c>
      <c r="AB510" s="459">
        <v>0</v>
      </c>
      <c r="AC510" s="459">
        <v>0</v>
      </c>
      <c r="AD510" s="459">
        <v>0</v>
      </c>
      <c r="AE510" s="459">
        <v>0</v>
      </c>
      <c r="AF510" s="458">
        <v>0</v>
      </c>
      <c r="AG510" s="459">
        <v>0</v>
      </c>
      <c r="AH510" s="458">
        <v>0</v>
      </c>
      <c r="AI510" s="459">
        <v>0</v>
      </c>
      <c r="AJ510" s="458">
        <v>0</v>
      </c>
      <c r="AK510" s="459">
        <v>0</v>
      </c>
      <c r="AL510" s="459">
        <v>0</v>
      </c>
      <c r="AM510" s="459">
        <v>0</v>
      </c>
      <c r="AN510" s="459"/>
      <c r="AO510" s="459">
        <v>0</v>
      </c>
      <c r="AP510" s="460"/>
      <c r="AQ510" s="460"/>
      <c r="AR510" s="460"/>
      <c r="AS510" s="460"/>
      <c r="AT510" s="460"/>
      <c r="AU510" s="460"/>
      <c r="AV510" s="460"/>
      <c r="AW510" s="460"/>
      <c r="AX510" s="460"/>
      <c r="AY510" s="460"/>
      <c r="AZ510" s="460"/>
      <c r="BA510" s="460"/>
      <c r="BB510" s="460"/>
      <c r="BC510" s="460"/>
      <c r="BD510" s="460"/>
      <c r="BE510" s="460"/>
      <c r="BF510" s="460"/>
      <c r="BG510" s="460"/>
      <c r="BH510" s="460"/>
      <c r="BI510" s="460"/>
      <c r="BJ510" s="460"/>
      <c r="BK510" s="460"/>
      <c r="BL510" s="460"/>
      <c r="BM510" s="460"/>
      <c r="BN510" s="460"/>
      <c r="BO510" s="460"/>
      <c r="BP510" s="460"/>
      <c r="BQ510" s="460"/>
      <c r="BR510" s="460"/>
      <c r="BS510" s="460"/>
      <c r="BT510" s="460"/>
      <c r="BU510" s="460"/>
      <c r="BV510" s="460"/>
      <c r="BW510" s="460"/>
      <c r="BX510" s="460"/>
      <c r="BY510" s="460"/>
      <c r="BZ510" s="460"/>
      <c r="CA510" s="460"/>
      <c r="CB510" s="460"/>
      <c r="CC510" s="460"/>
      <c r="CD510" s="460"/>
      <c r="CE510" s="460"/>
      <c r="CF510" s="460"/>
      <c r="CG510" s="460"/>
      <c r="CH510" s="460"/>
      <c r="CI510" s="460"/>
      <c r="CJ510" s="460"/>
      <c r="CK510" s="460"/>
    </row>
    <row r="511" spans="1:89" s="329" customFormat="1" ht="36" customHeight="1" x14ac:dyDescent="0.25">
      <c r="B511" s="33" t="s">
        <v>119</v>
      </c>
      <c r="C511" s="33"/>
      <c r="D511" s="330" t="s">
        <v>131</v>
      </c>
      <c r="E511" s="330" t="s">
        <v>131</v>
      </c>
      <c r="F511" s="330" t="s">
        <v>131</v>
      </c>
      <c r="G511" s="330" t="s">
        <v>131</v>
      </c>
      <c r="H511" s="330" t="s">
        <v>131</v>
      </c>
      <c r="I511" s="334">
        <f>I512</f>
        <v>702.7</v>
      </c>
      <c r="J511" s="334">
        <f>J512</f>
        <v>702.7</v>
      </c>
      <c r="K511" s="334">
        <f>K512</f>
        <v>702.7</v>
      </c>
      <c r="L511" s="332">
        <f>L512</f>
        <v>16</v>
      </c>
      <c r="M511" s="330" t="s">
        <v>131</v>
      </c>
      <c r="N511" s="330" t="s">
        <v>131</v>
      </c>
      <c r="O511" s="333" t="s">
        <v>131</v>
      </c>
      <c r="P511" s="38">
        <v>2570556.2200000002</v>
      </c>
      <c r="Q511" s="38">
        <f>Q512</f>
        <v>0</v>
      </c>
      <c r="R511" s="38">
        <f>R512</f>
        <v>0</v>
      </c>
      <c r="S511" s="38">
        <f>S512</f>
        <v>2570556.2200000002</v>
      </c>
      <c r="T511" s="38">
        <f t="shared" si="85"/>
        <v>3658.1133058204073</v>
      </c>
      <c r="U511" s="38">
        <f>MAX(U512)</f>
        <v>6188.9198704995015</v>
      </c>
      <c r="V511" s="458">
        <f t="shared" si="87"/>
        <v>2530.8065646790942</v>
      </c>
      <c r="W511" s="458"/>
      <c r="X511" s="458"/>
      <c r="Y511" s="459"/>
      <c r="Z511" s="459"/>
      <c r="AA511" s="459"/>
      <c r="AB511" s="459"/>
      <c r="AC511" s="459"/>
      <c r="AD511" s="459"/>
      <c r="AE511" s="459"/>
      <c r="AF511" s="459"/>
      <c r="AG511" s="459"/>
      <c r="AH511" s="459"/>
      <c r="AI511" s="459"/>
      <c r="AJ511" s="459"/>
      <c r="AK511" s="459"/>
      <c r="AL511" s="459"/>
      <c r="AM511" s="459"/>
      <c r="AN511" s="459"/>
      <c r="AO511" s="459"/>
      <c r="AP511" s="460"/>
      <c r="AQ511" s="460"/>
      <c r="AR511" s="460"/>
      <c r="AS511" s="460"/>
      <c r="AT511" s="460"/>
      <c r="AU511" s="460"/>
      <c r="AV511" s="460"/>
      <c r="AW511" s="460"/>
      <c r="AX511" s="460"/>
      <c r="AY511" s="460"/>
      <c r="AZ511" s="460"/>
      <c r="BA511" s="460"/>
      <c r="BB511" s="460"/>
      <c r="BC511" s="460"/>
      <c r="BD511" s="460"/>
      <c r="BE511" s="460"/>
      <c r="BF511" s="460"/>
      <c r="BG511" s="460"/>
      <c r="BH511" s="460"/>
      <c r="BI511" s="460"/>
      <c r="BJ511" s="460"/>
      <c r="BK511" s="460"/>
      <c r="BL511" s="460"/>
      <c r="BM511" s="460"/>
      <c r="BN511" s="460"/>
      <c r="BO511" s="460"/>
      <c r="BP511" s="460"/>
      <c r="BQ511" s="460"/>
      <c r="BR511" s="460"/>
      <c r="BS511" s="460"/>
      <c r="BT511" s="460"/>
      <c r="BU511" s="460"/>
      <c r="BV511" s="460"/>
      <c r="BW511" s="460"/>
      <c r="BX511" s="460"/>
      <c r="BY511" s="460"/>
      <c r="BZ511" s="460"/>
      <c r="CA511" s="460"/>
      <c r="CB511" s="460"/>
      <c r="CC511" s="460"/>
      <c r="CD511" s="460"/>
      <c r="CE511" s="460"/>
      <c r="CF511" s="460"/>
      <c r="CG511" s="460"/>
      <c r="CH511" s="460"/>
      <c r="CI511" s="460"/>
      <c r="CJ511" s="460"/>
      <c r="CK511" s="460"/>
    </row>
    <row r="512" spans="1:89" s="329" customFormat="1" ht="36" customHeight="1" x14ac:dyDescent="0.25">
      <c r="A512" s="329">
        <v>1</v>
      </c>
      <c r="B512" s="39">
        <f>SUBTOTAL(103,$A$16:A512)</f>
        <v>440</v>
      </c>
      <c r="C512" s="33" t="s">
        <v>1403</v>
      </c>
      <c r="D512" s="330">
        <v>1969</v>
      </c>
      <c r="E512" s="330"/>
      <c r="F512" s="331" t="s">
        <v>48</v>
      </c>
      <c r="G512" s="330">
        <v>2</v>
      </c>
      <c r="H512" s="330" t="s">
        <v>56</v>
      </c>
      <c r="I512" s="38">
        <v>702.7</v>
      </c>
      <c r="J512" s="38">
        <v>702.7</v>
      </c>
      <c r="K512" s="38">
        <v>702.7</v>
      </c>
      <c r="L512" s="332">
        <v>16</v>
      </c>
      <c r="M512" s="330" t="s">
        <v>46</v>
      </c>
      <c r="N512" s="330" t="s">
        <v>50</v>
      </c>
      <c r="O512" s="333" t="s">
        <v>52</v>
      </c>
      <c r="P512" s="38">
        <v>2570556.2200000002</v>
      </c>
      <c r="Q512" s="38">
        <v>0</v>
      </c>
      <c r="R512" s="38">
        <v>0</v>
      </c>
      <c r="S512" s="38">
        <f>P512-Q512-R512</f>
        <v>2570556.2200000002</v>
      </c>
      <c r="T512" s="38">
        <f t="shared" si="85"/>
        <v>3658.1133058204073</v>
      </c>
      <c r="U512" s="38">
        <v>6188.9198704995015</v>
      </c>
      <c r="V512" s="458">
        <f>U512-T512</f>
        <v>2530.8065646790942</v>
      </c>
      <c r="W512" s="458">
        <f>X512+Y512+Z512+AA512+AB512+AD512+AF512+AH512+AJ512+AL512+AN512+AO512</f>
        <v>6167.8821360466764</v>
      </c>
      <c r="X512" s="458">
        <v>0</v>
      </c>
      <c r="Y512" s="459">
        <v>0</v>
      </c>
      <c r="Z512" s="459">
        <v>0</v>
      </c>
      <c r="AA512" s="459">
        <v>0</v>
      </c>
      <c r="AB512" s="459">
        <v>0</v>
      </c>
      <c r="AC512" s="459">
        <v>0</v>
      </c>
      <c r="AD512" s="459">
        <v>0</v>
      </c>
      <c r="AE512" s="459">
        <v>694.7</v>
      </c>
      <c r="AF512" s="458">
        <f>6238.91*AE512/I512</f>
        <v>6167.8821360466764</v>
      </c>
      <c r="AG512" s="459">
        <v>0</v>
      </c>
      <c r="AH512" s="458">
        <v>0</v>
      </c>
      <c r="AI512" s="459">
        <v>0</v>
      </c>
      <c r="AJ512" s="458">
        <v>0</v>
      </c>
      <c r="AK512" s="459">
        <v>0</v>
      </c>
      <c r="AL512" s="459">
        <v>0</v>
      </c>
      <c r="AM512" s="459">
        <v>0</v>
      </c>
      <c r="AN512" s="459"/>
      <c r="AO512" s="459">
        <v>0</v>
      </c>
      <c r="AP512" s="460"/>
      <c r="AQ512" s="460"/>
      <c r="AR512" s="460"/>
      <c r="AS512" s="460"/>
      <c r="AT512" s="460"/>
      <c r="AU512" s="460"/>
      <c r="AV512" s="460"/>
      <c r="AW512" s="460"/>
      <c r="AX512" s="460"/>
      <c r="AY512" s="460"/>
      <c r="AZ512" s="460"/>
      <c r="BA512" s="460"/>
      <c r="BB512" s="460"/>
      <c r="BC512" s="460"/>
      <c r="BD512" s="460"/>
      <c r="BE512" s="460"/>
      <c r="BF512" s="460"/>
      <c r="BG512" s="460"/>
      <c r="BH512" s="460"/>
      <c r="BI512" s="460"/>
      <c r="BJ512" s="460"/>
      <c r="BK512" s="460"/>
      <c r="BL512" s="460"/>
      <c r="BM512" s="460"/>
      <c r="BN512" s="460"/>
      <c r="BO512" s="460"/>
      <c r="BP512" s="460"/>
      <c r="BQ512" s="460"/>
      <c r="BR512" s="460"/>
      <c r="BS512" s="460"/>
      <c r="BT512" s="460"/>
      <c r="BU512" s="460"/>
      <c r="BV512" s="460"/>
      <c r="BW512" s="460"/>
      <c r="BX512" s="460"/>
      <c r="BY512" s="460"/>
      <c r="BZ512" s="460"/>
      <c r="CA512" s="460"/>
      <c r="CB512" s="460"/>
      <c r="CC512" s="460"/>
      <c r="CD512" s="460"/>
      <c r="CE512" s="460"/>
      <c r="CF512" s="460"/>
      <c r="CG512" s="460"/>
      <c r="CH512" s="460"/>
      <c r="CI512" s="460"/>
      <c r="CJ512" s="460"/>
      <c r="CK512" s="460"/>
    </row>
    <row r="513" spans="1:89" s="329" customFormat="1" ht="36" customHeight="1" x14ac:dyDescent="0.25">
      <c r="B513" s="33" t="s">
        <v>1404</v>
      </c>
      <c r="C513" s="33"/>
      <c r="D513" s="330" t="s">
        <v>131</v>
      </c>
      <c r="E513" s="330" t="s">
        <v>131</v>
      </c>
      <c r="F513" s="330" t="s">
        <v>131</v>
      </c>
      <c r="G513" s="330" t="s">
        <v>131</v>
      </c>
      <c r="H513" s="330" t="s">
        <v>131</v>
      </c>
      <c r="I513" s="334">
        <f>SUM(I514:I515)</f>
        <v>1625.9</v>
      </c>
      <c r="J513" s="334">
        <f>SUM(J514:J515)</f>
        <v>1564.5</v>
      </c>
      <c r="K513" s="334">
        <f>SUM(K514:K515)</f>
        <v>1564.5</v>
      </c>
      <c r="L513" s="332">
        <f>SUM(L514:L515)</f>
        <v>63</v>
      </c>
      <c r="M513" s="330" t="s">
        <v>131</v>
      </c>
      <c r="N513" s="330" t="s">
        <v>131</v>
      </c>
      <c r="O513" s="333" t="s">
        <v>131</v>
      </c>
      <c r="P513" s="38">
        <v>2397267.1699999995</v>
      </c>
      <c r="Q513" s="334">
        <f t="shared" ref="Q513:S513" si="98">SUM(Q514:Q515)</f>
        <v>0</v>
      </c>
      <c r="R513" s="334">
        <f t="shared" si="98"/>
        <v>0</v>
      </c>
      <c r="S513" s="334">
        <f t="shared" si="98"/>
        <v>2397267.1699999995</v>
      </c>
      <c r="T513" s="38">
        <f t="shared" si="85"/>
        <v>1474.4247309182601</v>
      </c>
      <c r="U513" s="38">
        <f>MAX(U514:U515)</f>
        <v>4156.29</v>
      </c>
      <c r="V513" s="458">
        <f t="shared" si="87"/>
        <v>2681.8652690817398</v>
      </c>
      <c r="W513" s="458"/>
      <c r="X513" s="458"/>
      <c r="Y513" s="459"/>
      <c r="Z513" s="459"/>
      <c r="AA513" s="459"/>
      <c r="AB513" s="459"/>
      <c r="AC513" s="459"/>
      <c r="AD513" s="459"/>
      <c r="AE513" s="459"/>
      <c r="AF513" s="459"/>
      <c r="AG513" s="459"/>
      <c r="AH513" s="459"/>
      <c r="AI513" s="459"/>
      <c r="AJ513" s="459"/>
      <c r="AK513" s="459"/>
      <c r="AL513" s="459"/>
      <c r="AM513" s="459"/>
      <c r="AN513" s="459"/>
      <c r="AO513" s="459"/>
      <c r="AP513" s="460"/>
      <c r="AQ513" s="460"/>
      <c r="AR513" s="460"/>
      <c r="AS513" s="460"/>
      <c r="AT513" s="460"/>
      <c r="AU513" s="460"/>
      <c r="AV513" s="460"/>
      <c r="AW513" s="460"/>
      <c r="AX513" s="460"/>
      <c r="AY513" s="460"/>
      <c r="AZ513" s="460"/>
      <c r="BA513" s="460"/>
      <c r="BB513" s="460"/>
      <c r="BC513" s="460"/>
      <c r="BD513" s="460"/>
      <c r="BE513" s="460"/>
      <c r="BF513" s="460"/>
      <c r="BG513" s="460"/>
      <c r="BH513" s="460"/>
      <c r="BI513" s="460"/>
      <c r="BJ513" s="460"/>
      <c r="BK513" s="460"/>
      <c r="BL513" s="460"/>
      <c r="BM513" s="460"/>
      <c r="BN513" s="460"/>
      <c r="BO513" s="460"/>
      <c r="BP513" s="460"/>
      <c r="BQ513" s="460"/>
      <c r="BR513" s="460"/>
      <c r="BS513" s="460"/>
      <c r="BT513" s="460"/>
      <c r="BU513" s="460"/>
      <c r="BV513" s="460"/>
      <c r="BW513" s="460"/>
      <c r="BX513" s="460"/>
      <c r="BY513" s="460"/>
      <c r="BZ513" s="460"/>
      <c r="CA513" s="460"/>
      <c r="CB513" s="460"/>
      <c r="CC513" s="460"/>
      <c r="CD513" s="460"/>
      <c r="CE513" s="460"/>
      <c r="CF513" s="460"/>
      <c r="CG513" s="460"/>
      <c r="CH513" s="460"/>
      <c r="CI513" s="460"/>
      <c r="CJ513" s="460"/>
      <c r="CK513" s="460"/>
    </row>
    <row r="514" spans="1:89" s="329" customFormat="1" ht="36" customHeight="1" x14ac:dyDescent="0.25">
      <c r="A514" s="329">
        <v>1</v>
      </c>
      <c r="B514" s="39">
        <f>SUBTOTAL(103,$A$16:A514)</f>
        <v>441</v>
      </c>
      <c r="C514" s="33" t="s">
        <v>1405</v>
      </c>
      <c r="D514" s="330">
        <v>1981</v>
      </c>
      <c r="E514" s="330"/>
      <c r="F514" s="331" t="s">
        <v>70</v>
      </c>
      <c r="G514" s="330">
        <v>2</v>
      </c>
      <c r="H514" s="330" t="s">
        <v>61</v>
      </c>
      <c r="I514" s="38">
        <v>837.6</v>
      </c>
      <c r="J514" s="38">
        <v>837.6</v>
      </c>
      <c r="K514" s="38">
        <v>837.6</v>
      </c>
      <c r="L514" s="332">
        <v>47</v>
      </c>
      <c r="M514" s="330" t="s">
        <v>46</v>
      </c>
      <c r="N514" s="330" t="s">
        <v>50</v>
      </c>
      <c r="O514" s="333" t="s">
        <v>2104</v>
      </c>
      <c r="P514" s="38">
        <v>2309984.3499999996</v>
      </c>
      <c r="Q514" s="38">
        <v>0</v>
      </c>
      <c r="R514" s="38">
        <v>0</v>
      </c>
      <c r="S514" s="38">
        <f>P514-Q514-R514</f>
        <v>2309984.3499999996</v>
      </c>
      <c r="T514" s="38">
        <f t="shared" si="85"/>
        <v>2757.8609718242592</v>
      </c>
      <c r="U514" s="38">
        <v>4156.29</v>
      </c>
      <c r="V514" s="458">
        <f>U514-T514</f>
        <v>1398.4290281757408</v>
      </c>
      <c r="W514" s="458">
        <f>X514+Y514+Z514+AA514+AB514+AD514+AF514+AH514+AJ514+AL514+AN514+AO514</f>
        <v>4239.95</v>
      </c>
      <c r="X514" s="458">
        <v>0</v>
      </c>
      <c r="Y514" s="459">
        <v>0</v>
      </c>
      <c r="Z514" s="459">
        <v>3259.66</v>
      </c>
      <c r="AA514" s="459">
        <v>184.98</v>
      </c>
      <c r="AB514" s="459">
        <v>795.31</v>
      </c>
      <c r="AC514" s="459">
        <v>0</v>
      </c>
      <c r="AD514" s="459">
        <v>0</v>
      </c>
      <c r="AE514" s="459">
        <v>0</v>
      </c>
      <c r="AF514" s="458">
        <v>0</v>
      </c>
      <c r="AG514" s="459">
        <v>0</v>
      </c>
      <c r="AH514" s="458">
        <v>0</v>
      </c>
      <c r="AI514" s="459">
        <v>0</v>
      </c>
      <c r="AJ514" s="458">
        <v>0</v>
      </c>
      <c r="AK514" s="459">
        <v>0</v>
      </c>
      <c r="AL514" s="459">
        <v>0</v>
      </c>
      <c r="AM514" s="459">
        <v>0</v>
      </c>
      <c r="AN514" s="459"/>
      <c r="AO514" s="459">
        <v>0</v>
      </c>
      <c r="AP514" s="460"/>
      <c r="AQ514" s="460"/>
      <c r="AR514" s="460"/>
      <c r="AS514" s="460"/>
      <c r="AT514" s="460"/>
      <c r="AU514" s="460"/>
      <c r="AV514" s="460"/>
      <c r="AW514" s="460"/>
      <c r="AX514" s="460"/>
      <c r="AY514" s="460"/>
      <c r="AZ514" s="460"/>
      <c r="BA514" s="460"/>
      <c r="BB514" s="460"/>
      <c r="BC514" s="460"/>
      <c r="BD514" s="460"/>
      <c r="BE514" s="460"/>
      <c r="BF514" s="460"/>
      <c r="BG514" s="460"/>
      <c r="BH514" s="460"/>
      <c r="BI514" s="460"/>
      <c r="BJ514" s="460"/>
      <c r="BK514" s="460"/>
      <c r="BL514" s="460"/>
      <c r="BM514" s="460"/>
      <c r="BN514" s="460"/>
      <c r="BO514" s="460"/>
      <c r="BP514" s="460"/>
      <c r="BQ514" s="460"/>
      <c r="BR514" s="460"/>
      <c r="BS514" s="460"/>
      <c r="BT514" s="460"/>
      <c r="BU514" s="460"/>
      <c r="BV514" s="460"/>
      <c r="BW514" s="460"/>
      <c r="BX514" s="460"/>
      <c r="BY514" s="460"/>
      <c r="BZ514" s="460"/>
      <c r="CA514" s="460"/>
      <c r="CB514" s="460"/>
      <c r="CC514" s="460"/>
      <c r="CD514" s="460"/>
      <c r="CE514" s="460"/>
      <c r="CF514" s="460"/>
      <c r="CG514" s="460"/>
      <c r="CH514" s="460"/>
      <c r="CI514" s="460"/>
      <c r="CJ514" s="460"/>
      <c r="CK514" s="460"/>
    </row>
    <row r="515" spans="1:89" s="329" customFormat="1" ht="36" customHeight="1" x14ac:dyDescent="0.25">
      <c r="A515" s="329">
        <v>1</v>
      </c>
      <c r="B515" s="39">
        <f>SUBTOTAL(103,$A$16:A515)</f>
        <v>442</v>
      </c>
      <c r="C515" s="33" t="s">
        <v>1406</v>
      </c>
      <c r="D515" s="330">
        <v>1972</v>
      </c>
      <c r="E515" s="330"/>
      <c r="F515" s="331" t="s">
        <v>48</v>
      </c>
      <c r="G515" s="330">
        <v>2</v>
      </c>
      <c r="H515" s="330" t="s">
        <v>56</v>
      </c>
      <c r="I515" s="38">
        <v>788.3</v>
      </c>
      <c r="J515" s="38">
        <v>726.9</v>
      </c>
      <c r="K515" s="38">
        <v>726.9</v>
      </c>
      <c r="L515" s="332">
        <v>16</v>
      </c>
      <c r="M515" s="330" t="s">
        <v>46</v>
      </c>
      <c r="N515" s="330" t="s">
        <v>2031</v>
      </c>
      <c r="O515" s="333" t="s">
        <v>49</v>
      </c>
      <c r="P515" s="38">
        <v>87282.82</v>
      </c>
      <c r="Q515" s="38">
        <v>0</v>
      </c>
      <c r="R515" s="38">
        <v>0</v>
      </c>
      <c r="S515" s="38">
        <f>P515-Q515-R515</f>
        <v>87282.82</v>
      </c>
      <c r="T515" s="38">
        <f t="shared" si="85"/>
        <v>110.72284663199291</v>
      </c>
      <c r="U515" s="38">
        <v>110.72284663199291</v>
      </c>
      <c r="V515" s="458">
        <f>U515-T515</f>
        <v>0</v>
      </c>
      <c r="W515" s="458">
        <f>X515+Y515+Z515+AA515+AB515+AD515+AF515+AH515+AJ515+AL515+AN515+AO515</f>
        <v>4239.95</v>
      </c>
      <c r="X515" s="458">
        <v>0</v>
      </c>
      <c r="Y515" s="459">
        <v>0</v>
      </c>
      <c r="Z515" s="459">
        <v>3259.66</v>
      </c>
      <c r="AA515" s="459">
        <v>184.98</v>
      </c>
      <c r="AB515" s="459">
        <v>795.31</v>
      </c>
      <c r="AC515" s="459">
        <v>0</v>
      </c>
      <c r="AD515" s="459">
        <v>0</v>
      </c>
      <c r="AE515" s="459">
        <v>0</v>
      </c>
      <c r="AF515" s="458">
        <v>0</v>
      </c>
      <c r="AG515" s="459">
        <v>0</v>
      </c>
      <c r="AH515" s="458">
        <v>0</v>
      </c>
      <c r="AI515" s="459">
        <v>0</v>
      </c>
      <c r="AJ515" s="458">
        <v>0</v>
      </c>
      <c r="AK515" s="459">
        <v>0</v>
      </c>
      <c r="AL515" s="459">
        <v>0</v>
      </c>
      <c r="AM515" s="459">
        <v>0</v>
      </c>
      <c r="AN515" s="459"/>
      <c r="AO515" s="459">
        <v>0</v>
      </c>
      <c r="AP515" s="460"/>
      <c r="AQ515" s="460"/>
      <c r="AR515" s="460"/>
      <c r="AS515" s="460"/>
      <c r="AT515" s="460"/>
      <c r="AU515" s="460"/>
      <c r="AV515" s="460"/>
      <c r="AW515" s="460"/>
      <c r="AX515" s="460"/>
      <c r="AY515" s="460"/>
      <c r="AZ515" s="460"/>
      <c r="BA515" s="460"/>
      <c r="BB515" s="460"/>
      <c r="BC515" s="460"/>
      <c r="BD515" s="460"/>
      <c r="BE515" s="460"/>
      <c r="BF515" s="460"/>
      <c r="BG515" s="460"/>
      <c r="BH515" s="460"/>
      <c r="BI515" s="460"/>
      <c r="BJ515" s="460"/>
      <c r="BK515" s="460"/>
      <c r="BL515" s="460"/>
      <c r="BM515" s="460"/>
      <c r="BN515" s="460"/>
      <c r="BO515" s="460"/>
      <c r="BP515" s="460"/>
      <c r="BQ515" s="460"/>
      <c r="BR515" s="460"/>
      <c r="BS515" s="460"/>
      <c r="BT515" s="460"/>
      <c r="BU515" s="460"/>
      <c r="BV515" s="460"/>
      <c r="BW515" s="460"/>
      <c r="BX515" s="460"/>
      <c r="BY515" s="460"/>
      <c r="BZ515" s="460"/>
      <c r="CA515" s="460"/>
      <c r="CB515" s="460"/>
      <c r="CC515" s="460"/>
      <c r="CD515" s="460"/>
      <c r="CE515" s="460"/>
      <c r="CF515" s="460"/>
      <c r="CG515" s="460"/>
      <c r="CH515" s="460"/>
      <c r="CI515" s="460"/>
      <c r="CJ515" s="460"/>
      <c r="CK515" s="460"/>
    </row>
    <row r="516" spans="1:89" s="329" customFormat="1" ht="36" customHeight="1" x14ac:dyDescent="0.25">
      <c r="B516" s="33" t="s">
        <v>120</v>
      </c>
      <c r="C516" s="462"/>
      <c r="D516" s="330" t="s">
        <v>131</v>
      </c>
      <c r="E516" s="330" t="s">
        <v>131</v>
      </c>
      <c r="F516" s="330" t="s">
        <v>131</v>
      </c>
      <c r="G516" s="330" t="s">
        <v>131</v>
      </c>
      <c r="H516" s="330" t="s">
        <v>131</v>
      </c>
      <c r="I516" s="334">
        <f>SUM(I517:I521)</f>
        <v>2462.8000000000002</v>
      </c>
      <c r="J516" s="334">
        <f>SUM(J517:J521)</f>
        <v>2411.3999999999996</v>
      </c>
      <c r="K516" s="334">
        <f>SUM(K517:K521)</f>
        <v>2411.3999999999996</v>
      </c>
      <c r="L516" s="332">
        <f>SUM(L517:L521)</f>
        <v>120</v>
      </c>
      <c r="M516" s="330" t="s">
        <v>131</v>
      </c>
      <c r="N516" s="330" t="s">
        <v>131</v>
      </c>
      <c r="O516" s="333" t="s">
        <v>131</v>
      </c>
      <c r="P516" s="38">
        <v>5633529.5499999998</v>
      </c>
      <c r="Q516" s="38">
        <f>SUM(Q517:Q521)</f>
        <v>0</v>
      </c>
      <c r="R516" s="38">
        <f>SUM(R517:R521)</f>
        <v>0</v>
      </c>
      <c r="S516" s="38">
        <f>SUM(S517:S521)</f>
        <v>5633529.5499999998</v>
      </c>
      <c r="T516" s="38">
        <f t="shared" si="85"/>
        <v>2287.4490620432025</v>
      </c>
      <c r="U516" s="38">
        <f>MAX(U517:U521)</f>
        <v>6271.6608016491055</v>
      </c>
      <c r="V516" s="458">
        <f t="shared" si="87"/>
        <v>3984.2117396059029</v>
      </c>
      <c r="W516" s="458"/>
      <c r="X516" s="458"/>
      <c r="Y516" s="459"/>
      <c r="Z516" s="459"/>
      <c r="AA516" s="459"/>
      <c r="AB516" s="459"/>
      <c r="AC516" s="459"/>
      <c r="AD516" s="459"/>
      <c r="AE516" s="459"/>
      <c r="AF516" s="459"/>
      <c r="AG516" s="459"/>
      <c r="AH516" s="459"/>
      <c r="AI516" s="459"/>
      <c r="AJ516" s="459"/>
      <c r="AK516" s="459"/>
      <c r="AL516" s="459"/>
      <c r="AM516" s="459"/>
      <c r="AN516" s="459"/>
      <c r="AO516" s="459"/>
      <c r="AP516" s="460"/>
      <c r="AQ516" s="460"/>
      <c r="AR516" s="460"/>
      <c r="AS516" s="460"/>
      <c r="AT516" s="460"/>
      <c r="AU516" s="460"/>
      <c r="AV516" s="460"/>
      <c r="AW516" s="460"/>
      <c r="AX516" s="460"/>
      <c r="AY516" s="460"/>
      <c r="AZ516" s="460"/>
      <c r="BA516" s="460"/>
      <c r="BB516" s="460"/>
      <c r="BC516" s="460"/>
      <c r="BD516" s="460"/>
      <c r="BE516" s="460"/>
      <c r="BF516" s="460"/>
      <c r="BG516" s="460"/>
      <c r="BH516" s="460"/>
      <c r="BI516" s="460"/>
      <c r="BJ516" s="460"/>
      <c r="BK516" s="460"/>
      <c r="BL516" s="460"/>
      <c r="BM516" s="460"/>
      <c r="BN516" s="460"/>
      <c r="BO516" s="460"/>
      <c r="BP516" s="460"/>
      <c r="BQ516" s="460"/>
      <c r="BR516" s="460"/>
      <c r="BS516" s="460"/>
      <c r="BT516" s="460"/>
      <c r="BU516" s="460"/>
      <c r="BV516" s="460"/>
      <c r="BW516" s="460"/>
      <c r="BX516" s="460"/>
      <c r="BY516" s="460"/>
      <c r="BZ516" s="460"/>
      <c r="CA516" s="460"/>
      <c r="CB516" s="460"/>
      <c r="CC516" s="460"/>
      <c r="CD516" s="460"/>
      <c r="CE516" s="460"/>
      <c r="CF516" s="460"/>
      <c r="CG516" s="460"/>
      <c r="CH516" s="460"/>
      <c r="CI516" s="460"/>
      <c r="CJ516" s="460"/>
      <c r="CK516" s="460"/>
    </row>
    <row r="517" spans="1:89" s="329" customFormat="1" ht="36" customHeight="1" x14ac:dyDescent="0.25">
      <c r="A517" s="329">
        <v>1</v>
      </c>
      <c r="B517" s="39">
        <f>SUBTOTAL(103,$A$16:A517)</f>
        <v>443</v>
      </c>
      <c r="C517" s="33" t="s">
        <v>1179</v>
      </c>
      <c r="D517" s="330" t="s">
        <v>2105</v>
      </c>
      <c r="E517" s="330"/>
      <c r="F517" s="331" t="s">
        <v>48</v>
      </c>
      <c r="G517" s="330" t="s">
        <v>56</v>
      </c>
      <c r="H517" s="330" t="s">
        <v>57</v>
      </c>
      <c r="I517" s="38">
        <v>259.5</v>
      </c>
      <c r="J517" s="38">
        <v>250.8</v>
      </c>
      <c r="K517" s="38">
        <v>250.8</v>
      </c>
      <c r="L517" s="332">
        <v>16</v>
      </c>
      <c r="M517" s="330" t="s">
        <v>46</v>
      </c>
      <c r="N517" s="330" t="s">
        <v>50</v>
      </c>
      <c r="O517" s="333" t="s">
        <v>2106</v>
      </c>
      <c r="P517" s="38">
        <v>1818849.49</v>
      </c>
      <c r="Q517" s="38">
        <v>0</v>
      </c>
      <c r="R517" s="38">
        <v>0</v>
      </c>
      <c r="S517" s="38">
        <f t="shared" ref="S517:S521" si="99">P517-Q517-R517</f>
        <v>1818849.49</v>
      </c>
      <c r="T517" s="38">
        <f t="shared" si="85"/>
        <v>7009.0539113680152</v>
      </c>
      <c r="U517" s="38">
        <v>6156.4566011560692</v>
      </c>
      <c r="V517" s="458">
        <f t="shared" si="87"/>
        <v>-852.59731021194602</v>
      </c>
      <c r="W517" s="458">
        <f t="shared" ref="W517:W521" si="100">X517+Y517+Z517+AA517+AB517+AD517+AF517+AH517+AJ517+AL517+AN517+AO517</f>
        <v>6135.5292177263964</v>
      </c>
      <c r="X517" s="458">
        <v>0</v>
      </c>
      <c r="Y517" s="459">
        <v>0</v>
      </c>
      <c r="Z517" s="459">
        <v>0</v>
      </c>
      <c r="AA517" s="459">
        <v>0</v>
      </c>
      <c r="AB517" s="459">
        <v>0</v>
      </c>
      <c r="AC517" s="459">
        <v>0</v>
      </c>
      <c r="AD517" s="459">
        <v>0</v>
      </c>
      <c r="AE517" s="459">
        <v>255.2</v>
      </c>
      <c r="AF517" s="458">
        <f>6238.91*AE517/I517</f>
        <v>6135.5292177263964</v>
      </c>
      <c r="AG517" s="459">
        <v>0</v>
      </c>
      <c r="AH517" s="458">
        <v>0</v>
      </c>
      <c r="AI517" s="459">
        <v>0</v>
      </c>
      <c r="AJ517" s="458">
        <v>0</v>
      </c>
      <c r="AK517" s="459">
        <v>0</v>
      </c>
      <c r="AL517" s="459">
        <v>0</v>
      </c>
      <c r="AM517" s="459">
        <v>0</v>
      </c>
      <c r="AN517" s="459"/>
      <c r="AO517" s="459">
        <v>0</v>
      </c>
      <c r="AP517" s="460"/>
      <c r="AQ517" s="460"/>
      <c r="AR517" s="460"/>
      <c r="AS517" s="460"/>
      <c r="AT517" s="460"/>
      <c r="AU517" s="460"/>
      <c r="AV517" s="460"/>
      <c r="AW517" s="460"/>
      <c r="AX517" s="460"/>
      <c r="AY517" s="460"/>
      <c r="AZ517" s="460"/>
      <c r="BA517" s="460"/>
      <c r="BB517" s="460"/>
      <c r="BC517" s="460"/>
      <c r="BD517" s="460"/>
      <c r="BE517" s="460"/>
      <c r="BF517" s="460"/>
      <c r="BG517" s="460"/>
      <c r="BH517" s="460"/>
      <c r="BI517" s="460"/>
      <c r="BJ517" s="460"/>
      <c r="BK517" s="460"/>
      <c r="BL517" s="460"/>
      <c r="BM517" s="460"/>
      <c r="BN517" s="460"/>
      <c r="BO517" s="460"/>
      <c r="BP517" s="460"/>
      <c r="BQ517" s="460"/>
      <c r="BR517" s="460"/>
      <c r="BS517" s="460"/>
      <c r="BT517" s="460"/>
      <c r="BU517" s="460"/>
      <c r="BV517" s="460"/>
      <c r="BW517" s="460"/>
      <c r="BX517" s="460"/>
      <c r="BY517" s="460"/>
      <c r="BZ517" s="460"/>
      <c r="CA517" s="460"/>
      <c r="CB517" s="460"/>
      <c r="CC517" s="460"/>
      <c r="CD517" s="460"/>
      <c r="CE517" s="460"/>
      <c r="CF517" s="460"/>
      <c r="CG517" s="460"/>
      <c r="CH517" s="460"/>
      <c r="CI517" s="460"/>
      <c r="CJ517" s="460"/>
      <c r="CK517" s="460"/>
    </row>
    <row r="518" spans="1:89" s="329" customFormat="1" ht="36" customHeight="1" x14ac:dyDescent="0.25">
      <c r="A518" s="329">
        <v>1</v>
      </c>
      <c r="B518" s="39">
        <f>SUBTOTAL(103,$A$16:A518)</f>
        <v>444</v>
      </c>
      <c r="C518" s="33" t="s">
        <v>1407</v>
      </c>
      <c r="D518" s="330" t="s">
        <v>2105</v>
      </c>
      <c r="E518" s="330"/>
      <c r="F518" s="331" t="s">
        <v>48</v>
      </c>
      <c r="G518" s="330" t="s">
        <v>56</v>
      </c>
      <c r="H518" s="330" t="s">
        <v>57</v>
      </c>
      <c r="I518" s="38">
        <v>365</v>
      </c>
      <c r="J518" s="38">
        <v>328</v>
      </c>
      <c r="K518" s="38">
        <v>328</v>
      </c>
      <c r="L518" s="332">
        <v>21</v>
      </c>
      <c r="M518" s="330" t="s">
        <v>46</v>
      </c>
      <c r="N518" s="330" t="s">
        <v>47</v>
      </c>
      <c r="O518" s="333" t="s">
        <v>49</v>
      </c>
      <c r="P518" s="38">
        <v>68497.22</v>
      </c>
      <c r="Q518" s="38">
        <v>0</v>
      </c>
      <c r="R518" s="38">
        <v>0</v>
      </c>
      <c r="S518" s="38">
        <f t="shared" si="99"/>
        <v>68497.22</v>
      </c>
      <c r="T518" s="38">
        <f t="shared" si="85"/>
        <v>187.66361643835617</v>
      </c>
      <c r="U518" s="38">
        <v>187.66361643835617</v>
      </c>
      <c r="V518" s="458">
        <f t="shared" si="87"/>
        <v>0</v>
      </c>
      <c r="W518" s="458">
        <f>T518</f>
        <v>187.66361643835617</v>
      </c>
      <c r="X518" s="458">
        <v>0</v>
      </c>
      <c r="Y518" s="459">
        <v>0</v>
      </c>
      <c r="Z518" s="459">
        <v>0</v>
      </c>
      <c r="AA518" s="459">
        <v>0</v>
      </c>
      <c r="AB518" s="459">
        <v>0</v>
      </c>
      <c r="AC518" s="459">
        <v>0</v>
      </c>
      <c r="AD518" s="459">
        <v>0</v>
      </c>
      <c r="AE518" s="459">
        <v>0</v>
      </c>
      <c r="AF518" s="458">
        <v>0</v>
      </c>
      <c r="AG518" s="459">
        <v>0</v>
      </c>
      <c r="AH518" s="458">
        <v>0</v>
      </c>
      <c r="AI518" s="459">
        <v>0</v>
      </c>
      <c r="AJ518" s="458">
        <v>0</v>
      </c>
      <c r="AK518" s="459">
        <v>0</v>
      </c>
      <c r="AL518" s="459">
        <v>0</v>
      </c>
      <c r="AM518" s="459">
        <v>0</v>
      </c>
      <c r="AN518" s="459"/>
      <c r="AO518" s="459">
        <v>0</v>
      </c>
      <c r="AP518" s="460"/>
      <c r="AQ518" s="460"/>
      <c r="AR518" s="460"/>
      <c r="AS518" s="460"/>
      <c r="AT518" s="460"/>
      <c r="AU518" s="460"/>
      <c r="AV518" s="460"/>
      <c r="AW518" s="460"/>
      <c r="AX518" s="460"/>
      <c r="AY518" s="460"/>
      <c r="AZ518" s="460"/>
      <c r="BA518" s="460"/>
      <c r="BB518" s="460"/>
      <c r="BC518" s="460"/>
      <c r="BD518" s="460"/>
      <c r="BE518" s="460"/>
      <c r="BF518" s="460"/>
      <c r="BG518" s="460"/>
      <c r="BH518" s="460"/>
      <c r="BI518" s="460"/>
      <c r="BJ518" s="460"/>
      <c r="BK518" s="460"/>
      <c r="BL518" s="460"/>
      <c r="BM518" s="460"/>
      <c r="BN518" s="460"/>
      <c r="BO518" s="460"/>
      <c r="BP518" s="460"/>
      <c r="BQ518" s="460"/>
      <c r="BR518" s="460"/>
      <c r="BS518" s="460"/>
      <c r="BT518" s="460"/>
      <c r="BU518" s="460"/>
      <c r="BV518" s="460"/>
      <c r="BW518" s="460"/>
      <c r="BX518" s="460"/>
      <c r="BY518" s="460"/>
      <c r="BZ518" s="460"/>
      <c r="CA518" s="460"/>
      <c r="CB518" s="460"/>
      <c r="CC518" s="460"/>
      <c r="CD518" s="460"/>
      <c r="CE518" s="460"/>
      <c r="CF518" s="460"/>
      <c r="CG518" s="460"/>
      <c r="CH518" s="460"/>
      <c r="CI518" s="460"/>
      <c r="CJ518" s="460"/>
      <c r="CK518" s="460"/>
    </row>
    <row r="519" spans="1:89" s="329" customFormat="1" ht="36" customHeight="1" x14ac:dyDescent="0.25">
      <c r="A519" s="329">
        <v>1</v>
      </c>
      <c r="B519" s="39">
        <f>SUBTOTAL(103,$A$16:A519)</f>
        <v>445</v>
      </c>
      <c r="C519" s="33" t="s">
        <v>1113</v>
      </c>
      <c r="D519" s="330">
        <v>1917</v>
      </c>
      <c r="E519" s="330"/>
      <c r="F519" s="331" t="s">
        <v>48</v>
      </c>
      <c r="G519" s="330">
        <v>2</v>
      </c>
      <c r="H519" s="330" t="s">
        <v>57</v>
      </c>
      <c r="I519" s="38">
        <v>436.6</v>
      </c>
      <c r="J519" s="38">
        <v>436.6</v>
      </c>
      <c r="K519" s="38">
        <v>436.6</v>
      </c>
      <c r="L519" s="332">
        <v>21</v>
      </c>
      <c r="M519" s="330" t="s">
        <v>46</v>
      </c>
      <c r="N519" s="330" t="s">
        <v>50</v>
      </c>
      <c r="O519" s="333" t="s">
        <v>2107</v>
      </c>
      <c r="P519" s="38">
        <v>1775691.4500000002</v>
      </c>
      <c r="Q519" s="38">
        <v>0</v>
      </c>
      <c r="R519" s="38">
        <v>0</v>
      </c>
      <c r="S519" s="38">
        <f t="shared" si="99"/>
        <v>1775691.4500000002</v>
      </c>
      <c r="T519" s="38">
        <f t="shared" si="85"/>
        <v>4067.0898992212556</v>
      </c>
      <c r="U519" s="38">
        <v>6271.6608016491055</v>
      </c>
      <c r="V519" s="458">
        <f t="shared" si="87"/>
        <v>2204.5709024278499</v>
      </c>
      <c r="W519" s="458">
        <f t="shared" si="100"/>
        <v>6250.3418094365543</v>
      </c>
      <c r="X519" s="458">
        <v>0</v>
      </c>
      <c r="Y519" s="459">
        <v>0</v>
      </c>
      <c r="Z519" s="459">
        <v>0</v>
      </c>
      <c r="AA519" s="459">
        <v>0</v>
      </c>
      <c r="AB519" s="459">
        <v>0</v>
      </c>
      <c r="AC519" s="459">
        <v>0</v>
      </c>
      <c r="AD519" s="459">
        <v>0</v>
      </c>
      <c r="AE519" s="459">
        <v>437.4</v>
      </c>
      <c r="AF519" s="458">
        <f>6238.91*AE519/I519</f>
        <v>6250.3418094365543</v>
      </c>
      <c r="AG519" s="459">
        <v>0</v>
      </c>
      <c r="AH519" s="458">
        <v>0</v>
      </c>
      <c r="AI519" s="459">
        <v>0</v>
      </c>
      <c r="AJ519" s="458">
        <v>0</v>
      </c>
      <c r="AK519" s="459">
        <v>0</v>
      </c>
      <c r="AL519" s="459">
        <v>0</v>
      </c>
      <c r="AM519" s="459">
        <v>0</v>
      </c>
      <c r="AN519" s="459"/>
      <c r="AO519" s="459">
        <v>0</v>
      </c>
      <c r="AP519" s="460"/>
      <c r="AQ519" s="460"/>
      <c r="AR519" s="460"/>
      <c r="AS519" s="460"/>
      <c r="AT519" s="460"/>
      <c r="AU519" s="460"/>
      <c r="AV519" s="460"/>
      <c r="AW519" s="460"/>
      <c r="AX519" s="460"/>
      <c r="AY519" s="460"/>
      <c r="AZ519" s="460"/>
      <c r="BA519" s="460"/>
      <c r="BB519" s="460"/>
      <c r="BC519" s="460"/>
      <c r="BD519" s="460"/>
      <c r="BE519" s="460"/>
      <c r="BF519" s="460"/>
      <c r="BG519" s="460"/>
      <c r="BH519" s="460"/>
      <c r="BI519" s="460"/>
      <c r="BJ519" s="460"/>
      <c r="BK519" s="460"/>
      <c r="BL519" s="460"/>
      <c r="BM519" s="460"/>
      <c r="BN519" s="460"/>
      <c r="BO519" s="460"/>
      <c r="BP519" s="460"/>
      <c r="BQ519" s="460"/>
      <c r="BR519" s="460"/>
      <c r="BS519" s="460"/>
      <c r="BT519" s="460"/>
      <c r="BU519" s="460"/>
      <c r="BV519" s="460"/>
      <c r="BW519" s="460"/>
      <c r="BX519" s="460"/>
      <c r="BY519" s="460"/>
      <c r="BZ519" s="460"/>
      <c r="CA519" s="460"/>
      <c r="CB519" s="460"/>
      <c r="CC519" s="460"/>
      <c r="CD519" s="460"/>
      <c r="CE519" s="460"/>
      <c r="CF519" s="460"/>
      <c r="CG519" s="460"/>
      <c r="CH519" s="460"/>
      <c r="CI519" s="460"/>
      <c r="CJ519" s="460"/>
      <c r="CK519" s="460"/>
    </row>
    <row r="520" spans="1:89" s="329" customFormat="1" ht="36" customHeight="1" x14ac:dyDescent="0.25">
      <c r="A520" s="329">
        <v>1</v>
      </c>
      <c r="B520" s="39">
        <f>SUBTOTAL(103,$A$16:A520)</f>
        <v>446</v>
      </c>
      <c r="C520" s="33" t="s">
        <v>1115</v>
      </c>
      <c r="D520" s="330">
        <v>1917</v>
      </c>
      <c r="E520" s="330"/>
      <c r="F520" s="331" t="s">
        <v>48</v>
      </c>
      <c r="G520" s="330">
        <v>2</v>
      </c>
      <c r="H520" s="330" t="s">
        <v>57</v>
      </c>
      <c r="I520" s="38">
        <v>476.7</v>
      </c>
      <c r="J520" s="38">
        <v>476.7</v>
      </c>
      <c r="K520" s="38">
        <v>476.7</v>
      </c>
      <c r="L520" s="332">
        <v>28</v>
      </c>
      <c r="M520" s="330" t="s">
        <v>46</v>
      </c>
      <c r="N520" s="330" t="s">
        <v>50</v>
      </c>
      <c r="O520" s="333" t="s">
        <v>2108</v>
      </c>
      <c r="P520" s="38">
        <v>1327119.4200000002</v>
      </c>
      <c r="Q520" s="38">
        <v>0</v>
      </c>
      <c r="R520" s="38">
        <v>0</v>
      </c>
      <c r="S520" s="38">
        <f t="shared" si="99"/>
        <v>1327119.4200000002</v>
      </c>
      <c r="T520" s="38">
        <f t="shared" si="85"/>
        <v>2783.9719320327254</v>
      </c>
      <c r="U520" s="38">
        <v>5357.9977344241661</v>
      </c>
      <c r="V520" s="458">
        <f t="shared" si="87"/>
        <v>2574.0258023914407</v>
      </c>
      <c r="W520" s="458">
        <f t="shared" si="100"/>
        <v>5339.7845185651349</v>
      </c>
      <c r="X520" s="458">
        <v>0</v>
      </c>
      <c r="Y520" s="459">
        <v>0</v>
      </c>
      <c r="Z520" s="459">
        <v>0</v>
      </c>
      <c r="AA520" s="459">
        <v>0</v>
      </c>
      <c r="AB520" s="459">
        <v>0</v>
      </c>
      <c r="AC520" s="459">
        <v>0</v>
      </c>
      <c r="AD520" s="459">
        <v>0</v>
      </c>
      <c r="AE520" s="459">
        <v>408</v>
      </c>
      <c r="AF520" s="458">
        <f>6238.91*AE520/I520</f>
        <v>5339.7845185651349</v>
      </c>
      <c r="AG520" s="459">
        <v>0</v>
      </c>
      <c r="AH520" s="458">
        <v>0</v>
      </c>
      <c r="AI520" s="459">
        <v>0</v>
      </c>
      <c r="AJ520" s="458">
        <v>0</v>
      </c>
      <c r="AK520" s="459">
        <v>0</v>
      </c>
      <c r="AL520" s="459">
        <v>0</v>
      </c>
      <c r="AM520" s="459">
        <v>0</v>
      </c>
      <c r="AN520" s="459"/>
      <c r="AO520" s="459">
        <v>0</v>
      </c>
      <c r="AP520" s="460"/>
      <c r="AQ520" s="460"/>
      <c r="AR520" s="460"/>
      <c r="AS520" s="460"/>
      <c r="AT520" s="460"/>
      <c r="AU520" s="460"/>
      <c r="AV520" s="460"/>
      <c r="AW520" s="460"/>
      <c r="AX520" s="460"/>
      <c r="AY520" s="460"/>
      <c r="AZ520" s="460"/>
      <c r="BA520" s="460"/>
      <c r="BB520" s="460"/>
      <c r="BC520" s="460"/>
      <c r="BD520" s="460"/>
      <c r="BE520" s="460"/>
      <c r="BF520" s="460"/>
      <c r="BG520" s="460"/>
      <c r="BH520" s="460"/>
      <c r="BI520" s="460"/>
      <c r="BJ520" s="460"/>
      <c r="BK520" s="460"/>
      <c r="BL520" s="460"/>
      <c r="BM520" s="460"/>
      <c r="BN520" s="460"/>
      <c r="BO520" s="460"/>
      <c r="BP520" s="460"/>
      <c r="BQ520" s="460"/>
      <c r="BR520" s="460"/>
      <c r="BS520" s="460"/>
      <c r="BT520" s="460"/>
      <c r="BU520" s="460"/>
      <c r="BV520" s="460"/>
      <c r="BW520" s="460"/>
      <c r="BX520" s="460"/>
      <c r="BY520" s="460"/>
      <c r="BZ520" s="460"/>
      <c r="CA520" s="460"/>
      <c r="CB520" s="460"/>
      <c r="CC520" s="460"/>
      <c r="CD520" s="460"/>
      <c r="CE520" s="460"/>
      <c r="CF520" s="460"/>
      <c r="CG520" s="460"/>
      <c r="CH520" s="460"/>
      <c r="CI520" s="460"/>
      <c r="CJ520" s="460"/>
      <c r="CK520" s="460"/>
    </row>
    <row r="521" spans="1:89" s="329" customFormat="1" ht="36" customHeight="1" x14ac:dyDescent="0.25">
      <c r="A521" s="329">
        <v>1</v>
      </c>
      <c r="B521" s="39">
        <f>SUBTOTAL(103,$A$16:A521)</f>
        <v>447</v>
      </c>
      <c r="C521" s="33" t="s">
        <v>1408</v>
      </c>
      <c r="D521" s="330">
        <v>1967</v>
      </c>
      <c r="E521" s="330">
        <v>2014</v>
      </c>
      <c r="F521" s="331" t="s">
        <v>48</v>
      </c>
      <c r="G521" s="330">
        <v>2</v>
      </c>
      <c r="H521" s="330" t="s">
        <v>59</v>
      </c>
      <c r="I521" s="38">
        <v>925</v>
      </c>
      <c r="J521" s="38">
        <v>919.3</v>
      </c>
      <c r="K521" s="38">
        <v>919.3</v>
      </c>
      <c r="L521" s="332">
        <v>34</v>
      </c>
      <c r="M521" s="330" t="s">
        <v>46</v>
      </c>
      <c r="N521" s="330" t="s">
        <v>50</v>
      </c>
      <c r="O521" s="333" t="s">
        <v>2109</v>
      </c>
      <c r="P521" s="38">
        <v>643371.97</v>
      </c>
      <c r="Q521" s="38">
        <v>0</v>
      </c>
      <c r="R521" s="38">
        <v>0</v>
      </c>
      <c r="S521" s="38">
        <f t="shared" si="99"/>
        <v>643371.97</v>
      </c>
      <c r="T521" s="38">
        <f t="shared" si="85"/>
        <v>695.53726486486482</v>
      </c>
      <c r="U521" s="38">
        <v>810.46</v>
      </c>
      <c r="V521" s="458">
        <f t="shared" si="87"/>
        <v>114.92273513513521</v>
      </c>
      <c r="W521" s="458">
        <f t="shared" si="100"/>
        <v>795.31</v>
      </c>
      <c r="X521" s="458">
        <v>0</v>
      </c>
      <c r="Y521" s="459">
        <v>0</v>
      </c>
      <c r="Z521" s="459">
        <v>0</v>
      </c>
      <c r="AA521" s="459">
        <v>0</v>
      </c>
      <c r="AB521" s="459">
        <v>795.31</v>
      </c>
      <c r="AC521" s="459">
        <v>0</v>
      </c>
      <c r="AD521" s="459">
        <v>0</v>
      </c>
      <c r="AE521" s="459">
        <v>0</v>
      </c>
      <c r="AF521" s="458">
        <v>0</v>
      </c>
      <c r="AG521" s="459">
        <v>0</v>
      </c>
      <c r="AH521" s="458">
        <v>0</v>
      </c>
      <c r="AI521" s="459">
        <v>0</v>
      </c>
      <c r="AJ521" s="458">
        <v>0</v>
      </c>
      <c r="AK521" s="459">
        <v>0</v>
      </c>
      <c r="AL521" s="459">
        <v>0</v>
      </c>
      <c r="AM521" s="459">
        <v>0</v>
      </c>
      <c r="AN521" s="459"/>
      <c r="AO521" s="459">
        <v>0</v>
      </c>
      <c r="AP521" s="460"/>
      <c r="AQ521" s="460"/>
      <c r="AR521" s="460"/>
      <c r="AS521" s="460"/>
      <c r="AT521" s="460"/>
      <c r="AU521" s="460"/>
      <c r="AV521" s="460"/>
      <c r="AW521" s="460"/>
      <c r="AX521" s="460"/>
      <c r="AY521" s="460"/>
      <c r="AZ521" s="460"/>
      <c r="BA521" s="460"/>
      <c r="BB521" s="460"/>
      <c r="BC521" s="460"/>
      <c r="BD521" s="460"/>
      <c r="BE521" s="460"/>
      <c r="BF521" s="460"/>
      <c r="BG521" s="460"/>
      <c r="BH521" s="460"/>
      <c r="BI521" s="460"/>
      <c r="BJ521" s="460"/>
      <c r="BK521" s="460"/>
      <c r="BL521" s="460"/>
      <c r="BM521" s="460"/>
      <c r="BN521" s="460"/>
      <c r="BO521" s="460"/>
      <c r="BP521" s="460"/>
      <c r="BQ521" s="460"/>
      <c r="BR521" s="460"/>
      <c r="BS521" s="460"/>
      <c r="BT521" s="460"/>
      <c r="BU521" s="460"/>
      <c r="BV521" s="460"/>
      <c r="BW521" s="460"/>
      <c r="BX521" s="460"/>
      <c r="BY521" s="460"/>
      <c r="BZ521" s="460"/>
      <c r="CA521" s="460"/>
      <c r="CB521" s="460"/>
      <c r="CC521" s="460"/>
      <c r="CD521" s="460"/>
      <c r="CE521" s="460"/>
      <c r="CF521" s="460"/>
      <c r="CG521" s="460"/>
      <c r="CH521" s="460"/>
      <c r="CI521" s="460"/>
      <c r="CJ521" s="460"/>
      <c r="CK521" s="460"/>
    </row>
    <row r="522" spans="1:89" s="329" customFormat="1" ht="36" customHeight="1" x14ac:dyDescent="0.25">
      <c r="B522" s="33" t="s">
        <v>121</v>
      </c>
      <c r="C522" s="33"/>
      <c r="D522" s="330" t="s">
        <v>131</v>
      </c>
      <c r="E522" s="330" t="s">
        <v>131</v>
      </c>
      <c r="F522" s="330" t="s">
        <v>131</v>
      </c>
      <c r="G522" s="330" t="s">
        <v>131</v>
      </c>
      <c r="H522" s="330" t="s">
        <v>131</v>
      </c>
      <c r="I522" s="334">
        <f>I523</f>
        <v>1755.2</v>
      </c>
      <c r="J522" s="334">
        <f>J523</f>
        <v>1537.2</v>
      </c>
      <c r="K522" s="334">
        <f>K523</f>
        <v>1537.2</v>
      </c>
      <c r="L522" s="332">
        <f>L523</f>
        <v>62</v>
      </c>
      <c r="M522" s="330" t="s">
        <v>131</v>
      </c>
      <c r="N522" s="330" t="s">
        <v>131</v>
      </c>
      <c r="O522" s="333" t="s">
        <v>131</v>
      </c>
      <c r="P522" s="38">
        <v>3982171.62</v>
      </c>
      <c r="Q522" s="38">
        <f>Q523</f>
        <v>0</v>
      </c>
      <c r="R522" s="38">
        <f>R523</f>
        <v>0</v>
      </c>
      <c r="S522" s="38">
        <f>S523</f>
        <v>3982171.62</v>
      </c>
      <c r="T522" s="38">
        <f t="shared" si="85"/>
        <v>2268.7851071103009</v>
      </c>
      <c r="U522" s="38">
        <f>MAX(U523)</f>
        <v>3668.6596592980854</v>
      </c>
      <c r="V522" s="458">
        <f t="shared" si="87"/>
        <v>1399.8745521877845</v>
      </c>
      <c r="W522" s="458"/>
      <c r="X522" s="458"/>
      <c r="Y522" s="459"/>
      <c r="Z522" s="459"/>
      <c r="AA522" s="459"/>
      <c r="AB522" s="459"/>
      <c r="AC522" s="459"/>
      <c r="AD522" s="459"/>
      <c r="AE522" s="459"/>
      <c r="AF522" s="459"/>
      <c r="AG522" s="459"/>
      <c r="AH522" s="459"/>
      <c r="AI522" s="459"/>
      <c r="AJ522" s="459"/>
      <c r="AK522" s="459"/>
      <c r="AL522" s="459"/>
      <c r="AM522" s="459"/>
      <c r="AN522" s="459"/>
      <c r="AO522" s="459"/>
      <c r="AP522" s="460"/>
      <c r="AQ522" s="460"/>
      <c r="AR522" s="460"/>
      <c r="AS522" s="460"/>
      <c r="AT522" s="460"/>
      <c r="AU522" s="460"/>
      <c r="AV522" s="460"/>
      <c r="AW522" s="460"/>
      <c r="AX522" s="460"/>
      <c r="AY522" s="460"/>
      <c r="AZ522" s="460"/>
      <c r="BA522" s="460"/>
      <c r="BB522" s="460"/>
      <c r="BC522" s="460"/>
      <c r="BD522" s="460"/>
      <c r="BE522" s="460"/>
      <c r="BF522" s="460"/>
      <c r="BG522" s="460"/>
      <c r="BH522" s="460"/>
      <c r="BI522" s="460"/>
      <c r="BJ522" s="460"/>
      <c r="BK522" s="460"/>
      <c r="BL522" s="460"/>
      <c r="BM522" s="460"/>
      <c r="BN522" s="460"/>
      <c r="BO522" s="460"/>
      <c r="BP522" s="460"/>
      <c r="BQ522" s="460"/>
      <c r="BR522" s="460"/>
      <c r="BS522" s="460"/>
      <c r="BT522" s="460"/>
      <c r="BU522" s="460"/>
      <c r="BV522" s="460"/>
      <c r="BW522" s="460"/>
      <c r="BX522" s="460"/>
      <c r="BY522" s="460"/>
      <c r="BZ522" s="460"/>
      <c r="CA522" s="460"/>
      <c r="CB522" s="460"/>
      <c r="CC522" s="460"/>
      <c r="CD522" s="460"/>
      <c r="CE522" s="460"/>
      <c r="CF522" s="460"/>
      <c r="CG522" s="460"/>
      <c r="CH522" s="460"/>
      <c r="CI522" s="460"/>
      <c r="CJ522" s="460"/>
      <c r="CK522" s="460"/>
    </row>
    <row r="523" spans="1:89" s="329" customFormat="1" ht="36" customHeight="1" x14ac:dyDescent="0.25">
      <c r="A523" s="329">
        <v>1</v>
      </c>
      <c r="B523" s="39">
        <f>SUBTOTAL(103,$A$16:A523)</f>
        <v>448</v>
      </c>
      <c r="C523" s="33" t="s">
        <v>1117</v>
      </c>
      <c r="D523" s="330">
        <v>1959</v>
      </c>
      <c r="E523" s="330"/>
      <c r="F523" s="331" t="s">
        <v>48</v>
      </c>
      <c r="G523" s="330">
        <v>3</v>
      </c>
      <c r="H523" s="330" t="s">
        <v>59</v>
      </c>
      <c r="I523" s="38">
        <v>1755.2</v>
      </c>
      <c r="J523" s="38">
        <v>1537.2</v>
      </c>
      <c r="K523" s="38">
        <v>1537.2</v>
      </c>
      <c r="L523" s="332">
        <v>62</v>
      </c>
      <c r="M523" s="330" t="s">
        <v>46</v>
      </c>
      <c r="N523" s="330" t="s">
        <v>47</v>
      </c>
      <c r="O523" s="333" t="s">
        <v>49</v>
      </c>
      <c r="P523" s="38">
        <v>3982171.62</v>
      </c>
      <c r="Q523" s="38">
        <v>0</v>
      </c>
      <c r="R523" s="38">
        <v>0</v>
      </c>
      <c r="S523" s="38">
        <f>P523-Q523-R523</f>
        <v>3982171.62</v>
      </c>
      <c r="T523" s="38">
        <f t="shared" si="85"/>
        <v>2268.7851071103009</v>
      </c>
      <c r="U523" s="38">
        <v>3668.6596592980854</v>
      </c>
      <c r="V523" s="458">
        <f>U523-T523</f>
        <v>1399.8745521877845</v>
      </c>
      <c r="W523" s="458">
        <f>X523+Y523+Z523+AA523+AB523+AD523+AF523+AH523+AJ523+AL523+AN523+AO523</f>
        <v>3656.1889391522332</v>
      </c>
      <c r="X523" s="458">
        <v>0</v>
      </c>
      <c r="Y523" s="459">
        <v>0</v>
      </c>
      <c r="Z523" s="459">
        <v>0</v>
      </c>
      <c r="AA523" s="459">
        <v>0</v>
      </c>
      <c r="AB523" s="459">
        <v>0</v>
      </c>
      <c r="AC523" s="459">
        <v>0</v>
      </c>
      <c r="AD523" s="459">
        <v>0</v>
      </c>
      <c r="AE523" s="459">
        <v>1028.5999999999999</v>
      </c>
      <c r="AF523" s="458">
        <f>6238.91*AE523/I523</f>
        <v>3656.1889391522332</v>
      </c>
      <c r="AG523" s="459">
        <v>0</v>
      </c>
      <c r="AH523" s="458">
        <v>0</v>
      </c>
      <c r="AI523" s="459">
        <v>0</v>
      </c>
      <c r="AJ523" s="458">
        <v>0</v>
      </c>
      <c r="AK523" s="459">
        <v>0</v>
      </c>
      <c r="AL523" s="459">
        <v>0</v>
      </c>
      <c r="AM523" s="459">
        <v>0</v>
      </c>
      <c r="AN523" s="459"/>
      <c r="AO523" s="459">
        <v>0</v>
      </c>
      <c r="AP523" s="460"/>
      <c r="AQ523" s="460"/>
      <c r="AR523" s="460"/>
      <c r="AS523" s="460"/>
      <c r="AT523" s="460"/>
      <c r="AU523" s="460"/>
      <c r="AV523" s="460"/>
      <c r="AW523" s="460"/>
      <c r="AX523" s="460"/>
      <c r="AY523" s="460"/>
      <c r="AZ523" s="460"/>
      <c r="BA523" s="460"/>
      <c r="BB523" s="460"/>
      <c r="BC523" s="460"/>
      <c r="BD523" s="460"/>
      <c r="BE523" s="460"/>
      <c r="BF523" s="460"/>
      <c r="BG523" s="460"/>
      <c r="BH523" s="460"/>
      <c r="BI523" s="460"/>
      <c r="BJ523" s="460"/>
      <c r="BK523" s="460"/>
      <c r="BL523" s="460"/>
      <c r="BM523" s="460"/>
      <c r="BN523" s="460"/>
      <c r="BO523" s="460"/>
      <c r="BP523" s="460"/>
      <c r="BQ523" s="460"/>
      <c r="BR523" s="460"/>
      <c r="BS523" s="460"/>
      <c r="BT523" s="460"/>
      <c r="BU523" s="460"/>
      <c r="BV523" s="460"/>
      <c r="BW523" s="460"/>
      <c r="BX523" s="460"/>
      <c r="BY523" s="460"/>
      <c r="BZ523" s="460"/>
      <c r="CA523" s="460"/>
      <c r="CB523" s="460"/>
      <c r="CC523" s="460"/>
      <c r="CD523" s="460"/>
      <c r="CE523" s="460"/>
      <c r="CF523" s="460"/>
      <c r="CG523" s="460"/>
      <c r="CH523" s="460"/>
      <c r="CI523" s="460"/>
      <c r="CJ523" s="460"/>
      <c r="CK523" s="460"/>
    </row>
    <row r="524" spans="1:89" s="329" customFormat="1" ht="36" customHeight="1" x14ac:dyDescent="0.25">
      <c r="B524" s="33" t="s">
        <v>122</v>
      </c>
      <c r="C524" s="33"/>
      <c r="D524" s="330" t="s">
        <v>131</v>
      </c>
      <c r="E524" s="330" t="s">
        <v>131</v>
      </c>
      <c r="F524" s="330" t="s">
        <v>131</v>
      </c>
      <c r="G524" s="330" t="s">
        <v>131</v>
      </c>
      <c r="H524" s="330" t="s">
        <v>131</v>
      </c>
      <c r="I524" s="334">
        <f>SUM(I525:I526)</f>
        <v>4921.7999999999993</v>
      </c>
      <c r="J524" s="334">
        <f t="shared" ref="J524:K524" si="101">SUM(J525:J526)</f>
        <v>4712.7999999999993</v>
      </c>
      <c r="K524" s="334">
        <f t="shared" si="101"/>
        <v>3049.1</v>
      </c>
      <c r="L524" s="332">
        <f>SUM(L525:L526)</f>
        <v>126</v>
      </c>
      <c r="M524" s="330" t="s">
        <v>131</v>
      </c>
      <c r="N524" s="330" t="s">
        <v>131</v>
      </c>
      <c r="O524" s="333" t="s">
        <v>131</v>
      </c>
      <c r="P524" s="334">
        <v>8110455.3499999996</v>
      </c>
      <c r="Q524" s="334">
        <f t="shared" ref="Q524:S524" si="102">SUM(Q525:Q526)</f>
        <v>0</v>
      </c>
      <c r="R524" s="334">
        <f t="shared" si="102"/>
        <v>0</v>
      </c>
      <c r="S524" s="334">
        <f t="shared" si="102"/>
        <v>8110455.3499999996</v>
      </c>
      <c r="T524" s="38">
        <f t="shared" si="85"/>
        <v>1647.8636576049414</v>
      </c>
      <c r="U524" s="38">
        <f>MAX(U525:U526)</f>
        <v>5091.4329778859237</v>
      </c>
      <c r="V524" s="458">
        <f t="shared" si="87"/>
        <v>3443.5693202809825</v>
      </c>
      <c r="W524" s="458"/>
      <c r="X524" s="458"/>
      <c r="Y524" s="459"/>
      <c r="Z524" s="459"/>
      <c r="AA524" s="459"/>
      <c r="AB524" s="459"/>
      <c r="AC524" s="459"/>
      <c r="AD524" s="459"/>
      <c r="AE524" s="459"/>
      <c r="AF524" s="459"/>
      <c r="AG524" s="459"/>
      <c r="AH524" s="459"/>
      <c r="AI524" s="459"/>
      <c r="AJ524" s="459"/>
      <c r="AK524" s="459"/>
      <c r="AL524" s="459"/>
      <c r="AM524" s="459"/>
      <c r="AN524" s="459"/>
      <c r="AO524" s="459"/>
      <c r="AP524" s="460"/>
      <c r="AQ524" s="460"/>
      <c r="AR524" s="460"/>
      <c r="AS524" s="460"/>
      <c r="AT524" s="460"/>
      <c r="AU524" s="460"/>
      <c r="AV524" s="460"/>
      <c r="AW524" s="460"/>
      <c r="AX524" s="460"/>
      <c r="AY524" s="460"/>
      <c r="AZ524" s="460"/>
      <c r="BA524" s="460"/>
      <c r="BB524" s="460"/>
      <c r="BC524" s="460"/>
      <c r="BD524" s="460"/>
      <c r="BE524" s="460"/>
      <c r="BF524" s="460"/>
      <c r="BG524" s="460"/>
      <c r="BH524" s="460"/>
      <c r="BI524" s="460"/>
      <c r="BJ524" s="460"/>
      <c r="BK524" s="460"/>
      <c r="BL524" s="460"/>
      <c r="BM524" s="460"/>
      <c r="BN524" s="460"/>
      <c r="BO524" s="460"/>
      <c r="BP524" s="460"/>
      <c r="BQ524" s="460"/>
      <c r="BR524" s="460"/>
      <c r="BS524" s="460"/>
      <c r="BT524" s="460"/>
      <c r="BU524" s="460"/>
      <c r="BV524" s="460"/>
      <c r="BW524" s="460"/>
      <c r="BX524" s="460"/>
      <c r="BY524" s="460"/>
      <c r="BZ524" s="460"/>
      <c r="CA524" s="460"/>
      <c r="CB524" s="460"/>
      <c r="CC524" s="460"/>
      <c r="CD524" s="460"/>
      <c r="CE524" s="460"/>
      <c r="CF524" s="460"/>
      <c r="CG524" s="460"/>
      <c r="CH524" s="460"/>
      <c r="CI524" s="460"/>
      <c r="CJ524" s="460"/>
      <c r="CK524" s="460"/>
    </row>
    <row r="525" spans="1:89" s="329" customFormat="1" ht="36" customHeight="1" x14ac:dyDescent="0.25">
      <c r="A525" s="329">
        <v>1</v>
      </c>
      <c r="B525" s="39">
        <f>SUBTOTAL(103,$A$16:A525)</f>
        <v>449</v>
      </c>
      <c r="C525" s="33" t="s">
        <v>1409</v>
      </c>
      <c r="D525" s="330" t="s">
        <v>2110</v>
      </c>
      <c r="E525" s="330"/>
      <c r="F525" s="331" t="s">
        <v>48</v>
      </c>
      <c r="G525" s="330" t="s">
        <v>56</v>
      </c>
      <c r="H525" s="330" t="s">
        <v>56</v>
      </c>
      <c r="I525" s="38">
        <v>729.9</v>
      </c>
      <c r="J525" s="38">
        <v>520.9</v>
      </c>
      <c r="K525" s="38">
        <v>520.9</v>
      </c>
      <c r="L525" s="332">
        <v>35</v>
      </c>
      <c r="M525" s="330" t="s">
        <v>46</v>
      </c>
      <c r="N525" s="330" t="s">
        <v>50</v>
      </c>
      <c r="O525" s="333" t="s">
        <v>2111</v>
      </c>
      <c r="P525" s="38">
        <v>2614299.75</v>
      </c>
      <c r="Q525" s="38">
        <v>0</v>
      </c>
      <c r="R525" s="38">
        <v>0</v>
      </c>
      <c r="S525" s="38">
        <f>P525-Q525-R525</f>
        <v>2614299.75</v>
      </c>
      <c r="T525" s="38">
        <f t="shared" si="85"/>
        <v>3581.7231812577065</v>
      </c>
      <c r="U525" s="38">
        <v>4960.8081874229347</v>
      </c>
      <c r="V525" s="458">
        <f t="shared" si="87"/>
        <v>1379.0850061652282</v>
      </c>
      <c r="W525" s="458">
        <f t="shared" ref="W525:W526" si="103">X525+Y525+Z525+AA525+AB525+AD525+AF525+AH525+AJ525+AL525+AN525+AO525</f>
        <v>4943.945121249486</v>
      </c>
      <c r="X525" s="458">
        <v>0</v>
      </c>
      <c r="Y525" s="459">
        <v>0</v>
      </c>
      <c r="Z525" s="459">
        <v>0</v>
      </c>
      <c r="AA525" s="459">
        <v>0</v>
      </c>
      <c r="AB525" s="459">
        <v>0</v>
      </c>
      <c r="AC525" s="459">
        <v>0</v>
      </c>
      <c r="AD525" s="459">
        <v>0</v>
      </c>
      <c r="AE525" s="459">
        <v>578.4</v>
      </c>
      <c r="AF525" s="458">
        <f>6238.91*AE525/I525</f>
        <v>4943.945121249486</v>
      </c>
      <c r="AG525" s="459">
        <v>0</v>
      </c>
      <c r="AH525" s="458">
        <v>0</v>
      </c>
      <c r="AI525" s="459">
        <v>0</v>
      </c>
      <c r="AJ525" s="458">
        <v>0</v>
      </c>
      <c r="AK525" s="459">
        <v>0</v>
      </c>
      <c r="AL525" s="459">
        <v>0</v>
      </c>
      <c r="AM525" s="459">
        <v>0</v>
      </c>
      <c r="AN525" s="459"/>
      <c r="AO525" s="459">
        <v>0</v>
      </c>
      <c r="AP525" s="460"/>
      <c r="AQ525" s="460"/>
      <c r="AR525" s="460"/>
      <c r="AS525" s="460"/>
      <c r="AT525" s="460"/>
      <c r="AU525" s="460"/>
      <c r="AV525" s="460"/>
      <c r="AW525" s="460"/>
      <c r="AX525" s="460"/>
      <c r="AY525" s="460"/>
      <c r="AZ525" s="460"/>
      <c r="BA525" s="460"/>
      <c r="BB525" s="460"/>
      <c r="BC525" s="460"/>
      <c r="BD525" s="460"/>
      <c r="BE525" s="460"/>
      <c r="BF525" s="460"/>
      <c r="BG525" s="460"/>
      <c r="BH525" s="460"/>
      <c r="BI525" s="460"/>
      <c r="BJ525" s="460"/>
      <c r="BK525" s="460"/>
      <c r="BL525" s="460"/>
      <c r="BM525" s="460"/>
      <c r="BN525" s="460"/>
      <c r="BO525" s="460"/>
      <c r="BP525" s="460"/>
      <c r="BQ525" s="460"/>
      <c r="BR525" s="460"/>
      <c r="BS525" s="460"/>
      <c r="BT525" s="460"/>
      <c r="BU525" s="460"/>
      <c r="BV525" s="460"/>
      <c r="BW525" s="460"/>
      <c r="BX525" s="460"/>
      <c r="BY525" s="460"/>
      <c r="BZ525" s="460"/>
      <c r="CA525" s="460"/>
      <c r="CB525" s="460"/>
      <c r="CC525" s="460"/>
      <c r="CD525" s="460"/>
      <c r="CE525" s="460"/>
      <c r="CF525" s="460"/>
      <c r="CG525" s="460"/>
      <c r="CH525" s="460"/>
      <c r="CI525" s="460"/>
      <c r="CJ525" s="460"/>
      <c r="CK525" s="460"/>
    </row>
    <row r="526" spans="1:89" s="329" customFormat="1" ht="36" customHeight="1" x14ac:dyDescent="0.25">
      <c r="A526" s="329">
        <v>1</v>
      </c>
      <c r="B526" s="39">
        <f>SUBTOTAL(103,$A$16:A526)</f>
        <v>450</v>
      </c>
      <c r="C526" s="33" t="s">
        <v>1410</v>
      </c>
      <c r="D526" s="330">
        <v>1977</v>
      </c>
      <c r="E526" s="330"/>
      <c r="F526" s="331" t="s">
        <v>48</v>
      </c>
      <c r="G526" s="330">
        <v>5</v>
      </c>
      <c r="H526" s="330" t="s">
        <v>57</v>
      </c>
      <c r="I526" s="38">
        <v>4191.8999999999996</v>
      </c>
      <c r="J526" s="38">
        <v>4191.8999999999996</v>
      </c>
      <c r="K526" s="38">
        <v>2528.1999999999998</v>
      </c>
      <c r="L526" s="332">
        <v>91</v>
      </c>
      <c r="M526" s="330" t="s">
        <v>46</v>
      </c>
      <c r="N526" s="330" t="s">
        <v>50</v>
      </c>
      <c r="O526" s="333" t="s">
        <v>2112</v>
      </c>
      <c r="P526" s="38">
        <v>5496155.5999999996</v>
      </c>
      <c r="Q526" s="38">
        <v>0</v>
      </c>
      <c r="R526" s="38">
        <v>0</v>
      </c>
      <c r="S526" s="38">
        <f>P526-R526-Q526</f>
        <v>5496155.5999999996</v>
      </c>
      <c r="T526" s="38">
        <f t="shared" si="85"/>
        <v>1311.13709773611</v>
      </c>
      <c r="U526" s="38">
        <v>5091.4329778859237</v>
      </c>
      <c r="V526" s="458">
        <f t="shared" si="87"/>
        <v>3780.2958801498135</v>
      </c>
      <c r="W526" s="458">
        <f t="shared" si="103"/>
        <v>5091.4329778859237</v>
      </c>
      <c r="X526" s="458">
        <v>0</v>
      </c>
      <c r="Y526" s="459">
        <v>0</v>
      </c>
      <c r="Z526" s="459">
        <v>0</v>
      </c>
      <c r="AA526" s="459">
        <v>0</v>
      </c>
      <c r="AB526" s="459">
        <v>0</v>
      </c>
      <c r="AC526" s="459">
        <v>0</v>
      </c>
      <c r="AD526" s="459">
        <v>0</v>
      </c>
      <c r="AE526" s="459">
        <v>0</v>
      </c>
      <c r="AF526" s="458">
        <v>0</v>
      </c>
      <c r="AG526" s="459">
        <v>0</v>
      </c>
      <c r="AH526" s="458">
        <v>0</v>
      </c>
      <c r="AI526" s="459">
        <v>2869</v>
      </c>
      <c r="AJ526" s="458">
        <f>7439.1*AI526/I526</f>
        <v>5091.4329778859237</v>
      </c>
      <c r="AK526" s="459">
        <v>0</v>
      </c>
      <c r="AL526" s="459">
        <v>0</v>
      </c>
      <c r="AM526" s="459">
        <v>0</v>
      </c>
      <c r="AN526" s="459"/>
      <c r="AO526" s="459">
        <v>0</v>
      </c>
      <c r="AP526" s="460"/>
      <c r="AQ526" s="460"/>
      <c r="AR526" s="460"/>
      <c r="AS526" s="460"/>
      <c r="AT526" s="460"/>
      <c r="AU526" s="460"/>
      <c r="AV526" s="460"/>
      <c r="AW526" s="460"/>
      <c r="AX526" s="460"/>
      <c r="AY526" s="460"/>
      <c r="AZ526" s="460"/>
      <c r="BA526" s="460"/>
      <c r="BB526" s="460"/>
      <c r="BC526" s="460"/>
      <c r="BD526" s="460"/>
      <c r="BE526" s="460"/>
      <c r="BF526" s="460"/>
      <c r="BG526" s="460"/>
      <c r="BH526" s="460"/>
      <c r="BI526" s="460"/>
      <c r="BJ526" s="460"/>
      <c r="BK526" s="460"/>
      <c r="BL526" s="460"/>
      <c r="BM526" s="460"/>
      <c r="BN526" s="460"/>
      <c r="BO526" s="460"/>
      <c r="BP526" s="460"/>
      <c r="BQ526" s="460"/>
      <c r="BR526" s="460"/>
      <c r="BS526" s="460"/>
      <c r="BT526" s="460"/>
      <c r="BU526" s="460"/>
      <c r="BV526" s="460"/>
      <c r="BW526" s="460"/>
      <c r="BX526" s="460"/>
      <c r="BY526" s="460"/>
      <c r="BZ526" s="460"/>
      <c r="CA526" s="460"/>
      <c r="CB526" s="460"/>
      <c r="CC526" s="460"/>
      <c r="CD526" s="460"/>
      <c r="CE526" s="460"/>
      <c r="CF526" s="460"/>
      <c r="CG526" s="460"/>
      <c r="CH526" s="460"/>
      <c r="CI526" s="460"/>
      <c r="CJ526" s="460"/>
      <c r="CK526" s="460"/>
    </row>
    <row r="527" spans="1:89" s="329" customFormat="1" ht="36" customHeight="1" x14ac:dyDescent="0.25">
      <c r="B527" s="33" t="s">
        <v>1411</v>
      </c>
      <c r="C527" s="33"/>
      <c r="D527" s="330" t="s">
        <v>131</v>
      </c>
      <c r="E527" s="330" t="s">
        <v>131</v>
      </c>
      <c r="F527" s="330" t="s">
        <v>131</v>
      </c>
      <c r="G527" s="330" t="s">
        <v>131</v>
      </c>
      <c r="H527" s="330" t="s">
        <v>131</v>
      </c>
      <c r="I527" s="334">
        <f>I528</f>
        <v>428.4</v>
      </c>
      <c r="J527" s="334">
        <f>J528</f>
        <v>385.4</v>
      </c>
      <c r="K527" s="334">
        <f>K528</f>
        <v>385.4</v>
      </c>
      <c r="L527" s="332">
        <f>L528</f>
        <v>20</v>
      </c>
      <c r="M527" s="330" t="s">
        <v>131</v>
      </c>
      <c r="N527" s="330" t="s">
        <v>131</v>
      </c>
      <c r="O527" s="333" t="s">
        <v>131</v>
      </c>
      <c r="P527" s="38">
        <v>1241065.97</v>
      </c>
      <c r="Q527" s="38">
        <f>Q528</f>
        <v>0</v>
      </c>
      <c r="R527" s="38">
        <f>R528</f>
        <v>0</v>
      </c>
      <c r="S527" s="38">
        <f>S528</f>
        <v>1241065.97</v>
      </c>
      <c r="T527" s="38">
        <f t="shared" ref="T527:T590" si="104">P527/I527</f>
        <v>2896.9793884220358</v>
      </c>
      <c r="U527" s="38">
        <f>U528</f>
        <v>5289.8897759103638</v>
      </c>
      <c r="V527" s="458">
        <f t="shared" si="87"/>
        <v>2392.9103874883281</v>
      </c>
      <c r="W527" s="458"/>
      <c r="X527" s="458"/>
      <c r="Y527" s="459"/>
      <c r="Z527" s="459"/>
      <c r="AA527" s="459"/>
      <c r="AB527" s="459"/>
      <c r="AC527" s="459"/>
      <c r="AD527" s="459"/>
      <c r="AE527" s="459"/>
      <c r="AF527" s="459"/>
      <c r="AG527" s="459"/>
      <c r="AH527" s="459"/>
      <c r="AI527" s="459"/>
      <c r="AJ527" s="459"/>
      <c r="AK527" s="459"/>
      <c r="AL527" s="459"/>
      <c r="AM527" s="459"/>
      <c r="AN527" s="459"/>
      <c r="AO527" s="459"/>
      <c r="AP527" s="460"/>
      <c r="AQ527" s="460"/>
      <c r="AR527" s="460"/>
      <c r="AS527" s="460"/>
      <c r="AT527" s="460"/>
      <c r="AU527" s="460"/>
      <c r="AV527" s="460"/>
      <c r="AW527" s="460"/>
      <c r="AX527" s="460"/>
      <c r="AY527" s="460"/>
      <c r="AZ527" s="460"/>
      <c r="BA527" s="460"/>
      <c r="BB527" s="460"/>
      <c r="BC527" s="460"/>
      <c r="BD527" s="460"/>
      <c r="BE527" s="460"/>
      <c r="BF527" s="460"/>
      <c r="BG527" s="460"/>
      <c r="BH527" s="460"/>
      <c r="BI527" s="460"/>
      <c r="BJ527" s="460"/>
      <c r="BK527" s="460"/>
      <c r="BL527" s="460"/>
      <c r="BM527" s="460"/>
      <c r="BN527" s="460"/>
      <c r="BO527" s="460"/>
      <c r="BP527" s="460"/>
      <c r="BQ527" s="460"/>
      <c r="BR527" s="460"/>
      <c r="BS527" s="460"/>
      <c r="BT527" s="460"/>
      <c r="BU527" s="460"/>
      <c r="BV527" s="460"/>
      <c r="BW527" s="460"/>
      <c r="BX527" s="460"/>
      <c r="BY527" s="460"/>
      <c r="BZ527" s="460"/>
      <c r="CA527" s="460"/>
      <c r="CB527" s="460"/>
      <c r="CC527" s="460"/>
      <c r="CD527" s="460"/>
      <c r="CE527" s="460"/>
      <c r="CF527" s="460"/>
      <c r="CG527" s="460"/>
      <c r="CH527" s="460"/>
      <c r="CI527" s="460"/>
      <c r="CJ527" s="460"/>
      <c r="CK527" s="460"/>
    </row>
    <row r="528" spans="1:89" s="329" customFormat="1" ht="36" customHeight="1" x14ac:dyDescent="0.25">
      <c r="A528" s="329">
        <v>1</v>
      </c>
      <c r="B528" s="39">
        <f>SUBTOTAL(103,$A$16:A528)</f>
        <v>451</v>
      </c>
      <c r="C528" s="33" t="s">
        <v>1119</v>
      </c>
      <c r="D528" s="330" t="s">
        <v>58</v>
      </c>
      <c r="E528" s="330"/>
      <c r="F528" s="331" t="s">
        <v>48</v>
      </c>
      <c r="G528" s="330" t="s">
        <v>56</v>
      </c>
      <c r="H528" s="330" t="s">
        <v>56</v>
      </c>
      <c r="I528" s="38">
        <v>428.4</v>
      </c>
      <c r="J528" s="38">
        <v>385.4</v>
      </c>
      <c r="K528" s="38">
        <v>385.4</v>
      </c>
      <c r="L528" s="332">
        <v>20</v>
      </c>
      <c r="M528" s="330" t="s">
        <v>46</v>
      </c>
      <c r="N528" s="330" t="s">
        <v>47</v>
      </c>
      <c r="O528" s="333" t="s">
        <v>49</v>
      </c>
      <c r="P528" s="38">
        <v>1241065.97</v>
      </c>
      <c r="Q528" s="38">
        <v>0</v>
      </c>
      <c r="R528" s="38">
        <v>0</v>
      </c>
      <c r="S528" s="38">
        <f>P528-Q528-R528</f>
        <v>1241065.97</v>
      </c>
      <c r="T528" s="38">
        <f t="shared" si="104"/>
        <v>2896.9793884220358</v>
      </c>
      <c r="U528" s="38">
        <v>5289.8897759103638</v>
      </c>
      <c r="V528" s="458">
        <f>U528-T528</f>
        <v>2392.9103874883281</v>
      </c>
      <c r="W528" s="458">
        <f>X528+Y528+Z528+AA528+AB528+AD528+AF528+AH528+AJ528+AL528+AN528+AO528</f>
        <v>5271.9080765639592</v>
      </c>
      <c r="X528" s="458">
        <v>0</v>
      </c>
      <c r="Y528" s="459">
        <v>0</v>
      </c>
      <c r="Z528" s="459">
        <v>0</v>
      </c>
      <c r="AA528" s="459">
        <v>0</v>
      </c>
      <c r="AB528" s="459">
        <v>0</v>
      </c>
      <c r="AC528" s="459">
        <v>0</v>
      </c>
      <c r="AD528" s="459">
        <v>0</v>
      </c>
      <c r="AE528" s="459">
        <v>362</v>
      </c>
      <c r="AF528" s="458">
        <f>6238.91*AE528/I528</f>
        <v>5271.9080765639592</v>
      </c>
      <c r="AG528" s="459">
        <v>0</v>
      </c>
      <c r="AH528" s="458">
        <v>0</v>
      </c>
      <c r="AI528" s="459">
        <v>0</v>
      </c>
      <c r="AJ528" s="458">
        <v>0</v>
      </c>
      <c r="AK528" s="459">
        <v>0</v>
      </c>
      <c r="AL528" s="459">
        <v>0</v>
      </c>
      <c r="AM528" s="459">
        <v>0</v>
      </c>
      <c r="AN528" s="459"/>
      <c r="AO528" s="459">
        <v>0</v>
      </c>
      <c r="AP528" s="460"/>
      <c r="AQ528" s="460"/>
      <c r="AR528" s="460"/>
      <c r="AS528" s="460"/>
      <c r="AT528" s="460"/>
      <c r="AU528" s="460"/>
      <c r="AV528" s="460"/>
      <c r="AW528" s="460"/>
      <c r="AX528" s="460"/>
      <c r="AY528" s="460"/>
      <c r="AZ528" s="460"/>
      <c r="BA528" s="460"/>
      <c r="BB528" s="460"/>
      <c r="BC528" s="460"/>
      <c r="BD528" s="460"/>
      <c r="BE528" s="460"/>
      <c r="BF528" s="460"/>
      <c r="BG528" s="460"/>
      <c r="BH528" s="460"/>
      <c r="BI528" s="460"/>
      <c r="BJ528" s="460"/>
      <c r="BK528" s="460"/>
      <c r="BL528" s="460"/>
      <c r="BM528" s="460"/>
      <c r="BN528" s="460"/>
      <c r="BO528" s="460"/>
      <c r="BP528" s="460"/>
      <c r="BQ528" s="460"/>
      <c r="BR528" s="460"/>
      <c r="BS528" s="460"/>
      <c r="BT528" s="460"/>
      <c r="BU528" s="460"/>
      <c r="BV528" s="460"/>
      <c r="BW528" s="460"/>
      <c r="BX528" s="460"/>
      <c r="BY528" s="460"/>
      <c r="BZ528" s="460"/>
      <c r="CA528" s="460"/>
      <c r="CB528" s="460"/>
      <c r="CC528" s="460"/>
      <c r="CD528" s="460"/>
      <c r="CE528" s="460"/>
      <c r="CF528" s="460"/>
      <c r="CG528" s="460"/>
      <c r="CH528" s="460"/>
      <c r="CI528" s="460"/>
      <c r="CJ528" s="460"/>
      <c r="CK528" s="460"/>
    </row>
    <row r="529" spans="1:89" s="329" customFormat="1" ht="36" customHeight="1" x14ac:dyDescent="0.25">
      <c r="B529" s="33" t="s">
        <v>123</v>
      </c>
      <c r="C529" s="462"/>
      <c r="D529" s="330" t="s">
        <v>131</v>
      </c>
      <c r="E529" s="330" t="s">
        <v>131</v>
      </c>
      <c r="F529" s="330" t="s">
        <v>131</v>
      </c>
      <c r="G529" s="330" t="s">
        <v>131</v>
      </c>
      <c r="H529" s="330" t="s">
        <v>131</v>
      </c>
      <c r="I529" s="334">
        <f>SUM(I530:I538)</f>
        <v>12546.099999999999</v>
      </c>
      <c r="J529" s="334">
        <f>SUM(J530:J538)</f>
        <v>10792.6</v>
      </c>
      <c r="K529" s="334">
        <f>SUM(K530:K538)</f>
        <v>10596.7</v>
      </c>
      <c r="L529" s="332">
        <f>SUM(L530:L538)</f>
        <v>564</v>
      </c>
      <c r="M529" s="330" t="s">
        <v>131</v>
      </c>
      <c r="N529" s="330" t="s">
        <v>131</v>
      </c>
      <c r="O529" s="333" t="s">
        <v>131</v>
      </c>
      <c r="P529" s="334">
        <v>12361893.85</v>
      </c>
      <c r="Q529" s="334">
        <f>SUM(Q530:Q538)</f>
        <v>0</v>
      </c>
      <c r="R529" s="334">
        <f>SUM(R530:R538)</f>
        <v>0</v>
      </c>
      <c r="S529" s="334">
        <f>SUM(S530:S538)</f>
        <v>12361893.85</v>
      </c>
      <c r="T529" s="38">
        <f t="shared" si="104"/>
        <v>985.31765648289115</v>
      </c>
      <c r="U529" s="38">
        <f>MAX(U530:BV538)</f>
        <v>3626.97</v>
      </c>
      <c r="V529" s="458">
        <f t="shared" ref="V529:V592" si="105">U529-T529</f>
        <v>2641.6523435171084</v>
      </c>
      <c r="W529" s="458"/>
      <c r="X529" s="458"/>
      <c r="Y529" s="459"/>
      <c r="Z529" s="459"/>
      <c r="AA529" s="459"/>
      <c r="AB529" s="459"/>
      <c r="AC529" s="459"/>
      <c r="AD529" s="459"/>
      <c r="AE529" s="459"/>
      <c r="AF529" s="459"/>
      <c r="AG529" s="459"/>
      <c r="AH529" s="459"/>
      <c r="AI529" s="459"/>
      <c r="AJ529" s="459"/>
      <c r="AK529" s="459"/>
      <c r="AL529" s="459"/>
      <c r="AM529" s="459"/>
      <c r="AN529" s="459"/>
      <c r="AO529" s="459"/>
      <c r="AP529" s="460"/>
      <c r="AQ529" s="460"/>
      <c r="AR529" s="460"/>
      <c r="AS529" s="460"/>
      <c r="AT529" s="460"/>
      <c r="AU529" s="460"/>
      <c r="AV529" s="460"/>
      <c r="AW529" s="460"/>
      <c r="AX529" s="460"/>
      <c r="AY529" s="460"/>
      <c r="AZ529" s="460"/>
      <c r="BA529" s="460"/>
      <c r="BB529" s="460"/>
      <c r="BC529" s="460"/>
      <c r="BD529" s="460"/>
      <c r="BE529" s="460"/>
      <c r="BF529" s="460"/>
      <c r="BG529" s="460"/>
      <c r="BH529" s="460"/>
      <c r="BI529" s="460"/>
      <c r="BJ529" s="460"/>
      <c r="BK529" s="460"/>
      <c r="BL529" s="460"/>
      <c r="BM529" s="460"/>
      <c r="BN529" s="460"/>
      <c r="BO529" s="460"/>
      <c r="BP529" s="460"/>
      <c r="BQ529" s="460"/>
      <c r="BR529" s="460"/>
      <c r="BS529" s="460"/>
      <c r="BT529" s="460"/>
      <c r="BU529" s="460"/>
      <c r="BV529" s="460"/>
      <c r="BW529" s="460"/>
      <c r="BX529" s="460"/>
      <c r="BY529" s="460"/>
      <c r="BZ529" s="460"/>
      <c r="CA529" s="460"/>
      <c r="CB529" s="460"/>
      <c r="CC529" s="460"/>
      <c r="CD529" s="460"/>
      <c r="CE529" s="460"/>
      <c r="CF529" s="460"/>
      <c r="CG529" s="460"/>
      <c r="CH529" s="460"/>
      <c r="CI529" s="460"/>
      <c r="CJ529" s="460"/>
      <c r="CK529" s="460"/>
    </row>
    <row r="530" spans="1:89" s="329" customFormat="1" ht="36" customHeight="1" x14ac:dyDescent="0.25">
      <c r="A530" s="329">
        <v>1</v>
      </c>
      <c r="B530" s="39">
        <f>SUBTOTAL(103,$A$16:A530)</f>
        <v>452</v>
      </c>
      <c r="C530" s="33" t="s">
        <v>1121</v>
      </c>
      <c r="D530" s="330">
        <v>1974</v>
      </c>
      <c r="E530" s="330"/>
      <c r="F530" s="331" t="s">
        <v>48</v>
      </c>
      <c r="G530" s="330">
        <v>5</v>
      </c>
      <c r="H530" s="330" t="s">
        <v>59</v>
      </c>
      <c r="I530" s="38">
        <v>3601.7</v>
      </c>
      <c r="J530" s="38">
        <v>3307.8</v>
      </c>
      <c r="K530" s="38">
        <v>3307.8</v>
      </c>
      <c r="L530" s="332">
        <v>143</v>
      </c>
      <c r="M530" s="330" t="s">
        <v>46</v>
      </c>
      <c r="N530" s="330" t="s">
        <v>50</v>
      </c>
      <c r="O530" s="333" t="s">
        <v>2113</v>
      </c>
      <c r="P530" s="38">
        <v>7319741.4200000009</v>
      </c>
      <c r="Q530" s="38">
        <v>0</v>
      </c>
      <c r="R530" s="38">
        <v>0</v>
      </c>
      <c r="S530" s="38">
        <f t="shared" ref="S530:S535" si="106">P530-Q530-R530</f>
        <v>7319741.4200000009</v>
      </c>
      <c r="T530" s="38">
        <f t="shared" si="104"/>
        <v>2032.3018074798015</v>
      </c>
      <c r="U530" s="38">
        <v>2032.3018074798015</v>
      </c>
      <c r="V530" s="458">
        <f t="shared" si="105"/>
        <v>0</v>
      </c>
      <c r="W530" s="458">
        <f t="shared" ref="W530:W534" si="107">X530+Y530+Z530+AA530+AB530+AD530+AF530+AH530+AJ530+AL530+AN530+AO530</f>
        <v>1831.0699374462058</v>
      </c>
      <c r="X530" s="458">
        <v>0</v>
      </c>
      <c r="Y530" s="459">
        <v>0</v>
      </c>
      <c r="Z530" s="459">
        <v>0</v>
      </c>
      <c r="AA530" s="459">
        <v>0</v>
      </c>
      <c r="AB530" s="459">
        <v>0</v>
      </c>
      <c r="AC530" s="459">
        <v>0</v>
      </c>
      <c r="AD530" s="459">
        <v>0</v>
      </c>
      <c r="AE530" s="459">
        <v>1057.07</v>
      </c>
      <c r="AF530" s="458">
        <f>6238.91*AE530/I530</f>
        <v>1831.0699374462058</v>
      </c>
      <c r="AG530" s="459">
        <v>0</v>
      </c>
      <c r="AH530" s="458">
        <v>0</v>
      </c>
      <c r="AI530" s="459">
        <v>0</v>
      </c>
      <c r="AJ530" s="458">
        <v>0</v>
      </c>
      <c r="AK530" s="459">
        <v>0</v>
      </c>
      <c r="AL530" s="459">
        <v>0</v>
      </c>
      <c r="AM530" s="459">
        <v>0</v>
      </c>
      <c r="AN530" s="459"/>
      <c r="AO530" s="459">
        <v>0</v>
      </c>
      <c r="AP530" s="460"/>
      <c r="AQ530" s="460"/>
      <c r="AR530" s="460"/>
      <c r="AS530" s="460"/>
      <c r="AT530" s="460"/>
      <c r="AU530" s="460"/>
      <c r="AV530" s="460"/>
      <c r="AW530" s="460"/>
      <c r="AX530" s="460"/>
      <c r="AY530" s="460"/>
      <c r="AZ530" s="460"/>
      <c r="BA530" s="460"/>
      <c r="BB530" s="460"/>
      <c r="BC530" s="460"/>
      <c r="BD530" s="460"/>
      <c r="BE530" s="460"/>
      <c r="BF530" s="460"/>
      <c r="BG530" s="460"/>
      <c r="BH530" s="460"/>
      <c r="BI530" s="460"/>
      <c r="BJ530" s="460"/>
      <c r="BK530" s="460"/>
      <c r="BL530" s="460"/>
      <c r="BM530" s="460"/>
      <c r="BN530" s="460"/>
      <c r="BO530" s="460"/>
      <c r="BP530" s="460"/>
      <c r="BQ530" s="460"/>
      <c r="BR530" s="460"/>
      <c r="BS530" s="460"/>
      <c r="BT530" s="460"/>
      <c r="BU530" s="460"/>
      <c r="BV530" s="460"/>
      <c r="BW530" s="460"/>
      <c r="BX530" s="460"/>
      <c r="BY530" s="460"/>
      <c r="BZ530" s="460"/>
      <c r="CA530" s="460"/>
      <c r="CB530" s="460"/>
      <c r="CC530" s="460"/>
      <c r="CD530" s="460"/>
      <c r="CE530" s="460"/>
      <c r="CF530" s="460"/>
      <c r="CG530" s="460"/>
      <c r="CH530" s="460"/>
      <c r="CI530" s="460"/>
      <c r="CJ530" s="460"/>
      <c r="CK530" s="460"/>
    </row>
    <row r="531" spans="1:89" s="329" customFormat="1" ht="36" customHeight="1" x14ac:dyDescent="0.25">
      <c r="A531" s="329">
        <v>1</v>
      </c>
      <c r="B531" s="39">
        <f>SUBTOTAL(103,$A$16:A531)</f>
        <v>453</v>
      </c>
      <c r="C531" s="33" t="s">
        <v>1412</v>
      </c>
      <c r="D531" s="330">
        <v>1967</v>
      </c>
      <c r="E531" s="330"/>
      <c r="F531" s="331" t="s">
        <v>48</v>
      </c>
      <c r="G531" s="330">
        <v>4</v>
      </c>
      <c r="H531" s="330" t="s">
        <v>57</v>
      </c>
      <c r="I531" s="38">
        <v>2162.6999999999998</v>
      </c>
      <c r="J531" s="38">
        <v>1343.3</v>
      </c>
      <c r="K531" s="38">
        <v>1343.3</v>
      </c>
      <c r="L531" s="332">
        <v>138</v>
      </c>
      <c r="M531" s="330" t="s">
        <v>46</v>
      </c>
      <c r="N531" s="330" t="s">
        <v>50</v>
      </c>
      <c r="O531" s="333" t="s">
        <v>2114</v>
      </c>
      <c r="P531" s="38">
        <v>2639000</v>
      </c>
      <c r="Q531" s="38">
        <v>0</v>
      </c>
      <c r="R531" s="38">
        <v>0</v>
      </c>
      <c r="S531" s="38">
        <f t="shared" si="106"/>
        <v>2639000</v>
      </c>
      <c r="T531" s="38">
        <f t="shared" si="104"/>
        <v>1220.2339668007585</v>
      </c>
      <c r="U531" s="38">
        <v>3259.66</v>
      </c>
      <c r="V531" s="458">
        <f t="shared" si="105"/>
        <v>2039.4260331992414</v>
      </c>
      <c r="W531" s="458">
        <f t="shared" si="107"/>
        <v>3259.66</v>
      </c>
      <c r="X531" s="458">
        <v>0</v>
      </c>
      <c r="Y531" s="459">
        <v>0</v>
      </c>
      <c r="Z531" s="459">
        <v>3259.66</v>
      </c>
      <c r="AA531" s="459">
        <v>0</v>
      </c>
      <c r="AB531" s="459">
        <v>0</v>
      </c>
      <c r="AC531" s="459">
        <v>0</v>
      </c>
      <c r="AD531" s="459">
        <v>0</v>
      </c>
      <c r="AE531" s="459">
        <v>0</v>
      </c>
      <c r="AF531" s="458">
        <v>0</v>
      </c>
      <c r="AG531" s="459">
        <v>0</v>
      </c>
      <c r="AH531" s="458">
        <v>0</v>
      </c>
      <c r="AI531" s="459">
        <v>0</v>
      </c>
      <c r="AJ531" s="458">
        <v>0</v>
      </c>
      <c r="AK531" s="459">
        <v>0</v>
      </c>
      <c r="AL531" s="459">
        <v>0</v>
      </c>
      <c r="AM531" s="459">
        <v>0</v>
      </c>
      <c r="AN531" s="459"/>
      <c r="AO531" s="459">
        <v>0</v>
      </c>
      <c r="AP531" s="460"/>
      <c r="AQ531" s="460"/>
      <c r="AR531" s="460"/>
      <c r="AS531" s="460"/>
      <c r="AT531" s="460"/>
      <c r="AU531" s="460"/>
      <c r="AV531" s="460"/>
      <c r="AW531" s="460"/>
      <c r="AX531" s="460"/>
      <c r="AY531" s="460"/>
      <c r="AZ531" s="460"/>
      <c r="BA531" s="460"/>
      <c r="BB531" s="460"/>
      <c r="BC531" s="460"/>
      <c r="BD531" s="460"/>
      <c r="BE531" s="460"/>
      <c r="BF531" s="460"/>
      <c r="BG531" s="460"/>
      <c r="BH531" s="460"/>
      <c r="BI531" s="460"/>
      <c r="BJ531" s="460"/>
      <c r="BK531" s="460"/>
      <c r="BL531" s="460"/>
      <c r="BM531" s="460"/>
      <c r="BN531" s="460"/>
      <c r="BO531" s="460"/>
      <c r="BP531" s="460"/>
      <c r="BQ531" s="460"/>
      <c r="BR531" s="460"/>
      <c r="BS531" s="460"/>
      <c r="BT531" s="460"/>
      <c r="BU531" s="460"/>
      <c r="BV531" s="460"/>
      <c r="BW531" s="460"/>
      <c r="BX531" s="460"/>
      <c r="BY531" s="460"/>
      <c r="BZ531" s="460"/>
      <c r="CA531" s="460"/>
      <c r="CB531" s="460"/>
      <c r="CC531" s="460"/>
      <c r="CD531" s="460"/>
      <c r="CE531" s="460"/>
      <c r="CF531" s="460"/>
      <c r="CG531" s="460"/>
      <c r="CH531" s="460"/>
      <c r="CI531" s="460"/>
      <c r="CJ531" s="460"/>
      <c r="CK531" s="460"/>
    </row>
    <row r="532" spans="1:89" s="329" customFormat="1" ht="36" customHeight="1" x14ac:dyDescent="0.25">
      <c r="A532" s="329">
        <v>1</v>
      </c>
      <c r="B532" s="39">
        <f>SUBTOTAL(103,$A$16:A532)</f>
        <v>454</v>
      </c>
      <c r="C532" s="33" t="s">
        <v>1413</v>
      </c>
      <c r="D532" s="330">
        <v>1980</v>
      </c>
      <c r="E532" s="330"/>
      <c r="F532" s="331" t="s">
        <v>48</v>
      </c>
      <c r="G532" s="330">
        <v>2</v>
      </c>
      <c r="H532" s="330" t="s">
        <v>61</v>
      </c>
      <c r="I532" s="38">
        <v>955</v>
      </c>
      <c r="J532" s="38">
        <v>869.8</v>
      </c>
      <c r="K532" s="38">
        <v>869.8</v>
      </c>
      <c r="L532" s="332">
        <v>47</v>
      </c>
      <c r="M532" s="330" t="s">
        <v>46</v>
      </c>
      <c r="N532" s="330" t="s">
        <v>50</v>
      </c>
      <c r="O532" s="333" t="s">
        <v>2114</v>
      </c>
      <c r="P532" s="38">
        <v>229229.19</v>
      </c>
      <c r="Q532" s="38">
        <v>0</v>
      </c>
      <c r="R532" s="38">
        <v>0</v>
      </c>
      <c r="S532" s="38">
        <f t="shared" si="106"/>
        <v>229229.19</v>
      </c>
      <c r="T532" s="38">
        <f t="shared" si="104"/>
        <v>240.03056544502618</v>
      </c>
      <c r="U532" s="38">
        <v>3259.66</v>
      </c>
      <c r="V532" s="458">
        <f t="shared" si="105"/>
        <v>3019.6294345549736</v>
      </c>
      <c r="W532" s="458">
        <f t="shared" si="107"/>
        <v>3259.66</v>
      </c>
      <c r="X532" s="458">
        <v>0</v>
      </c>
      <c r="Y532" s="459">
        <v>0</v>
      </c>
      <c r="Z532" s="459">
        <v>3259.66</v>
      </c>
      <c r="AA532" s="459">
        <v>0</v>
      </c>
      <c r="AB532" s="459">
        <v>0</v>
      </c>
      <c r="AC532" s="459">
        <v>0</v>
      </c>
      <c r="AD532" s="459">
        <v>0</v>
      </c>
      <c r="AE532" s="459">
        <v>0</v>
      </c>
      <c r="AF532" s="458">
        <v>0</v>
      </c>
      <c r="AG532" s="459">
        <v>0</v>
      </c>
      <c r="AH532" s="458">
        <v>0</v>
      </c>
      <c r="AI532" s="459">
        <v>0</v>
      </c>
      <c r="AJ532" s="458">
        <v>0</v>
      </c>
      <c r="AK532" s="459">
        <v>0</v>
      </c>
      <c r="AL532" s="459">
        <v>0</v>
      </c>
      <c r="AM532" s="459">
        <v>0</v>
      </c>
      <c r="AN532" s="459"/>
      <c r="AO532" s="459">
        <v>0</v>
      </c>
      <c r="AP532" s="460"/>
      <c r="AQ532" s="460"/>
      <c r="AR532" s="460"/>
      <c r="AS532" s="460"/>
      <c r="AT532" s="460"/>
      <c r="AU532" s="460"/>
      <c r="AV532" s="460"/>
      <c r="AW532" s="460"/>
      <c r="AX532" s="460"/>
      <c r="AY532" s="460"/>
      <c r="AZ532" s="460"/>
      <c r="BA532" s="460"/>
      <c r="BB532" s="460"/>
      <c r="BC532" s="460"/>
      <c r="BD532" s="460"/>
      <c r="BE532" s="460"/>
      <c r="BF532" s="460"/>
      <c r="BG532" s="460"/>
      <c r="BH532" s="460"/>
      <c r="BI532" s="460"/>
      <c r="BJ532" s="460"/>
      <c r="BK532" s="460"/>
      <c r="BL532" s="460"/>
      <c r="BM532" s="460"/>
      <c r="BN532" s="460"/>
      <c r="BO532" s="460"/>
      <c r="BP532" s="460"/>
      <c r="BQ532" s="460"/>
      <c r="BR532" s="460"/>
      <c r="BS532" s="460"/>
      <c r="BT532" s="460"/>
      <c r="BU532" s="460"/>
      <c r="BV532" s="460"/>
      <c r="BW532" s="460"/>
      <c r="BX532" s="460"/>
      <c r="BY532" s="460"/>
      <c r="BZ532" s="460"/>
      <c r="CA532" s="460"/>
      <c r="CB532" s="460"/>
      <c r="CC532" s="460"/>
      <c r="CD532" s="460"/>
      <c r="CE532" s="460"/>
      <c r="CF532" s="460"/>
      <c r="CG532" s="460"/>
      <c r="CH532" s="460"/>
      <c r="CI532" s="460"/>
      <c r="CJ532" s="460"/>
      <c r="CK532" s="460"/>
    </row>
    <row r="533" spans="1:89" s="329" customFormat="1" ht="36" customHeight="1" x14ac:dyDescent="0.25">
      <c r="A533" s="329">
        <v>1</v>
      </c>
      <c r="B533" s="39">
        <f>SUBTOTAL(103,$A$16:A533)</f>
        <v>455</v>
      </c>
      <c r="C533" s="33" t="s">
        <v>1414</v>
      </c>
      <c r="D533" s="330">
        <v>1967</v>
      </c>
      <c r="E533" s="330"/>
      <c r="F533" s="331" t="s">
        <v>48</v>
      </c>
      <c r="G533" s="330">
        <v>2</v>
      </c>
      <c r="H533" s="330" t="s">
        <v>56</v>
      </c>
      <c r="I533" s="38">
        <v>783.4</v>
      </c>
      <c r="J533" s="38">
        <v>725.6</v>
      </c>
      <c r="K533" s="38">
        <v>725.6</v>
      </c>
      <c r="L533" s="332">
        <v>35</v>
      </c>
      <c r="M533" s="330" t="s">
        <v>46</v>
      </c>
      <c r="N533" s="330" t="s">
        <v>50</v>
      </c>
      <c r="O533" s="333" t="s">
        <v>2114</v>
      </c>
      <c r="P533" s="38">
        <v>1879750.53</v>
      </c>
      <c r="Q533" s="38">
        <v>0</v>
      </c>
      <c r="R533" s="38">
        <v>0</v>
      </c>
      <c r="S533" s="38">
        <f t="shared" si="106"/>
        <v>1879750.53</v>
      </c>
      <c r="T533" s="38">
        <f t="shared" si="104"/>
        <v>2399.4773168241004</v>
      </c>
      <c r="U533" s="38">
        <v>3259.66</v>
      </c>
      <c r="V533" s="458">
        <f t="shared" si="105"/>
        <v>860.18268317589946</v>
      </c>
      <c r="W533" s="458">
        <f>T533</f>
        <v>2399.4773168241004</v>
      </c>
      <c r="X533" s="458">
        <v>0</v>
      </c>
      <c r="Y533" s="459">
        <v>0</v>
      </c>
      <c r="Z533" s="459">
        <v>3626.97</v>
      </c>
      <c r="AA533" s="459">
        <v>0</v>
      </c>
      <c r="AB533" s="459">
        <v>0</v>
      </c>
      <c r="AC533" s="459">
        <v>0</v>
      </c>
      <c r="AD533" s="459">
        <v>0</v>
      </c>
      <c r="AE533" s="459">
        <v>0</v>
      </c>
      <c r="AF533" s="458">
        <v>0</v>
      </c>
      <c r="AG533" s="459">
        <v>0</v>
      </c>
      <c r="AH533" s="458">
        <v>0</v>
      </c>
      <c r="AI533" s="459">
        <v>0</v>
      </c>
      <c r="AJ533" s="458">
        <v>0</v>
      </c>
      <c r="AK533" s="459">
        <v>0</v>
      </c>
      <c r="AL533" s="459">
        <v>0</v>
      </c>
      <c r="AM533" s="459">
        <v>0</v>
      </c>
      <c r="AN533" s="459"/>
      <c r="AO533" s="459">
        <v>0</v>
      </c>
      <c r="AP533" s="460"/>
      <c r="AQ533" s="460"/>
      <c r="AR533" s="460"/>
      <c r="AS533" s="460"/>
      <c r="AT533" s="460"/>
      <c r="AU533" s="460"/>
      <c r="AV533" s="460"/>
      <c r="AW533" s="460"/>
      <c r="AX533" s="460"/>
      <c r="AY533" s="460"/>
      <c r="AZ533" s="460"/>
      <c r="BA533" s="460"/>
      <c r="BB533" s="460"/>
      <c r="BC533" s="460"/>
      <c r="BD533" s="460"/>
      <c r="BE533" s="460"/>
      <c r="BF533" s="460"/>
      <c r="BG533" s="460"/>
      <c r="BH533" s="460"/>
      <c r="BI533" s="460"/>
      <c r="BJ533" s="460"/>
      <c r="BK533" s="460"/>
      <c r="BL533" s="460"/>
      <c r="BM533" s="460"/>
      <c r="BN533" s="460"/>
      <c r="BO533" s="460"/>
      <c r="BP533" s="460"/>
      <c r="BQ533" s="460"/>
      <c r="BR533" s="460"/>
      <c r="BS533" s="460"/>
      <c r="BT533" s="460"/>
      <c r="BU533" s="460"/>
      <c r="BV533" s="460"/>
      <c r="BW533" s="460"/>
      <c r="BX533" s="460"/>
      <c r="BY533" s="460"/>
      <c r="BZ533" s="460"/>
      <c r="CA533" s="460"/>
      <c r="CB533" s="460"/>
      <c r="CC533" s="460"/>
      <c r="CD533" s="460"/>
      <c r="CE533" s="460"/>
      <c r="CF533" s="460"/>
      <c r="CG533" s="460"/>
      <c r="CH533" s="460"/>
      <c r="CI533" s="460"/>
      <c r="CJ533" s="460"/>
      <c r="CK533" s="460"/>
    </row>
    <row r="534" spans="1:89" s="329" customFormat="1" ht="36" customHeight="1" x14ac:dyDescent="0.25">
      <c r="A534" s="329">
        <v>1</v>
      </c>
      <c r="B534" s="39">
        <f>SUBTOTAL(103,$A$16:A534)</f>
        <v>456</v>
      </c>
      <c r="C534" s="33" t="s">
        <v>1415</v>
      </c>
      <c r="D534" s="330">
        <v>1992</v>
      </c>
      <c r="E534" s="330"/>
      <c r="F534" s="331" t="s">
        <v>60</v>
      </c>
      <c r="G534" s="330">
        <v>2</v>
      </c>
      <c r="H534" s="330" t="s">
        <v>56</v>
      </c>
      <c r="I534" s="38">
        <v>690.3</v>
      </c>
      <c r="J534" s="38">
        <v>630.29999999999995</v>
      </c>
      <c r="K534" s="38">
        <v>564.4</v>
      </c>
      <c r="L534" s="332">
        <v>29</v>
      </c>
      <c r="M534" s="330" t="s">
        <v>46</v>
      </c>
      <c r="N534" s="330" t="s">
        <v>50</v>
      </c>
      <c r="O534" s="333" t="s">
        <v>2113</v>
      </c>
      <c r="P534" s="38">
        <v>57236.97</v>
      </c>
      <c r="Q534" s="38">
        <v>0</v>
      </c>
      <c r="R534" s="38">
        <v>0</v>
      </c>
      <c r="S534" s="38">
        <f t="shared" si="106"/>
        <v>57236.97</v>
      </c>
      <c r="T534" s="38">
        <f t="shared" si="104"/>
        <v>82.916079965232512</v>
      </c>
      <c r="U534" s="38">
        <v>82.916079965232512</v>
      </c>
      <c r="V534" s="458">
        <f t="shared" si="105"/>
        <v>0</v>
      </c>
      <c r="W534" s="458">
        <f t="shared" si="107"/>
        <v>3259.66</v>
      </c>
      <c r="X534" s="458">
        <v>0</v>
      </c>
      <c r="Y534" s="459">
        <v>0</v>
      </c>
      <c r="Z534" s="459">
        <v>3259.66</v>
      </c>
      <c r="AA534" s="459">
        <v>0</v>
      </c>
      <c r="AB534" s="459">
        <v>0</v>
      </c>
      <c r="AC534" s="459">
        <v>0</v>
      </c>
      <c r="AD534" s="459">
        <v>0</v>
      </c>
      <c r="AE534" s="459">
        <v>0</v>
      </c>
      <c r="AF534" s="458">
        <v>0</v>
      </c>
      <c r="AG534" s="459">
        <v>0</v>
      </c>
      <c r="AH534" s="458">
        <v>0</v>
      </c>
      <c r="AI534" s="459">
        <v>0</v>
      </c>
      <c r="AJ534" s="458">
        <v>0</v>
      </c>
      <c r="AK534" s="459">
        <v>0</v>
      </c>
      <c r="AL534" s="459">
        <v>0</v>
      </c>
      <c r="AM534" s="459">
        <v>0</v>
      </c>
      <c r="AN534" s="459"/>
      <c r="AO534" s="459">
        <v>0</v>
      </c>
      <c r="AP534" s="460"/>
      <c r="AQ534" s="460"/>
      <c r="AR534" s="460"/>
      <c r="AS534" s="460"/>
      <c r="AT534" s="460"/>
      <c r="AU534" s="460"/>
      <c r="AV534" s="460"/>
      <c r="AW534" s="460"/>
      <c r="AX534" s="460"/>
      <c r="AY534" s="460"/>
      <c r="AZ534" s="460"/>
      <c r="BA534" s="460"/>
      <c r="BB534" s="460"/>
      <c r="BC534" s="460"/>
      <c r="BD534" s="460"/>
      <c r="BE534" s="460"/>
      <c r="BF534" s="460"/>
      <c r="BG534" s="460"/>
      <c r="BH534" s="460"/>
      <c r="BI534" s="460"/>
      <c r="BJ534" s="460"/>
      <c r="BK534" s="460"/>
      <c r="BL534" s="460"/>
      <c r="BM534" s="460"/>
      <c r="BN534" s="460"/>
      <c r="BO534" s="460"/>
      <c r="BP534" s="460"/>
      <c r="BQ534" s="460"/>
      <c r="BR534" s="460"/>
      <c r="BS534" s="460"/>
      <c r="BT534" s="460"/>
      <c r="BU534" s="460"/>
      <c r="BV534" s="460"/>
      <c r="BW534" s="460"/>
      <c r="BX534" s="460"/>
      <c r="BY534" s="460"/>
      <c r="BZ534" s="460"/>
      <c r="CA534" s="460"/>
      <c r="CB534" s="460"/>
      <c r="CC534" s="460"/>
      <c r="CD534" s="460"/>
      <c r="CE534" s="460"/>
      <c r="CF534" s="460"/>
      <c r="CG534" s="460"/>
      <c r="CH534" s="460"/>
      <c r="CI534" s="460"/>
      <c r="CJ534" s="460"/>
      <c r="CK534" s="460"/>
    </row>
    <row r="535" spans="1:89" s="329" customFormat="1" ht="36" customHeight="1" x14ac:dyDescent="0.25">
      <c r="A535" s="329">
        <v>1</v>
      </c>
      <c r="B535" s="39">
        <f>SUBTOTAL(103,$A$16:A535)</f>
        <v>457</v>
      </c>
      <c r="C535" s="33" t="s">
        <v>1416</v>
      </c>
      <c r="D535" s="330">
        <v>1981</v>
      </c>
      <c r="E535" s="330"/>
      <c r="F535" s="331" t="s">
        <v>1981</v>
      </c>
      <c r="G535" s="330">
        <v>2</v>
      </c>
      <c r="H535" s="330" t="s">
        <v>61</v>
      </c>
      <c r="I535" s="38">
        <v>922.9</v>
      </c>
      <c r="J535" s="38">
        <v>838.7</v>
      </c>
      <c r="K535" s="38">
        <v>838.7</v>
      </c>
      <c r="L535" s="332">
        <v>43</v>
      </c>
      <c r="M535" s="330" t="s">
        <v>46</v>
      </c>
      <c r="N535" s="330" t="s">
        <v>47</v>
      </c>
      <c r="O535" s="333" t="s">
        <v>49</v>
      </c>
      <c r="P535" s="38">
        <v>60862.57</v>
      </c>
      <c r="Q535" s="38">
        <v>0</v>
      </c>
      <c r="R535" s="38">
        <v>0</v>
      </c>
      <c r="S535" s="38">
        <f t="shared" si="106"/>
        <v>60862.57</v>
      </c>
      <c r="T535" s="38">
        <f t="shared" si="104"/>
        <v>65.947090692382702</v>
      </c>
      <c r="U535" s="38">
        <v>65.947090692382702</v>
      </c>
      <c r="V535" s="458">
        <f t="shared" si="105"/>
        <v>0</v>
      </c>
      <c r="W535" s="458">
        <f t="shared" ref="W535:W538" si="108">T535</f>
        <v>65.947090692382702</v>
      </c>
      <c r="X535" s="458">
        <v>0</v>
      </c>
      <c r="Y535" s="459">
        <v>0</v>
      </c>
      <c r="Z535" s="459">
        <v>0</v>
      </c>
      <c r="AA535" s="459">
        <v>0</v>
      </c>
      <c r="AB535" s="459">
        <v>0</v>
      </c>
      <c r="AC535" s="459">
        <v>0</v>
      </c>
      <c r="AD535" s="459">
        <v>0</v>
      </c>
      <c r="AE535" s="459">
        <v>0</v>
      </c>
      <c r="AF535" s="458">
        <v>0</v>
      </c>
      <c r="AG535" s="459">
        <v>0</v>
      </c>
      <c r="AH535" s="458">
        <v>0</v>
      </c>
      <c r="AI535" s="459">
        <v>0</v>
      </c>
      <c r="AJ535" s="458">
        <v>0</v>
      </c>
      <c r="AK535" s="459">
        <v>0</v>
      </c>
      <c r="AL535" s="459">
        <v>0</v>
      </c>
      <c r="AM535" s="459">
        <v>0</v>
      </c>
      <c r="AN535" s="459"/>
      <c r="AO535" s="459">
        <v>0</v>
      </c>
      <c r="AP535" s="460"/>
      <c r="AQ535" s="460"/>
      <c r="AR535" s="460"/>
      <c r="AS535" s="460"/>
      <c r="AT535" s="460"/>
      <c r="AU535" s="460"/>
      <c r="AV535" s="460"/>
      <c r="AW535" s="460"/>
      <c r="AX535" s="460"/>
      <c r="AY535" s="460"/>
      <c r="AZ535" s="460"/>
      <c r="BA535" s="460"/>
      <c r="BB535" s="460"/>
      <c r="BC535" s="460"/>
      <c r="BD535" s="460"/>
      <c r="BE535" s="460"/>
      <c r="BF535" s="460"/>
      <c r="BG535" s="460"/>
      <c r="BH535" s="460"/>
      <c r="BI535" s="460"/>
      <c r="BJ535" s="460"/>
      <c r="BK535" s="460"/>
      <c r="BL535" s="460"/>
      <c r="BM535" s="460"/>
      <c r="BN535" s="460"/>
      <c r="BO535" s="460"/>
      <c r="BP535" s="460"/>
      <c r="BQ535" s="460"/>
      <c r="BR535" s="460"/>
      <c r="BS535" s="460"/>
      <c r="BT535" s="460"/>
      <c r="BU535" s="460"/>
      <c r="BV535" s="460"/>
      <c r="BW535" s="460"/>
      <c r="BX535" s="460"/>
      <c r="BY535" s="460"/>
      <c r="BZ535" s="460"/>
      <c r="CA535" s="460"/>
      <c r="CB535" s="460"/>
      <c r="CC535" s="460"/>
      <c r="CD535" s="460"/>
      <c r="CE535" s="460"/>
      <c r="CF535" s="460"/>
      <c r="CG535" s="460"/>
      <c r="CH535" s="460"/>
      <c r="CI535" s="460"/>
      <c r="CJ535" s="460"/>
      <c r="CK535" s="460"/>
    </row>
    <row r="536" spans="1:89" s="329" customFormat="1" ht="36" customHeight="1" x14ac:dyDescent="0.25">
      <c r="A536" s="329">
        <v>1</v>
      </c>
      <c r="B536" s="39">
        <f>SUBTOTAL(103,$A$16:A536)</f>
        <v>458</v>
      </c>
      <c r="C536" s="33" t="s">
        <v>1417</v>
      </c>
      <c r="D536" s="330">
        <v>1980</v>
      </c>
      <c r="E536" s="330"/>
      <c r="F536" s="331" t="s">
        <v>1981</v>
      </c>
      <c r="G536" s="330">
        <v>2</v>
      </c>
      <c r="H536" s="330" t="s">
        <v>61</v>
      </c>
      <c r="I536" s="38">
        <v>1035.4000000000001</v>
      </c>
      <c r="J536" s="38">
        <v>947.5</v>
      </c>
      <c r="K536" s="38">
        <v>947.5</v>
      </c>
      <c r="L536" s="332">
        <v>35</v>
      </c>
      <c r="M536" s="330" t="s">
        <v>46</v>
      </c>
      <c r="N536" s="330" t="s">
        <v>47</v>
      </c>
      <c r="O536" s="333" t="s">
        <v>49</v>
      </c>
      <c r="P536" s="38">
        <v>64885.78</v>
      </c>
      <c r="Q536" s="38">
        <v>0</v>
      </c>
      <c r="R536" s="38">
        <v>0</v>
      </c>
      <c r="S536" s="38">
        <f>P536-R536-Q536</f>
        <v>64885.78</v>
      </c>
      <c r="T536" s="38">
        <f t="shared" si="104"/>
        <v>62.66735561135792</v>
      </c>
      <c r="U536" s="38">
        <v>62.66735561135792</v>
      </c>
      <c r="V536" s="458">
        <f t="shared" si="105"/>
        <v>0</v>
      </c>
      <c r="W536" s="458">
        <f t="shared" si="108"/>
        <v>62.66735561135792</v>
      </c>
      <c r="X536" s="458">
        <v>0</v>
      </c>
      <c r="Y536" s="459">
        <v>0</v>
      </c>
      <c r="Z536" s="459">
        <v>0</v>
      </c>
      <c r="AA536" s="459">
        <v>0</v>
      </c>
      <c r="AB536" s="459">
        <v>0</v>
      </c>
      <c r="AC536" s="459">
        <v>0</v>
      </c>
      <c r="AD536" s="459">
        <v>0</v>
      </c>
      <c r="AE536" s="459">
        <v>0</v>
      </c>
      <c r="AF536" s="458">
        <v>0</v>
      </c>
      <c r="AG536" s="459">
        <v>0</v>
      </c>
      <c r="AH536" s="458">
        <v>0</v>
      </c>
      <c r="AI536" s="459">
        <v>0</v>
      </c>
      <c r="AJ536" s="458">
        <v>0</v>
      </c>
      <c r="AK536" s="459">
        <v>0</v>
      </c>
      <c r="AL536" s="459">
        <v>0</v>
      </c>
      <c r="AM536" s="459">
        <v>0</v>
      </c>
      <c r="AN536" s="459"/>
      <c r="AO536" s="459">
        <v>0</v>
      </c>
      <c r="AP536" s="460"/>
      <c r="AQ536" s="460"/>
      <c r="AR536" s="460"/>
      <c r="AS536" s="460"/>
      <c r="AT536" s="460"/>
      <c r="AU536" s="460"/>
      <c r="AV536" s="460"/>
      <c r="AW536" s="460"/>
      <c r="AX536" s="460"/>
      <c r="AY536" s="460"/>
      <c r="AZ536" s="460"/>
      <c r="BA536" s="460"/>
      <c r="BB536" s="460"/>
      <c r="BC536" s="460"/>
      <c r="BD536" s="460"/>
      <c r="BE536" s="460"/>
      <c r="BF536" s="460"/>
      <c r="BG536" s="460"/>
      <c r="BH536" s="460"/>
      <c r="BI536" s="460"/>
      <c r="BJ536" s="460"/>
      <c r="BK536" s="460"/>
      <c r="BL536" s="460"/>
      <c r="BM536" s="460"/>
      <c r="BN536" s="460"/>
      <c r="BO536" s="460"/>
      <c r="BP536" s="460"/>
      <c r="BQ536" s="460"/>
      <c r="BR536" s="460"/>
      <c r="BS536" s="460"/>
      <c r="BT536" s="460"/>
      <c r="BU536" s="460"/>
      <c r="BV536" s="460"/>
      <c r="BW536" s="460"/>
      <c r="BX536" s="460"/>
      <c r="BY536" s="460"/>
      <c r="BZ536" s="460"/>
      <c r="CA536" s="460"/>
      <c r="CB536" s="460"/>
      <c r="CC536" s="460"/>
      <c r="CD536" s="460"/>
      <c r="CE536" s="460"/>
      <c r="CF536" s="460"/>
      <c r="CG536" s="460"/>
      <c r="CH536" s="460"/>
      <c r="CI536" s="460"/>
      <c r="CJ536" s="460"/>
      <c r="CK536" s="460"/>
    </row>
    <row r="537" spans="1:89" s="329" customFormat="1" ht="36" customHeight="1" x14ac:dyDescent="0.25">
      <c r="A537" s="329">
        <v>1</v>
      </c>
      <c r="B537" s="39">
        <f>SUBTOTAL(103,$A$16:A537)</f>
        <v>459</v>
      </c>
      <c r="C537" s="33" t="s">
        <v>1418</v>
      </c>
      <c r="D537" s="330">
        <v>1938</v>
      </c>
      <c r="E537" s="330"/>
      <c r="F537" s="331" t="s">
        <v>48</v>
      </c>
      <c r="G537" s="330">
        <v>3</v>
      </c>
      <c r="H537" s="330" t="s">
        <v>59</v>
      </c>
      <c r="I537" s="38">
        <v>1645.1</v>
      </c>
      <c r="J537" s="38">
        <v>1444.2</v>
      </c>
      <c r="K537" s="38">
        <v>1314.2</v>
      </c>
      <c r="L537" s="332">
        <v>58</v>
      </c>
      <c r="M537" s="330" t="s">
        <v>46</v>
      </c>
      <c r="N537" s="330" t="s">
        <v>47</v>
      </c>
      <c r="O537" s="333" t="s">
        <v>49</v>
      </c>
      <c r="P537" s="38">
        <v>77010.039999999994</v>
      </c>
      <c r="Q537" s="38">
        <v>0</v>
      </c>
      <c r="R537" s="38">
        <v>0</v>
      </c>
      <c r="S537" s="38">
        <f>P537-R537-Q537</f>
        <v>77010.039999999994</v>
      </c>
      <c r="T537" s="38">
        <f t="shared" si="104"/>
        <v>46.811768281563431</v>
      </c>
      <c r="U537" s="38">
        <v>90.9053735335238</v>
      </c>
      <c r="V537" s="458">
        <f t="shared" si="105"/>
        <v>44.093605251960369</v>
      </c>
      <c r="W537" s="458">
        <f t="shared" si="108"/>
        <v>46.811768281563431</v>
      </c>
      <c r="X537" s="458">
        <v>0</v>
      </c>
      <c r="Y537" s="459">
        <v>0</v>
      </c>
      <c r="Z537" s="459">
        <v>0</v>
      </c>
      <c r="AA537" s="459">
        <v>0</v>
      </c>
      <c r="AB537" s="459">
        <v>0</v>
      </c>
      <c r="AC537" s="459">
        <v>0</v>
      </c>
      <c r="AD537" s="459">
        <v>0</v>
      </c>
      <c r="AE537" s="459">
        <v>0</v>
      </c>
      <c r="AF537" s="458">
        <v>0</v>
      </c>
      <c r="AG537" s="459">
        <v>0</v>
      </c>
      <c r="AH537" s="458">
        <v>0</v>
      </c>
      <c r="AI537" s="459">
        <v>0</v>
      </c>
      <c r="AJ537" s="458">
        <v>0</v>
      </c>
      <c r="AK537" s="459">
        <v>0</v>
      </c>
      <c r="AL537" s="459">
        <v>0</v>
      </c>
      <c r="AM537" s="459">
        <v>0</v>
      </c>
      <c r="AN537" s="459"/>
      <c r="AO537" s="459">
        <v>0</v>
      </c>
      <c r="AP537" s="460"/>
      <c r="AQ537" s="460"/>
      <c r="AR537" s="460"/>
      <c r="AS537" s="460"/>
      <c r="AT537" s="460"/>
      <c r="AU537" s="460"/>
      <c r="AV537" s="460"/>
      <c r="AW537" s="460"/>
      <c r="AX537" s="460"/>
      <c r="AY537" s="460"/>
      <c r="AZ537" s="460"/>
      <c r="BA537" s="460"/>
      <c r="BB537" s="460"/>
      <c r="BC537" s="460"/>
      <c r="BD537" s="460"/>
      <c r="BE537" s="460"/>
      <c r="BF537" s="460"/>
      <c r="BG537" s="460"/>
      <c r="BH537" s="460"/>
      <c r="BI537" s="460"/>
      <c r="BJ537" s="460"/>
      <c r="BK537" s="460"/>
      <c r="BL537" s="460"/>
      <c r="BM537" s="460"/>
      <c r="BN537" s="460"/>
      <c r="BO537" s="460"/>
      <c r="BP537" s="460"/>
      <c r="BQ537" s="460"/>
      <c r="BR537" s="460"/>
      <c r="BS537" s="460"/>
      <c r="BT537" s="460"/>
      <c r="BU537" s="460"/>
      <c r="BV537" s="460"/>
      <c r="BW537" s="460"/>
      <c r="BX537" s="460"/>
      <c r="BY537" s="460"/>
      <c r="BZ537" s="460"/>
      <c r="CA537" s="460"/>
      <c r="CB537" s="460"/>
      <c r="CC537" s="460"/>
      <c r="CD537" s="460"/>
      <c r="CE537" s="460"/>
      <c r="CF537" s="460"/>
      <c r="CG537" s="460"/>
      <c r="CH537" s="460"/>
      <c r="CI537" s="460"/>
      <c r="CJ537" s="460"/>
      <c r="CK537" s="460"/>
    </row>
    <row r="538" spans="1:89" s="329" customFormat="1" ht="36" customHeight="1" x14ac:dyDescent="0.25">
      <c r="A538" s="329">
        <v>1</v>
      </c>
      <c r="B538" s="39">
        <f>SUBTOTAL(103,$A$16:A538)</f>
        <v>460</v>
      </c>
      <c r="C538" s="33" t="s">
        <v>1419</v>
      </c>
      <c r="D538" s="330">
        <v>1974</v>
      </c>
      <c r="E538" s="330"/>
      <c r="F538" s="331" t="s">
        <v>48</v>
      </c>
      <c r="G538" s="330">
        <v>2</v>
      </c>
      <c r="H538" s="330" t="s">
        <v>56</v>
      </c>
      <c r="I538" s="38">
        <v>749.6</v>
      </c>
      <c r="J538" s="38">
        <v>685.4</v>
      </c>
      <c r="K538" s="38">
        <v>685.4</v>
      </c>
      <c r="L538" s="332">
        <v>36</v>
      </c>
      <c r="M538" s="330" t="s">
        <v>46</v>
      </c>
      <c r="N538" s="330" t="s">
        <v>50</v>
      </c>
      <c r="O538" s="333" t="s">
        <v>2113</v>
      </c>
      <c r="P538" s="38">
        <v>34177.35</v>
      </c>
      <c r="Q538" s="38">
        <v>0</v>
      </c>
      <c r="R538" s="38">
        <v>0</v>
      </c>
      <c r="S538" s="38">
        <f>P538-R538-Q538</f>
        <v>34177.35</v>
      </c>
      <c r="T538" s="38">
        <f t="shared" si="104"/>
        <v>45.594116862326572</v>
      </c>
      <c r="U538" s="38">
        <v>88.540795090715037</v>
      </c>
      <c r="V538" s="458">
        <f t="shared" si="105"/>
        <v>42.946678228388464</v>
      </c>
      <c r="W538" s="458">
        <f t="shared" si="108"/>
        <v>45.594116862326572</v>
      </c>
      <c r="X538" s="458">
        <v>0</v>
      </c>
      <c r="Y538" s="459">
        <v>0</v>
      </c>
      <c r="Z538" s="459">
        <v>0</v>
      </c>
      <c r="AA538" s="459">
        <v>0</v>
      </c>
      <c r="AB538" s="459">
        <v>0</v>
      </c>
      <c r="AC538" s="459">
        <v>0</v>
      </c>
      <c r="AD538" s="459">
        <v>0</v>
      </c>
      <c r="AE538" s="459">
        <v>0</v>
      </c>
      <c r="AF538" s="458">
        <v>0</v>
      </c>
      <c r="AG538" s="459">
        <v>0</v>
      </c>
      <c r="AH538" s="458">
        <v>0</v>
      </c>
      <c r="AI538" s="459">
        <v>0</v>
      </c>
      <c r="AJ538" s="458">
        <v>0</v>
      </c>
      <c r="AK538" s="459">
        <v>0</v>
      </c>
      <c r="AL538" s="459">
        <v>0</v>
      </c>
      <c r="AM538" s="459">
        <v>0</v>
      </c>
      <c r="AN538" s="459"/>
      <c r="AO538" s="459">
        <v>0</v>
      </c>
      <c r="AP538" s="460"/>
      <c r="AQ538" s="460"/>
      <c r="AR538" s="460"/>
      <c r="AS538" s="460"/>
      <c r="AT538" s="460"/>
      <c r="AU538" s="460"/>
      <c r="AV538" s="460"/>
      <c r="AW538" s="460"/>
      <c r="AX538" s="460"/>
      <c r="AY538" s="460"/>
      <c r="AZ538" s="460"/>
      <c r="BA538" s="460"/>
      <c r="BB538" s="460"/>
      <c r="BC538" s="460"/>
      <c r="BD538" s="460"/>
      <c r="BE538" s="460"/>
      <c r="BF538" s="460"/>
      <c r="BG538" s="460"/>
      <c r="BH538" s="460"/>
      <c r="BI538" s="460"/>
      <c r="BJ538" s="460"/>
      <c r="BK538" s="460"/>
      <c r="BL538" s="460"/>
      <c r="BM538" s="460"/>
      <c r="BN538" s="460"/>
      <c r="BO538" s="460"/>
      <c r="BP538" s="460"/>
      <c r="BQ538" s="460"/>
      <c r="BR538" s="460"/>
      <c r="BS538" s="460"/>
      <c r="BT538" s="460"/>
      <c r="BU538" s="460"/>
      <c r="BV538" s="460"/>
      <c r="BW538" s="460"/>
      <c r="BX538" s="460"/>
      <c r="BY538" s="460"/>
      <c r="BZ538" s="460"/>
      <c r="CA538" s="460"/>
      <c r="CB538" s="460"/>
      <c r="CC538" s="460"/>
      <c r="CD538" s="460"/>
      <c r="CE538" s="460"/>
      <c r="CF538" s="460"/>
      <c r="CG538" s="460"/>
      <c r="CH538" s="460"/>
      <c r="CI538" s="460"/>
      <c r="CJ538" s="460"/>
      <c r="CK538" s="460"/>
    </row>
    <row r="539" spans="1:89" s="329" customFormat="1" ht="36" customHeight="1" x14ac:dyDescent="0.25">
      <c r="B539" s="33" t="s">
        <v>1420</v>
      </c>
      <c r="C539" s="33"/>
      <c r="D539" s="330" t="s">
        <v>131</v>
      </c>
      <c r="E539" s="330" t="s">
        <v>131</v>
      </c>
      <c r="F539" s="330" t="s">
        <v>131</v>
      </c>
      <c r="G539" s="330" t="s">
        <v>131</v>
      </c>
      <c r="H539" s="330" t="s">
        <v>131</v>
      </c>
      <c r="I539" s="334">
        <f>SUM(I540:I543)</f>
        <v>2975.2</v>
      </c>
      <c r="J539" s="334">
        <f>SUM(J540:J543)</f>
        <v>2622.3</v>
      </c>
      <c r="K539" s="334">
        <f>SUM(K540:K543)</f>
        <v>2622.3</v>
      </c>
      <c r="L539" s="332">
        <f>SUM(L540:L543)</f>
        <v>130</v>
      </c>
      <c r="M539" s="330" t="s">
        <v>131</v>
      </c>
      <c r="N539" s="330" t="s">
        <v>131</v>
      </c>
      <c r="O539" s="333" t="s">
        <v>131</v>
      </c>
      <c r="P539" s="38">
        <v>3506290.42</v>
      </c>
      <c r="Q539" s="38">
        <f>SUM(Q540:Q543)</f>
        <v>0</v>
      </c>
      <c r="R539" s="38">
        <f>SUM(R540:R543)</f>
        <v>0</v>
      </c>
      <c r="S539" s="38">
        <f>SUM(S540:S543)</f>
        <v>3506290.42</v>
      </c>
      <c r="T539" s="38">
        <f t="shared" si="104"/>
        <v>1178.5057878461953</v>
      </c>
      <c r="U539" s="38">
        <f>MAX(U540:U543)</f>
        <v>4983.9844926006945</v>
      </c>
      <c r="V539" s="458">
        <f t="shared" si="105"/>
        <v>3805.4787047544992</v>
      </c>
      <c r="W539" s="458"/>
      <c r="X539" s="458"/>
      <c r="Y539" s="459"/>
      <c r="Z539" s="459"/>
      <c r="AA539" s="459"/>
      <c r="AB539" s="459"/>
      <c r="AC539" s="459"/>
      <c r="AD539" s="459"/>
      <c r="AE539" s="459"/>
      <c r="AF539" s="459"/>
      <c r="AG539" s="459"/>
      <c r="AH539" s="459"/>
      <c r="AI539" s="459"/>
      <c r="AJ539" s="459"/>
      <c r="AK539" s="459"/>
      <c r="AL539" s="459"/>
      <c r="AM539" s="459"/>
      <c r="AN539" s="459"/>
      <c r="AO539" s="459"/>
      <c r="AP539" s="460"/>
      <c r="AQ539" s="460"/>
      <c r="AR539" s="460"/>
      <c r="AS539" s="460"/>
      <c r="AT539" s="460"/>
      <c r="AU539" s="460"/>
      <c r="AV539" s="460"/>
      <c r="AW539" s="460"/>
      <c r="AX539" s="460"/>
      <c r="AY539" s="460"/>
      <c r="AZ539" s="460"/>
      <c r="BA539" s="460"/>
      <c r="BB539" s="460"/>
      <c r="BC539" s="460"/>
      <c r="BD539" s="460"/>
      <c r="BE539" s="460"/>
      <c r="BF539" s="460"/>
      <c r="BG539" s="460"/>
      <c r="BH539" s="460"/>
      <c r="BI539" s="460"/>
      <c r="BJ539" s="460"/>
      <c r="BK539" s="460"/>
      <c r="BL539" s="460"/>
      <c r="BM539" s="460"/>
      <c r="BN539" s="460"/>
      <c r="BO539" s="460"/>
      <c r="BP539" s="460"/>
      <c r="BQ539" s="460"/>
      <c r="BR539" s="460"/>
      <c r="BS539" s="460"/>
      <c r="BT539" s="460"/>
      <c r="BU539" s="460"/>
      <c r="BV539" s="460"/>
      <c r="BW539" s="460"/>
      <c r="BX539" s="460"/>
      <c r="BY539" s="460"/>
      <c r="BZ539" s="460"/>
      <c r="CA539" s="460"/>
      <c r="CB539" s="460"/>
      <c r="CC539" s="460"/>
      <c r="CD539" s="460"/>
      <c r="CE539" s="460"/>
      <c r="CF539" s="460"/>
      <c r="CG539" s="460"/>
      <c r="CH539" s="460"/>
      <c r="CI539" s="460"/>
      <c r="CJ539" s="460"/>
      <c r="CK539" s="460"/>
    </row>
    <row r="540" spans="1:89" s="329" customFormat="1" ht="36" customHeight="1" x14ac:dyDescent="0.25">
      <c r="A540" s="329">
        <v>1</v>
      </c>
      <c r="B540" s="39">
        <f>SUBTOTAL(103,$A$16:A540)</f>
        <v>461</v>
      </c>
      <c r="C540" s="33" t="s">
        <v>1123</v>
      </c>
      <c r="D540" s="330">
        <v>1971</v>
      </c>
      <c r="E540" s="330"/>
      <c r="F540" s="331" t="s">
        <v>48</v>
      </c>
      <c r="G540" s="330">
        <v>2</v>
      </c>
      <c r="H540" s="330" t="s">
        <v>56</v>
      </c>
      <c r="I540" s="38">
        <v>777.1</v>
      </c>
      <c r="J540" s="38">
        <v>718.2</v>
      </c>
      <c r="K540" s="38">
        <v>718.2</v>
      </c>
      <c r="L540" s="332">
        <v>38</v>
      </c>
      <c r="M540" s="330" t="s">
        <v>46</v>
      </c>
      <c r="N540" s="330" t="s">
        <v>50</v>
      </c>
      <c r="O540" s="333" t="s">
        <v>2113</v>
      </c>
      <c r="P540" s="38">
        <v>2426341.25</v>
      </c>
      <c r="Q540" s="38">
        <v>0</v>
      </c>
      <c r="R540" s="38">
        <v>0</v>
      </c>
      <c r="S540" s="38">
        <f>P540-Q540-R540</f>
        <v>2426341.25</v>
      </c>
      <c r="T540" s="38">
        <f t="shared" si="104"/>
        <v>3122.3024707244886</v>
      </c>
      <c r="U540" s="38">
        <v>4983.9844926006945</v>
      </c>
      <c r="V540" s="458">
        <f t="shared" si="105"/>
        <v>1861.6820218762059</v>
      </c>
      <c r="W540" s="458">
        <f>T540</f>
        <v>3122.3024707244886</v>
      </c>
      <c r="X540" s="458">
        <v>0</v>
      </c>
      <c r="Y540" s="459">
        <v>0</v>
      </c>
      <c r="Z540" s="459">
        <v>0</v>
      </c>
      <c r="AA540" s="459">
        <v>184.98</v>
      </c>
      <c r="AB540" s="459">
        <v>0</v>
      </c>
      <c r="AC540" s="459">
        <v>0</v>
      </c>
      <c r="AD540" s="459">
        <v>0</v>
      </c>
      <c r="AE540" s="459">
        <v>0</v>
      </c>
      <c r="AF540" s="458">
        <v>0</v>
      </c>
      <c r="AG540" s="459">
        <v>0</v>
      </c>
      <c r="AH540" s="458">
        <v>0</v>
      </c>
      <c r="AI540" s="459">
        <v>0</v>
      </c>
      <c r="AJ540" s="458">
        <v>0</v>
      </c>
      <c r="AK540" s="459">
        <v>0</v>
      </c>
      <c r="AL540" s="459">
        <v>0</v>
      </c>
      <c r="AM540" s="459">
        <v>0</v>
      </c>
      <c r="AN540" s="459"/>
      <c r="AO540" s="459">
        <v>0</v>
      </c>
      <c r="AP540" s="460"/>
      <c r="AQ540" s="460"/>
      <c r="AR540" s="460"/>
      <c r="AS540" s="460"/>
      <c r="AT540" s="460"/>
      <c r="AU540" s="460"/>
      <c r="AV540" s="460"/>
      <c r="AW540" s="460"/>
      <c r="AX540" s="460"/>
      <c r="AY540" s="460"/>
      <c r="AZ540" s="460"/>
      <c r="BA540" s="460"/>
      <c r="BB540" s="460"/>
      <c r="BC540" s="460"/>
      <c r="BD540" s="460"/>
      <c r="BE540" s="460"/>
      <c r="BF540" s="460"/>
      <c r="BG540" s="460"/>
      <c r="BH540" s="460"/>
      <c r="BI540" s="460"/>
      <c r="BJ540" s="460"/>
      <c r="BK540" s="460"/>
      <c r="BL540" s="460"/>
      <c r="BM540" s="460"/>
      <c r="BN540" s="460"/>
      <c r="BO540" s="460"/>
      <c r="BP540" s="460"/>
      <c r="BQ540" s="460"/>
      <c r="BR540" s="460"/>
      <c r="BS540" s="460"/>
      <c r="BT540" s="460"/>
      <c r="BU540" s="460"/>
      <c r="BV540" s="460"/>
      <c r="BW540" s="460"/>
      <c r="BX540" s="460"/>
      <c r="BY540" s="460"/>
      <c r="BZ540" s="460"/>
      <c r="CA540" s="460"/>
      <c r="CB540" s="460"/>
      <c r="CC540" s="460"/>
      <c r="CD540" s="460"/>
      <c r="CE540" s="460"/>
      <c r="CF540" s="460"/>
      <c r="CG540" s="460"/>
      <c r="CH540" s="460"/>
      <c r="CI540" s="460"/>
      <c r="CJ540" s="460"/>
      <c r="CK540" s="460"/>
    </row>
    <row r="541" spans="1:89" s="329" customFormat="1" ht="36" customHeight="1" x14ac:dyDescent="0.25">
      <c r="A541" s="329">
        <v>1</v>
      </c>
      <c r="B541" s="39">
        <f>SUBTOTAL(103,$A$16:A541)</f>
        <v>462</v>
      </c>
      <c r="C541" s="33" t="s">
        <v>1421</v>
      </c>
      <c r="D541" s="330">
        <v>1978</v>
      </c>
      <c r="E541" s="330"/>
      <c r="F541" s="331" t="s">
        <v>60</v>
      </c>
      <c r="G541" s="330">
        <v>3</v>
      </c>
      <c r="H541" s="330" t="s">
        <v>56</v>
      </c>
      <c r="I541" s="38">
        <v>1015.3</v>
      </c>
      <c r="J541" s="38">
        <v>929.3</v>
      </c>
      <c r="K541" s="38">
        <v>929.3</v>
      </c>
      <c r="L541" s="332">
        <v>37</v>
      </c>
      <c r="M541" s="330" t="s">
        <v>46</v>
      </c>
      <c r="N541" s="330" t="s">
        <v>50</v>
      </c>
      <c r="O541" s="333" t="s">
        <v>2113</v>
      </c>
      <c r="P541" s="38">
        <v>112884.08</v>
      </c>
      <c r="Q541" s="38">
        <v>0</v>
      </c>
      <c r="R541" s="38">
        <v>0</v>
      </c>
      <c r="S541" s="38">
        <f>P541-Q541-R541</f>
        <v>112884.08</v>
      </c>
      <c r="T541" s="38">
        <f t="shared" si="104"/>
        <v>111.18298039988181</v>
      </c>
      <c r="U541" s="38">
        <v>111.18298039988181</v>
      </c>
      <c r="V541" s="458">
        <f t="shared" si="105"/>
        <v>0</v>
      </c>
      <c r="W541" s="458">
        <f t="shared" ref="W541:W543" si="109">X541+Y541+Z541+AA541+AB541+AD541+AF541+AH541+AJ541+AL541+AN541+AO541</f>
        <v>3801.7224847828224</v>
      </c>
      <c r="X541" s="458">
        <v>0</v>
      </c>
      <c r="Y541" s="459">
        <v>0</v>
      </c>
      <c r="Z541" s="459">
        <v>0</v>
      </c>
      <c r="AA541" s="459">
        <v>0</v>
      </c>
      <c r="AB541" s="459">
        <v>0</v>
      </c>
      <c r="AC541" s="459">
        <v>0</v>
      </c>
      <c r="AD541" s="459">
        <v>0</v>
      </c>
      <c r="AE541" s="459">
        <v>618.67999999999995</v>
      </c>
      <c r="AF541" s="458">
        <f>6238.91*AE541/I541</f>
        <v>3801.7224847828224</v>
      </c>
      <c r="AG541" s="459">
        <v>0</v>
      </c>
      <c r="AH541" s="458">
        <v>0</v>
      </c>
      <c r="AI541" s="459">
        <v>0</v>
      </c>
      <c r="AJ541" s="458">
        <v>0</v>
      </c>
      <c r="AK541" s="459">
        <v>0</v>
      </c>
      <c r="AL541" s="459">
        <v>0</v>
      </c>
      <c r="AM541" s="459">
        <v>0</v>
      </c>
      <c r="AN541" s="459"/>
      <c r="AO541" s="459">
        <v>0</v>
      </c>
      <c r="AP541" s="460"/>
      <c r="AQ541" s="460"/>
      <c r="AR541" s="460"/>
      <c r="AS541" s="460"/>
      <c r="AT541" s="460"/>
      <c r="AU541" s="460"/>
      <c r="AV541" s="460"/>
      <c r="AW541" s="460"/>
      <c r="AX541" s="460"/>
      <c r="AY541" s="460"/>
      <c r="AZ541" s="460"/>
      <c r="BA541" s="460"/>
      <c r="BB541" s="460"/>
      <c r="BC541" s="460"/>
      <c r="BD541" s="460"/>
      <c r="BE541" s="460"/>
      <c r="BF541" s="460"/>
      <c r="BG541" s="460"/>
      <c r="BH541" s="460"/>
      <c r="BI541" s="460"/>
      <c r="BJ541" s="460"/>
      <c r="BK541" s="460"/>
      <c r="BL541" s="460"/>
      <c r="BM541" s="460"/>
      <c r="BN541" s="460"/>
      <c r="BO541" s="460"/>
      <c r="BP541" s="460"/>
      <c r="BQ541" s="460"/>
      <c r="BR541" s="460"/>
      <c r="BS541" s="460"/>
      <c r="BT541" s="460"/>
      <c r="BU541" s="460"/>
      <c r="BV541" s="460"/>
      <c r="BW541" s="460"/>
      <c r="BX541" s="460"/>
      <c r="BY541" s="460"/>
      <c r="BZ541" s="460"/>
      <c r="CA541" s="460"/>
      <c r="CB541" s="460"/>
      <c r="CC541" s="460"/>
      <c r="CD541" s="460"/>
      <c r="CE541" s="460"/>
      <c r="CF541" s="460"/>
      <c r="CG541" s="460"/>
      <c r="CH541" s="460"/>
      <c r="CI541" s="460"/>
      <c r="CJ541" s="460"/>
      <c r="CK541" s="460"/>
    </row>
    <row r="542" spans="1:89" s="329" customFormat="1" ht="36" customHeight="1" x14ac:dyDescent="0.25">
      <c r="A542" s="329">
        <v>1</v>
      </c>
      <c r="B542" s="39">
        <f>SUBTOTAL(103,$A$16:A542)</f>
        <v>463</v>
      </c>
      <c r="C542" s="33" t="s">
        <v>1422</v>
      </c>
      <c r="D542" s="330">
        <v>1938</v>
      </c>
      <c r="E542" s="330"/>
      <c r="F542" s="331" t="s">
        <v>68</v>
      </c>
      <c r="G542" s="330">
        <v>2</v>
      </c>
      <c r="H542" s="330" t="s">
        <v>57</v>
      </c>
      <c r="I542" s="38">
        <v>369.2</v>
      </c>
      <c r="J542" s="38">
        <v>222.5</v>
      </c>
      <c r="K542" s="38">
        <v>222.5</v>
      </c>
      <c r="L542" s="332">
        <v>16</v>
      </c>
      <c r="M542" s="330" t="s">
        <v>46</v>
      </c>
      <c r="N542" s="330" t="s">
        <v>47</v>
      </c>
      <c r="O542" s="333" t="s">
        <v>49</v>
      </c>
      <c r="P542" s="38">
        <v>930608.30999999994</v>
      </c>
      <c r="Q542" s="38">
        <v>0</v>
      </c>
      <c r="R542" s="38">
        <v>0</v>
      </c>
      <c r="S542" s="38">
        <f>P542-Q542-R542</f>
        <v>930608.30999999994</v>
      </c>
      <c r="T542" s="38">
        <f t="shared" si="104"/>
        <v>2520.6075568797401</v>
      </c>
      <c r="U542" s="38">
        <v>3245.3964409534128</v>
      </c>
      <c r="V542" s="458">
        <f t="shared" si="105"/>
        <v>724.78888407367276</v>
      </c>
      <c r="W542" s="458">
        <f>T542</f>
        <v>2520.6075568797401</v>
      </c>
      <c r="X542" s="458">
        <v>0</v>
      </c>
      <c r="Y542" s="459">
        <v>0</v>
      </c>
      <c r="Z542" s="459">
        <v>0</v>
      </c>
      <c r="AA542" s="459">
        <v>0</v>
      </c>
      <c r="AB542" s="459">
        <v>0</v>
      </c>
      <c r="AC542" s="459">
        <v>0</v>
      </c>
      <c r="AD542" s="459">
        <v>0</v>
      </c>
      <c r="AE542" s="459">
        <v>0</v>
      </c>
      <c r="AF542" s="458">
        <v>0</v>
      </c>
      <c r="AG542" s="459">
        <v>0</v>
      </c>
      <c r="AH542" s="458">
        <v>0</v>
      </c>
      <c r="AI542" s="459">
        <v>0</v>
      </c>
      <c r="AJ542" s="458">
        <v>0</v>
      </c>
      <c r="AK542" s="459">
        <v>0</v>
      </c>
      <c r="AL542" s="459">
        <v>0</v>
      </c>
      <c r="AM542" s="459">
        <v>384</v>
      </c>
      <c r="AN542" s="459">
        <f>6984.52*AM542/I542</f>
        <v>7264.5061755146271</v>
      </c>
      <c r="AO542" s="459">
        <v>0</v>
      </c>
      <c r="AP542" s="460"/>
      <c r="AQ542" s="460"/>
      <c r="AR542" s="460"/>
      <c r="AS542" s="460"/>
      <c r="AT542" s="460"/>
      <c r="AU542" s="460"/>
      <c r="AV542" s="460"/>
      <c r="AW542" s="460"/>
      <c r="AX542" s="460"/>
      <c r="AY542" s="460"/>
      <c r="AZ542" s="460"/>
      <c r="BA542" s="460"/>
      <c r="BB542" s="460"/>
      <c r="BC542" s="460"/>
      <c r="BD542" s="460"/>
      <c r="BE542" s="460"/>
      <c r="BF542" s="460"/>
      <c r="BG542" s="460"/>
      <c r="BH542" s="460"/>
      <c r="BI542" s="460"/>
      <c r="BJ542" s="460"/>
      <c r="BK542" s="460"/>
      <c r="BL542" s="460"/>
      <c r="BM542" s="460"/>
      <c r="BN542" s="460"/>
      <c r="BO542" s="460"/>
      <c r="BP542" s="460"/>
      <c r="BQ542" s="460"/>
      <c r="BR542" s="460"/>
      <c r="BS542" s="460"/>
      <c r="BT542" s="460"/>
      <c r="BU542" s="460"/>
      <c r="BV542" s="460"/>
      <c r="BW542" s="460"/>
      <c r="BX542" s="460"/>
      <c r="BY542" s="460"/>
      <c r="BZ542" s="460"/>
      <c r="CA542" s="460"/>
      <c r="CB542" s="460"/>
      <c r="CC542" s="460"/>
      <c r="CD542" s="460"/>
      <c r="CE542" s="460"/>
      <c r="CF542" s="460"/>
      <c r="CG542" s="460"/>
      <c r="CH542" s="460"/>
      <c r="CI542" s="460"/>
      <c r="CJ542" s="460"/>
      <c r="CK542" s="460"/>
    </row>
    <row r="543" spans="1:89" s="329" customFormat="1" ht="36" customHeight="1" x14ac:dyDescent="0.25">
      <c r="A543" s="329">
        <v>1</v>
      </c>
      <c r="B543" s="39">
        <f>SUBTOTAL(103,$A$16:A543)</f>
        <v>464</v>
      </c>
      <c r="C543" s="33" t="s">
        <v>1423</v>
      </c>
      <c r="D543" s="330">
        <v>1973</v>
      </c>
      <c r="E543" s="330"/>
      <c r="F543" s="331" t="s">
        <v>48</v>
      </c>
      <c r="G543" s="330">
        <v>2</v>
      </c>
      <c r="H543" s="330" t="s">
        <v>56</v>
      </c>
      <c r="I543" s="38">
        <v>813.6</v>
      </c>
      <c r="J543" s="38">
        <v>752.3</v>
      </c>
      <c r="K543" s="38">
        <v>752.3</v>
      </c>
      <c r="L543" s="332">
        <v>39</v>
      </c>
      <c r="M543" s="330" t="s">
        <v>46</v>
      </c>
      <c r="N543" s="330" t="s">
        <v>47</v>
      </c>
      <c r="O543" s="333" t="s">
        <v>49</v>
      </c>
      <c r="P543" s="38">
        <v>36456.78</v>
      </c>
      <c r="Q543" s="38">
        <v>0</v>
      </c>
      <c r="R543" s="38">
        <v>0</v>
      </c>
      <c r="S543" s="38">
        <f>P543-Q543-R543</f>
        <v>36456.78</v>
      </c>
      <c r="T543" s="38">
        <f t="shared" si="104"/>
        <v>44.809218289085543</v>
      </c>
      <c r="U543" s="38">
        <v>87.016543756145524</v>
      </c>
      <c r="V543" s="458">
        <f t="shared" si="105"/>
        <v>42.207325467059981</v>
      </c>
      <c r="W543" s="458">
        <f t="shared" si="109"/>
        <v>1467.7081784660768</v>
      </c>
      <c r="X543" s="458">
        <v>0</v>
      </c>
      <c r="Y543" s="459">
        <v>0</v>
      </c>
      <c r="Z543" s="459">
        <v>0</v>
      </c>
      <c r="AA543" s="459">
        <v>0</v>
      </c>
      <c r="AB543" s="459">
        <v>0</v>
      </c>
      <c r="AC543" s="459">
        <v>0</v>
      </c>
      <c r="AD543" s="459">
        <v>0</v>
      </c>
      <c r="AE543" s="459">
        <v>191.4</v>
      </c>
      <c r="AF543" s="458">
        <f>6238.91*AE543/I543</f>
        <v>1467.7081784660768</v>
      </c>
      <c r="AG543" s="459">
        <v>0</v>
      </c>
      <c r="AH543" s="458">
        <v>0</v>
      </c>
      <c r="AI543" s="459">
        <v>0</v>
      </c>
      <c r="AJ543" s="458">
        <v>0</v>
      </c>
      <c r="AK543" s="459">
        <v>0</v>
      </c>
      <c r="AL543" s="459">
        <v>0</v>
      </c>
      <c r="AM543" s="459">
        <v>0</v>
      </c>
      <c r="AN543" s="459"/>
      <c r="AO543" s="459">
        <v>0</v>
      </c>
      <c r="AP543" s="460"/>
      <c r="AQ543" s="460"/>
      <c r="AR543" s="460"/>
      <c r="AS543" s="460"/>
      <c r="AT543" s="460"/>
      <c r="AU543" s="460"/>
      <c r="AV543" s="460"/>
      <c r="AW543" s="460"/>
      <c r="AX543" s="460"/>
      <c r="AY543" s="460"/>
      <c r="AZ543" s="460"/>
      <c r="BA543" s="460"/>
      <c r="BB543" s="460"/>
      <c r="BC543" s="460"/>
      <c r="BD543" s="460"/>
      <c r="BE543" s="460"/>
      <c r="BF543" s="460"/>
      <c r="BG543" s="460"/>
      <c r="BH543" s="460"/>
      <c r="BI543" s="460"/>
      <c r="BJ543" s="460"/>
      <c r="BK543" s="460"/>
      <c r="BL543" s="460"/>
      <c r="BM543" s="460"/>
      <c r="BN543" s="460"/>
      <c r="BO543" s="460"/>
      <c r="BP543" s="460"/>
      <c r="BQ543" s="460"/>
      <c r="BR543" s="460"/>
      <c r="BS543" s="460"/>
      <c r="BT543" s="460"/>
      <c r="BU543" s="460"/>
      <c r="BV543" s="460"/>
      <c r="BW543" s="460"/>
      <c r="BX543" s="460"/>
      <c r="BY543" s="460"/>
      <c r="BZ543" s="460"/>
      <c r="CA543" s="460"/>
      <c r="CB543" s="460"/>
      <c r="CC543" s="460"/>
      <c r="CD543" s="460"/>
      <c r="CE543" s="460"/>
      <c r="CF543" s="460"/>
      <c r="CG543" s="460"/>
      <c r="CH543" s="460"/>
      <c r="CI543" s="460"/>
      <c r="CJ543" s="460"/>
      <c r="CK543" s="460"/>
    </row>
    <row r="544" spans="1:89" s="329" customFormat="1" ht="36" customHeight="1" x14ac:dyDescent="0.25">
      <c r="B544" s="33" t="s">
        <v>1424</v>
      </c>
      <c r="C544" s="33"/>
      <c r="D544" s="330" t="s">
        <v>131</v>
      </c>
      <c r="E544" s="330" t="s">
        <v>131</v>
      </c>
      <c r="F544" s="330" t="s">
        <v>131</v>
      </c>
      <c r="G544" s="330" t="s">
        <v>131</v>
      </c>
      <c r="H544" s="330" t="s">
        <v>131</v>
      </c>
      <c r="I544" s="334">
        <f>SUM(I545:I546)</f>
        <v>1422.8</v>
      </c>
      <c r="J544" s="334">
        <f>SUM(J545:J546)</f>
        <v>1303.8000000000002</v>
      </c>
      <c r="K544" s="334">
        <f>SUM(K545:K546)</f>
        <v>1303.8000000000002</v>
      </c>
      <c r="L544" s="332">
        <f>SUM(L545:L546)</f>
        <v>64</v>
      </c>
      <c r="M544" s="330" t="s">
        <v>131</v>
      </c>
      <c r="N544" s="330" t="s">
        <v>131</v>
      </c>
      <c r="O544" s="333" t="s">
        <v>131</v>
      </c>
      <c r="P544" s="38">
        <v>736217.99</v>
      </c>
      <c r="Q544" s="38">
        <f>SUM(Q545:Q546)</f>
        <v>0</v>
      </c>
      <c r="R544" s="38">
        <f>SUM(R545:R546)</f>
        <v>0</v>
      </c>
      <c r="S544" s="38">
        <f>SUM(S545:S546)</f>
        <v>736217.99</v>
      </c>
      <c r="T544" s="38">
        <f t="shared" si="104"/>
        <v>517.44306297441665</v>
      </c>
      <c r="U544" s="38">
        <f>MAX(U545:U546)</f>
        <v>5427.1975948891395</v>
      </c>
      <c r="V544" s="458">
        <f>U544-T544</f>
        <v>4909.754531914723</v>
      </c>
      <c r="W544" s="458"/>
      <c r="X544" s="458"/>
      <c r="Y544" s="459"/>
      <c r="Z544" s="459"/>
      <c r="AA544" s="459"/>
      <c r="AB544" s="459"/>
      <c r="AC544" s="459"/>
      <c r="AD544" s="459"/>
      <c r="AE544" s="459"/>
      <c r="AF544" s="459"/>
      <c r="AG544" s="459"/>
      <c r="AH544" s="459"/>
      <c r="AI544" s="459"/>
      <c r="AJ544" s="459"/>
      <c r="AK544" s="459"/>
      <c r="AL544" s="459"/>
      <c r="AM544" s="459"/>
      <c r="AN544" s="459"/>
      <c r="AO544" s="459"/>
      <c r="AP544" s="460"/>
      <c r="AQ544" s="460"/>
      <c r="AR544" s="460"/>
      <c r="AS544" s="460"/>
      <c r="AT544" s="460"/>
      <c r="AU544" s="460"/>
      <c r="AV544" s="460"/>
      <c r="AW544" s="460"/>
      <c r="AX544" s="460"/>
      <c r="AY544" s="460"/>
      <c r="AZ544" s="460"/>
      <c r="BA544" s="460"/>
      <c r="BB544" s="460"/>
      <c r="BC544" s="460"/>
      <c r="BD544" s="460"/>
      <c r="BE544" s="460"/>
      <c r="BF544" s="460"/>
      <c r="BG544" s="460"/>
      <c r="BH544" s="460"/>
      <c r="BI544" s="460"/>
      <c r="BJ544" s="460"/>
      <c r="BK544" s="460"/>
      <c r="BL544" s="460"/>
      <c r="BM544" s="460"/>
      <c r="BN544" s="460"/>
      <c r="BO544" s="460"/>
      <c r="BP544" s="460"/>
      <c r="BQ544" s="460"/>
      <c r="BR544" s="460"/>
      <c r="BS544" s="460"/>
      <c r="BT544" s="460"/>
      <c r="BU544" s="460"/>
      <c r="BV544" s="460"/>
      <c r="BW544" s="460"/>
      <c r="BX544" s="460"/>
      <c r="BY544" s="460"/>
      <c r="BZ544" s="460"/>
      <c r="CA544" s="460"/>
      <c r="CB544" s="460"/>
      <c r="CC544" s="460"/>
      <c r="CD544" s="460"/>
      <c r="CE544" s="460"/>
      <c r="CF544" s="460"/>
      <c r="CG544" s="460"/>
      <c r="CH544" s="460"/>
      <c r="CI544" s="460"/>
      <c r="CJ544" s="460"/>
      <c r="CK544" s="460"/>
    </row>
    <row r="545" spans="1:89" s="329" customFormat="1" ht="36" customHeight="1" x14ac:dyDescent="0.25">
      <c r="A545" s="329">
        <v>1</v>
      </c>
      <c r="B545" s="39">
        <f>SUBTOTAL(103,$A$16:A545)</f>
        <v>465</v>
      </c>
      <c r="C545" s="33" t="s">
        <v>1425</v>
      </c>
      <c r="D545" s="330">
        <v>1976</v>
      </c>
      <c r="E545" s="330"/>
      <c r="F545" s="331" t="s">
        <v>48</v>
      </c>
      <c r="G545" s="330">
        <v>2</v>
      </c>
      <c r="H545" s="330" t="s">
        <v>56</v>
      </c>
      <c r="I545" s="38">
        <v>798.3</v>
      </c>
      <c r="J545" s="38">
        <v>736.7</v>
      </c>
      <c r="K545" s="38">
        <v>736.7</v>
      </c>
      <c r="L545" s="332">
        <v>32</v>
      </c>
      <c r="M545" s="330" t="s">
        <v>46</v>
      </c>
      <c r="N545" s="330" t="s">
        <v>47</v>
      </c>
      <c r="O545" s="333" t="s">
        <v>49</v>
      </c>
      <c r="P545" s="38">
        <v>306353.95</v>
      </c>
      <c r="Q545" s="38">
        <v>0</v>
      </c>
      <c r="R545" s="38">
        <v>0</v>
      </c>
      <c r="S545" s="38">
        <f>P545-Q545-R545</f>
        <v>306353.95</v>
      </c>
      <c r="T545" s="38">
        <f t="shared" si="104"/>
        <v>383.75792308655895</v>
      </c>
      <c r="U545" s="38">
        <v>5427.1975948891395</v>
      </c>
      <c r="V545" s="458">
        <f t="shared" ref="V545:V546" si="110">U545-T545</f>
        <v>5043.439671802581</v>
      </c>
      <c r="W545" s="458">
        <f>T545</f>
        <v>383.75792308655895</v>
      </c>
      <c r="X545" s="458">
        <v>0</v>
      </c>
      <c r="Y545" s="459">
        <v>0</v>
      </c>
      <c r="Z545" s="459">
        <v>0</v>
      </c>
      <c r="AA545" s="459">
        <v>184.98</v>
      </c>
      <c r="AB545" s="459">
        <v>0</v>
      </c>
      <c r="AC545" s="459">
        <v>0</v>
      </c>
      <c r="AD545" s="459">
        <v>0</v>
      </c>
      <c r="AE545" s="459">
        <v>0</v>
      </c>
      <c r="AF545" s="458">
        <v>0</v>
      </c>
      <c r="AG545" s="459">
        <v>0</v>
      </c>
      <c r="AH545" s="458">
        <v>0</v>
      </c>
      <c r="AI545" s="459">
        <v>0</v>
      </c>
      <c r="AJ545" s="458">
        <v>0</v>
      </c>
      <c r="AK545" s="459">
        <v>0</v>
      </c>
      <c r="AL545" s="459">
        <v>0</v>
      </c>
      <c r="AM545" s="459">
        <v>0</v>
      </c>
      <c r="AN545" s="459"/>
      <c r="AO545" s="459">
        <v>0</v>
      </c>
      <c r="AP545" s="460"/>
      <c r="AQ545" s="460"/>
      <c r="AR545" s="460"/>
      <c r="AS545" s="460"/>
      <c r="AT545" s="460"/>
      <c r="AU545" s="460"/>
      <c r="AV545" s="460"/>
      <c r="AW545" s="460"/>
      <c r="AX545" s="460"/>
      <c r="AY545" s="460"/>
      <c r="AZ545" s="460"/>
      <c r="BA545" s="460"/>
      <c r="BB545" s="460"/>
      <c r="BC545" s="460"/>
      <c r="BD545" s="460"/>
      <c r="BE545" s="460"/>
      <c r="BF545" s="460"/>
      <c r="BG545" s="460"/>
      <c r="BH545" s="460"/>
      <c r="BI545" s="460"/>
      <c r="BJ545" s="460"/>
      <c r="BK545" s="460"/>
      <c r="BL545" s="460"/>
      <c r="BM545" s="460"/>
      <c r="BN545" s="460"/>
      <c r="BO545" s="460"/>
      <c r="BP545" s="460"/>
      <c r="BQ545" s="460"/>
      <c r="BR545" s="460"/>
      <c r="BS545" s="460"/>
      <c r="BT545" s="460"/>
      <c r="BU545" s="460"/>
      <c r="BV545" s="460"/>
      <c r="BW545" s="460"/>
      <c r="BX545" s="460"/>
      <c r="BY545" s="460"/>
      <c r="BZ545" s="460"/>
      <c r="CA545" s="460"/>
      <c r="CB545" s="460"/>
      <c r="CC545" s="460"/>
      <c r="CD545" s="460"/>
      <c r="CE545" s="460"/>
      <c r="CF545" s="460"/>
      <c r="CG545" s="460"/>
      <c r="CH545" s="460"/>
      <c r="CI545" s="460"/>
      <c r="CJ545" s="460"/>
      <c r="CK545" s="460"/>
    </row>
    <row r="546" spans="1:89" s="329" customFormat="1" ht="36" customHeight="1" x14ac:dyDescent="0.25">
      <c r="A546" s="329">
        <v>1</v>
      </c>
      <c r="B546" s="39">
        <f>SUBTOTAL(103,$A$16:A546)</f>
        <v>466</v>
      </c>
      <c r="C546" s="33" t="s">
        <v>1426</v>
      </c>
      <c r="D546" s="330">
        <v>1986</v>
      </c>
      <c r="E546" s="330"/>
      <c r="F546" s="331" t="s">
        <v>63</v>
      </c>
      <c r="G546" s="330">
        <v>2</v>
      </c>
      <c r="H546" s="330" t="s">
        <v>56</v>
      </c>
      <c r="I546" s="38">
        <v>624.5</v>
      </c>
      <c r="J546" s="38">
        <v>567.1</v>
      </c>
      <c r="K546" s="38">
        <v>567.1</v>
      </c>
      <c r="L546" s="332">
        <v>32</v>
      </c>
      <c r="M546" s="330" t="s">
        <v>46</v>
      </c>
      <c r="N546" s="330" t="s">
        <v>47</v>
      </c>
      <c r="O546" s="333" t="s">
        <v>49</v>
      </c>
      <c r="P546" s="38">
        <v>429864.04</v>
      </c>
      <c r="Q546" s="38">
        <v>0</v>
      </c>
      <c r="R546" s="38">
        <v>0</v>
      </c>
      <c r="S546" s="38">
        <f>P546-Q546-R546</f>
        <v>429864.04</v>
      </c>
      <c r="T546" s="38">
        <f t="shared" si="104"/>
        <v>688.33313050440347</v>
      </c>
      <c r="U546" s="38">
        <v>3738.4767846277018</v>
      </c>
      <c r="V546" s="458">
        <f t="shared" si="110"/>
        <v>3050.1436541232983</v>
      </c>
      <c r="W546" s="458">
        <f t="shared" ref="W546" si="111">X546+Y546+Z546+AA546+AB546+AD546+AF546+AH546+AJ546+AL546+AN546+AO546</f>
        <v>6937.6010248198554</v>
      </c>
      <c r="X546" s="458">
        <v>0</v>
      </c>
      <c r="Y546" s="459">
        <v>0</v>
      </c>
      <c r="Z546" s="459">
        <v>0</v>
      </c>
      <c r="AA546" s="459">
        <v>0</v>
      </c>
      <c r="AB546" s="459">
        <v>0</v>
      </c>
      <c r="AC546" s="459">
        <v>0</v>
      </c>
      <c r="AD546" s="459">
        <v>0</v>
      </c>
      <c r="AE546" s="459">
        <v>0</v>
      </c>
      <c r="AF546" s="458">
        <v>0</v>
      </c>
      <c r="AG546" s="459">
        <v>0</v>
      </c>
      <c r="AH546" s="458">
        <v>0</v>
      </c>
      <c r="AI546" s="459">
        <v>582.4</v>
      </c>
      <c r="AJ546" s="458">
        <f>7439.1*AI546/I546</f>
        <v>6937.6010248198554</v>
      </c>
      <c r="AK546" s="459">
        <v>0</v>
      </c>
      <c r="AL546" s="459">
        <v>0</v>
      </c>
      <c r="AM546" s="459">
        <v>0</v>
      </c>
      <c r="AN546" s="459"/>
      <c r="AO546" s="459">
        <v>0</v>
      </c>
      <c r="AP546" s="460"/>
      <c r="AQ546" s="460"/>
      <c r="AR546" s="460"/>
      <c r="AS546" s="460"/>
      <c r="AT546" s="460"/>
      <c r="AU546" s="460"/>
      <c r="AV546" s="460"/>
      <c r="AW546" s="460"/>
      <c r="AX546" s="460"/>
      <c r="AY546" s="460"/>
      <c r="AZ546" s="460"/>
      <c r="BA546" s="460"/>
      <c r="BB546" s="460"/>
      <c r="BC546" s="460"/>
      <c r="BD546" s="460"/>
      <c r="BE546" s="460"/>
      <c r="BF546" s="460"/>
      <c r="BG546" s="460"/>
      <c r="BH546" s="460"/>
      <c r="BI546" s="460"/>
      <c r="BJ546" s="460"/>
      <c r="BK546" s="460"/>
      <c r="BL546" s="460"/>
      <c r="BM546" s="460"/>
      <c r="BN546" s="460"/>
      <c r="BO546" s="460"/>
      <c r="BP546" s="460"/>
      <c r="BQ546" s="460"/>
      <c r="BR546" s="460"/>
      <c r="BS546" s="460"/>
      <c r="BT546" s="460"/>
      <c r="BU546" s="460"/>
      <c r="BV546" s="460"/>
      <c r="BW546" s="460"/>
      <c r="BX546" s="460"/>
      <c r="BY546" s="460"/>
      <c r="BZ546" s="460"/>
      <c r="CA546" s="460"/>
      <c r="CB546" s="460"/>
      <c r="CC546" s="460"/>
      <c r="CD546" s="460"/>
      <c r="CE546" s="460"/>
      <c r="CF546" s="460"/>
      <c r="CG546" s="460"/>
      <c r="CH546" s="460"/>
      <c r="CI546" s="460"/>
      <c r="CJ546" s="460"/>
      <c r="CK546" s="460"/>
    </row>
    <row r="547" spans="1:89" s="329" customFormat="1" ht="36" customHeight="1" x14ac:dyDescent="0.25">
      <c r="B547" s="33" t="s">
        <v>1427</v>
      </c>
      <c r="C547" s="33"/>
      <c r="D547" s="330" t="s">
        <v>131</v>
      </c>
      <c r="E547" s="330" t="s">
        <v>131</v>
      </c>
      <c r="F547" s="330" t="s">
        <v>131</v>
      </c>
      <c r="G547" s="330" t="s">
        <v>131</v>
      </c>
      <c r="H547" s="330" t="s">
        <v>131</v>
      </c>
      <c r="I547" s="334">
        <f>SUM(I548:I549)</f>
        <v>1109.3</v>
      </c>
      <c r="J547" s="334">
        <f>SUM(J548:J549)</f>
        <v>1034.5999999999999</v>
      </c>
      <c r="K547" s="334">
        <f>SUM(K548:K549)</f>
        <v>1034.5999999999999</v>
      </c>
      <c r="L547" s="332">
        <f>SUM(L548:L549)</f>
        <v>49</v>
      </c>
      <c r="M547" s="330" t="s">
        <v>131</v>
      </c>
      <c r="N547" s="330" t="s">
        <v>131</v>
      </c>
      <c r="O547" s="333" t="s">
        <v>131</v>
      </c>
      <c r="P547" s="38">
        <v>1270143.08</v>
      </c>
      <c r="Q547" s="38">
        <f>SUM(Q548:Q549)</f>
        <v>0</v>
      </c>
      <c r="R547" s="38">
        <f>SUM(R548:R549)</f>
        <v>0</v>
      </c>
      <c r="S547" s="38">
        <f>SUM(S548:S549)</f>
        <v>1270143.08</v>
      </c>
      <c r="T547" s="38">
        <f t="shared" si="104"/>
        <v>1144.9951140358785</v>
      </c>
      <c r="U547" s="38">
        <f>MAX(U548:U549)</f>
        <v>5857.8337429111534</v>
      </c>
      <c r="V547" s="458">
        <f t="shared" si="105"/>
        <v>4712.8386288752754</v>
      </c>
      <c r="W547" s="458"/>
      <c r="X547" s="458"/>
      <c r="Y547" s="459"/>
      <c r="Z547" s="459"/>
      <c r="AA547" s="459"/>
      <c r="AB547" s="459"/>
      <c r="AC547" s="459"/>
      <c r="AD547" s="459"/>
      <c r="AE547" s="459"/>
      <c r="AF547" s="459"/>
      <c r="AG547" s="459"/>
      <c r="AH547" s="459"/>
      <c r="AI547" s="459"/>
      <c r="AJ547" s="459"/>
      <c r="AK547" s="459"/>
      <c r="AL547" s="459"/>
      <c r="AM547" s="459"/>
      <c r="AN547" s="459"/>
      <c r="AO547" s="459"/>
      <c r="AP547" s="460"/>
      <c r="AQ547" s="460"/>
      <c r="AR547" s="460"/>
      <c r="AS547" s="460"/>
      <c r="AT547" s="460"/>
      <c r="AU547" s="460"/>
      <c r="AV547" s="460"/>
      <c r="AW547" s="460"/>
      <c r="AX547" s="460"/>
      <c r="AY547" s="460"/>
      <c r="AZ547" s="460"/>
      <c r="BA547" s="460"/>
      <c r="BB547" s="460"/>
      <c r="BC547" s="460"/>
      <c r="BD547" s="460"/>
      <c r="BE547" s="460"/>
      <c r="BF547" s="460"/>
      <c r="BG547" s="460"/>
      <c r="BH547" s="460"/>
      <c r="BI547" s="460"/>
      <c r="BJ547" s="460"/>
      <c r="BK547" s="460"/>
      <c r="BL547" s="460"/>
      <c r="BM547" s="460"/>
      <c r="BN547" s="460"/>
      <c r="BO547" s="460"/>
      <c r="BP547" s="460"/>
      <c r="BQ547" s="460"/>
      <c r="BR547" s="460"/>
      <c r="BS547" s="460"/>
      <c r="BT547" s="460"/>
      <c r="BU547" s="460"/>
      <c r="BV547" s="460"/>
      <c r="BW547" s="460"/>
      <c r="BX547" s="460"/>
      <c r="BY547" s="460"/>
      <c r="BZ547" s="460"/>
      <c r="CA547" s="460"/>
      <c r="CB547" s="460"/>
      <c r="CC547" s="460"/>
      <c r="CD547" s="460"/>
      <c r="CE547" s="460"/>
      <c r="CF547" s="460"/>
      <c r="CG547" s="460"/>
      <c r="CH547" s="460"/>
      <c r="CI547" s="460"/>
      <c r="CJ547" s="460"/>
      <c r="CK547" s="460"/>
    </row>
    <row r="548" spans="1:89" s="329" customFormat="1" ht="36" customHeight="1" x14ac:dyDescent="0.25">
      <c r="A548" s="329">
        <v>1</v>
      </c>
      <c r="B548" s="39">
        <f>SUBTOTAL(103,$A$16:A548)</f>
        <v>467</v>
      </c>
      <c r="C548" s="33" t="s">
        <v>1125</v>
      </c>
      <c r="D548" s="330">
        <v>1966</v>
      </c>
      <c r="E548" s="330"/>
      <c r="F548" s="331" t="s">
        <v>48</v>
      </c>
      <c r="G548" s="330">
        <v>2</v>
      </c>
      <c r="H548" s="330" t="s">
        <v>57</v>
      </c>
      <c r="I548" s="38">
        <v>317.39999999999998</v>
      </c>
      <c r="J548" s="38">
        <v>297.7</v>
      </c>
      <c r="K548" s="38">
        <v>297.7</v>
      </c>
      <c r="L548" s="332">
        <v>22</v>
      </c>
      <c r="M548" s="330" t="s">
        <v>46</v>
      </c>
      <c r="N548" s="330" t="s">
        <v>47</v>
      </c>
      <c r="O548" s="333" t="s">
        <v>49</v>
      </c>
      <c r="P548" s="38">
        <v>1234425.4500000002</v>
      </c>
      <c r="Q548" s="38">
        <v>0</v>
      </c>
      <c r="R548" s="38">
        <v>0</v>
      </c>
      <c r="S548" s="38">
        <f>P548-Q548-R548</f>
        <v>1234425.4500000002</v>
      </c>
      <c r="T548" s="38">
        <f t="shared" si="104"/>
        <v>3889.1791115311917</v>
      </c>
      <c r="U548" s="38">
        <v>5857.8337429111534</v>
      </c>
      <c r="V548" s="458">
        <f>U548-T548</f>
        <v>1968.6546313799618</v>
      </c>
      <c r="W548" s="458">
        <f>X548+Y548+Z548+AA548+AB548+AD548+AF548+AH548+AJ548+AL548+AN548+AO548</f>
        <v>5837.9214555765602</v>
      </c>
      <c r="X548" s="458">
        <v>0</v>
      </c>
      <c r="Y548" s="459">
        <v>0</v>
      </c>
      <c r="Z548" s="459">
        <v>0</v>
      </c>
      <c r="AA548" s="459">
        <v>0</v>
      </c>
      <c r="AB548" s="459">
        <v>0</v>
      </c>
      <c r="AC548" s="459">
        <v>0</v>
      </c>
      <c r="AD548" s="459">
        <v>0</v>
      </c>
      <c r="AE548" s="459">
        <v>297</v>
      </c>
      <c r="AF548" s="458">
        <f>6238.91*AE548/I548</f>
        <v>5837.9214555765602</v>
      </c>
      <c r="AG548" s="459">
        <v>0</v>
      </c>
      <c r="AH548" s="458">
        <v>0</v>
      </c>
      <c r="AI548" s="459">
        <v>0</v>
      </c>
      <c r="AJ548" s="458">
        <v>0</v>
      </c>
      <c r="AK548" s="459">
        <v>0</v>
      </c>
      <c r="AL548" s="459">
        <v>0</v>
      </c>
      <c r="AM548" s="459">
        <v>0</v>
      </c>
      <c r="AN548" s="459"/>
      <c r="AO548" s="459">
        <v>0</v>
      </c>
      <c r="AP548" s="460"/>
      <c r="AQ548" s="460"/>
      <c r="AR548" s="460"/>
      <c r="AS548" s="460"/>
      <c r="AT548" s="460"/>
      <c r="AU548" s="460"/>
      <c r="AV548" s="460"/>
      <c r="AW548" s="460"/>
      <c r="AX548" s="460"/>
      <c r="AY548" s="460"/>
      <c r="AZ548" s="460"/>
      <c r="BA548" s="460"/>
      <c r="BB548" s="460"/>
      <c r="BC548" s="460"/>
      <c r="BD548" s="460"/>
      <c r="BE548" s="460"/>
      <c r="BF548" s="460"/>
      <c r="BG548" s="460"/>
      <c r="BH548" s="460"/>
      <c r="BI548" s="460"/>
      <c r="BJ548" s="460"/>
      <c r="BK548" s="460"/>
      <c r="BL548" s="460"/>
      <c r="BM548" s="460"/>
      <c r="BN548" s="460"/>
      <c r="BO548" s="460"/>
      <c r="BP548" s="460"/>
      <c r="BQ548" s="460"/>
      <c r="BR548" s="460"/>
      <c r="BS548" s="460"/>
      <c r="BT548" s="460"/>
      <c r="BU548" s="460"/>
      <c r="BV548" s="460"/>
      <c r="BW548" s="460"/>
      <c r="BX548" s="460"/>
      <c r="BY548" s="460"/>
      <c r="BZ548" s="460"/>
      <c r="CA548" s="460"/>
      <c r="CB548" s="460"/>
      <c r="CC548" s="460"/>
      <c r="CD548" s="460"/>
      <c r="CE548" s="460"/>
      <c r="CF548" s="460"/>
      <c r="CG548" s="460"/>
      <c r="CH548" s="460"/>
      <c r="CI548" s="460"/>
      <c r="CJ548" s="460"/>
      <c r="CK548" s="460"/>
    </row>
    <row r="549" spans="1:89" s="329" customFormat="1" ht="36" customHeight="1" x14ac:dyDescent="0.25">
      <c r="A549" s="329">
        <v>1</v>
      </c>
      <c r="B549" s="39">
        <f>SUBTOTAL(103,$A$16:A549)</f>
        <v>468</v>
      </c>
      <c r="C549" s="33" t="s">
        <v>1428</v>
      </c>
      <c r="D549" s="330">
        <v>1979</v>
      </c>
      <c r="E549" s="330"/>
      <c r="F549" s="331" t="s">
        <v>48</v>
      </c>
      <c r="G549" s="330">
        <v>2</v>
      </c>
      <c r="H549" s="330" t="s">
        <v>56</v>
      </c>
      <c r="I549" s="38">
        <v>791.9</v>
      </c>
      <c r="J549" s="38">
        <v>736.9</v>
      </c>
      <c r="K549" s="38">
        <v>736.9</v>
      </c>
      <c r="L549" s="332">
        <v>27</v>
      </c>
      <c r="M549" s="330" t="s">
        <v>46</v>
      </c>
      <c r="N549" s="330" t="s">
        <v>47</v>
      </c>
      <c r="O549" s="333" t="s">
        <v>49</v>
      </c>
      <c r="P549" s="38">
        <v>35717.629999999997</v>
      </c>
      <c r="Q549" s="38">
        <v>0</v>
      </c>
      <c r="R549" s="38">
        <v>0</v>
      </c>
      <c r="S549" s="38">
        <f>P549-Q549-R549</f>
        <v>35717.629999999997</v>
      </c>
      <c r="T549" s="38">
        <f t="shared" si="104"/>
        <v>45.103712589973476</v>
      </c>
      <c r="U549" s="38">
        <v>87.588458138653877</v>
      </c>
      <c r="V549" s="458">
        <f>U549-T549</f>
        <v>42.484745548680401</v>
      </c>
      <c r="W549" s="458">
        <f>X549+Y549+Z549+AA549+AB549+AD549+AF549+AH549+AJ549+AL549+AN549+AO549</f>
        <v>2339.8866902386667</v>
      </c>
      <c r="X549" s="458">
        <v>0</v>
      </c>
      <c r="Y549" s="459">
        <v>0</v>
      </c>
      <c r="Z549" s="459">
        <v>0</v>
      </c>
      <c r="AA549" s="459">
        <v>0</v>
      </c>
      <c r="AB549" s="459">
        <v>0</v>
      </c>
      <c r="AC549" s="459">
        <v>0</v>
      </c>
      <c r="AD549" s="459">
        <v>0</v>
      </c>
      <c r="AE549" s="459">
        <v>297</v>
      </c>
      <c r="AF549" s="458">
        <f>6238.91*AE549/I549</f>
        <v>2339.8866902386667</v>
      </c>
      <c r="AG549" s="459">
        <v>0</v>
      </c>
      <c r="AH549" s="458">
        <v>0</v>
      </c>
      <c r="AI549" s="459">
        <v>0</v>
      </c>
      <c r="AJ549" s="458">
        <v>0</v>
      </c>
      <c r="AK549" s="459">
        <v>0</v>
      </c>
      <c r="AL549" s="459">
        <v>0</v>
      </c>
      <c r="AM549" s="459">
        <v>0</v>
      </c>
      <c r="AN549" s="459"/>
      <c r="AO549" s="459">
        <v>0</v>
      </c>
      <c r="AP549" s="460"/>
      <c r="AQ549" s="460"/>
      <c r="AR549" s="460"/>
      <c r="AS549" s="460"/>
      <c r="AT549" s="460"/>
      <c r="AU549" s="460"/>
      <c r="AV549" s="460"/>
      <c r="AW549" s="460"/>
      <c r="AX549" s="460"/>
      <c r="AY549" s="460"/>
      <c r="AZ549" s="460"/>
      <c r="BA549" s="460"/>
      <c r="BB549" s="460"/>
      <c r="BC549" s="460"/>
      <c r="BD549" s="460"/>
      <c r="BE549" s="460"/>
      <c r="BF549" s="460"/>
      <c r="BG549" s="460"/>
      <c r="BH549" s="460"/>
      <c r="BI549" s="460"/>
      <c r="BJ549" s="460"/>
      <c r="BK549" s="460"/>
      <c r="BL549" s="460"/>
      <c r="BM549" s="460"/>
      <c r="BN549" s="460"/>
      <c r="BO549" s="460"/>
      <c r="BP549" s="460"/>
      <c r="BQ549" s="460"/>
      <c r="BR549" s="460"/>
      <c r="BS549" s="460"/>
      <c r="BT549" s="460"/>
      <c r="BU549" s="460"/>
      <c r="BV549" s="460"/>
      <c r="BW549" s="460"/>
      <c r="BX549" s="460"/>
      <c r="BY549" s="460"/>
      <c r="BZ549" s="460"/>
      <c r="CA549" s="460"/>
      <c r="CB549" s="460"/>
      <c r="CC549" s="460"/>
      <c r="CD549" s="460"/>
      <c r="CE549" s="460"/>
      <c r="CF549" s="460"/>
      <c r="CG549" s="460"/>
      <c r="CH549" s="460"/>
      <c r="CI549" s="460"/>
      <c r="CJ549" s="460"/>
      <c r="CK549" s="460"/>
    </row>
    <row r="550" spans="1:89" s="329" customFormat="1" ht="36" customHeight="1" x14ac:dyDescent="0.25">
      <c r="B550" s="33" t="s">
        <v>1429</v>
      </c>
      <c r="C550" s="33"/>
      <c r="D550" s="330" t="s">
        <v>131</v>
      </c>
      <c r="E550" s="330" t="s">
        <v>131</v>
      </c>
      <c r="F550" s="330" t="s">
        <v>131</v>
      </c>
      <c r="G550" s="330" t="s">
        <v>131</v>
      </c>
      <c r="H550" s="330" t="s">
        <v>131</v>
      </c>
      <c r="I550" s="334">
        <f>I551+I641+I672+I712+I731+I739+I765+I773+I781+I786+I788+I792+I794+I796+I811+I822+I829+I831+I833+I835+I837+I839+I846+I861+I865+I868+I871+I874+I883+I887+I889+I893+I895+I897+I899+I907+I909+I919+I915+I921+I929+I935+I938+I940+I944+I948+I954+I960+I964+I966+I970+I972+I978+I982+I989+I996+I904+I980+I825+I844+I858+I933+I942+I968+I994</f>
        <v>828435.12999999966</v>
      </c>
      <c r="J550" s="334">
        <f t="shared" ref="J550:L550" si="112">J551+J641+J672+J712+J731+J739+J765+J773+J781+J786+J788+J792+J794+J796+J811+J822+J829+J831+J833+J835+J837+J839+J846+J861+J865+J868+J871+J874+J883+J887+J889+J893+J895+J897+J899+J907+J909+J919+J915+J921+J929+J935+J938+J940+J944+J948+J954+J960+J964+J966+J970+J972+J978+J982+J989+J996+J904+J980+J825+J844+J858+J933+J942+J968+J994</f>
        <v>681243.48</v>
      </c>
      <c r="K550" s="334">
        <f t="shared" si="112"/>
        <v>631457.77999999968</v>
      </c>
      <c r="L550" s="332">
        <f t="shared" si="112"/>
        <v>32081</v>
      </c>
      <c r="M550" s="330" t="s">
        <v>131</v>
      </c>
      <c r="N550" s="330" t="s">
        <v>131</v>
      </c>
      <c r="O550" s="333" t="s">
        <v>131</v>
      </c>
      <c r="P550" s="334">
        <v>1363886777.0699999</v>
      </c>
      <c r="Q550" s="334">
        <f t="shared" ref="Q550:S550" si="113">Q551+Q641+Q672+Q712+Q731+Q739+Q765+Q773+Q781+Q786+Q788+Q792+Q794+Q796+Q811+Q822+Q829+Q831+Q833+Q835+Q837+Q839+Q846+Q861+Q865+Q868+Q871+Q874+Q883+Q887+Q889+Q893+Q895+Q897+Q899+Q907+Q909+Q919+Q915+Q921+Q929+Q935+Q938+Q940+Q944+Q948+Q954+Q960+Q964+Q966+Q970+Q972+Q978+Q982+Q989+Q996+Q904+Q980+Q825+Q844+Q858+Q933+Q942+Q968+Q994</f>
        <v>0</v>
      </c>
      <c r="R550" s="334">
        <f t="shared" si="113"/>
        <v>3015567.51</v>
      </c>
      <c r="S550" s="334">
        <f t="shared" si="113"/>
        <v>1360871209.5599999</v>
      </c>
      <c r="T550" s="38">
        <f t="shared" si="104"/>
        <v>1646.3410684551734</v>
      </c>
      <c r="U550" s="38">
        <f>MAX(U551:U996)</f>
        <v>24013.858784215474</v>
      </c>
      <c r="V550" s="458">
        <f t="shared" si="105"/>
        <v>22367.517715760299</v>
      </c>
      <c r="W550" s="458"/>
      <c r="X550" s="458"/>
      <c r="Y550" s="459"/>
      <c r="Z550" s="459"/>
      <c r="AA550" s="459"/>
      <c r="AB550" s="459"/>
      <c r="AC550" s="459"/>
      <c r="AD550" s="459"/>
      <c r="AE550" s="459"/>
      <c r="AF550" s="459"/>
      <c r="AG550" s="459"/>
      <c r="AH550" s="459"/>
      <c r="AI550" s="459"/>
      <c r="AJ550" s="459"/>
      <c r="AK550" s="459"/>
      <c r="AL550" s="459"/>
      <c r="AM550" s="459"/>
      <c r="AN550" s="459"/>
      <c r="AO550" s="459"/>
      <c r="AP550" s="460"/>
      <c r="AQ550" s="460"/>
      <c r="AR550" s="460"/>
      <c r="AS550" s="460"/>
      <c r="AT550" s="460"/>
      <c r="AU550" s="460"/>
      <c r="AV550" s="460"/>
      <c r="AW550" s="460"/>
      <c r="AX550" s="460"/>
      <c r="AY550" s="460"/>
      <c r="AZ550" s="460"/>
      <c r="BA550" s="460"/>
      <c r="BB550" s="460"/>
      <c r="BC550" s="460"/>
      <c r="BD550" s="460"/>
      <c r="BE550" s="460"/>
      <c r="BF550" s="460"/>
      <c r="BG550" s="460"/>
      <c r="BH550" s="460"/>
      <c r="BI550" s="460"/>
      <c r="BJ550" s="460"/>
      <c r="BK550" s="460"/>
      <c r="BL550" s="460"/>
      <c r="BM550" s="460"/>
      <c r="BN550" s="460"/>
      <c r="BO550" s="460"/>
      <c r="BP550" s="460"/>
      <c r="BQ550" s="460"/>
      <c r="BR550" s="460"/>
      <c r="BS550" s="460"/>
      <c r="BT550" s="460"/>
      <c r="BU550" s="460"/>
      <c r="BV550" s="460"/>
      <c r="BW550" s="460"/>
      <c r="BX550" s="460"/>
      <c r="BY550" s="460"/>
      <c r="BZ550" s="460"/>
      <c r="CA550" s="460"/>
      <c r="CB550" s="460"/>
      <c r="CC550" s="460"/>
      <c r="CD550" s="460"/>
      <c r="CE550" s="460"/>
      <c r="CF550" s="460"/>
      <c r="CG550" s="460"/>
      <c r="CH550" s="460"/>
      <c r="CI550" s="460"/>
      <c r="CJ550" s="460"/>
      <c r="CK550" s="460"/>
    </row>
    <row r="551" spans="1:89" s="329" customFormat="1" ht="36" customHeight="1" x14ac:dyDescent="0.25">
      <c r="B551" s="33" t="s">
        <v>912</v>
      </c>
      <c r="C551" s="462"/>
      <c r="D551" s="330" t="s">
        <v>131</v>
      </c>
      <c r="E551" s="330" t="s">
        <v>131</v>
      </c>
      <c r="F551" s="330" t="s">
        <v>131</v>
      </c>
      <c r="G551" s="330" t="s">
        <v>131</v>
      </c>
      <c r="H551" s="330" t="s">
        <v>131</v>
      </c>
      <c r="I551" s="334">
        <f>SUM(I552:I640)</f>
        <v>261863.27999999988</v>
      </c>
      <c r="J551" s="334">
        <f>SUM(J552:J640)</f>
        <v>215423.35000000003</v>
      </c>
      <c r="K551" s="334">
        <f>SUM(K552:K640)</f>
        <v>205365.95000000004</v>
      </c>
      <c r="L551" s="332">
        <f>SUM(L552:L640)</f>
        <v>10358</v>
      </c>
      <c r="M551" s="330" t="s">
        <v>131</v>
      </c>
      <c r="N551" s="330" t="s">
        <v>131</v>
      </c>
      <c r="O551" s="333" t="s">
        <v>131</v>
      </c>
      <c r="P551" s="334">
        <v>300973468.33999985</v>
      </c>
      <c r="Q551" s="334">
        <f>SUM(Q552:Q640)</f>
        <v>0</v>
      </c>
      <c r="R551" s="334">
        <f>SUM(R552:R640)</f>
        <v>0</v>
      </c>
      <c r="S551" s="334">
        <f>SUM(S552:S640)</f>
        <v>300973468.33999985</v>
      </c>
      <c r="T551" s="38">
        <f t="shared" si="104"/>
        <v>1149.3534654419664</v>
      </c>
      <c r="U551" s="38">
        <f>MAX(U552:U640)</f>
        <v>9722.3030380039272</v>
      </c>
      <c r="V551" s="458">
        <f t="shared" si="105"/>
        <v>8572.9495725619599</v>
      </c>
      <c r="W551" s="458"/>
      <c r="X551" s="458"/>
      <c r="Y551" s="459"/>
      <c r="Z551" s="459"/>
      <c r="AA551" s="459"/>
      <c r="AB551" s="459"/>
      <c r="AC551" s="459"/>
      <c r="AD551" s="459"/>
      <c r="AE551" s="459"/>
      <c r="AF551" s="459"/>
      <c r="AG551" s="459"/>
      <c r="AH551" s="459"/>
      <c r="AI551" s="459"/>
      <c r="AJ551" s="459"/>
      <c r="AK551" s="459"/>
      <c r="AL551" s="459"/>
      <c r="AM551" s="459"/>
      <c r="AN551" s="459"/>
      <c r="AO551" s="459"/>
      <c r="AP551" s="460"/>
      <c r="AQ551" s="460"/>
      <c r="AR551" s="460"/>
      <c r="AS551" s="460"/>
      <c r="AT551" s="460"/>
      <c r="AU551" s="460"/>
      <c r="AV551" s="460"/>
      <c r="AW551" s="460"/>
      <c r="AX551" s="460"/>
      <c r="AY551" s="460"/>
      <c r="AZ551" s="460"/>
      <c r="BA551" s="460"/>
      <c r="BB551" s="460"/>
      <c r="BC551" s="460"/>
      <c r="BD551" s="460"/>
      <c r="BE551" s="460"/>
      <c r="BF551" s="460"/>
      <c r="BG551" s="460"/>
      <c r="BH551" s="460"/>
      <c r="BI551" s="460"/>
      <c r="BJ551" s="460"/>
      <c r="BK551" s="460"/>
      <c r="BL551" s="460"/>
      <c r="BM551" s="460"/>
      <c r="BN551" s="460"/>
      <c r="BO551" s="460"/>
      <c r="BP551" s="460"/>
      <c r="BQ551" s="460"/>
      <c r="BR551" s="460"/>
      <c r="BS551" s="460"/>
      <c r="BT551" s="460"/>
      <c r="BU551" s="460"/>
      <c r="BV551" s="460"/>
      <c r="BW551" s="460"/>
      <c r="BX551" s="460"/>
      <c r="BY551" s="460"/>
      <c r="BZ551" s="460"/>
      <c r="CA551" s="460"/>
      <c r="CB551" s="460"/>
      <c r="CC551" s="460"/>
      <c r="CD551" s="460"/>
      <c r="CE551" s="460"/>
      <c r="CF551" s="460"/>
      <c r="CG551" s="460"/>
      <c r="CH551" s="460"/>
      <c r="CI551" s="460"/>
      <c r="CJ551" s="460"/>
      <c r="CK551" s="460"/>
    </row>
    <row r="552" spans="1:89" s="329" customFormat="1" ht="36" customHeight="1" x14ac:dyDescent="0.25">
      <c r="A552" s="329">
        <v>1</v>
      </c>
      <c r="B552" s="39">
        <f>SUBTOTAL(103,$A$552:A552)</f>
        <v>1</v>
      </c>
      <c r="C552" s="33" t="s">
        <v>1430</v>
      </c>
      <c r="D552" s="330" t="s">
        <v>2115</v>
      </c>
      <c r="E552" s="330"/>
      <c r="F552" s="331" t="s">
        <v>60</v>
      </c>
      <c r="G552" s="330" t="s">
        <v>75</v>
      </c>
      <c r="H552" s="330" t="s">
        <v>59</v>
      </c>
      <c r="I552" s="334">
        <v>3788.4</v>
      </c>
      <c r="J552" s="334">
        <v>3520.9</v>
      </c>
      <c r="K552" s="334">
        <v>3520.9</v>
      </c>
      <c r="L552" s="332">
        <v>100</v>
      </c>
      <c r="M552" s="330" t="s">
        <v>46</v>
      </c>
      <c r="N552" s="330" t="s">
        <v>50</v>
      </c>
      <c r="O552" s="333" t="s">
        <v>1956</v>
      </c>
      <c r="P552" s="38">
        <v>4549323.9899999993</v>
      </c>
      <c r="Q552" s="38">
        <v>0</v>
      </c>
      <c r="R552" s="38">
        <v>0</v>
      </c>
      <c r="S552" s="38">
        <f t="shared" ref="S552:S615" si="114">P552-Q552-R552</f>
        <v>4549323.9899999993</v>
      </c>
      <c r="T552" s="38">
        <f t="shared" si="104"/>
        <v>1200.8562955337343</v>
      </c>
      <c r="U552" s="38">
        <v>1586.3642698764647</v>
      </c>
      <c r="V552" s="458">
        <f t="shared" si="105"/>
        <v>385.50797434273045</v>
      </c>
      <c r="W552" s="458">
        <f t="shared" ref="W552:W615" si="115">X552+Y552+Z552+AA552+AB552+AD552+AF552+AH552+AJ552+AL552+AN552+AO552</f>
        <v>1580.9718086791256</v>
      </c>
      <c r="X552" s="458">
        <v>0</v>
      </c>
      <c r="Y552" s="459">
        <v>0</v>
      </c>
      <c r="Z552" s="459">
        <v>0</v>
      </c>
      <c r="AA552" s="459">
        <v>0</v>
      </c>
      <c r="AB552" s="459">
        <v>0</v>
      </c>
      <c r="AC552" s="459">
        <v>0</v>
      </c>
      <c r="AD552" s="459">
        <v>0</v>
      </c>
      <c r="AE552" s="459">
        <v>960</v>
      </c>
      <c r="AF552" s="458">
        <f t="shared" ref="AF552:AF568" si="116">6238.91*AE552/I552</f>
        <v>1580.9718086791256</v>
      </c>
      <c r="AG552" s="459">
        <v>0</v>
      </c>
      <c r="AH552" s="458">
        <v>0</v>
      </c>
      <c r="AI552" s="459">
        <v>0</v>
      </c>
      <c r="AJ552" s="458">
        <v>0</v>
      </c>
      <c r="AK552" s="459">
        <v>0</v>
      </c>
      <c r="AL552" s="459">
        <v>0</v>
      </c>
      <c r="AM552" s="459">
        <v>0</v>
      </c>
      <c r="AN552" s="459"/>
      <c r="AO552" s="459">
        <v>0</v>
      </c>
      <c r="AP552" s="460"/>
      <c r="AQ552" s="460"/>
      <c r="AR552" s="460"/>
      <c r="AS552" s="460"/>
      <c r="AT552" s="460"/>
      <c r="AU552" s="460"/>
      <c r="AV552" s="460"/>
      <c r="AW552" s="460"/>
      <c r="AX552" s="460"/>
      <c r="AY552" s="460"/>
      <c r="AZ552" s="460"/>
      <c r="BA552" s="460"/>
      <c r="BB552" s="460"/>
      <c r="BC552" s="460"/>
      <c r="BD552" s="460"/>
      <c r="BE552" s="460"/>
      <c r="BF552" s="460"/>
      <c r="BG552" s="460"/>
      <c r="BH552" s="460"/>
      <c r="BI552" s="460"/>
      <c r="BJ552" s="460"/>
      <c r="BK552" s="460"/>
      <c r="BL552" s="460"/>
      <c r="BM552" s="460"/>
      <c r="BN552" s="460"/>
      <c r="BO552" s="460"/>
      <c r="BP552" s="460"/>
      <c r="BQ552" s="460"/>
      <c r="BR552" s="460"/>
      <c r="BS552" s="460"/>
      <c r="BT552" s="460"/>
      <c r="BU552" s="460"/>
      <c r="BV552" s="460"/>
      <c r="BW552" s="460"/>
      <c r="BX552" s="460"/>
      <c r="BY552" s="460"/>
      <c r="BZ552" s="460"/>
      <c r="CA552" s="460"/>
      <c r="CB552" s="460"/>
      <c r="CC552" s="460"/>
      <c r="CD552" s="460"/>
      <c r="CE552" s="460"/>
      <c r="CF552" s="460"/>
      <c r="CG552" s="460"/>
      <c r="CH552" s="460"/>
      <c r="CI552" s="460"/>
      <c r="CJ552" s="460"/>
      <c r="CK552" s="460"/>
    </row>
    <row r="553" spans="1:89" s="329" customFormat="1" ht="36" customHeight="1" x14ac:dyDescent="0.25">
      <c r="A553" s="329">
        <v>1</v>
      </c>
      <c r="B553" s="39">
        <f>SUBTOTAL(103,$A$552:A553)</f>
        <v>2</v>
      </c>
      <c r="C553" s="33" t="s">
        <v>1431</v>
      </c>
      <c r="D553" s="330" t="s">
        <v>2116</v>
      </c>
      <c r="E553" s="330"/>
      <c r="F553" s="331" t="s">
        <v>60</v>
      </c>
      <c r="G553" s="330" t="s">
        <v>75</v>
      </c>
      <c r="H553" s="330" t="s">
        <v>59</v>
      </c>
      <c r="I553" s="334">
        <v>3837.6</v>
      </c>
      <c r="J553" s="334">
        <v>3516.3</v>
      </c>
      <c r="K553" s="334">
        <v>3516.3</v>
      </c>
      <c r="L553" s="332">
        <v>162</v>
      </c>
      <c r="M553" s="330" t="s">
        <v>46</v>
      </c>
      <c r="N553" s="330" t="s">
        <v>50</v>
      </c>
      <c r="O553" s="333" t="s">
        <v>1956</v>
      </c>
      <c r="P553" s="38">
        <v>4549323.9899999993</v>
      </c>
      <c r="Q553" s="38">
        <v>0</v>
      </c>
      <c r="R553" s="38">
        <v>0</v>
      </c>
      <c r="S553" s="38">
        <f t="shared" si="114"/>
        <v>4549323.9899999993</v>
      </c>
      <c r="T553" s="38">
        <f t="shared" si="104"/>
        <v>1185.4607020012506</v>
      </c>
      <c r="U553" s="38">
        <v>1566.0262664165102</v>
      </c>
      <c r="V553" s="458">
        <f t="shared" si="105"/>
        <v>380.56556441525959</v>
      </c>
      <c r="W553" s="458">
        <f t="shared" si="115"/>
        <v>1560.7029393370856</v>
      </c>
      <c r="X553" s="458">
        <v>0</v>
      </c>
      <c r="Y553" s="459">
        <v>0</v>
      </c>
      <c r="Z553" s="459">
        <v>0</v>
      </c>
      <c r="AA553" s="459">
        <v>0</v>
      </c>
      <c r="AB553" s="459">
        <v>0</v>
      </c>
      <c r="AC553" s="459">
        <v>0</v>
      </c>
      <c r="AD553" s="459">
        <v>0</v>
      </c>
      <c r="AE553" s="459">
        <v>960</v>
      </c>
      <c r="AF553" s="458">
        <f t="shared" si="116"/>
        <v>1560.7029393370856</v>
      </c>
      <c r="AG553" s="459">
        <v>0</v>
      </c>
      <c r="AH553" s="458">
        <v>0</v>
      </c>
      <c r="AI553" s="459">
        <v>0</v>
      </c>
      <c r="AJ553" s="458">
        <v>0</v>
      </c>
      <c r="AK553" s="459">
        <v>0</v>
      </c>
      <c r="AL553" s="459">
        <v>0</v>
      </c>
      <c r="AM553" s="459">
        <v>0</v>
      </c>
      <c r="AN553" s="459"/>
      <c r="AO553" s="459">
        <v>0</v>
      </c>
      <c r="AP553" s="460"/>
      <c r="AQ553" s="460"/>
      <c r="AR553" s="460"/>
      <c r="AS553" s="460"/>
      <c r="AT553" s="460"/>
      <c r="AU553" s="460"/>
      <c r="AV553" s="460"/>
      <c r="AW553" s="460"/>
      <c r="AX553" s="460"/>
      <c r="AY553" s="460"/>
      <c r="AZ553" s="460"/>
      <c r="BA553" s="460"/>
      <c r="BB553" s="460"/>
      <c r="BC553" s="460"/>
      <c r="BD553" s="460"/>
      <c r="BE553" s="460"/>
      <c r="BF553" s="460"/>
      <c r="BG553" s="460"/>
      <c r="BH553" s="460"/>
      <c r="BI553" s="460"/>
      <c r="BJ553" s="460"/>
      <c r="BK553" s="460"/>
      <c r="BL553" s="460"/>
      <c r="BM553" s="460"/>
      <c r="BN553" s="460"/>
      <c r="BO553" s="460"/>
      <c r="BP553" s="460"/>
      <c r="BQ553" s="460"/>
      <c r="BR553" s="460"/>
      <c r="BS553" s="460"/>
      <c r="BT553" s="460"/>
      <c r="BU553" s="460"/>
      <c r="BV553" s="460"/>
      <c r="BW553" s="460"/>
      <c r="BX553" s="460"/>
      <c r="BY553" s="460"/>
      <c r="BZ553" s="460"/>
      <c r="CA553" s="460"/>
      <c r="CB553" s="460"/>
      <c r="CC553" s="460"/>
      <c r="CD553" s="460"/>
      <c r="CE553" s="460"/>
      <c r="CF553" s="460"/>
      <c r="CG553" s="460"/>
      <c r="CH553" s="460"/>
      <c r="CI553" s="460"/>
      <c r="CJ553" s="460"/>
      <c r="CK553" s="460"/>
    </row>
    <row r="554" spans="1:89" s="329" customFormat="1" ht="36" customHeight="1" x14ac:dyDescent="0.25">
      <c r="A554" s="329">
        <v>1</v>
      </c>
      <c r="B554" s="39">
        <f>SUBTOTAL(103,$A$552:A554)</f>
        <v>3</v>
      </c>
      <c r="C554" s="33" t="s">
        <v>1432</v>
      </c>
      <c r="D554" s="330" t="s">
        <v>2117</v>
      </c>
      <c r="E554" s="330"/>
      <c r="F554" s="331" t="s">
        <v>60</v>
      </c>
      <c r="G554" s="330" t="s">
        <v>75</v>
      </c>
      <c r="H554" s="330" t="s">
        <v>61</v>
      </c>
      <c r="I554" s="334">
        <v>2494.5</v>
      </c>
      <c r="J554" s="334">
        <v>2290.6</v>
      </c>
      <c r="K554" s="334">
        <v>2290.6</v>
      </c>
      <c r="L554" s="332">
        <v>117</v>
      </c>
      <c r="M554" s="330" t="s">
        <v>46</v>
      </c>
      <c r="N554" s="330" t="s">
        <v>50</v>
      </c>
      <c r="O554" s="333" t="s">
        <v>1966</v>
      </c>
      <c r="P554" s="38">
        <v>3263607.5799999996</v>
      </c>
      <c r="Q554" s="38">
        <v>0</v>
      </c>
      <c r="R554" s="38">
        <v>0</v>
      </c>
      <c r="S554" s="38">
        <f t="shared" si="114"/>
        <v>3263607.5799999996</v>
      </c>
      <c r="T554" s="38">
        <f t="shared" si="104"/>
        <v>1308.3213389456803</v>
      </c>
      <c r="U554" s="38">
        <v>1649.0562633794348</v>
      </c>
      <c r="V554" s="458">
        <f t="shared" si="105"/>
        <v>340.73492443375449</v>
      </c>
      <c r="W554" s="458">
        <f t="shared" si="115"/>
        <v>1643.4506959310484</v>
      </c>
      <c r="X554" s="458">
        <v>0</v>
      </c>
      <c r="Y554" s="459">
        <v>0</v>
      </c>
      <c r="Z554" s="459">
        <v>0</v>
      </c>
      <c r="AA554" s="459">
        <v>0</v>
      </c>
      <c r="AB554" s="459">
        <v>0</v>
      </c>
      <c r="AC554" s="459">
        <v>0</v>
      </c>
      <c r="AD554" s="459">
        <v>0</v>
      </c>
      <c r="AE554" s="459">
        <v>657.1</v>
      </c>
      <c r="AF554" s="458">
        <f t="shared" si="116"/>
        <v>1643.4506959310484</v>
      </c>
      <c r="AG554" s="459">
        <v>0</v>
      </c>
      <c r="AH554" s="458">
        <v>0</v>
      </c>
      <c r="AI554" s="459">
        <v>0</v>
      </c>
      <c r="AJ554" s="458">
        <v>0</v>
      </c>
      <c r="AK554" s="459">
        <v>0</v>
      </c>
      <c r="AL554" s="459">
        <v>0</v>
      </c>
      <c r="AM554" s="459">
        <v>0</v>
      </c>
      <c r="AN554" s="459"/>
      <c r="AO554" s="459">
        <v>0</v>
      </c>
      <c r="AP554" s="460"/>
      <c r="AQ554" s="460"/>
      <c r="AR554" s="460"/>
      <c r="AS554" s="460"/>
      <c r="AT554" s="460"/>
      <c r="AU554" s="460"/>
      <c r="AV554" s="460"/>
      <c r="AW554" s="460"/>
      <c r="AX554" s="460"/>
      <c r="AY554" s="460"/>
      <c r="AZ554" s="460"/>
      <c r="BA554" s="460"/>
      <c r="BB554" s="460"/>
      <c r="BC554" s="460"/>
      <c r="BD554" s="460"/>
      <c r="BE554" s="460"/>
      <c r="BF554" s="460"/>
      <c r="BG554" s="460"/>
      <c r="BH554" s="460"/>
      <c r="BI554" s="460"/>
      <c r="BJ554" s="460"/>
      <c r="BK554" s="460"/>
      <c r="BL554" s="460"/>
      <c r="BM554" s="460"/>
      <c r="BN554" s="460"/>
      <c r="BO554" s="460"/>
      <c r="BP554" s="460"/>
      <c r="BQ554" s="460"/>
      <c r="BR554" s="460"/>
      <c r="BS554" s="460"/>
      <c r="BT554" s="460"/>
      <c r="BU554" s="460"/>
      <c r="BV554" s="460"/>
      <c r="BW554" s="460"/>
      <c r="BX554" s="460"/>
      <c r="BY554" s="460"/>
      <c r="BZ554" s="460"/>
      <c r="CA554" s="460"/>
      <c r="CB554" s="460"/>
      <c r="CC554" s="460"/>
      <c r="CD554" s="460"/>
      <c r="CE554" s="460"/>
      <c r="CF554" s="460"/>
      <c r="CG554" s="460"/>
      <c r="CH554" s="460"/>
      <c r="CI554" s="460"/>
      <c r="CJ554" s="460"/>
      <c r="CK554" s="460"/>
    </row>
    <row r="555" spans="1:89" s="329" customFormat="1" ht="36" customHeight="1" x14ac:dyDescent="0.25">
      <c r="A555" s="329">
        <v>1</v>
      </c>
      <c r="B555" s="39">
        <f>SUBTOTAL(103,$A$552:A555)</f>
        <v>4</v>
      </c>
      <c r="C555" s="33" t="s">
        <v>1433</v>
      </c>
      <c r="D555" s="330" t="s">
        <v>76</v>
      </c>
      <c r="E555" s="330"/>
      <c r="F555" s="331" t="s">
        <v>48</v>
      </c>
      <c r="G555" s="330" t="s">
        <v>75</v>
      </c>
      <c r="H555" s="330" t="s">
        <v>56</v>
      </c>
      <c r="I555" s="334">
        <v>1965.7</v>
      </c>
      <c r="J555" s="334">
        <v>1789.7</v>
      </c>
      <c r="K555" s="334">
        <v>1702</v>
      </c>
      <c r="L555" s="332">
        <v>80</v>
      </c>
      <c r="M555" s="330" t="s">
        <v>46</v>
      </c>
      <c r="N555" s="330" t="s">
        <v>50</v>
      </c>
      <c r="O555" s="333" t="s">
        <v>1958</v>
      </c>
      <c r="P555" s="38">
        <v>3518296.02</v>
      </c>
      <c r="Q555" s="38">
        <v>0</v>
      </c>
      <c r="R555" s="38">
        <v>0</v>
      </c>
      <c r="S555" s="38">
        <f t="shared" si="114"/>
        <v>3518296.02</v>
      </c>
      <c r="T555" s="38">
        <f t="shared" si="104"/>
        <v>1789.8438317138932</v>
      </c>
      <c r="U555" s="38">
        <v>2261.1461057129773</v>
      </c>
      <c r="V555" s="458">
        <f t="shared" si="105"/>
        <v>471.30227399908404</v>
      </c>
      <c r="W555" s="458">
        <f t="shared" si="115"/>
        <v>2253.4598870631326</v>
      </c>
      <c r="X555" s="458">
        <v>0</v>
      </c>
      <c r="Y555" s="459">
        <v>0</v>
      </c>
      <c r="Z555" s="459">
        <v>0</v>
      </c>
      <c r="AA555" s="459">
        <v>0</v>
      </c>
      <c r="AB555" s="459">
        <v>0</v>
      </c>
      <c r="AC555" s="459">
        <v>0</v>
      </c>
      <c r="AD555" s="459">
        <v>0</v>
      </c>
      <c r="AE555" s="459">
        <v>710</v>
      </c>
      <c r="AF555" s="458">
        <f t="shared" si="116"/>
        <v>2253.4598870631326</v>
      </c>
      <c r="AG555" s="459">
        <v>0</v>
      </c>
      <c r="AH555" s="458">
        <v>0</v>
      </c>
      <c r="AI555" s="459">
        <v>0</v>
      </c>
      <c r="AJ555" s="458">
        <v>0</v>
      </c>
      <c r="AK555" s="459">
        <v>0</v>
      </c>
      <c r="AL555" s="459">
        <v>0</v>
      </c>
      <c r="AM555" s="459">
        <v>0</v>
      </c>
      <c r="AN555" s="459"/>
      <c r="AO555" s="459">
        <v>0</v>
      </c>
      <c r="AP555" s="460"/>
      <c r="AQ555" s="460"/>
      <c r="AR555" s="460"/>
      <c r="AS555" s="460"/>
      <c r="AT555" s="460"/>
      <c r="AU555" s="460"/>
      <c r="AV555" s="460"/>
      <c r="AW555" s="460"/>
      <c r="AX555" s="460"/>
      <c r="AY555" s="460"/>
      <c r="AZ555" s="460"/>
      <c r="BA555" s="460"/>
      <c r="BB555" s="460"/>
      <c r="BC555" s="460"/>
      <c r="BD555" s="460"/>
      <c r="BE555" s="460"/>
      <c r="BF555" s="460"/>
      <c r="BG555" s="460"/>
      <c r="BH555" s="460"/>
      <c r="BI555" s="460"/>
      <c r="BJ555" s="460"/>
      <c r="BK555" s="460"/>
      <c r="BL555" s="460"/>
      <c r="BM555" s="460"/>
      <c r="BN555" s="460"/>
      <c r="BO555" s="460"/>
      <c r="BP555" s="460"/>
      <c r="BQ555" s="460"/>
      <c r="BR555" s="460"/>
      <c r="BS555" s="460"/>
      <c r="BT555" s="460"/>
      <c r="BU555" s="460"/>
      <c r="BV555" s="460"/>
      <c r="BW555" s="460"/>
      <c r="BX555" s="460"/>
      <c r="BY555" s="460"/>
      <c r="BZ555" s="460"/>
      <c r="CA555" s="460"/>
      <c r="CB555" s="460"/>
      <c r="CC555" s="460"/>
      <c r="CD555" s="460"/>
      <c r="CE555" s="460"/>
      <c r="CF555" s="460"/>
      <c r="CG555" s="460"/>
      <c r="CH555" s="460"/>
      <c r="CI555" s="460"/>
      <c r="CJ555" s="460"/>
      <c r="CK555" s="460"/>
    </row>
    <row r="556" spans="1:89" s="329" customFormat="1" ht="36" customHeight="1" x14ac:dyDescent="0.25">
      <c r="A556" s="329">
        <v>1</v>
      </c>
      <c r="B556" s="39">
        <f>SUBTOTAL(103,$A$552:A556)</f>
        <v>5</v>
      </c>
      <c r="C556" s="33" t="s">
        <v>1434</v>
      </c>
      <c r="D556" s="330" t="s">
        <v>2055</v>
      </c>
      <c r="E556" s="330"/>
      <c r="F556" s="331" t="s">
        <v>48</v>
      </c>
      <c r="G556" s="330" t="s">
        <v>61</v>
      </c>
      <c r="H556" s="330" t="s">
        <v>56</v>
      </c>
      <c r="I556" s="334">
        <v>944.2</v>
      </c>
      <c r="J556" s="334">
        <v>863.6</v>
      </c>
      <c r="K556" s="334">
        <v>863.6</v>
      </c>
      <c r="L556" s="332">
        <v>47</v>
      </c>
      <c r="M556" s="330" t="s">
        <v>46</v>
      </c>
      <c r="N556" s="330" t="s">
        <v>50</v>
      </c>
      <c r="O556" s="333" t="s">
        <v>2118</v>
      </c>
      <c r="P556" s="38">
        <v>2570383.31</v>
      </c>
      <c r="Q556" s="38">
        <v>0</v>
      </c>
      <c r="R556" s="38">
        <v>0</v>
      </c>
      <c r="S556" s="38">
        <f t="shared" si="114"/>
        <v>2570383.31</v>
      </c>
      <c r="T556" s="38">
        <f t="shared" si="104"/>
        <v>2722.2869201440371</v>
      </c>
      <c r="U556" s="38">
        <v>3447.6793052319422</v>
      </c>
      <c r="V556" s="458">
        <f t="shared" si="105"/>
        <v>725.39238508790504</v>
      </c>
      <c r="W556" s="458">
        <f t="shared" si="115"/>
        <v>3435.9597542893448</v>
      </c>
      <c r="X556" s="458">
        <v>0</v>
      </c>
      <c r="Y556" s="459">
        <v>0</v>
      </c>
      <c r="Z556" s="459">
        <v>0</v>
      </c>
      <c r="AA556" s="459">
        <v>0</v>
      </c>
      <c r="AB556" s="459">
        <v>0</v>
      </c>
      <c r="AC556" s="459">
        <v>0</v>
      </c>
      <c r="AD556" s="459">
        <v>0</v>
      </c>
      <c r="AE556" s="459">
        <v>520</v>
      </c>
      <c r="AF556" s="458">
        <f t="shared" si="116"/>
        <v>3435.9597542893448</v>
      </c>
      <c r="AG556" s="459">
        <v>0</v>
      </c>
      <c r="AH556" s="458">
        <v>0</v>
      </c>
      <c r="AI556" s="459">
        <v>0</v>
      </c>
      <c r="AJ556" s="458">
        <v>0</v>
      </c>
      <c r="AK556" s="459">
        <v>0</v>
      </c>
      <c r="AL556" s="459">
        <v>0</v>
      </c>
      <c r="AM556" s="459">
        <v>0</v>
      </c>
      <c r="AN556" s="459"/>
      <c r="AO556" s="459">
        <v>0</v>
      </c>
      <c r="AP556" s="460"/>
      <c r="AQ556" s="460"/>
      <c r="AR556" s="460"/>
      <c r="AS556" s="460"/>
      <c r="AT556" s="460"/>
      <c r="AU556" s="460"/>
      <c r="AV556" s="460"/>
      <c r="AW556" s="460"/>
      <c r="AX556" s="460"/>
      <c r="AY556" s="460"/>
      <c r="AZ556" s="460"/>
      <c r="BA556" s="460"/>
      <c r="BB556" s="460"/>
      <c r="BC556" s="460"/>
      <c r="BD556" s="460"/>
      <c r="BE556" s="460"/>
      <c r="BF556" s="460"/>
      <c r="BG556" s="460"/>
      <c r="BH556" s="460"/>
      <c r="BI556" s="460"/>
      <c r="BJ556" s="460"/>
      <c r="BK556" s="460"/>
      <c r="BL556" s="460"/>
      <c r="BM556" s="460"/>
      <c r="BN556" s="460"/>
      <c r="BO556" s="460"/>
      <c r="BP556" s="460"/>
      <c r="BQ556" s="460"/>
      <c r="BR556" s="460"/>
      <c r="BS556" s="460"/>
      <c r="BT556" s="460"/>
      <c r="BU556" s="460"/>
      <c r="BV556" s="460"/>
      <c r="BW556" s="460"/>
      <c r="BX556" s="460"/>
      <c r="BY556" s="460"/>
      <c r="BZ556" s="460"/>
      <c r="CA556" s="460"/>
      <c r="CB556" s="460"/>
      <c r="CC556" s="460"/>
      <c r="CD556" s="460"/>
      <c r="CE556" s="460"/>
      <c r="CF556" s="460"/>
      <c r="CG556" s="460"/>
      <c r="CH556" s="460"/>
      <c r="CI556" s="460"/>
      <c r="CJ556" s="460"/>
      <c r="CK556" s="460"/>
    </row>
    <row r="557" spans="1:89" s="329" customFormat="1" ht="36" customHeight="1" x14ac:dyDescent="0.25">
      <c r="A557" s="329">
        <v>1</v>
      </c>
      <c r="B557" s="39">
        <f>SUBTOTAL(103,$A$552:A557)</f>
        <v>6</v>
      </c>
      <c r="C557" s="33" t="s">
        <v>1435</v>
      </c>
      <c r="D557" s="330" t="s">
        <v>2119</v>
      </c>
      <c r="E557" s="330"/>
      <c r="F557" s="331" t="s">
        <v>48</v>
      </c>
      <c r="G557" s="330" t="s">
        <v>75</v>
      </c>
      <c r="H557" s="330" t="s">
        <v>57</v>
      </c>
      <c r="I557" s="334">
        <v>5616.2</v>
      </c>
      <c r="J557" s="334">
        <v>2949.2</v>
      </c>
      <c r="K557" s="334">
        <v>2949.2</v>
      </c>
      <c r="L557" s="332">
        <v>186</v>
      </c>
      <c r="M557" s="330" t="s">
        <v>46</v>
      </c>
      <c r="N557" s="330" t="s">
        <v>50</v>
      </c>
      <c r="O557" s="333" t="s">
        <v>251</v>
      </c>
      <c r="P557" s="38">
        <v>4554037.87</v>
      </c>
      <c r="Q557" s="38">
        <v>0</v>
      </c>
      <c r="R557" s="38">
        <v>0</v>
      </c>
      <c r="S557" s="38">
        <f t="shared" si="114"/>
        <v>4554037.87</v>
      </c>
      <c r="T557" s="38">
        <f t="shared" si="104"/>
        <v>810.87530180549129</v>
      </c>
      <c r="U557" s="38">
        <v>1031.2114195897582</v>
      </c>
      <c r="V557" s="458">
        <f t="shared" si="105"/>
        <v>220.33611778426689</v>
      </c>
      <c r="W557" s="458">
        <f t="shared" si="115"/>
        <v>1027.7060660767067</v>
      </c>
      <c r="X557" s="458">
        <v>0</v>
      </c>
      <c r="Y557" s="459">
        <v>0</v>
      </c>
      <c r="Z557" s="459">
        <v>0</v>
      </c>
      <c r="AA557" s="459">
        <v>0</v>
      </c>
      <c r="AB557" s="459">
        <v>0</v>
      </c>
      <c r="AC557" s="459">
        <v>0</v>
      </c>
      <c r="AD557" s="459">
        <v>0</v>
      </c>
      <c r="AE557" s="459">
        <v>925.13</v>
      </c>
      <c r="AF557" s="458">
        <f t="shared" si="116"/>
        <v>1027.7060660767067</v>
      </c>
      <c r="AG557" s="459">
        <v>0</v>
      </c>
      <c r="AH557" s="458">
        <v>0</v>
      </c>
      <c r="AI557" s="459">
        <v>0</v>
      </c>
      <c r="AJ557" s="458">
        <v>0</v>
      </c>
      <c r="AK557" s="459">
        <v>0</v>
      </c>
      <c r="AL557" s="459">
        <v>0</v>
      </c>
      <c r="AM557" s="459">
        <v>0</v>
      </c>
      <c r="AN557" s="459"/>
      <c r="AO557" s="459">
        <v>0</v>
      </c>
      <c r="AP557" s="460"/>
      <c r="AQ557" s="460"/>
      <c r="AR557" s="460"/>
      <c r="AS557" s="460"/>
      <c r="AT557" s="460"/>
      <c r="AU557" s="460"/>
      <c r="AV557" s="460"/>
      <c r="AW557" s="460"/>
      <c r="AX557" s="460"/>
      <c r="AY557" s="460"/>
      <c r="AZ557" s="460"/>
      <c r="BA557" s="460"/>
      <c r="BB557" s="460"/>
      <c r="BC557" s="460"/>
      <c r="BD557" s="460"/>
      <c r="BE557" s="460"/>
      <c r="BF557" s="460"/>
      <c r="BG557" s="460"/>
      <c r="BH557" s="460"/>
      <c r="BI557" s="460"/>
      <c r="BJ557" s="460"/>
      <c r="BK557" s="460"/>
      <c r="BL557" s="460"/>
      <c r="BM557" s="460"/>
      <c r="BN557" s="460"/>
      <c r="BO557" s="460"/>
      <c r="BP557" s="460"/>
      <c r="BQ557" s="460"/>
      <c r="BR557" s="460"/>
      <c r="BS557" s="460"/>
      <c r="BT557" s="460"/>
      <c r="BU557" s="460"/>
      <c r="BV557" s="460"/>
      <c r="BW557" s="460"/>
      <c r="BX557" s="460"/>
      <c r="BY557" s="460"/>
      <c r="BZ557" s="460"/>
      <c r="CA557" s="460"/>
      <c r="CB557" s="460"/>
      <c r="CC557" s="460"/>
      <c r="CD557" s="460"/>
      <c r="CE557" s="460"/>
      <c r="CF557" s="460"/>
      <c r="CG557" s="460"/>
      <c r="CH557" s="460"/>
      <c r="CI557" s="460"/>
      <c r="CJ557" s="460"/>
      <c r="CK557" s="460"/>
    </row>
    <row r="558" spans="1:89" s="329" customFormat="1" ht="36" customHeight="1" x14ac:dyDescent="0.25">
      <c r="A558" s="329">
        <v>1</v>
      </c>
      <c r="B558" s="39">
        <f>SUBTOTAL(103,$A$552:A558)</f>
        <v>7</v>
      </c>
      <c r="C558" s="33" t="s">
        <v>1436</v>
      </c>
      <c r="D558" s="330">
        <v>1985</v>
      </c>
      <c r="E558" s="330"/>
      <c r="F558" s="331" t="s">
        <v>48</v>
      </c>
      <c r="G558" s="330" t="s">
        <v>75</v>
      </c>
      <c r="H558" s="330" t="s">
        <v>1969</v>
      </c>
      <c r="I558" s="334">
        <v>5781</v>
      </c>
      <c r="J558" s="334">
        <v>5781</v>
      </c>
      <c r="K558" s="334">
        <v>5781</v>
      </c>
      <c r="L558" s="332">
        <v>208</v>
      </c>
      <c r="M558" s="330" t="s">
        <v>46</v>
      </c>
      <c r="N558" s="330" t="s">
        <v>50</v>
      </c>
      <c r="O558" s="333" t="s">
        <v>1956</v>
      </c>
      <c r="P558" s="38">
        <v>3759019.5700000003</v>
      </c>
      <c r="Q558" s="38">
        <v>0</v>
      </c>
      <c r="R558" s="38">
        <v>0</v>
      </c>
      <c r="S558" s="38">
        <f t="shared" si="114"/>
        <v>3759019.5700000003</v>
      </c>
      <c r="T558" s="38">
        <f t="shared" si="104"/>
        <v>650.23690883930124</v>
      </c>
      <c r="U558" s="38">
        <v>822.99678256357026</v>
      </c>
      <c r="V558" s="458">
        <f t="shared" si="105"/>
        <v>172.75987372426903</v>
      </c>
      <c r="W558" s="458">
        <f t="shared" si="115"/>
        <v>820.1992042899152</v>
      </c>
      <c r="X558" s="458">
        <v>0</v>
      </c>
      <c r="Y558" s="459">
        <v>0</v>
      </c>
      <c r="Z558" s="459">
        <v>0</v>
      </c>
      <c r="AA558" s="459">
        <v>0</v>
      </c>
      <c r="AB558" s="459">
        <v>0</v>
      </c>
      <c r="AC558" s="459">
        <v>0</v>
      </c>
      <c r="AD558" s="459">
        <v>0</v>
      </c>
      <c r="AE558" s="459">
        <v>760</v>
      </c>
      <c r="AF558" s="458">
        <f t="shared" si="116"/>
        <v>820.1992042899152</v>
      </c>
      <c r="AG558" s="459">
        <v>0</v>
      </c>
      <c r="AH558" s="458">
        <v>0</v>
      </c>
      <c r="AI558" s="459">
        <v>0</v>
      </c>
      <c r="AJ558" s="458">
        <v>0</v>
      </c>
      <c r="AK558" s="459">
        <v>0</v>
      </c>
      <c r="AL558" s="459">
        <v>0</v>
      </c>
      <c r="AM558" s="459">
        <v>0</v>
      </c>
      <c r="AN558" s="459"/>
      <c r="AO558" s="459">
        <v>0</v>
      </c>
      <c r="AP558" s="460"/>
      <c r="AQ558" s="460"/>
      <c r="AR558" s="460"/>
      <c r="AS558" s="460"/>
      <c r="AT558" s="460"/>
      <c r="AU558" s="460"/>
      <c r="AV558" s="460"/>
      <c r="AW558" s="460"/>
      <c r="AX558" s="460"/>
      <c r="AY558" s="460"/>
      <c r="AZ558" s="460"/>
      <c r="BA558" s="460"/>
      <c r="BB558" s="460"/>
      <c r="BC558" s="460"/>
      <c r="BD558" s="460"/>
      <c r="BE558" s="460"/>
      <c r="BF558" s="460"/>
      <c r="BG558" s="460"/>
      <c r="BH558" s="460"/>
      <c r="BI558" s="460"/>
      <c r="BJ558" s="460"/>
      <c r="BK558" s="460"/>
      <c r="BL558" s="460"/>
      <c r="BM558" s="460"/>
      <c r="BN558" s="460"/>
      <c r="BO558" s="460"/>
      <c r="BP558" s="460"/>
      <c r="BQ558" s="460"/>
      <c r="BR558" s="460"/>
      <c r="BS558" s="460"/>
      <c r="BT558" s="460"/>
      <c r="BU558" s="460"/>
      <c r="BV558" s="460"/>
      <c r="BW558" s="460"/>
      <c r="BX558" s="460"/>
      <c r="BY558" s="460"/>
      <c r="BZ558" s="460"/>
      <c r="CA558" s="460"/>
      <c r="CB558" s="460"/>
      <c r="CC558" s="460"/>
      <c r="CD558" s="460"/>
      <c r="CE558" s="460"/>
      <c r="CF558" s="460"/>
      <c r="CG558" s="460"/>
      <c r="CH558" s="460"/>
      <c r="CI558" s="460"/>
      <c r="CJ558" s="460"/>
      <c r="CK558" s="460"/>
    </row>
    <row r="559" spans="1:89" s="329" customFormat="1" ht="36" customHeight="1" x14ac:dyDescent="0.25">
      <c r="A559" s="329">
        <v>1</v>
      </c>
      <c r="B559" s="39">
        <f>SUBTOTAL(103,$A$552:A559)</f>
        <v>8</v>
      </c>
      <c r="C559" s="33" t="s">
        <v>1437</v>
      </c>
      <c r="D559" s="330" t="s">
        <v>2120</v>
      </c>
      <c r="E559" s="330"/>
      <c r="F559" s="331" t="s">
        <v>48</v>
      </c>
      <c r="G559" s="330" t="s">
        <v>61</v>
      </c>
      <c r="H559" s="330" t="s">
        <v>57</v>
      </c>
      <c r="I559" s="334">
        <v>761.1</v>
      </c>
      <c r="J559" s="334">
        <v>761.1</v>
      </c>
      <c r="K559" s="334">
        <v>625.20000000000005</v>
      </c>
      <c r="L559" s="332">
        <v>54</v>
      </c>
      <c r="M559" s="330" t="s">
        <v>46</v>
      </c>
      <c r="N559" s="330" t="s">
        <v>50</v>
      </c>
      <c r="O559" s="333" t="s">
        <v>251</v>
      </c>
      <c r="P559" s="38">
        <v>3604386.26</v>
      </c>
      <c r="Q559" s="38">
        <v>0</v>
      </c>
      <c r="R559" s="38">
        <v>0</v>
      </c>
      <c r="S559" s="38">
        <f t="shared" si="114"/>
        <v>3604386.26</v>
      </c>
      <c r="T559" s="38">
        <f t="shared" si="104"/>
        <v>4735.7591118118507</v>
      </c>
      <c r="U559" s="38">
        <v>4735.7591118118507</v>
      </c>
      <c r="V559" s="458">
        <f t="shared" si="105"/>
        <v>0</v>
      </c>
      <c r="W559" s="458">
        <f t="shared" si="115"/>
        <v>4295.3473130994607</v>
      </c>
      <c r="X559" s="458">
        <v>0</v>
      </c>
      <c r="Y559" s="459">
        <v>0</v>
      </c>
      <c r="Z559" s="459">
        <v>0</v>
      </c>
      <c r="AA559" s="459">
        <v>0</v>
      </c>
      <c r="AB559" s="459">
        <v>0</v>
      </c>
      <c r="AC559" s="459">
        <v>0</v>
      </c>
      <c r="AD559" s="459">
        <v>0</v>
      </c>
      <c r="AE559" s="459">
        <v>524</v>
      </c>
      <c r="AF559" s="458">
        <f t="shared" si="116"/>
        <v>4295.3473130994607</v>
      </c>
      <c r="AG559" s="459">
        <v>0</v>
      </c>
      <c r="AH559" s="458">
        <v>0</v>
      </c>
      <c r="AI559" s="459">
        <v>0</v>
      </c>
      <c r="AJ559" s="458">
        <v>0</v>
      </c>
      <c r="AK559" s="459">
        <v>0</v>
      </c>
      <c r="AL559" s="459">
        <v>0</v>
      </c>
      <c r="AM559" s="459">
        <v>0</v>
      </c>
      <c r="AN559" s="459"/>
      <c r="AO559" s="459">
        <v>0</v>
      </c>
      <c r="AP559" s="460"/>
      <c r="AQ559" s="460"/>
      <c r="AR559" s="460"/>
      <c r="AS559" s="460"/>
      <c r="AT559" s="460"/>
      <c r="AU559" s="460"/>
      <c r="AV559" s="460"/>
      <c r="AW559" s="460"/>
      <c r="AX559" s="460"/>
      <c r="AY559" s="460"/>
      <c r="AZ559" s="460"/>
      <c r="BA559" s="460"/>
      <c r="BB559" s="460"/>
      <c r="BC559" s="460"/>
      <c r="BD559" s="460"/>
      <c r="BE559" s="460"/>
      <c r="BF559" s="460"/>
      <c r="BG559" s="460"/>
      <c r="BH559" s="460"/>
      <c r="BI559" s="460"/>
      <c r="BJ559" s="460"/>
      <c r="BK559" s="460"/>
      <c r="BL559" s="460"/>
      <c r="BM559" s="460"/>
      <c r="BN559" s="460"/>
      <c r="BO559" s="460"/>
      <c r="BP559" s="460"/>
      <c r="BQ559" s="460"/>
      <c r="BR559" s="460"/>
      <c r="BS559" s="460"/>
      <c r="BT559" s="460"/>
      <c r="BU559" s="460"/>
      <c r="BV559" s="460"/>
      <c r="BW559" s="460"/>
      <c r="BX559" s="460"/>
      <c r="BY559" s="460"/>
      <c r="BZ559" s="460"/>
      <c r="CA559" s="460"/>
      <c r="CB559" s="460"/>
      <c r="CC559" s="460"/>
      <c r="CD559" s="460"/>
      <c r="CE559" s="460"/>
      <c r="CF559" s="460"/>
      <c r="CG559" s="460"/>
      <c r="CH559" s="460"/>
      <c r="CI559" s="460"/>
      <c r="CJ559" s="460"/>
      <c r="CK559" s="460"/>
    </row>
    <row r="560" spans="1:89" s="329" customFormat="1" ht="36" customHeight="1" x14ac:dyDescent="0.25">
      <c r="A560" s="329">
        <v>1</v>
      </c>
      <c r="B560" s="39">
        <f>SUBTOTAL(103,$A$552:A560)</f>
        <v>9</v>
      </c>
      <c r="C560" s="33" t="s">
        <v>1438</v>
      </c>
      <c r="D560" s="330" t="s">
        <v>2121</v>
      </c>
      <c r="E560" s="330"/>
      <c r="F560" s="331" t="s">
        <v>48</v>
      </c>
      <c r="G560" s="330" t="s">
        <v>1965</v>
      </c>
      <c r="H560" s="330" t="s">
        <v>57</v>
      </c>
      <c r="I560" s="334">
        <v>7585.7</v>
      </c>
      <c r="J560" s="334">
        <v>5261.8</v>
      </c>
      <c r="K560" s="334">
        <v>4715.1000000000004</v>
      </c>
      <c r="L560" s="332">
        <v>348</v>
      </c>
      <c r="M560" s="330" t="s">
        <v>46</v>
      </c>
      <c r="N560" s="330" t="s">
        <v>50</v>
      </c>
      <c r="O560" s="333" t="s">
        <v>251</v>
      </c>
      <c r="P560" s="38">
        <v>5092635.92</v>
      </c>
      <c r="Q560" s="38">
        <v>0</v>
      </c>
      <c r="R560" s="38">
        <v>0</v>
      </c>
      <c r="S560" s="38">
        <f t="shared" si="114"/>
        <v>5092635.92</v>
      </c>
      <c r="T560" s="38">
        <f t="shared" si="104"/>
        <v>671.34686581330664</v>
      </c>
      <c r="U560" s="38">
        <v>855.79670037043377</v>
      </c>
      <c r="V560" s="458">
        <f t="shared" si="105"/>
        <v>184.44983455712713</v>
      </c>
      <c r="W560" s="458">
        <f t="shared" si="115"/>
        <v>852.88762671869438</v>
      </c>
      <c r="X560" s="458">
        <v>0</v>
      </c>
      <c r="Y560" s="459">
        <v>0</v>
      </c>
      <c r="Z560" s="459">
        <v>0</v>
      </c>
      <c r="AA560" s="459">
        <v>0</v>
      </c>
      <c r="AB560" s="459">
        <v>0</v>
      </c>
      <c r="AC560" s="459">
        <v>0</v>
      </c>
      <c r="AD560" s="459">
        <v>0</v>
      </c>
      <c r="AE560" s="459">
        <v>1037</v>
      </c>
      <c r="AF560" s="458">
        <f t="shared" si="116"/>
        <v>852.88762671869438</v>
      </c>
      <c r="AG560" s="459">
        <v>0</v>
      </c>
      <c r="AH560" s="458">
        <v>0</v>
      </c>
      <c r="AI560" s="459">
        <v>0</v>
      </c>
      <c r="AJ560" s="458">
        <v>0</v>
      </c>
      <c r="AK560" s="459">
        <v>0</v>
      </c>
      <c r="AL560" s="459">
        <v>0</v>
      </c>
      <c r="AM560" s="459">
        <v>0</v>
      </c>
      <c r="AN560" s="459"/>
      <c r="AO560" s="459">
        <v>0</v>
      </c>
      <c r="AP560" s="460"/>
      <c r="AQ560" s="460"/>
      <c r="AR560" s="460"/>
      <c r="AS560" s="460"/>
      <c r="AT560" s="460"/>
      <c r="AU560" s="460"/>
      <c r="AV560" s="460"/>
      <c r="AW560" s="460"/>
      <c r="AX560" s="460"/>
      <c r="AY560" s="460"/>
      <c r="AZ560" s="460"/>
      <c r="BA560" s="460"/>
      <c r="BB560" s="460"/>
      <c r="BC560" s="460"/>
      <c r="BD560" s="460"/>
      <c r="BE560" s="460"/>
      <c r="BF560" s="460"/>
      <c r="BG560" s="460"/>
      <c r="BH560" s="460"/>
      <c r="BI560" s="460"/>
      <c r="BJ560" s="460"/>
      <c r="BK560" s="460"/>
      <c r="BL560" s="460"/>
      <c r="BM560" s="460"/>
      <c r="BN560" s="460"/>
      <c r="BO560" s="460"/>
      <c r="BP560" s="460"/>
      <c r="BQ560" s="460"/>
      <c r="BR560" s="460"/>
      <c r="BS560" s="460"/>
      <c r="BT560" s="460"/>
      <c r="BU560" s="460"/>
      <c r="BV560" s="460"/>
      <c r="BW560" s="460"/>
      <c r="BX560" s="460"/>
      <c r="BY560" s="460"/>
      <c r="BZ560" s="460"/>
      <c r="CA560" s="460"/>
      <c r="CB560" s="460"/>
      <c r="CC560" s="460"/>
      <c r="CD560" s="460"/>
      <c r="CE560" s="460"/>
      <c r="CF560" s="460"/>
      <c r="CG560" s="460"/>
      <c r="CH560" s="460"/>
      <c r="CI560" s="460"/>
      <c r="CJ560" s="460"/>
      <c r="CK560" s="460"/>
    </row>
    <row r="561" spans="1:89" s="329" customFormat="1" ht="36" customHeight="1" x14ac:dyDescent="0.25">
      <c r="A561" s="329">
        <v>1</v>
      </c>
      <c r="B561" s="39">
        <f>SUBTOTAL(103,$A$552:A561)</f>
        <v>10</v>
      </c>
      <c r="C561" s="33" t="s">
        <v>1439</v>
      </c>
      <c r="D561" s="330">
        <v>1968</v>
      </c>
      <c r="E561" s="330"/>
      <c r="F561" s="331" t="s">
        <v>48</v>
      </c>
      <c r="G561" s="330" t="s">
        <v>75</v>
      </c>
      <c r="H561" s="330" t="s">
        <v>59</v>
      </c>
      <c r="I561" s="334">
        <v>3511.62</v>
      </c>
      <c r="J561" s="334">
        <v>3241.9</v>
      </c>
      <c r="K561" s="334">
        <v>2726.1</v>
      </c>
      <c r="L561" s="332">
        <v>238</v>
      </c>
      <c r="M561" s="330" t="s">
        <v>46</v>
      </c>
      <c r="N561" s="330" t="s">
        <v>50</v>
      </c>
      <c r="O561" s="333" t="s">
        <v>1968</v>
      </c>
      <c r="P561" s="38">
        <v>5145091.9399999995</v>
      </c>
      <c r="Q561" s="38">
        <v>0</v>
      </c>
      <c r="R561" s="38">
        <v>0</v>
      </c>
      <c r="S561" s="38">
        <f t="shared" si="114"/>
        <v>5145091.9399999995</v>
      </c>
      <c r="T561" s="38">
        <f t="shared" si="104"/>
        <v>1465.1619309606392</v>
      </c>
      <c r="U561" s="38">
        <v>1893.2349684760877</v>
      </c>
      <c r="V561" s="458">
        <f t="shared" si="105"/>
        <v>428.0730375154485</v>
      </c>
      <c r="W561" s="458">
        <f t="shared" si="115"/>
        <v>1886.7993746475986</v>
      </c>
      <c r="X561" s="458">
        <v>0</v>
      </c>
      <c r="Y561" s="459">
        <v>0</v>
      </c>
      <c r="Z561" s="459">
        <v>0</v>
      </c>
      <c r="AA561" s="459">
        <v>0</v>
      </c>
      <c r="AB561" s="459">
        <v>0</v>
      </c>
      <c r="AC561" s="459">
        <v>0</v>
      </c>
      <c r="AD561" s="459">
        <v>0</v>
      </c>
      <c r="AE561" s="459">
        <v>1062</v>
      </c>
      <c r="AF561" s="458">
        <f t="shared" si="116"/>
        <v>1886.7993746475986</v>
      </c>
      <c r="AG561" s="459">
        <v>0</v>
      </c>
      <c r="AH561" s="458">
        <v>0</v>
      </c>
      <c r="AI561" s="459">
        <v>0</v>
      </c>
      <c r="AJ561" s="458">
        <v>0</v>
      </c>
      <c r="AK561" s="459">
        <v>0</v>
      </c>
      <c r="AL561" s="459">
        <v>0</v>
      </c>
      <c r="AM561" s="459">
        <v>0</v>
      </c>
      <c r="AN561" s="459"/>
      <c r="AO561" s="459">
        <v>0</v>
      </c>
      <c r="AP561" s="460"/>
      <c r="AQ561" s="460"/>
      <c r="AR561" s="460"/>
      <c r="AS561" s="460"/>
      <c r="AT561" s="460"/>
      <c r="AU561" s="460"/>
      <c r="AV561" s="460"/>
      <c r="AW561" s="460"/>
      <c r="AX561" s="460"/>
      <c r="AY561" s="460"/>
      <c r="AZ561" s="460"/>
      <c r="BA561" s="460"/>
      <c r="BB561" s="460"/>
      <c r="BC561" s="460"/>
      <c r="BD561" s="460"/>
      <c r="BE561" s="460"/>
      <c r="BF561" s="460"/>
      <c r="BG561" s="460"/>
      <c r="BH561" s="460"/>
      <c r="BI561" s="460"/>
      <c r="BJ561" s="460"/>
      <c r="BK561" s="460"/>
      <c r="BL561" s="460"/>
      <c r="BM561" s="460"/>
      <c r="BN561" s="460"/>
      <c r="BO561" s="460"/>
      <c r="BP561" s="460"/>
      <c r="BQ561" s="460"/>
      <c r="BR561" s="460"/>
      <c r="BS561" s="460"/>
      <c r="BT561" s="460"/>
      <c r="BU561" s="460"/>
      <c r="BV561" s="460"/>
      <c r="BW561" s="460"/>
      <c r="BX561" s="460"/>
      <c r="BY561" s="460"/>
      <c r="BZ561" s="460"/>
      <c r="CA561" s="460"/>
      <c r="CB561" s="460"/>
      <c r="CC561" s="460"/>
      <c r="CD561" s="460"/>
      <c r="CE561" s="460"/>
      <c r="CF561" s="460"/>
      <c r="CG561" s="460"/>
      <c r="CH561" s="460"/>
      <c r="CI561" s="460"/>
      <c r="CJ561" s="460"/>
      <c r="CK561" s="460"/>
    </row>
    <row r="562" spans="1:89" s="329" customFormat="1" ht="36" customHeight="1" x14ac:dyDescent="0.25">
      <c r="A562" s="329">
        <v>1</v>
      </c>
      <c r="B562" s="39">
        <f>SUBTOTAL(103,$A$552:A562)</f>
        <v>11</v>
      </c>
      <c r="C562" s="33" t="s">
        <v>1440</v>
      </c>
      <c r="D562" s="330">
        <v>1970</v>
      </c>
      <c r="E562" s="330"/>
      <c r="F562" s="331" t="s">
        <v>48</v>
      </c>
      <c r="G562" s="330">
        <v>5</v>
      </c>
      <c r="H562" s="330" t="s">
        <v>59</v>
      </c>
      <c r="I562" s="334">
        <v>4104.5</v>
      </c>
      <c r="J562" s="334">
        <v>3361</v>
      </c>
      <c r="K562" s="334">
        <v>2986.4</v>
      </c>
      <c r="L562" s="332">
        <v>141</v>
      </c>
      <c r="M562" s="330" t="s">
        <v>46</v>
      </c>
      <c r="N562" s="330" t="s">
        <v>50</v>
      </c>
      <c r="O562" s="333" t="s">
        <v>2122</v>
      </c>
      <c r="P562" s="38">
        <v>5398710.1299999999</v>
      </c>
      <c r="Q562" s="38">
        <v>0</v>
      </c>
      <c r="R562" s="38">
        <v>0</v>
      </c>
      <c r="S562" s="38">
        <f t="shared" si="114"/>
        <v>5398710.1299999999</v>
      </c>
      <c r="T562" s="38">
        <f t="shared" si="104"/>
        <v>1315.3149299549275</v>
      </c>
      <c r="U562" s="38">
        <v>1628.9153173346326</v>
      </c>
      <c r="V562" s="458">
        <f t="shared" si="105"/>
        <v>313.60038737970513</v>
      </c>
      <c r="W562" s="458">
        <f t="shared" si="115"/>
        <v>1623.3782141551956</v>
      </c>
      <c r="X562" s="458">
        <v>0</v>
      </c>
      <c r="Y562" s="459">
        <v>0</v>
      </c>
      <c r="Z562" s="459">
        <v>0</v>
      </c>
      <c r="AA562" s="459">
        <v>0</v>
      </c>
      <c r="AB562" s="459">
        <v>0</v>
      </c>
      <c r="AC562" s="459">
        <v>0</v>
      </c>
      <c r="AD562" s="459">
        <v>0</v>
      </c>
      <c r="AE562" s="459">
        <v>1068</v>
      </c>
      <c r="AF562" s="458">
        <f t="shared" si="116"/>
        <v>1623.3782141551956</v>
      </c>
      <c r="AG562" s="459">
        <v>0</v>
      </c>
      <c r="AH562" s="458">
        <v>0</v>
      </c>
      <c r="AI562" s="459">
        <v>0</v>
      </c>
      <c r="AJ562" s="458">
        <v>0</v>
      </c>
      <c r="AK562" s="459">
        <v>0</v>
      </c>
      <c r="AL562" s="459">
        <v>0</v>
      </c>
      <c r="AM562" s="459">
        <v>0</v>
      </c>
      <c r="AN562" s="459"/>
      <c r="AO562" s="459">
        <v>0</v>
      </c>
      <c r="AP562" s="460"/>
      <c r="AQ562" s="460"/>
      <c r="AR562" s="460"/>
      <c r="AS562" s="460"/>
      <c r="AT562" s="460"/>
      <c r="AU562" s="460"/>
      <c r="AV562" s="460"/>
      <c r="AW562" s="460"/>
      <c r="AX562" s="460"/>
      <c r="AY562" s="460"/>
      <c r="AZ562" s="460"/>
      <c r="BA562" s="460"/>
      <c r="BB562" s="460"/>
      <c r="BC562" s="460"/>
      <c r="BD562" s="460"/>
      <c r="BE562" s="460"/>
      <c r="BF562" s="460"/>
      <c r="BG562" s="460"/>
      <c r="BH562" s="460"/>
      <c r="BI562" s="460"/>
      <c r="BJ562" s="460"/>
      <c r="BK562" s="460"/>
      <c r="BL562" s="460"/>
      <c r="BM562" s="460"/>
      <c r="BN562" s="460"/>
      <c r="BO562" s="460"/>
      <c r="BP562" s="460"/>
      <c r="BQ562" s="460"/>
      <c r="BR562" s="460"/>
      <c r="BS562" s="460"/>
      <c r="BT562" s="460"/>
      <c r="BU562" s="460"/>
      <c r="BV562" s="460"/>
      <c r="BW562" s="460"/>
      <c r="BX562" s="460"/>
      <c r="BY562" s="460"/>
      <c r="BZ562" s="460"/>
      <c r="CA562" s="460"/>
      <c r="CB562" s="460"/>
      <c r="CC562" s="460"/>
      <c r="CD562" s="460"/>
      <c r="CE562" s="460"/>
      <c r="CF562" s="460"/>
      <c r="CG562" s="460"/>
      <c r="CH562" s="460"/>
      <c r="CI562" s="460"/>
      <c r="CJ562" s="460"/>
      <c r="CK562" s="460"/>
    </row>
    <row r="563" spans="1:89" s="329" customFormat="1" ht="36" customHeight="1" x14ac:dyDescent="0.25">
      <c r="A563" s="329">
        <v>1</v>
      </c>
      <c r="B563" s="39">
        <f>SUBTOTAL(103,$A$552:A563)</f>
        <v>12</v>
      </c>
      <c r="C563" s="33" t="s">
        <v>1441</v>
      </c>
      <c r="D563" s="330">
        <v>1961</v>
      </c>
      <c r="E563" s="330"/>
      <c r="F563" s="331" t="s">
        <v>48</v>
      </c>
      <c r="G563" s="330">
        <v>4</v>
      </c>
      <c r="H563" s="330" t="s">
        <v>56</v>
      </c>
      <c r="I563" s="334">
        <v>1116.9000000000001</v>
      </c>
      <c r="J563" s="334">
        <v>860.4</v>
      </c>
      <c r="K563" s="334">
        <v>748.8</v>
      </c>
      <c r="L563" s="332">
        <v>36</v>
      </c>
      <c r="M563" s="330" t="s">
        <v>46</v>
      </c>
      <c r="N563" s="330" t="s">
        <v>50</v>
      </c>
      <c r="O563" s="333" t="s">
        <v>1979</v>
      </c>
      <c r="P563" s="38">
        <v>2799900</v>
      </c>
      <c r="Q563" s="38">
        <v>0</v>
      </c>
      <c r="R563" s="38">
        <v>0</v>
      </c>
      <c r="S563" s="38">
        <f t="shared" si="114"/>
        <v>2799900</v>
      </c>
      <c r="T563" s="38">
        <f t="shared" si="104"/>
        <v>2506.8493150684931</v>
      </c>
      <c r="U563" s="38">
        <v>3559.1553854418476</v>
      </c>
      <c r="V563" s="458">
        <f t="shared" si="105"/>
        <v>1052.3060703733545</v>
      </c>
      <c r="W563" s="458">
        <f t="shared" si="115"/>
        <v>3547.0568985585101</v>
      </c>
      <c r="X563" s="458">
        <v>0</v>
      </c>
      <c r="Y563" s="459">
        <v>0</v>
      </c>
      <c r="Z563" s="459">
        <v>0</v>
      </c>
      <c r="AA563" s="459">
        <v>0</v>
      </c>
      <c r="AB563" s="459">
        <v>0</v>
      </c>
      <c r="AC563" s="459">
        <v>0</v>
      </c>
      <c r="AD563" s="459">
        <v>0</v>
      </c>
      <c r="AE563" s="459">
        <v>635</v>
      </c>
      <c r="AF563" s="458">
        <f t="shared" si="116"/>
        <v>3547.0568985585101</v>
      </c>
      <c r="AG563" s="459">
        <v>0</v>
      </c>
      <c r="AH563" s="458">
        <v>0</v>
      </c>
      <c r="AI563" s="459">
        <v>0</v>
      </c>
      <c r="AJ563" s="458">
        <v>0</v>
      </c>
      <c r="AK563" s="459">
        <v>0</v>
      </c>
      <c r="AL563" s="459">
        <v>0</v>
      </c>
      <c r="AM563" s="459">
        <v>0</v>
      </c>
      <c r="AN563" s="459"/>
      <c r="AO563" s="459">
        <v>0</v>
      </c>
      <c r="AP563" s="460"/>
      <c r="AQ563" s="460"/>
      <c r="AR563" s="460"/>
      <c r="AS563" s="460"/>
      <c r="AT563" s="460"/>
      <c r="AU563" s="460"/>
      <c r="AV563" s="460"/>
      <c r="AW563" s="460"/>
      <c r="AX563" s="460"/>
      <c r="AY563" s="460"/>
      <c r="AZ563" s="460"/>
      <c r="BA563" s="460"/>
      <c r="BB563" s="460"/>
      <c r="BC563" s="460"/>
      <c r="BD563" s="460"/>
      <c r="BE563" s="460"/>
      <c r="BF563" s="460"/>
      <c r="BG563" s="460"/>
      <c r="BH563" s="460"/>
      <c r="BI563" s="460"/>
      <c r="BJ563" s="460"/>
      <c r="BK563" s="460"/>
      <c r="BL563" s="460"/>
      <c r="BM563" s="460"/>
      <c r="BN563" s="460"/>
      <c r="BO563" s="460"/>
      <c r="BP563" s="460"/>
      <c r="BQ563" s="460"/>
      <c r="BR563" s="460"/>
      <c r="BS563" s="460"/>
      <c r="BT563" s="460"/>
      <c r="BU563" s="460"/>
      <c r="BV563" s="460"/>
      <c r="BW563" s="460"/>
      <c r="BX563" s="460"/>
      <c r="BY563" s="460"/>
      <c r="BZ563" s="460"/>
      <c r="CA563" s="460"/>
      <c r="CB563" s="460"/>
      <c r="CC563" s="460"/>
      <c r="CD563" s="460"/>
      <c r="CE563" s="460"/>
      <c r="CF563" s="460"/>
      <c r="CG563" s="460"/>
      <c r="CH563" s="460"/>
      <c r="CI563" s="460"/>
      <c r="CJ563" s="460"/>
      <c r="CK563" s="460"/>
    </row>
    <row r="564" spans="1:89" s="329" customFormat="1" ht="36" customHeight="1" x14ac:dyDescent="0.25">
      <c r="A564" s="329">
        <v>1</v>
      </c>
      <c r="B564" s="39">
        <f>SUBTOTAL(103,$A$552:A564)</f>
        <v>13</v>
      </c>
      <c r="C564" s="33" t="s">
        <v>1442</v>
      </c>
      <c r="D564" s="330" t="s">
        <v>2120</v>
      </c>
      <c r="E564" s="330"/>
      <c r="F564" s="331" t="s">
        <v>60</v>
      </c>
      <c r="G564" s="330" t="s">
        <v>75</v>
      </c>
      <c r="H564" s="330" t="s">
        <v>59</v>
      </c>
      <c r="I564" s="334">
        <v>3904.9</v>
      </c>
      <c r="J564" s="334">
        <v>3572.7</v>
      </c>
      <c r="K564" s="334">
        <v>3572.7</v>
      </c>
      <c r="L564" s="332">
        <v>170</v>
      </c>
      <c r="M564" s="330" t="s">
        <v>46</v>
      </c>
      <c r="N564" s="330" t="s">
        <v>50</v>
      </c>
      <c r="O564" s="333" t="s">
        <v>1956</v>
      </c>
      <c r="P564" s="38">
        <v>5017349.92</v>
      </c>
      <c r="Q564" s="38">
        <v>0</v>
      </c>
      <c r="R564" s="38">
        <v>0</v>
      </c>
      <c r="S564" s="38">
        <f t="shared" si="114"/>
        <v>5017349.92</v>
      </c>
      <c r="T564" s="38">
        <f t="shared" si="104"/>
        <v>1284.8856359958002</v>
      </c>
      <c r="U564" s="38">
        <v>1539.0361853056415</v>
      </c>
      <c r="V564" s="458">
        <f t="shared" si="105"/>
        <v>254.15054930984138</v>
      </c>
      <c r="W564" s="458">
        <f t="shared" si="115"/>
        <v>1533.8046044713051</v>
      </c>
      <c r="X564" s="458">
        <v>0</v>
      </c>
      <c r="Y564" s="459">
        <v>0</v>
      </c>
      <c r="Z564" s="459">
        <v>0</v>
      </c>
      <c r="AA564" s="459">
        <v>0</v>
      </c>
      <c r="AB564" s="459">
        <v>0</v>
      </c>
      <c r="AC564" s="459">
        <v>0</v>
      </c>
      <c r="AD564" s="459">
        <v>0</v>
      </c>
      <c r="AE564" s="459">
        <v>960</v>
      </c>
      <c r="AF564" s="458">
        <f t="shared" si="116"/>
        <v>1533.8046044713051</v>
      </c>
      <c r="AG564" s="459">
        <v>0</v>
      </c>
      <c r="AH564" s="458">
        <v>0</v>
      </c>
      <c r="AI564" s="459">
        <v>0</v>
      </c>
      <c r="AJ564" s="458">
        <v>0</v>
      </c>
      <c r="AK564" s="459">
        <v>0</v>
      </c>
      <c r="AL564" s="459">
        <v>0</v>
      </c>
      <c r="AM564" s="459">
        <v>0</v>
      </c>
      <c r="AN564" s="459"/>
      <c r="AO564" s="459">
        <v>0</v>
      </c>
      <c r="AP564" s="460"/>
      <c r="AQ564" s="460"/>
      <c r="AR564" s="460"/>
      <c r="AS564" s="460"/>
      <c r="AT564" s="460"/>
      <c r="AU564" s="460"/>
      <c r="AV564" s="460"/>
      <c r="AW564" s="460"/>
      <c r="AX564" s="460"/>
      <c r="AY564" s="460"/>
      <c r="AZ564" s="460"/>
      <c r="BA564" s="460"/>
      <c r="BB564" s="460"/>
      <c r="BC564" s="460"/>
      <c r="BD564" s="460"/>
      <c r="BE564" s="460"/>
      <c r="BF564" s="460"/>
      <c r="BG564" s="460"/>
      <c r="BH564" s="460"/>
      <c r="BI564" s="460"/>
      <c r="BJ564" s="460"/>
      <c r="BK564" s="460"/>
      <c r="BL564" s="460"/>
      <c r="BM564" s="460"/>
      <c r="BN564" s="460"/>
      <c r="BO564" s="460"/>
      <c r="BP564" s="460"/>
      <c r="BQ564" s="460"/>
      <c r="BR564" s="460"/>
      <c r="BS564" s="460"/>
      <c r="BT564" s="460"/>
      <c r="BU564" s="460"/>
      <c r="BV564" s="460"/>
      <c r="BW564" s="460"/>
      <c r="BX564" s="460"/>
      <c r="BY564" s="460"/>
      <c r="BZ564" s="460"/>
      <c r="CA564" s="460"/>
      <c r="CB564" s="460"/>
      <c r="CC564" s="460"/>
      <c r="CD564" s="460"/>
      <c r="CE564" s="460"/>
      <c r="CF564" s="460"/>
      <c r="CG564" s="460"/>
      <c r="CH564" s="460"/>
      <c r="CI564" s="460"/>
      <c r="CJ564" s="460"/>
      <c r="CK564" s="460"/>
    </row>
    <row r="565" spans="1:89" s="329" customFormat="1" ht="36" customHeight="1" x14ac:dyDescent="0.25">
      <c r="A565" s="329">
        <v>1</v>
      </c>
      <c r="B565" s="39">
        <f>SUBTOTAL(103,$A$552:A565)</f>
        <v>14</v>
      </c>
      <c r="C565" s="33" t="s">
        <v>1443</v>
      </c>
      <c r="D565" s="330" t="s">
        <v>2120</v>
      </c>
      <c r="E565" s="330"/>
      <c r="F565" s="331" t="s">
        <v>60</v>
      </c>
      <c r="G565" s="330" t="s">
        <v>75</v>
      </c>
      <c r="H565" s="330" t="s">
        <v>61</v>
      </c>
      <c r="I565" s="334">
        <v>3361</v>
      </c>
      <c r="J565" s="334">
        <v>2572.6</v>
      </c>
      <c r="K565" s="334">
        <v>2572.6</v>
      </c>
      <c r="L565" s="332">
        <v>133</v>
      </c>
      <c r="M565" s="330" t="s">
        <v>46</v>
      </c>
      <c r="N565" s="330" t="s">
        <v>50</v>
      </c>
      <c r="O565" s="333" t="s">
        <v>1956</v>
      </c>
      <c r="P565" s="38">
        <v>4076909.2800000003</v>
      </c>
      <c r="Q565" s="38">
        <v>0</v>
      </c>
      <c r="R565" s="38">
        <v>0</v>
      </c>
      <c r="S565" s="38">
        <f t="shared" si="114"/>
        <v>4076909.2800000003</v>
      </c>
      <c r="T565" s="38">
        <f t="shared" si="104"/>
        <v>1213.0048437964892</v>
      </c>
      <c r="U565" s="38">
        <v>1365.0976646831298</v>
      </c>
      <c r="V565" s="458">
        <f t="shared" si="105"/>
        <v>152.09282088664054</v>
      </c>
      <c r="W565" s="458">
        <f t="shared" si="115"/>
        <v>1438.6061440047604</v>
      </c>
      <c r="X565" s="458">
        <v>0</v>
      </c>
      <c r="Y565" s="459">
        <v>0</v>
      </c>
      <c r="Z565" s="459">
        <v>0</v>
      </c>
      <c r="AA565" s="459">
        <v>0</v>
      </c>
      <c r="AB565" s="459">
        <v>0</v>
      </c>
      <c r="AC565" s="459">
        <v>0</v>
      </c>
      <c r="AD565" s="459">
        <v>0</v>
      </c>
      <c r="AE565" s="459">
        <v>775</v>
      </c>
      <c r="AF565" s="458">
        <f t="shared" si="116"/>
        <v>1438.6061440047604</v>
      </c>
      <c r="AG565" s="459">
        <v>0</v>
      </c>
      <c r="AH565" s="458">
        <v>0</v>
      </c>
      <c r="AI565" s="459">
        <v>0</v>
      </c>
      <c r="AJ565" s="458">
        <v>0</v>
      </c>
      <c r="AK565" s="459">
        <v>0</v>
      </c>
      <c r="AL565" s="459">
        <v>0</v>
      </c>
      <c r="AM565" s="459">
        <v>0</v>
      </c>
      <c r="AN565" s="459"/>
      <c r="AO565" s="459">
        <v>0</v>
      </c>
      <c r="AP565" s="460"/>
      <c r="AQ565" s="460"/>
      <c r="AR565" s="460"/>
      <c r="AS565" s="460"/>
      <c r="AT565" s="460"/>
      <c r="AU565" s="460"/>
      <c r="AV565" s="460"/>
      <c r="AW565" s="460"/>
      <c r="AX565" s="460"/>
      <c r="AY565" s="460"/>
      <c r="AZ565" s="460"/>
      <c r="BA565" s="460"/>
      <c r="BB565" s="460"/>
      <c r="BC565" s="460"/>
      <c r="BD565" s="460"/>
      <c r="BE565" s="460"/>
      <c r="BF565" s="460"/>
      <c r="BG565" s="460"/>
      <c r="BH565" s="460"/>
      <c r="BI565" s="460"/>
      <c r="BJ565" s="460"/>
      <c r="BK565" s="460"/>
      <c r="BL565" s="460"/>
      <c r="BM565" s="460"/>
      <c r="BN565" s="460"/>
      <c r="BO565" s="460"/>
      <c r="BP565" s="460"/>
      <c r="BQ565" s="460"/>
      <c r="BR565" s="460"/>
      <c r="BS565" s="460"/>
      <c r="BT565" s="460"/>
      <c r="BU565" s="460"/>
      <c r="BV565" s="460"/>
      <c r="BW565" s="460"/>
      <c r="BX565" s="460"/>
      <c r="BY565" s="460"/>
      <c r="BZ565" s="460"/>
      <c r="CA565" s="460"/>
      <c r="CB565" s="460"/>
      <c r="CC565" s="460"/>
      <c r="CD565" s="460"/>
      <c r="CE565" s="460"/>
      <c r="CF565" s="460"/>
      <c r="CG565" s="460"/>
      <c r="CH565" s="460"/>
      <c r="CI565" s="460"/>
      <c r="CJ565" s="460"/>
      <c r="CK565" s="460"/>
    </row>
    <row r="566" spans="1:89" s="329" customFormat="1" ht="36" customHeight="1" x14ac:dyDescent="0.25">
      <c r="A566" s="329">
        <v>1</v>
      </c>
      <c r="B566" s="39">
        <f>SUBTOTAL(103,$A$552:A566)</f>
        <v>15</v>
      </c>
      <c r="C566" s="33" t="s">
        <v>1444</v>
      </c>
      <c r="D566" s="330">
        <v>1965</v>
      </c>
      <c r="E566" s="330"/>
      <c r="F566" s="331" t="s">
        <v>48</v>
      </c>
      <c r="G566" s="330">
        <v>5</v>
      </c>
      <c r="H566" s="330" t="s">
        <v>59</v>
      </c>
      <c r="I566" s="334">
        <v>4215.8</v>
      </c>
      <c r="J566" s="334">
        <v>4102.3</v>
      </c>
      <c r="K566" s="334">
        <v>2512.3000000000002</v>
      </c>
      <c r="L566" s="332">
        <v>122</v>
      </c>
      <c r="M566" s="330" t="s">
        <v>46</v>
      </c>
      <c r="N566" s="330" t="s">
        <v>50</v>
      </c>
      <c r="O566" s="333" t="s">
        <v>1956</v>
      </c>
      <c r="P566" s="38">
        <v>5684659.8300000001</v>
      </c>
      <c r="Q566" s="38">
        <v>0</v>
      </c>
      <c r="R566" s="38">
        <v>0</v>
      </c>
      <c r="S566" s="38">
        <f t="shared" si="114"/>
        <v>5684659.8300000001</v>
      </c>
      <c r="T566" s="38">
        <f t="shared" si="104"/>
        <v>1348.4178163100717</v>
      </c>
      <c r="U566" s="38">
        <v>1792.46533255847</v>
      </c>
      <c r="V566" s="458">
        <f t="shared" si="105"/>
        <v>444.04751624839832</v>
      </c>
      <c r="W566" s="458">
        <f t="shared" si="115"/>
        <v>1786.3722807059155</v>
      </c>
      <c r="X566" s="458">
        <v>0</v>
      </c>
      <c r="Y566" s="459">
        <v>0</v>
      </c>
      <c r="Z566" s="459">
        <v>0</v>
      </c>
      <c r="AA566" s="459">
        <v>0</v>
      </c>
      <c r="AB566" s="459">
        <v>0</v>
      </c>
      <c r="AC566" s="459">
        <v>0</v>
      </c>
      <c r="AD566" s="459">
        <v>0</v>
      </c>
      <c r="AE566" s="459">
        <v>1207.0999999999999</v>
      </c>
      <c r="AF566" s="458">
        <f t="shared" si="116"/>
        <v>1786.3722807059155</v>
      </c>
      <c r="AG566" s="459">
        <v>0</v>
      </c>
      <c r="AH566" s="458">
        <v>0</v>
      </c>
      <c r="AI566" s="459">
        <v>0</v>
      </c>
      <c r="AJ566" s="458">
        <v>0</v>
      </c>
      <c r="AK566" s="459">
        <v>0</v>
      </c>
      <c r="AL566" s="459">
        <v>0</v>
      </c>
      <c r="AM566" s="459">
        <v>0</v>
      </c>
      <c r="AN566" s="459"/>
      <c r="AO566" s="459">
        <v>0</v>
      </c>
      <c r="AP566" s="460"/>
      <c r="AQ566" s="460"/>
      <c r="AR566" s="460"/>
      <c r="AS566" s="460"/>
      <c r="AT566" s="460"/>
      <c r="AU566" s="460"/>
      <c r="AV566" s="460"/>
      <c r="AW566" s="460"/>
      <c r="AX566" s="460"/>
      <c r="AY566" s="460"/>
      <c r="AZ566" s="460"/>
      <c r="BA566" s="460"/>
      <c r="BB566" s="460"/>
      <c r="BC566" s="460"/>
      <c r="BD566" s="460"/>
      <c r="BE566" s="460"/>
      <c r="BF566" s="460"/>
      <c r="BG566" s="460"/>
      <c r="BH566" s="460"/>
      <c r="BI566" s="460"/>
      <c r="BJ566" s="460"/>
      <c r="BK566" s="460"/>
      <c r="BL566" s="460"/>
      <c r="BM566" s="460"/>
      <c r="BN566" s="460"/>
      <c r="BO566" s="460"/>
      <c r="BP566" s="460"/>
      <c r="BQ566" s="460"/>
      <c r="BR566" s="460"/>
      <c r="BS566" s="460"/>
      <c r="BT566" s="460"/>
      <c r="BU566" s="460"/>
      <c r="BV566" s="460"/>
      <c r="BW566" s="460"/>
      <c r="BX566" s="460"/>
      <c r="BY566" s="460"/>
      <c r="BZ566" s="460"/>
      <c r="CA566" s="460"/>
      <c r="CB566" s="460"/>
      <c r="CC566" s="460"/>
      <c r="CD566" s="460"/>
      <c r="CE566" s="460"/>
      <c r="CF566" s="460"/>
      <c r="CG566" s="460"/>
      <c r="CH566" s="460"/>
      <c r="CI566" s="460"/>
      <c r="CJ566" s="460"/>
      <c r="CK566" s="460"/>
    </row>
    <row r="567" spans="1:89" s="329" customFormat="1" ht="36" customHeight="1" x14ac:dyDescent="0.25">
      <c r="A567" s="329">
        <v>1</v>
      </c>
      <c r="B567" s="39">
        <f>SUBTOTAL(103,$A$552:A567)</f>
        <v>16</v>
      </c>
      <c r="C567" s="33" t="s">
        <v>1445</v>
      </c>
      <c r="D567" s="330">
        <v>1963</v>
      </c>
      <c r="E567" s="330"/>
      <c r="F567" s="331" t="s">
        <v>48</v>
      </c>
      <c r="G567" s="330">
        <v>4</v>
      </c>
      <c r="H567" s="330" t="s">
        <v>56</v>
      </c>
      <c r="I567" s="334">
        <v>1438.7</v>
      </c>
      <c r="J567" s="334">
        <v>1260.7</v>
      </c>
      <c r="K567" s="334">
        <v>1260.7</v>
      </c>
      <c r="L567" s="332">
        <v>54</v>
      </c>
      <c r="M567" s="330" t="s">
        <v>46</v>
      </c>
      <c r="N567" s="330" t="s">
        <v>2018</v>
      </c>
      <c r="O567" s="333" t="s">
        <v>2123</v>
      </c>
      <c r="P567" s="38">
        <v>3010127.71</v>
      </c>
      <c r="Q567" s="38">
        <v>0</v>
      </c>
      <c r="R567" s="38">
        <v>0</v>
      </c>
      <c r="S567" s="38">
        <f t="shared" si="114"/>
        <v>3010127.71</v>
      </c>
      <c r="T567" s="38">
        <f t="shared" si="104"/>
        <v>2092.2553068742614</v>
      </c>
      <c r="U567" s="38">
        <v>3045.8976854104399</v>
      </c>
      <c r="V567" s="458">
        <f t="shared" si="105"/>
        <v>953.64237853617851</v>
      </c>
      <c r="W567" s="458">
        <f t="shared" si="115"/>
        <v>3035.5438937930076</v>
      </c>
      <c r="X567" s="458">
        <v>0</v>
      </c>
      <c r="Y567" s="459">
        <v>0</v>
      </c>
      <c r="Z567" s="459">
        <v>0</v>
      </c>
      <c r="AA567" s="459">
        <v>0</v>
      </c>
      <c r="AB567" s="459">
        <v>0</v>
      </c>
      <c r="AC567" s="459">
        <v>0</v>
      </c>
      <c r="AD567" s="459">
        <v>0</v>
      </c>
      <c r="AE567" s="459">
        <v>700</v>
      </c>
      <c r="AF567" s="458">
        <f t="shared" si="116"/>
        <v>3035.5438937930076</v>
      </c>
      <c r="AG567" s="459">
        <v>0</v>
      </c>
      <c r="AH567" s="458">
        <v>0</v>
      </c>
      <c r="AI567" s="459">
        <v>0</v>
      </c>
      <c r="AJ567" s="458">
        <v>0</v>
      </c>
      <c r="AK567" s="459">
        <v>0</v>
      </c>
      <c r="AL567" s="459">
        <v>0</v>
      </c>
      <c r="AM567" s="459">
        <v>0</v>
      </c>
      <c r="AN567" s="459"/>
      <c r="AO567" s="459">
        <v>0</v>
      </c>
      <c r="AP567" s="460"/>
      <c r="AQ567" s="460"/>
      <c r="AR567" s="460"/>
      <c r="AS567" s="460"/>
      <c r="AT567" s="460"/>
      <c r="AU567" s="460"/>
      <c r="AV567" s="460"/>
      <c r="AW567" s="460"/>
      <c r="AX567" s="460"/>
      <c r="AY567" s="460"/>
      <c r="AZ567" s="460"/>
      <c r="BA567" s="460"/>
      <c r="BB567" s="460"/>
      <c r="BC567" s="460"/>
      <c r="BD567" s="460"/>
      <c r="BE567" s="460"/>
      <c r="BF567" s="460"/>
      <c r="BG567" s="460"/>
      <c r="BH567" s="460"/>
      <c r="BI567" s="460"/>
      <c r="BJ567" s="460"/>
      <c r="BK567" s="460"/>
      <c r="BL567" s="460"/>
      <c r="BM567" s="460"/>
      <c r="BN567" s="460"/>
      <c r="BO567" s="460"/>
      <c r="BP567" s="460"/>
      <c r="BQ567" s="460"/>
      <c r="BR567" s="460"/>
      <c r="BS567" s="460"/>
      <c r="BT567" s="460"/>
      <c r="BU567" s="460"/>
      <c r="BV567" s="460"/>
      <c r="BW567" s="460"/>
      <c r="BX567" s="460"/>
      <c r="BY567" s="460"/>
      <c r="BZ567" s="460"/>
      <c r="CA567" s="460"/>
      <c r="CB567" s="460"/>
      <c r="CC567" s="460"/>
      <c r="CD567" s="460"/>
      <c r="CE567" s="460"/>
      <c r="CF567" s="460"/>
      <c r="CG567" s="460"/>
      <c r="CH567" s="460"/>
      <c r="CI567" s="460"/>
      <c r="CJ567" s="460"/>
      <c r="CK567" s="460"/>
    </row>
    <row r="568" spans="1:89" s="329" customFormat="1" ht="36" customHeight="1" x14ac:dyDescent="0.25">
      <c r="A568" s="329">
        <v>1</v>
      </c>
      <c r="B568" s="39">
        <f>SUBTOTAL(103,$A$552:A568)</f>
        <v>17</v>
      </c>
      <c r="C568" s="33" t="s">
        <v>1446</v>
      </c>
      <c r="D568" s="330" t="s">
        <v>2117</v>
      </c>
      <c r="E568" s="330"/>
      <c r="F568" s="331" t="s">
        <v>48</v>
      </c>
      <c r="G568" s="330" t="s">
        <v>75</v>
      </c>
      <c r="H568" s="330" t="s">
        <v>57</v>
      </c>
      <c r="I568" s="334">
        <v>667.4</v>
      </c>
      <c r="J568" s="334">
        <v>629.79999999999995</v>
      </c>
      <c r="K568" s="334">
        <v>629.79999999999995</v>
      </c>
      <c r="L568" s="332">
        <v>29</v>
      </c>
      <c r="M568" s="330" t="s">
        <v>46</v>
      </c>
      <c r="N568" s="330" t="s">
        <v>50</v>
      </c>
      <c r="O568" s="333" t="s">
        <v>251</v>
      </c>
      <c r="P568" s="38">
        <v>1126135.8999999999</v>
      </c>
      <c r="Q568" s="38">
        <v>0</v>
      </c>
      <c r="R568" s="38">
        <v>0</v>
      </c>
      <c r="S568" s="38">
        <f t="shared" si="114"/>
        <v>1126135.8999999999</v>
      </c>
      <c r="T568" s="38">
        <f t="shared" si="104"/>
        <v>1687.3477674557985</v>
      </c>
      <c r="U568" s="38">
        <v>1969.7930776146238</v>
      </c>
      <c r="V568" s="458">
        <f t="shared" si="105"/>
        <v>282.44531015882535</v>
      </c>
      <c r="W568" s="458">
        <f t="shared" si="115"/>
        <v>1963.097243032664</v>
      </c>
      <c r="X568" s="458">
        <v>0</v>
      </c>
      <c r="Y568" s="459">
        <v>0</v>
      </c>
      <c r="Z568" s="459">
        <v>0</v>
      </c>
      <c r="AA568" s="459">
        <v>0</v>
      </c>
      <c r="AB568" s="459">
        <v>0</v>
      </c>
      <c r="AC568" s="459">
        <v>0</v>
      </c>
      <c r="AD568" s="459">
        <v>0</v>
      </c>
      <c r="AE568" s="459">
        <v>210</v>
      </c>
      <c r="AF568" s="458">
        <f t="shared" si="116"/>
        <v>1963.097243032664</v>
      </c>
      <c r="AG568" s="459">
        <v>0</v>
      </c>
      <c r="AH568" s="458">
        <v>0</v>
      </c>
      <c r="AI568" s="459">
        <v>0</v>
      </c>
      <c r="AJ568" s="458">
        <v>0</v>
      </c>
      <c r="AK568" s="459">
        <v>0</v>
      </c>
      <c r="AL568" s="459">
        <v>0</v>
      </c>
      <c r="AM568" s="459">
        <v>0</v>
      </c>
      <c r="AN568" s="459"/>
      <c r="AO568" s="459">
        <v>0</v>
      </c>
      <c r="AP568" s="460"/>
      <c r="AQ568" s="460"/>
      <c r="AR568" s="460"/>
      <c r="AS568" s="460"/>
      <c r="AT568" s="460"/>
      <c r="AU568" s="460"/>
      <c r="AV568" s="460"/>
      <c r="AW568" s="460"/>
      <c r="AX568" s="460"/>
      <c r="AY568" s="460"/>
      <c r="AZ568" s="460"/>
      <c r="BA568" s="460"/>
      <c r="BB568" s="460"/>
      <c r="BC568" s="460"/>
      <c r="BD568" s="460"/>
      <c r="BE568" s="460"/>
      <c r="BF568" s="460"/>
      <c r="BG568" s="460"/>
      <c r="BH568" s="460"/>
      <c r="BI568" s="460"/>
      <c r="BJ568" s="460"/>
      <c r="BK568" s="460"/>
      <c r="BL568" s="460"/>
      <c r="BM568" s="460"/>
      <c r="BN568" s="460"/>
      <c r="BO568" s="460"/>
      <c r="BP568" s="460"/>
      <c r="BQ568" s="460"/>
      <c r="BR568" s="460"/>
      <c r="BS568" s="460"/>
      <c r="BT568" s="460"/>
      <c r="BU568" s="460"/>
      <c r="BV568" s="460"/>
      <c r="BW568" s="460"/>
      <c r="BX568" s="460"/>
      <c r="BY568" s="460"/>
      <c r="BZ568" s="460"/>
      <c r="CA568" s="460"/>
      <c r="CB568" s="460"/>
      <c r="CC568" s="460"/>
      <c r="CD568" s="460"/>
      <c r="CE568" s="460"/>
      <c r="CF568" s="460"/>
      <c r="CG568" s="460"/>
      <c r="CH568" s="460"/>
      <c r="CI568" s="460"/>
      <c r="CJ568" s="460"/>
      <c r="CK568" s="460"/>
    </row>
    <row r="569" spans="1:89" s="329" customFormat="1" ht="36" customHeight="1" x14ac:dyDescent="0.25">
      <c r="A569" s="329">
        <v>1</v>
      </c>
      <c r="B569" s="39">
        <f>SUBTOTAL(103,$A$552:A569)</f>
        <v>18</v>
      </c>
      <c r="C569" s="33" t="s">
        <v>1447</v>
      </c>
      <c r="D569" s="330">
        <v>1987</v>
      </c>
      <c r="E569" s="330"/>
      <c r="F569" s="331" t="s">
        <v>60</v>
      </c>
      <c r="G569" s="330">
        <v>9</v>
      </c>
      <c r="H569" s="330" t="s">
        <v>75</v>
      </c>
      <c r="I569" s="334">
        <v>10923.8</v>
      </c>
      <c r="J569" s="334">
        <v>9687.5</v>
      </c>
      <c r="K569" s="334">
        <v>9446.6</v>
      </c>
      <c r="L569" s="332">
        <v>489</v>
      </c>
      <c r="M569" s="330" t="s">
        <v>46</v>
      </c>
      <c r="N569" s="330" t="s">
        <v>50</v>
      </c>
      <c r="O569" s="333" t="s">
        <v>251</v>
      </c>
      <c r="P569" s="38">
        <v>5592560.8499999996</v>
      </c>
      <c r="Q569" s="38">
        <v>0</v>
      </c>
      <c r="R569" s="38">
        <v>0</v>
      </c>
      <c r="S569" s="38">
        <f t="shared" si="114"/>
        <v>5592560.8499999996</v>
      </c>
      <c r="T569" s="38">
        <f t="shared" si="104"/>
        <v>511.96111701056407</v>
      </c>
      <c r="U569" s="38">
        <v>797.1515672201981</v>
      </c>
      <c r="V569" s="458">
        <f t="shared" si="105"/>
        <v>285.19045020963404</v>
      </c>
      <c r="W569" s="458">
        <f t="shared" si="115"/>
        <v>640.80670810523827</v>
      </c>
      <c r="X569" s="458">
        <v>0</v>
      </c>
      <c r="Y569" s="459">
        <v>0</v>
      </c>
      <c r="Z569" s="459">
        <v>0</v>
      </c>
      <c r="AA569" s="459">
        <v>0</v>
      </c>
      <c r="AB569" s="459">
        <v>0</v>
      </c>
      <c r="AC569" s="459">
        <v>0</v>
      </c>
      <c r="AD569" s="459">
        <v>0</v>
      </c>
      <c r="AE569" s="459">
        <v>0</v>
      </c>
      <c r="AF569" s="458">
        <v>0</v>
      </c>
      <c r="AG569" s="459">
        <v>0</v>
      </c>
      <c r="AH569" s="458">
        <v>0</v>
      </c>
      <c r="AI569" s="459">
        <v>940.98</v>
      </c>
      <c r="AJ569" s="458">
        <f>7439.1*AI569/I569</f>
        <v>640.80670810523827</v>
      </c>
      <c r="AK569" s="459">
        <v>0</v>
      </c>
      <c r="AL569" s="459">
        <v>0</v>
      </c>
      <c r="AM569" s="459">
        <v>0</v>
      </c>
      <c r="AN569" s="459"/>
      <c r="AO569" s="459">
        <v>0</v>
      </c>
      <c r="AP569" s="460"/>
      <c r="AQ569" s="460"/>
      <c r="AR569" s="460"/>
      <c r="AS569" s="460"/>
      <c r="AT569" s="460"/>
      <c r="AU569" s="460"/>
      <c r="AV569" s="460"/>
      <c r="AW569" s="460"/>
      <c r="AX569" s="460"/>
      <c r="AY569" s="460"/>
      <c r="AZ569" s="460"/>
      <c r="BA569" s="460"/>
      <c r="BB569" s="460"/>
      <c r="BC569" s="460"/>
      <c r="BD569" s="460"/>
      <c r="BE569" s="460"/>
      <c r="BF569" s="460"/>
      <c r="BG569" s="460"/>
      <c r="BH569" s="460"/>
      <c r="BI569" s="460"/>
      <c r="BJ569" s="460"/>
      <c r="BK569" s="460"/>
      <c r="BL569" s="460"/>
      <c r="BM569" s="460"/>
      <c r="BN569" s="460"/>
      <c r="BO569" s="460"/>
      <c r="BP569" s="460"/>
      <c r="BQ569" s="460"/>
      <c r="BR569" s="460"/>
      <c r="BS569" s="460"/>
      <c r="BT569" s="460"/>
      <c r="BU569" s="460"/>
      <c r="BV569" s="460"/>
      <c r="BW569" s="460"/>
      <c r="BX569" s="460"/>
      <c r="BY569" s="460"/>
      <c r="BZ569" s="460"/>
      <c r="CA569" s="460"/>
      <c r="CB569" s="460"/>
      <c r="CC569" s="460"/>
      <c r="CD569" s="460"/>
      <c r="CE569" s="460"/>
      <c r="CF569" s="460"/>
      <c r="CG569" s="460"/>
      <c r="CH569" s="460"/>
      <c r="CI569" s="460"/>
      <c r="CJ569" s="460"/>
      <c r="CK569" s="460"/>
    </row>
    <row r="570" spans="1:89" s="329" customFormat="1" ht="36" customHeight="1" x14ac:dyDescent="0.25">
      <c r="A570" s="329">
        <v>1</v>
      </c>
      <c r="B570" s="39">
        <f>SUBTOTAL(103,$A$552:A570)</f>
        <v>19</v>
      </c>
      <c r="C570" s="33" t="s">
        <v>1448</v>
      </c>
      <c r="D570" s="330" t="s">
        <v>58</v>
      </c>
      <c r="E570" s="330"/>
      <c r="F570" s="331" t="s">
        <v>48</v>
      </c>
      <c r="G570" s="330" t="s">
        <v>75</v>
      </c>
      <c r="H570" s="330" t="s">
        <v>59</v>
      </c>
      <c r="I570" s="334">
        <v>3951</v>
      </c>
      <c r="J570" s="334">
        <v>3662.3</v>
      </c>
      <c r="K570" s="334">
        <v>2494.3000000000002</v>
      </c>
      <c r="L570" s="332">
        <v>140</v>
      </c>
      <c r="M570" s="330" t="s">
        <v>46</v>
      </c>
      <c r="N570" s="330" t="s">
        <v>50</v>
      </c>
      <c r="O570" s="333" t="s">
        <v>1966</v>
      </c>
      <c r="P570" s="38">
        <v>4005106.45</v>
      </c>
      <c r="Q570" s="38">
        <v>0</v>
      </c>
      <c r="R570" s="38">
        <v>0</v>
      </c>
      <c r="S570" s="38">
        <f t="shared" si="114"/>
        <v>4005106.45</v>
      </c>
      <c r="T570" s="38">
        <f t="shared" si="104"/>
        <v>1013.6943685143002</v>
      </c>
      <c r="U570" s="38">
        <v>1302.423735763098</v>
      </c>
      <c r="V570" s="458">
        <f t="shared" si="105"/>
        <v>288.72936724879776</v>
      </c>
      <c r="W570" s="458">
        <f t="shared" si="115"/>
        <v>884.27982789167299</v>
      </c>
      <c r="X570" s="458">
        <v>0</v>
      </c>
      <c r="Y570" s="459">
        <v>0</v>
      </c>
      <c r="Z570" s="459">
        <v>0</v>
      </c>
      <c r="AA570" s="459">
        <v>0</v>
      </c>
      <c r="AB570" s="459">
        <v>0</v>
      </c>
      <c r="AC570" s="459">
        <v>0</v>
      </c>
      <c r="AD570" s="459">
        <v>0</v>
      </c>
      <c r="AE570" s="459">
        <v>560</v>
      </c>
      <c r="AF570" s="458">
        <f>6238.91*AE570/I570</f>
        <v>884.27982789167299</v>
      </c>
      <c r="AG570" s="459">
        <v>0</v>
      </c>
      <c r="AH570" s="458">
        <v>0</v>
      </c>
      <c r="AI570" s="459">
        <v>0</v>
      </c>
      <c r="AJ570" s="458">
        <v>0</v>
      </c>
      <c r="AK570" s="459">
        <v>0</v>
      </c>
      <c r="AL570" s="459">
        <v>0</v>
      </c>
      <c r="AM570" s="459">
        <v>0</v>
      </c>
      <c r="AN570" s="459"/>
      <c r="AO570" s="459">
        <v>0</v>
      </c>
      <c r="AP570" s="460"/>
      <c r="AQ570" s="460"/>
      <c r="AR570" s="460"/>
      <c r="AS570" s="460"/>
      <c r="AT570" s="460"/>
      <c r="AU570" s="460"/>
      <c r="AV570" s="460"/>
      <c r="AW570" s="460"/>
      <c r="AX570" s="460"/>
      <c r="AY570" s="460"/>
      <c r="AZ570" s="460"/>
      <c r="BA570" s="460"/>
      <c r="BB570" s="460"/>
      <c r="BC570" s="460"/>
      <c r="BD570" s="460"/>
      <c r="BE570" s="460"/>
      <c r="BF570" s="460"/>
      <c r="BG570" s="460"/>
      <c r="BH570" s="460"/>
      <c r="BI570" s="460"/>
      <c r="BJ570" s="460"/>
      <c r="BK570" s="460"/>
      <c r="BL570" s="460"/>
      <c r="BM570" s="460"/>
      <c r="BN570" s="460"/>
      <c r="BO570" s="460"/>
      <c r="BP570" s="460"/>
      <c r="BQ570" s="460"/>
      <c r="BR570" s="460"/>
      <c r="BS570" s="460"/>
      <c r="BT570" s="460"/>
      <c r="BU570" s="460"/>
      <c r="BV570" s="460"/>
      <c r="BW570" s="460"/>
      <c r="BX570" s="460"/>
      <c r="BY570" s="460"/>
      <c r="BZ570" s="460"/>
      <c r="CA570" s="460"/>
      <c r="CB570" s="460"/>
      <c r="CC570" s="460"/>
      <c r="CD570" s="460"/>
      <c r="CE570" s="460"/>
      <c r="CF570" s="460"/>
      <c r="CG570" s="460"/>
      <c r="CH570" s="460"/>
      <c r="CI570" s="460"/>
      <c r="CJ570" s="460"/>
      <c r="CK570" s="460"/>
    </row>
    <row r="571" spans="1:89" s="329" customFormat="1" ht="36" customHeight="1" x14ac:dyDescent="0.25">
      <c r="A571" s="329">
        <v>1</v>
      </c>
      <c r="B571" s="39">
        <f>SUBTOTAL(103,$A$552:A571)</f>
        <v>20</v>
      </c>
      <c r="C571" s="33" t="s">
        <v>1449</v>
      </c>
      <c r="D571" s="330" t="s">
        <v>2124</v>
      </c>
      <c r="E571" s="330"/>
      <c r="F571" s="331" t="s">
        <v>48</v>
      </c>
      <c r="G571" s="330" t="s">
        <v>56</v>
      </c>
      <c r="H571" s="330" t="s">
        <v>61</v>
      </c>
      <c r="I571" s="334">
        <v>574.1</v>
      </c>
      <c r="J571" s="334">
        <v>444.8</v>
      </c>
      <c r="K571" s="334">
        <v>444.8</v>
      </c>
      <c r="L571" s="332">
        <v>19</v>
      </c>
      <c r="M571" s="330" t="s">
        <v>46</v>
      </c>
      <c r="N571" s="330" t="s">
        <v>50</v>
      </c>
      <c r="O571" s="333" t="s">
        <v>2125</v>
      </c>
      <c r="P571" s="38">
        <v>2397304.5699999998</v>
      </c>
      <c r="Q571" s="38">
        <v>0</v>
      </c>
      <c r="R571" s="38">
        <v>0</v>
      </c>
      <c r="S571" s="38">
        <f t="shared" si="114"/>
        <v>2397304.5699999998</v>
      </c>
      <c r="T571" s="38">
        <f t="shared" si="104"/>
        <v>4175.7613133600416</v>
      </c>
      <c r="U571" s="38">
        <v>5288.6120013934851</v>
      </c>
      <c r="V571" s="458">
        <f t="shared" si="105"/>
        <v>1112.8506880334435</v>
      </c>
      <c r="W571" s="458">
        <f t="shared" si="115"/>
        <v>15116.397509144748</v>
      </c>
      <c r="X571" s="458">
        <v>0</v>
      </c>
      <c r="Y571" s="459">
        <v>0</v>
      </c>
      <c r="Z571" s="459">
        <v>0</v>
      </c>
      <c r="AA571" s="459">
        <v>0</v>
      </c>
      <c r="AB571" s="459">
        <v>0</v>
      </c>
      <c r="AC571" s="459">
        <v>0</v>
      </c>
      <c r="AD571" s="459">
        <v>0</v>
      </c>
      <c r="AE571" s="459">
        <v>1391</v>
      </c>
      <c r="AF571" s="458">
        <f>6238.91*AE571/I571</f>
        <v>15116.397509144748</v>
      </c>
      <c r="AG571" s="459">
        <v>0</v>
      </c>
      <c r="AH571" s="458">
        <v>0</v>
      </c>
      <c r="AI571" s="459">
        <v>0</v>
      </c>
      <c r="AJ571" s="458">
        <v>0</v>
      </c>
      <c r="AK571" s="459">
        <v>0</v>
      </c>
      <c r="AL571" s="459">
        <v>0</v>
      </c>
      <c r="AM571" s="459">
        <v>0</v>
      </c>
      <c r="AN571" s="459"/>
      <c r="AO571" s="459">
        <v>0</v>
      </c>
      <c r="AP571" s="460"/>
      <c r="AQ571" s="460"/>
      <c r="AR571" s="460"/>
      <c r="AS571" s="460"/>
      <c r="AT571" s="460"/>
      <c r="AU571" s="460"/>
      <c r="AV571" s="460"/>
      <c r="AW571" s="460"/>
      <c r="AX571" s="460"/>
      <c r="AY571" s="460"/>
      <c r="AZ571" s="460"/>
      <c r="BA571" s="460"/>
      <c r="BB571" s="460"/>
      <c r="BC571" s="460"/>
      <c r="BD571" s="460"/>
      <c r="BE571" s="460"/>
      <c r="BF571" s="460"/>
      <c r="BG571" s="460"/>
      <c r="BH571" s="460"/>
      <c r="BI571" s="460"/>
      <c r="BJ571" s="460"/>
      <c r="BK571" s="460"/>
      <c r="BL571" s="460"/>
      <c r="BM571" s="460"/>
      <c r="BN571" s="460"/>
      <c r="BO571" s="460"/>
      <c r="BP571" s="460"/>
      <c r="BQ571" s="460"/>
      <c r="BR571" s="460"/>
      <c r="BS571" s="460"/>
      <c r="BT571" s="460"/>
      <c r="BU571" s="460"/>
      <c r="BV571" s="460"/>
      <c r="BW571" s="460"/>
      <c r="BX571" s="460"/>
      <c r="BY571" s="460"/>
      <c r="BZ571" s="460"/>
      <c r="CA571" s="460"/>
      <c r="CB571" s="460"/>
      <c r="CC571" s="460"/>
      <c r="CD571" s="460"/>
      <c r="CE571" s="460"/>
      <c r="CF571" s="460"/>
      <c r="CG571" s="460"/>
      <c r="CH571" s="460"/>
      <c r="CI571" s="460"/>
      <c r="CJ571" s="460"/>
      <c r="CK571" s="460"/>
    </row>
    <row r="572" spans="1:89" s="329" customFormat="1" ht="36" customHeight="1" x14ac:dyDescent="0.25">
      <c r="A572" s="329">
        <v>1</v>
      </c>
      <c r="B572" s="39">
        <f>SUBTOTAL(103,$A$552:A572)</f>
        <v>21</v>
      </c>
      <c r="C572" s="33" t="s">
        <v>1450</v>
      </c>
      <c r="D572" s="330" t="s">
        <v>2126</v>
      </c>
      <c r="E572" s="330"/>
      <c r="F572" s="331" t="s">
        <v>2127</v>
      </c>
      <c r="G572" s="330" t="s">
        <v>56</v>
      </c>
      <c r="H572" s="330" t="s">
        <v>56</v>
      </c>
      <c r="I572" s="334">
        <v>583.5</v>
      </c>
      <c r="J572" s="334">
        <v>558.1</v>
      </c>
      <c r="K572" s="334">
        <v>558.1</v>
      </c>
      <c r="L572" s="332">
        <v>39</v>
      </c>
      <c r="M572" s="330" t="s">
        <v>46</v>
      </c>
      <c r="N572" s="330" t="s">
        <v>50</v>
      </c>
      <c r="O572" s="333" t="s">
        <v>2128</v>
      </c>
      <c r="P572" s="38">
        <v>2564514.5199999996</v>
      </c>
      <c r="Q572" s="38">
        <v>0</v>
      </c>
      <c r="R572" s="38">
        <v>0</v>
      </c>
      <c r="S572" s="38">
        <f t="shared" si="114"/>
        <v>2564514.5199999996</v>
      </c>
      <c r="T572" s="38">
        <f t="shared" si="104"/>
        <v>4395.0548757497854</v>
      </c>
      <c r="U572" s="38">
        <v>6501.5855012853463</v>
      </c>
      <c r="V572" s="458">
        <f t="shared" si="105"/>
        <v>2106.5306255355608</v>
      </c>
      <c r="W572" s="458">
        <f t="shared" si="115"/>
        <v>8789.0043187660667</v>
      </c>
      <c r="X572" s="458">
        <v>0</v>
      </c>
      <c r="Y572" s="459">
        <v>0</v>
      </c>
      <c r="Z572" s="459">
        <v>0</v>
      </c>
      <c r="AA572" s="459">
        <v>0</v>
      </c>
      <c r="AB572" s="459">
        <v>0</v>
      </c>
      <c r="AC572" s="459">
        <v>0</v>
      </c>
      <c r="AD572" s="459">
        <v>0</v>
      </c>
      <c r="AE572" s="459">
        <v>822</v>
      </c>
      <c r="AF572" s="458">
        <f>6238.91*AE572/I572</f>
        <v>8789.0043187660667</v>
      </c>
      <c r="AG572" s="459">
        <v>0</v>
      </c>
      <c r="AH572" s="458">
        <v>0</v>
      </c>
      <c r="AI572" s="459">
        <v>0</v>
      </c>
      <c r="AJ572" s="458">
        <v>0</v>
      </c>
      <c r="AK572" s="459">
        <v>0</v>
      </c>
      <c r="AL572" s="459">
        <v>0</v>
      </c>
      <c r="AM572" s="459">
        <v>0</v>
      </c>
      <c r="AN572" s="459"/>
      <c r="AO572" s="459">
        <v>0</v>
      </c>
      <c r="AP572" s="460"/>
      <c r="AQ572" s="460"/>
      <c r="AR572" s="460"/>
      <c r="AS572" s="460"/>
      <c r="AT572" s="460"/>
      <c r="AU572" s="460"/>
      <c r="AV572" s="460"/>
      <c r="AW572" s="460"/>
      <c r="AX572" s="460"/>
      <c r="AY572" s="460"/>
      <c r="AZ572" s="460"/>
      <c r="BA572" s="460"/>
      <c r="BB572" s="460"/>
      <c r="BC572" s="460"/>
      <c r="BD572" s="460"/>
      <c r="BE572" s="460"/>
      <c r="BF572" s="460"/>
      <c r="BG572" s="460"/>
      <c r="BH572" s="460"/>
      <c r="BI572" s="460"/>
      <c r="BJ572" s="460"/>
      <c r="BK572" s="460"/>
      <c r="BL572" s="460"/>
      <c r="BM572" s="460"/>
      <c r="BN572" s="460"/>
      <c r="BO572" s="460"/>
      <c r="BP572" s="460"/>
      <c r="BQ572" s="460"/>
      <c r="BR572" s="460"/>
      <c r="BS572" s="460"/>
      <c r="BT572" s="460"/>
      <c r="BU572" s="460"/>
      <c r="BV572" s="460"/>
      <c r="BW572" s="460"/>
      <c r="BX572" s="460"/>
      <c r="BY572" s="460"/>
      <c r="BZ572" s="460"/>
      <c r="CA572" s="460"/>
      <c r="CB572" s="460"/>
      <c r="CC572" s="460"/>
      <c r="CD572" s="460"/>
      <c r="CE572" s="460"/>
      <c r="CF572" s="460"/>
      <c r="CG572" s="460"/>
      <c r="CH572" s="460"/>
      <c r="CI572" s="460"/>
      <c r="CJ572" s="460"/>
      <c r="CK572" s="460"/>
    </row>
    <row r="573" spans="1:89" s="329" customFormat="1" ht="36" customHeight="1" x14ac:dyDescent="0.25">
      <c r="A573" s="329">
        <v>1</v>
      </c>
      <c r="B573" s="39">
        <f>SUBTOTAL(103,$A$552:A573)</f>
        <v>22</v>
      </c>
      <c r="C573" s="33" t="s">
        <v>1451</v>
      </c>
      <c r="D573" s="330">
        <v>1985</v>
      </c>
      <c r="E573" s="330"/>
      <c r="F573" s="331" t="s">
        <v>60</v>
      </c>
      <c r="G573" s="330">
        <v>2</v>
      </c>
      <c r="H573" s="330" t="s">
        <v>56</v>
      </c>
      <c r="I573" s="334">
        <v>626.1</v>
      </c>
      <c r="J573" s="334">
        <v>568.4</v>
      </c>
      <c r="K573" s="334">
        <v>568.4</v>
      </c>
      <c r="L573" s="332">
        <v>44</v>
      </c>
      <c r="M573" s="330" t="s">
        <v>46</v>
      </c>
      <c r="N573" s="330" t="s">
        <v>50</v>
      </c>
      <c r="O573" s="333" t="s">
        <v>251</v>
      </c>
      <c r="P573" s="38">
        <v>2201781.17</v>
      </c>
      <c r="Q573" s="38">
        <v>0</v>
      </c>
      <c r="R573" s="38">
        <v>0</v>
      </c>
      <c r="S573" s="38">
        <f t="shared" si="114"/>
        <v>2201781.17</v>
      </c>
      <c r="T573" s="38">
        <f t="shared" si="104"/>
        <v>3516.6605494329979</v>
      </c>
      <c r="U573" s="38">
        <v>4325.4403354096794</v>
      </c>
      <c r="V573" s="458">
        <f t="shared" si="105"/>
        <v>808.77978597668152</v>
      </c>
      <c r="W573" s="458">
        <f t="shared" si="115"/>
        <v>12443.056181121226</v>
      </c>
      <c r="X573" s="458">
        <v>0</v>
      </c>
      <c r="Y573" s="459">
        <v>0</v>
      </c>
      <c r="Z573" s="459">
        <v>0</v>
      </c>
      <c r="AA573" s="459">
        <v>0</v>
      </c>
      <c r="AB573" s="459">
        <v>0</v>
      </c>
      <c r="AC573" s="459">
        <v>0</v>
      </c>
      <c r="AD573" s="459">
        <v>0</v>
      </c>
      <c r="AE573" s="459">
        <v>0</v>
      </c>
      <c r="AF573" s="458">
        <v>0</v>
      </c>
      <c r="AG573" s="459">
        <v>0</v>
      </c>
      <c r="AH573" s="458">
        <v>0</v>
      </c>
      <c r="AI573" s="459">
        <v>1047.25</v>
      </c>
      <c r="AJ573" s="458">
        <f>7439.1*AI573/I573</f>
        <v>12443.056181121226</v>
      </c>
      <c r="AK573" s="459">
        <v>0</v>
      </c>
      <c r="AL573" s="459">
        <v>0</v>
      </c>
      <c r="AM573" s="459">
        <v>0</v>
      </c>
      <c r="AN573" s="459"/>
      <c r="AO573" s="459">
        <v>0</v>
      </c>
      <c r="AP573" s="460"/>
      <c r="AQ573" s="460"/>
      <c r="AR573" s="460"/>
      <c r="AS573" s="460"/>
      <c r="AT573" s="460"/>
      <c r="AU573" s="460"/>
      <c r="AV573" s="460"/>
      <c r="AW573" s="460"/>
      <c r="AX573" s="460"/>
      <c r="AY573" s="460"/>
      <c r="AZ573" s="460"/>
      <c r="BA573" s="460"/>
      <c r="BB573" s="460"/>
      <c r="BC573" s="460"/>
      <c r="BD573" s="460"/>
      <c r="BE573" s="460"/>
      <c r="BF573" s="460"/>
      <c r="BG573" s="460"/>
      <c r="BH573" s="460"/>
      <c r="BI573" s="460"/>
      <c r="BJ573" s="460"/>
      <c r="BK573" s="460"/>
      <c r="BL573" s="460"/>
      <c r="BM573" s="460"/>
      <c r="BN573" s="460"/>
      <c r="BO573" s="460"/>
      <c r="BP573" s="460"/>
      <c r="BQ573" s="460"/>
      <c r="BR573" s="460"/>
      <c r="BS573" s="460"/>
      <c r="BT573" s="460"/>
      <c r="BU573" s="460"/>
      <c r="BV573" s="460"/>
      <c r="BW573" s="460"/>
      <c r="BX573" s="460"/>
      <c r="BY573" s="460"/>
      <c r="BZ573" s="460"/>
      <c r="CA573" s="460"/>
      <c r="CB573" s="460"/>
      <c r="CC573" s="460"/>
      <c r="CD573" s="460"/>
      <c r="CE573" s="460"/>
      <c r="CF573" s="460"/>
      <c r="CG573" s="460"/>
      <c r="CH573" s="460"/>
      <c r="CI573" s="460"/>
      <c r="CJ573" s="460"/>
      <c r="CK573" s="460"/>
    </row>
    <row r="574" spans="1:89" s="329" customFormat="1" ht="36" customHeight="1" x14ac:dyDescent="0.25">
      <c r="A574" s="329">
        <v>1</v>
      </c>
      <c r="B574" s="39">
        <f>SUBTOTAL(103,$A$552:A574)</f>
        <v>23</v>
      </c>
      <c r="C574" s="33" t="s">
        <v>1452</v>
      </c>
      <c r="D574" s="330" t="s">
        <v>2105</v>
      </c>
      <c r="E574" s="330"/>
      <c r="F574" s="331" t="s">
        <v>48</v>
      </c>
      <c r="G574" s="330" t="s">
        <v>56</v>
      </c>
      <c r="H574" s="330" t="s">
        <v>56</v>
      </c>
      <c r="I574" s="334">
        <v>399.4</v>
      </c>
      <c r="J574" s="334">
        <v>301.60000000000002</v>
      </c>
      <c r="K574" s="334">
        <v>172.9</v>
      </c>
      <c r="L574" s="332">
        <v>21</v>
      </c>
      <c r="M574" s="330" t="s">
        <v>46</v>
      </c>
      <c r="N574" s="330" t="s">
        <v>50</v>
      </c>
      <c r="O574" s="333" t="s">
        <v>2129</v>
      </c>
      <c r="P574" s="38">
        <v>763048.75</v>
      </c>
      <c r="Q574" s="38">
        <v>0</v>
      </c>
      <c r="R574" s="38">
        <v>0</v>
      </c>
      <c r="S574" s="38">
        <f t="shared" si="114"/>
        <v>763048.75</v>
      </c>
      <c r="T574" s="38">
        <f t="shared" si="104"/>
        <v>1910.4876064096145</v>
      </c>
      <c r="U574" s="38">
        <v>2912.2265948923387</v>
      </c>
      <c r="V574" s="458">
        <f t="shared" si="105"/>
        <v>1001.7389884827242</v>
      </c>
      <c r="W574" s="458">
        <f t="shared" si="115"/>
        <v>7576.042438657988</v>
      </c>
      <c r="X574" s="458">
        <v>0</v>
      </c>
      <c r="Y574" s="459">
        <v>0</v>
      </c>
      <c r="Z574" s="459">
        <v>0</v>
      </c>
      <c r="AA574" s="459">
        <v>0</v>
      </c>
      <c r="AB574" s="459">
        <v>0</v>
      </c>
      <c r="AC574" s="459">
        <v>0</v>
      </c>
      <c r="AD574" s="459">
        <v>0</v>
      </c>
      <c r="AE574" s="459">
        <v>485</v>
      </c>
      <c r="AF574" s="458">
        <f>6238.91*AE574/I574</f>
        <v>7576.042438657988</v>
      </c>
      <c r="AG574" s="459">
        <v>0</v>
      </c>
      <c r="AH574" s="458">
        <v>0</v>
      </c>
      <c r="AI574" s="459">
        <v>0</v>
      </c>
      <c r="AJ574" s="458">
        <v>0</v>
      </c>
      <c r="AK574" s="459">
        <v>0</v>
      </c>
      <c r="AL574" s="459">
        <v>0</v>
      </c>
      <c r="AM574" s="459">
        <v>0</v>
      </c>
      <c r="AN574" s="459"/>
      <c r="AO574" s="459">
        <v>0</v>
      </c>
      <c r="AP574" s="460"/>
      <c r="AQ574" s="460"/>
      <c r="AR574" s="460"/>
      <c r="AS574" s="460"/>
      <c r="AT574" s="460"/>
      <c r="AU574" s="460"/>
      <c r="AV574" s="460"/>
      <c r="AW574" s="460"/>
      <c r="AX574" s="460"/>
      <c r="AY574" s="460"/>
      <c r="AZ574" s="460"/>
      <c r="BA574" s="460"/>
      <c r="BB574" s="460"/>
      <c r="BC574" s="460"/>
      <c r="BD574" s="460"/>
      <c r="BE574" s="460"/>
      <c r="BF574" s="460"/>
      <c r="BG574" s="460"/>
      <c r="BH574" s="460"/>
      <c r="BI574" s="460"/>
      <c r="BJ574" s="460"/>
      <c r="BK574" s="460"/>
      <c r="BL574" s="460"/>
      <c r="BM574" s="460"/>
      <c r="BN574" s="460"/>
      <c r="BO574" s="460"/>
      <c r="BP574" s="460"/>
      <c r="BQ574" s="460"/>
      <c r="BR574" s="460"/>
      <c r="BS574" s="460"/>
      <c r="BT574" s="460"/>
      <c r="BU574" s="460"/>
      <c r="BV574" s="460"/>
      <c r="BW574" s="460"/>
      <c r="BX574" s="460"/>
      <c r="BY574" s="460"/>
      <c r="BZ574" s="460"/>
      <c r="CA574" s="460"/>
      <c r="CB574" s="460"/>
      <c r="CC574" s="460"/>
      <c r="CD574" s="460"/>
      <c r="CE574" s="460"/>
      <c r="CF574" s="460"/>
      <c r="CG574" s="460"/>
      <c r="CH574" s="460"/>
      <c r="CI574" s="460"/>
      <c r="CJ574" s="460"/>
      <c r="CK574" s="460"/>
    </row>
    <row r="575" spans="1:89" s="329" customFormat="1" ht="36" customHeight="1" x14ac:dyDescent="0.25">
      <c r="A575" s="329">
        <v>1</v>
      </c>
      <c r="B575" s="39">
        <f>SUBTOTAL(103,$A$552:A575)</f>
        <v>24</v>
      </c>
      <c r="C575" s="33" t="s">
        <v>1453</v>
      </c>
      <c r="D575" s="330">
        <v>1977</v>
      </c>
      <c r="E575" s="330"/>
      <c r="F575" s="331" t="s">
        <v>48</v>
      </c>
      <c r="G575" s="330">
        <v>2</v>
      </c>
      <c r="H575" s="330" t="s">
        <v>56</v>
      </c>
      <c r="I575" s="334">
        <v>814.4</v>
      </c>
      <c r="J575" s="334">
        <v>814.4</v>
      </c>
      <c r="K575" s="334">
        <v>814.4</v>
      </c>
      <c r="L575" s="332">
        <v>45</v>
      </c>
      <c r="M575" s="330" t="s">
        <v>46</v>
      </c>
      <c r="N575" s="330" t="s">
        <v>50</v>
      </c>
      <c r="O575" s="333" t="s">
        <v>1964</v>
      </c>
      <c r="P575" s="38">
        <v>2794940.58</v>
      </c>
      <c r="Q575" s="38">
        <v>0</v>
      </c>
      <c r="R575" s="38">
        <v>0</v>
      </c>
      <c r="S575" s="38">
        <f t="shared" si="114"/>
        <v>2794940.58</v>
      </c>
      <c r="T575" s="38">
        <f t="shared" si="104"/>
        <v>3431.9014980353636</v>
      </c>
      <c r="U575" s="38">
        <v>4934.9729616895866</v>
      </c>
      <c r="V575" s="458">
        <f t="shared" si="105"/>
        <v>1503.071463654223</v>
      </c>
      <c r="W575" s="458">
        <f t="shared" si="115"/>
        <v>4642.4109282907666</v>
      </c>
      <c r="X575" s="458">
        <v>0</v>
      </c>
      <c r="Y575" s="459">
        <v>0</v>
      </c>
      <c r="Z575" s="459">
        <v>0</v>
      </c>
      <c r="AA575" s="459">
        <v>0</v>
      </c>
      <c r="AB575" s="459">
        <v>0</v>
      </c>
      <c r="AC575" s="459">
        <v>0</v>
      </c>
      <c r="AD575" s="459">
        <v>0</v>
      </c>
      <c r="AE575" s="459">
        <v>606</v>
      </c>
      <c r="AF575" s="458">
        <f>6238.91*AE575/I575</f>
        <v>4642.4109282907666</v>
      </c>
      <c r="AG575" s="459">
        <v>0</v>
      </c>
      <c r="AH575" s="458">
        <v>0</v>
      </c>
      <c r="AI575" s="459">
        <v>0</v>
      </c>
      <c r="AJ575" s="458">
        <v>0</v>
      </c>
      <c r="AK575" s="459">
        <v>0</v>
      </c>
      <c r="AL575" s="459">
        <v>0</v>
      </c>
      <c r="AM575" s="459">
        <v>0</v>
      </c>
      <c r="AN575" s="459"/>
      <c r="AO575" s="459">
        <v>0</v>
      </c>
      <c r="AP575" s="460"/>
      <c r="AQ575" s="460"/>
      <c r="AR575" s="460"/>
      <c r="AS575" s="460"/>
      <c r="AT575" s="460"/>
      <c r="AU575" s="460"/>
      <c r="AV575" s="460"/>
      <c r="AW575" s="460"/>
      <c r="AX575" s="460"/>
      <c r="AY575" s="460"/>
      <c r="AZ575" s="460"/>
      <c r="BA575" s="460"/>
      <c r="BB575" s="460"/>
      <c r="BC575" s="460"/>
      <c r="BD575" s="460"/>
      <c r="BE575" s="460"/>
      <c r="BF575" s="460"/>
      <c r="BG575" s="460"/>
      <c r="BH575" s="460"/>
      <c r="BI575" s="460"/>
      <c r="BJ575" s="460"/>
      <c r="BK575" s="460"/>
      <c r="BL575" s="460"/>
      <c r="BM575" s="460"/>
      <c r="BN575" s="460"/>
      <c r="BO575" s="460"/>
      <c r="BP575" s="460"/>
      <c r="BQ575" s="460"/>
      <c r="BR575" s="460"/>
      <c r="BS575" s="460"/>
      <c r="BT575" s="460"/>
      <c r="BU575" s="460"/>
      <c r="BV575" s="460"/>
      <c r="BW575" s="460"/>
      <c r="BX575" s="460"/>
      <c r="BY575" s="460"/>
      <c r="BZ575" s="460"/>
      <c r="CA575" s="460"/>
      <c r="CB575" s="460"/>
      <c r="CC575" s="460"/>
      <c r="CD575" s="460"/>
      <c r="CE575" s="460"/>
      <c r="CF575" s="460"/>
      <c r="CG575" s="460"/>
      <c r="CH575" s="460"/>
      <c r="CI575" s="460"/>
      <c r="CJ575" s="460"/>
      <c r="CK575" s="460"/>
    </row>
    <row r="576" spans="1:89" s="329" customFormat="1" ht="36" customHeight="1" x14ac:dyDescent="0.25">
      <c r="A576" s="329">
        <v>1</v>
      </c>
      <c r="B576" s="39">
        <f>SUBTOTAL(103,$A$552:A576)</f>
        <v>25</v>
      </c>
      <c r="C576" s="33" t="s">
        <v>1454</v>
      </c>
      <c r="D576" s="330">
        <v>1985</v>
      </c>
      <c r="E576" s="330"/>
      <c r="F576" s="331" t="s">
        <v>48</v>
      </c>
      <c r="G576" s="330">
        <v>7</v>
      </c>
      <c r="H576" s="330" t="s">
        <v>1969</v>
      </c>
      <c r="I576" s="334">
        <v>11373.5</v>
      </c>
      <c r="J576" s="334">
        <v>10283</v>
      </c>
      <c r="K576" s="334">
        <v>9429.1</v>
      </c>
      <c r="L576" s="332">
        <v>450</v>
      </c>
      <c r="M576" s="330" t="s">
        <v>46</v>
      </c>
      <c r="N576" s="330" t="s">
        <v>50</v>
      </c>
      <c r="O576" s="333" t="s">
        <v>1962</v>
      </c>
      <c r="P576" s="38">
        <v>9602513.2699999996</v>
      </c>
      <c r="Q576" s="38">
        <v>0</v>
      </c>
      <c r="R576" s="38">
        <v>0</v>
      </c>
      <c r="S576" s="38">
        <f t="shared" si="114"/>
        <v>9602513.2699999996</v>
      </c>
      <c r="T576" s="38">
        <f t="shared" si="104"/>
        <v>844.28832549347158</v>
      </c>
      <c r="U576" s="38">
        <v>1265.9635995955512</v>
      </c>
      <c r="V576" s="458">
        <f t="shared" si="105"/>
        <v>421.67527410207958</v>
      </c>
      <c r="W576" s="458">
        <f t="shared" si="115"/>
        <v>758.72475491273576</v>
      </c>
      <c r="X576" s="458">
        <v>0</v>
      </c>
      <c r="Y576" s="459">
        <v>0</v>
      </c>
      <c r="Z576" s="459">
        <v>0</v>
      </c>
      <c r="AA576" s="459">
        <v>0</v>
      </c>
      <c r="AB576" s="459">
        <v>0</v>
      </c>
      <c r="AC576" s="459">
        <v>0</v>
      </c>
      <c r="AD576" s="459">
        <v>0</v>
      </c>
      <c r="AE576" s="459">
        <v>0</v>
      </c>
      <c r="AF576" s="458">
        <v>0</v>
      </c>
      <c r="AG576" s="459">
        <v>0</v>
      </c>
      <c r="AH576" s="458">
        <v>0</v>
      </c>
      <c r="AI576" s="459">
        <v>1160</v>
      </c>
      <c r="AJ576" s="458">
        <f>7439.1*AI576/I576</f>
        <v>758.72475491273576</v>
      </c>
      <c r="AK576" s="459">
        <v>0</v>
      </c>
      <c r="AL576" s="459">
        <v>0</v>
      </c>
      <c r="AM576" s="459">
        <v>0</v>
      </c>
      <c r="AN576" s="459"/>
      <c r="AO576" s="459">
        <v>0</v>
      </c>
      <c r="AP576" s="460"/>
      <c r="AQ576" s="460"/>
      <c r="AR576" s="460"/>
      <c r="AS576" s="460"/>
      <c r="AT576" s="460"/>
      <c r="AU576" s="460"/>
      <c r="AV576" s="460"/>
      <c r="AW576" s="460"/>
      <c r="AX576" s="460"/>
      <c r="AY576" s="460"/>
      <c r="AZ576" s="460"/>
      <c r="BA576" s="460"/>
      <c r="BB576" s="460"/>
      <c r="BC576" s="460"/>
      <c r="BD576" s="460"/>
      <c r="BE576" s="460"/>
      <c r="BF576" s="460"/>
      <c r="BG576" s="460"/>
      <c r="BH576" s="460"/>
      <c r="BI576" s="460"/>
      <c r="BJ576" s="460"/>
      <c r="BK576" s="460"/>
      <c r="BL576" s="460"/>
      <c r="BM576" s="460"/>
      <c r="BN576" s="460"/>
      <c r="BO576" s="460"/>
      <c r="BP576" s="460"/>
      <c r="BQ576" s="460"/>
      <c r="BR576" s="460"/>
      <c r="BS576" s="460"/>
      <c r="BT576" s="460"/>
      <c r="BU576" s="460"/>
      <c r="BV576" s="460"/>
      <c r="BW576" s="460"/>
      <c r="BX576" s="460"/>
      <c r="BY576" s="460"/>
      <c r="BZ576" s="460"/>
      <c r="CA576" s="460"/>
      <c r="CB576" s="460"/>
      <c r="CC576" s="460"/>
      <c r="CD576" s="460"/>
      <c r="CE576" s="460"/>
      <c r="CF576" s="460"/>
      <c r="CG576" s="460"/>
      <c r="CH576" s="460"/>
      <c r="CI576" s="460"/>
      <c r="CJ576" s="460"/>
      <c r="CK576" s="460"/>
    </row>
    <row r="577" spans="1:89" s="329" customFormat="1" ht="36" customHeight="1" x14ac:dyDescent="0.25">
      <c r="A577" s="329">
        <v>1</v>
      </c>
      <c r="B577" s="39">
        <f>SUBTOTAL(103,$A$552:A577)</f>
        <v>26</v>
      </c>
      <c r="C577" s="33" t="s">
        <v>1455</v>
      </c>
      <c r="D577" s="330" t="s">
        <v>2130</v>
      </c>
      <c r="E577" s="330"/>
      <c r="F577" s="331" t="s">
        <v>48</v>
      </c>
      <c r="G577" s="330" t="s">
        <v>1965</v>
      </c>
      <c r="H577" s="330" t="s">
        <v>61</v>
      </c>
      <c r="I577" s="334">
        <v>6810.7</v>
      </c>
      <c r="J577" s="334">
        <v>6388.4</v>
      </c>
      <c r="K577" s="334">
        <v>6388.4</v>
      </c>
      <c r="L577" s="332">
        <v>302</v>
      </c>
      <c r="M577" s="330" t="s">
        <v>46</v>
      </c>
      <c r="N577" s="330" t="s">
        <v>50</v>
      </c>
      <c r="O577" s="333" t="s">
        <v>2131</v>
      </c>
      <c r="P577" s="38">
        <v>5877399.3300000001</v>
      </c>
      <c r="Q577" s="38">
        <v>0</v>
      </c>
      <c r="R577" s="38">
        <v>0</v>
      </c>
      <c r="S577" s="38">
        <f t="shared" si="114"/>
        <v>5877399.3300000001</v>
      </c>
      <c r="T577" s="38">
        <f t="shared" si="104"/>
        <v>862.96552924075354</v>
      </c>
      <c r="U577" s="38">
        <v>1103.0038028396493</v>
      </c>
      <c r="V577" s="458">
        <f t="shared" si="105"/>
        <v>240.03827359889578</v>
      </c>
      <c r="W577" s="458">
        <f t="shared" si="115"/>
        <v>396.2812142657877</v>
      </c>
      <c r="X577" s="458">
        <v>0</v>
      </c>
      <c r="Y577" s="459">
        <v>0</v>
      </c>
      <c r="Z577" s="459">
        <v>0</v>
      </c>
      <c r="AA577" s="459">
        <v>0</v>
      </c>
      <c r="AB577" s="459">
        <v>0</v>
      </c>
      <c r="AC577" s="459">
        <v>0</v>
      </c>
      <c r="AD577" s="459">
        <v>0</v>
      </c>
      <c r="AE577" s="459">
        <v>432.6</v>
      </c>
      <c r="AF577" s="458">
        <f t="shared" ref="AF577:AF595" si="117">6238.91*AE577/I577</f>
        <v>396.2812142657877</v>
      </c>
      <c r="AG577" s="459">
        <v>0</v>
      </c>
      <c r="AH577" s="458">
        <v>0</v>
      </c>
      <c r="AI577" s="459">
        <v>0</v>
      </c>
      <c r="AJ577" s="458">
        <v>0</v>
      </c>
      <c r="AK577" s="459">
        <v>0</v>
      </c>
      <c r="AL577" s="459">
        <v>0</v>
      </c>
      <c r="AM577" s="459">
        <v>0</v>
      </c>
      <c r="AN577" s="459"/>
      <c r="AO577" s="459">
        <v>0</v>
      </c>
      <c r="AP577" s="460"/>
      <c r="AQ577" s="460"/>
      <c r="AR577" s="460"/>
      <c r="AS577" s="460"/>
      <c r="AT577" s="460"/>
      <c r="AU577" s="460"/>
      <c r="AV577" s="460"/>
      <c r="AW577" s="460"/>
      <c r="AX577" s="460"/>
      <c r="AY577" s="460"/>
      <c r="AZ577" s="460"/>
      <c r="BA577" s="460"/>
      <c r="BB577" s="460"/>
      <c r="BC577" s="460"/>
      <c r="BD577" s="460"/>
      <c r="BE577" s="460"/>
      <c r="BF577" s="460"/>
      <c r="BG577" s="460"/>
      <c r="BH577" s="460"/>
      <c r="BI577" s="460"/>
      <c r="BJ577" s="460"/>
      <c r="BK577" s="460"/>
      <c r="BL577" s="460"/>
      <c r="BM577" s="460"/>
      <c r="BN577" s="460"/>
      <c r="BO577" s="460"/>
      <c r="BP577" s="460"/>
      <c r="BQ577" s="460"/>
      <c r="BR577" s="460"/>
      <c r="BS577" s="460"/>
      <c r="BT577" s="460"/>
      <c r="BU577" s="460"/>
      <c r="BV577" s="460"/>
      <c r="BW577" s="460"/>
      <c r="BX577" s="460"/>
      <c r="BY577" s="460"/>
      <c r="BZ577" s="460"/>
      <c r="CA577" s="460"/>
      <c r="CB577" s="460"/>
      <c r="CC577" s="460"/>
      <c r="CD577" s="460"/>
      <c r="CE577" s="460"/>
      <c r="CF577" s="460"/>
      <c r="CG577" s="460"/>
      <c r="CH577" s="460"/>
      <c r="CI577" s="460"/>
      <c r="CJ577" s="460"/>
      <c r="CK577" s="460"/>
    </row>
    <row r="578" spans="1:89" s="329" customFormat="1" ht="36" customHeight="1" x14ac:dyDescent="0.25">
      <c r="A578" s="329">
        <v>1</v>
      </c>
      <c r="B578" s="39">
        <f>SUBTOTAL(103,$A$552:A578)</f>
        <v>27</v>
      </c>
      <c r="C578" s="33" t="s">
        <v>1456</v>
      </c>
      <c r="D578" s="330">
        <v>1960</v>
      </c>
      <c r="E578" s="330"/>
      <c r="F578" s="331" t="s">
        <v>48</v>
      </c>
      <c r="G578" s="330">
        <v>2</v>
      </c>
      <c r="H578" s="330" t="s">
        <v>56</v>
      </c>
      <c r="I578" s="334">
        <v>614.9</v>
      </c>
      <c r="J578" s="334">
        <v>438</v>
      </c>
      <c r="K578" s="334">
        <v>438</v>
      </c>
      <c r="L578" s="332">
        <v>34</v>
      </c>
      <c r="M578" s="330" t="s">
        <v>46</v>
      </c>
      <c r="N578" s="330" t="s">
        <v>2132</v>
      </c>
      <c r="O578" s="333" t="s">
        <v>1983</v>
      </c>
      <c r="P578" s="38">
        <v>2102735.67</v>
      </c>
      <c r="Q578" s="38">
        <v>0</v>
      </c>
      <c r="R578" s="38">
        <v>0</v>
      </c>
      <c r="S578" s="38">
        <f t="shared" si="114"/>
        <v>2102735.67</v>
      </c>
      <c r="T578" s="38">
        <f t="shared" si="104"/>
        <v>3419.6384290128476</v>
      </c>
      <c r="U578" s="38">
        <v>4917.3390307367054</v>
      </c>
      <c r="V578" s="458">
        <f t="shared" si="105"/>
        <v>1497.7006017238577</v>
      </c>
      <c r="W578" s="458">
        <f t="shared" si="115"/>
        <v>1885.1674711335179</v>
      </c>
      <c r="X578" s="458">
        <v>0</v>
      </c>
      <c r="Y578" s="459">
        <v>0</v>
      </c>
      <c r="Z578" s="459">
        <v>0</v>
      </c>
      <c r="AA578" s="459">
        <v>0</v>
      </c>
      <c r="AB578" s="459">
        <v>0</v>
      </c>
      <c r="AC578" s="459">
        <v>0</v>
      </c>
      <c r="AD578" s="459">
        <v>0</v>
      </c>
      <c r="AE578" s="459">
        <v>185.8</v>
      </c>
      <c r="AF578" s="458">
        <f t="shared" si="117"/>
        <v>1885.1674711335179</v>
      </c>
      <c r="AG578" s="459">
        <v>0</v>
      </c>
      <c r="AH578" s="458">
        <v>0</v>
      </c>
      <c r="AI578" s="459">
        <v>0</v>
      </c>
      <c r="AJ578" s="458">
        <v>0</v>
      </c>
      <c r="AK578" s="459">
        <v>0</v>
      </c>
      <c r="AL578" s="459">
        <v>0</v>
      </c>
      <c r="AM578" s="459">
        <v>0</v>
      </c>
      <c r="AN578" s="459"/>
      <c r="AO578" s="459">
        <v>0</v>
      </c>
      <c r="AP578" s="460"/>
      <c r="AQ578" s="460"/>
      <c r="AR578" s="460"/>
      <c r="AS578" s="460"/>
      <c r="AT578" s="460"/>
      <c r="AU578" s="460"/>
      <c r="AV578" s="460"/>
      <c r="AW578" s="460"/>
      <c r="AX578" s="460"/>
      <c r="AY578" s="460"/>
      <c r="AZ578" s="460"/>
      <c r="BA578" s="460"/>
      <c r="BB578" s="460"/>
      <c r="BC578" s="460"/>
      <c r="BD578" s="460"/>
      <c r="BE578" s="460"/>
      <c r="BF578" s="460"/>
      <c r="BG578" s="460"/>
      <c r="BH578" s="460"/>
      <c r="BI578" s="460"/>
      <c r="BJ578" s="460"/>
      <c r="BK578" s="460"/>
      <c r="BL578" s="460"/>
      <c r="BM578" s="460"/>
      <c r="BN578" s="460"/>
      <c r="BO578" s="460"/>
      <c r="BP578" s="460"/>
      <c r="BQ578" s="460"/>
      <c r="BR578" s="460"/>
      <c r="BS578" s="460"/>
      <c r="BT578" s="460"/>
      <c r="BU578" s="460"/>
      <c r="BV578" s="460"/>
      <c r="BW578" s="460"/>
      <c r="BX578" s="460"/>
      <c r="BY578" s="460"/>
      <c r="BZ578" s="460"/>
      <c r="CA578" s="460"/>
      <c r="CB578" s="460"/>
      <c r="CC578" s="460"/>
      <c r="CD578" s="460"/>
      <c r="CE578" s="460"/>
      <c r="CF578" s="460"/>
      <c r="CG578" s="460"/>
      <c r="CH578" s="460"/>
      <c r="CI578" s="460"/>
      <c r="CJ578" s="460"/>
      <c r="CK578" s="460"/>
    </row>
    <row r="579" spans="1:89" s="329" customFormat="1" ht="36" customHeight="1" x14ac:dyDescent="0.25">
      <c r="A579" s="329">
        <v>1</v>
      </c>
      <c r="B579" s="39">
        <f>SUBTOTAL(103,$A$552:A579)</f>
        <v>28</v>
      </c>
      <c r="C579" s="33" t="s">
        <v>1457</v>
      </c>
      <c r="D579" s="330" t="s">
        <v>77</v>
      </c>
      <c r="E579" s="330"/>
      <c r="F579" s="331" t="s">
        <v>2127</v>
      </c>
      <c r="G579" s="330" t="s">
        <v>56</v>
      </c>
      <c r="H579" s="330" t="s">
        <v>56</v>
      </c>
      <c r="I579" s="334">
        <v>485.3</v>
      </c>
      <c r="J579" s="334">
        <v>337.2</v>
      </c>
      <c r="K579" s="334">
        <v>337.2</v>
      </c>
      <c r="L579" s="332">
        <v>32</v>
      </c>
      <c r="M579" s="330" t="s">
        <v>46</v>
      </c>
      <c r="N579" s="330" t="s">
        <v>50</v>
      </c>
      <c r="O579" s="333" t="s">
        <v>2129</v>
      </c>
      <c r="P579" s="38">
        <v>2323274.2000000002</v>
      </c>
      <c r="Q579" s="38">
        <v>0</v>
      </c>
      <c r="R579" s="38">
        <v>0</v>
      </c>
      <c r="S579" s="38">
        <f t="shared" si="114"/>
        <v>2323274.2000000002</v>
      </c>
      <c r="T579" s="38">
        <f t="shared" si="104"/>
        <v>4787.2948691531019</v>
      </c>
      <c r="U579" s="38">
        <v>6529.7922480939624</v>
      </c>
      <c r="V579" s="458">
        <f t="shared" si="105"/>
        <v>1742.4973789408605</v>
      </c>
      <c r="W579" s="458">
        <f t="shared" si="115"/>
        <v>8253.410715021635</v>
      </c>
      <c r="X579" s="458">
        <v>0</v>
      </c>
      <c r="Y579" s="459">
        <v>0</v>
      </c>
      <c r="Z579" s="459">
        <v>0</v>
      </c>
      <c r="AA579" s="459">
        <v>0</v>
      </c>
      <c r="AB579" s="459">
        <v>0</v>
      </c>
      <c r="AC579" s="459">
        <v>0</v>
      </c>
      <c r="AD579" s="459">
        <v>0</v>
      </c>
      <c r="AE579" s="459">
        <v>642</v>
      </c>
      <c r="AF579" s="458">
        <f t="shared" si="117"/>
        <v>8253.410715021635</v>
      </c>
      <c r="AG579" s="459">
        <v>0</v>
      </c>
      <c r="AH579" s="458">
        <v>0</v>
      </c>
      <c r="AI579" s="459">
        <v>0</v>
      </c>
      <c r="AJ579" s="458">
        <v>0</v>
      </c>
      <c r="AK579" s="459">
        <v>0</v>
      </c>
      <c r="AL579" s="459">
        <v>0</v>
      </c>
      <c r="AM579" s="459">
        <v>0</v>
      </c>
      <c r="AN579" s="459"/>
      <c r="AO579" s="459">
        <v>0</v>
      </c>
      <c r="AP579" s="460"/>
      <c r="AQ579" s="460"/>
      <c r="AR579" s="460"/>
      <c r="AS579" s="460"/>
      <c r="AT579" s="460"/>
      <c r="AU579" s="460"/>
      <c r="AV579" s="460"/>
      <c r="AW579" s="460"/>
      <c r="AX579" s="460"/>
      <c r="AY579" s="460"/>
      <c r="AZ579" s="460"/>
      <c r="BA579" s="460"/>
      <c r="BB579" s="460"/>
      <c r="BC579" s="460"/>
      <c r="BD579" s="460"/>
      <c r="BE579" s="460"/>
      <c r="BF579" s="460"/>
      <c r="BG579" s="460"/>
      <c r="BH579" s="460"/>
      <c r="BI579" s="460"/>
      <c r="BJ579" s="460"/>
      <c r="BK579" s="460"/>
      <c r="BL579" s="460"/>
      <c r="BM579" s="460"/>
      <c r="BN579" s="460"/>
      <c r="BO579" s="460"/>
      <c r="BP579" s="460"/>
      <c r="BQ579" s="460"/>
      <c r="BR579" s="460"/>
      <c r="BS579" s="460"/>
      <c r="BT579" s="460"/>
      <c r="BU579" s="460"/>
      <c r="BV579" s="460"/>
      <c r="BW579" s="460"/>
      <c r="BX579" s="460"/>
      <c r="BY579" s="460"/>
      <c r="BZ579" s="460"/>
      <c r="CA579" s="460"/>
      <c r="CB579" s="460"/>
      <c r="CC579" s="460"/>
      <c r="CD579" s="460"/>
      <c r="CE579" s="460"/>
      <c r="CF579" s="460"/>
      <c r="CG579" s="460"/>
      <c r="CH579" s="460"/>
      <c r="CI579" s="460"/>
      <c r="CJ579" s="460"/>
      <c r="CK579" s="460"/>
    </row>
    <row r="580" spans="1:89" s="329" customFormat="1" ht="36" customHeight="1" x14ac:dyDescent="0.25">
      <c r="A580" s="329">
        <v>1</v>
      </c>
      <c r="B580" s="39">
        <f>SUBTOTAL(103,$A$552:A580)</f>
        <v>29</v>
      </c>
      <c r="C580" s="33" t="s">
        <v>1458</v>
      </c>
      <c r="D580" s="330" t="s">
        <v>2048</v>
      </c>
      <c r="E580" s="330"/>
      <c r="F580" s="331" t="s">
        <v>60</v>
      </c>
      <c r="G580" s="330" t="s">
        <v>75</v>
      </c>
      <c r="H580" s="330" t="s">
        <v>59</v>
      </c>
      <c r="I580" s="334">
        <v>3872.2</v>
      </c>
      <c r="J580" s="334">
        <v>3548.7</v>
      </c>
      <c r="K580" s="334">
        <v>3548.7</v>
      </c>
      <c r="L580" s="332">
        <v>172</v>
      </c>
      <c r="M580" s="330" t="s">
        <v>46</v>
      </c>
      <c r="N580" s="330" t="s">
        <v>50</v>
      </c>
      <c r="O580" s="333" t="s">
        <v>1956</v>
      </c>
      <c r="P580" s="38">
        <v>4748603.68</v>
      </c>
      <c r="Q580" s="38">
        <v>0</v>
      </c>
      <c r="R580" s="38">
        <v>0</v>
      </c>
      <c r="S580" s="38">
        <f t="shared" si="114"/>
        <v>4748603.68</v>
      </c>
      <c r="T580" s="38">
        <f t="shared" si="104"/>
        <v>1226.3322349052219</v>
      </c>
      <c r="U580" s="38">
        <v>1552.0330561437941</v>
      </c>
      <c r="V580" s="458">
        <f t="shared" si="105"/>
        <v>325.70082123857219</v>
      </c>
      <c r="W580" s="458">
        <f t="shared" si="115"/>
        <v>3705.77268736119</v>
      </c>
      <c r="X580" s="458">
        <v>0</v>
      </c>
      <c r="Y580" s="459">
        <v>0</v>
      </c>
      <c r="Z580" s="459">
        <v>0</v>
      </c>
      <c r="AA580" s="459">
        <v>0</v>
      </c>
      <c r="AB580" s="459">
        <v>0</v>
      </c>
      <c r="AC580" s="459">
        <v>0</v>
      </c>
      <c r="AD580" s="459">
        <v>0</v>
      </c>
      <c r="AE580" s="459">
        <v>2300</v>
      </c>
      <c r="AF580" s="458">
        <f t="shared" si="117"/>
        <v>3705.77268736119</v>
      </c>
      <c r="AG580" s="459">
        <v>0</v>
      </c>
      <c r="AH580" s="458">
        <v>0</v>
      </c>
      <c r="AI580" s="459">
        <v>0</v>
      </c>
      <c r="AJ580" s="458">
        <v>0</v>
      </c>
      <c r="AK580" s="459">
        <v>0</v>
      </c>
      <c r="AL580" s="459">
        <v>0</v>
      </c>
      <c r="AM580" s="459">
        <v>0</v>
      </c>
      <c r="AN580" s="459"/>
      <c r="AO580" s="459">
        <v>0</v>
      </c>
      <c r="AP580" s="460"/>
      <c r="AQ580" s="460"/>
      <c r="AR580" s="460"/>
      <c r="AS580" s="460"/>
      <c r="AT580" s="460"/>
      <c r="AU580" s="460"/>
      <c r="AV580" s="460"/>
      <c r="AW580" s="460"/>
      <c r="AX580" s="460"/>
      <c r="AY580" s="460"/>
      <c r="AZ580" s="460"/>
      <c r="BA580" s="460"/>
      <c r="BB580" s="460"/>
      <c r="BC580" s="460"/>
      <c r="BD580" s="460"/>
      <c r="BE580" s="460"/>
      <c r="BF580" s="460"/>
      <c r="BG580" s="460"/>
      <c r="BH580" s="460"/>
      <c r="BI580" s="460"/>
      <c r="BJ580" s="460"/>
      <c r="BK580" s="460"/>
      <c r="BL580" s="460"/>
      <c r="BM580" s="460"/>
      <c r="BN580" s="460"/>
      <c r="BO580" s="460"/>
      <c r="BP580" s="460"/>
      <c r="BQ580" s="460"/>
      <c r="BR580" s="460"/>
      <c r="BS580" s="460"/>
      <c r="BT580" s="460"/>
      <c r="BU580" s="460"/>
      <c r="BV580" s="460"/>
      <c r="BW580" s="460"/>
      <c r="BX580" s="460"/>
      <c r="BY580" s="460"/>
      <c r="BZ580" s="460"/>
      <c r="CA580" s="460"/>
      <c r="CB580" s="460"/>
      <c r="CC580" s="460"/>
      <c r="CD580" s="460"/>
      <c r="CE580" s="460"/>
      <c r="CF580" s="460"/>
      <c r="CG580" s="460"/>
      <c r="CH580" s="460"/>
      <c r="CI580" s="460"/>
      <c r="CJ580" s="460"/>
      <c r="CK580" s="460"/>
    </row>
    <row r="581" spans="1:89" s="329" customFormat="1" ht="36" customHeight="1" x14ac:dyDescent="0.25">
      <c r="A581" s="329">
        <v>1</v>
      </c>
      <c r="B581" s="39">
        <f>SUBTOTAL(103,$A$552:A581)</f>
        <v>30</v>
      </c>
      <c r="C581" s="33" t="s">
        <v>1459</v>
      </c>
      <c r="D581" s="330" t="s">
        <v>2133</v>
      </c>
      <c r="E581" s="330"/>
      <c r="F581" s="331" t="s">
        <v>48</v>
      </c>
      <c r="G581" s="330" t="s">
        <v>59</v>
      </c>
      <c r="H581" s="330" t="s">
        <v>61</v>
      </c>
      <c r="I581" s="334">
        <v>2170</v>
      </c>
      <c r="J581" s="334">
        <v>2000.7</v>
      </c>
      <c r="K581" s="334">
        <v>2000.7</v>
      </c>
      <c r="L581" s="332">
        <v>125</v>
      </c>
      <c r="M581" s="330" t="s">
        <v>46</v>
      </c>
      <c r="N581" s="330" t="s">
        <v>50</v>
      </c>
      <c r="O581" s="333" t="s">
        <v>1966</v>
      </c>
      <c r="P581" s="38">
        <v>3977535.51</v>
      </c>
      <c r="Q581" s="38">
        <v>0</v>
      </c>
      <c r="R581" s="38">
        <v>0</v>
      </c>
      <c r="S581" s="38">
        <f t="shared" si="114"/>
        <v>3977535.51</v>
      </c>
      <c r="T581" s="38">
        <f t="shared" si="104"/>
        <v>1832.9656728110599</v>
      </c>
      <c r="U581" s="38">
        <v>1878.057</v>
      </c>
      <c r="V581" s="458">
        <f t="shared" si="105"/>
        <v>45.091327188940113</v>
      </c>
      <c r="W581" s="458">
        <f t="shared" si="115"/>
        <v>3450.088479262673</v>
      </c>
      <c r="X581" s="458">
        <v>0</v>
      </c>
      <c r="Y581" s="459">
        <v>0</v>
      </c>
      <c r="Z581" s="459">
        <v>0</v>
      </c>
      <c r="AA581" s="459">
        <v>0</v>
      </c>
      <c r="AB581" s="459">
        <v>0</v>
      </c>
      <c r="AC581" s="459">
        <v>0</v>
      </c>
      <c r="AD581" s="459">
        <v>0</v>
      </c>
      <c r="AE581" s="459">
        <v>1200</v>
      </c>
      <c r="AF581" s="458">
        <f t="shared" si="117"/>
        <v>3450.088479262673</v>
      </c>
      <c r="AG581" s="459">
        <v>0</v>
      </c>
      <c r="AH581" s="458">
        <v>0</v>
      </c>
      <c r="AI581" s="459">
        <v>0</v>
      </c>
      <c r="AJ581" s="458">
        <v>0</v>
      </c>
      <c r="AK581" s="459">
        <v>0</v>
      </c>
      <c r="AL581" s="459">
        <v>0</v>
      </c>
      <c r="AM581" s="459">
        <v>0</v>
      </c>
      <c r="AN581" s="459"/>
      <c r="AO581" s="459">
        <v>0</v>
      </c>
      <c r="AP581" s="460"/>
      <c r="AQ581" s="460"/>
      <c r="AR581" s="460"/>
      <c r="AS581" s="460"/>
      <c r="AT581" s="460"/>
      <c r="AU581" s="460"/>
      <c r="AV581" s="460"/>
      <c r="AW581" s="460"/>
      <c r="AX581" s="460"/>
      <c r="AY581" s="460"/>
      <c r="AZ581" s="460"/>
      <c r="BA581" s="460"/>
      <c r="BB581" s="460"/>
      <c r="BC581" s="460"/>
      <c r="BD581" s="460"/>
      <c r="BE581" s="460"/>
      <c r="BF581" s="460"/>
      <c r="BG581" s="460"/>
      <c r="BH581" s="460"/>
      <c r="BI581" s="460"/>
      <c r="BJ581" s="460"/>
      <c r="BK581" s="460"/>
      <c r="BL581" s="460"/>
      <c r="BM581" s="460"/>
      <c r="BN581" s="460"/>
      <c r="BO581" s="460"/>
      <c r="BP581" s="460"/>
      <c r="BQ581" s="460"/>
      <c r="BR581" s="460"/>
      <c r="BS581" s="460"/>
      <c r="BT581" s="460"/>
      <c r="BU581" s="460"/>
      <c r="BV581" s="460"/>
      <c r="BW581" s="460"/>
      <c r="BX581" s="460"/>
      <c r="BY581" s="460"/>
      <c r="BZ581" s="460"/>
      <c r="CA581" s="460"/>
      <c r="CB581" s="460"/>
      <c r="CC581" s="460"/>
      <c r="CD581" s="460"/>
      <c r="CE581" s="460"/>
      <c r="CF581" s="460"/>
      <c r="CG581" s="460"/>
      <c r="CH581" s="460"/>
      <c r="CI581" s="460"/>
      <c r="CJ581" s="460"/>
      <c r="CK581" s="460"/>
    </row>
    <row r="582" spans="1:89" s="329" customFormat="1" ht="36" customHeight="1" x14ac:dyDescent="0.25">
      <c r="A582" s="329">
        <v>1</v>
      </c>
      <c r="B582" s="39">
        <f>SUBTOTAL(103,$A$552:A582)</f>
        <v>31</v>
      </c>
      <c r="C582" s="33" t="s">
        <v>1460</v>
      </c>
      <c r="D582" s="330">
        <v>1981</v>
      </c>
      <c r="E582" s="330"/>
      <c r="F582" s="331" t="s">
        <v>48</v>
      </c>
      <c r="G582" s="330" t="s">
        <v>1969</v>
      </c>
      <c r="H582" s="330" t="s">
        <v>57</v>
      </c>
      <c r="I582" s="334">
        <v>1247.5999999999999</v>
      </c>
      <c r="J582" s="334">
        <v>982.4</v>
      </c>
      <c r="K582" s="334">
        <v>982.4</v>
      </c>
      <c r="L582" s="332">
        <v>40</v>
      </c>
      <c r="M582" s="330" t="s">
        <v>46</v>
      </c>
      <c r="N582" s="330" t="s">
        <v>50</v>
      </c>
      <c r="O582" s="333" t="s">
        <v>1963</v>
      </c>
      <c r="P582" s="38">
        <v>1265842.2</v>
      </c>
      <c r="Q582" s="38">
        <v>0</v>
      </c>
      <c r="R582" s="38">
        <v>0</v>
      </c>
      <c r="S582" s="38">
        <f t="shared" si="114"/>
        <v>1265842.2</v>
      </c>
      <c r="T582" s="38">
        <f t="shared" si="104"/>
        <v>1014.6218339211287</v>
      </c>
      <c r="U582" s="38">
        <v>1440.1046248797691</v>
      </c>
      <c r="V582" s="458">
        <f t="shared" si="105"/>
        <v>425.48279095864041</v>
      </c>
      <c r="W582" s="458">
        <f t="shared" si="115"/>
        <v>2415.3523004168001</v>
      </c>
      <c r="X582" s="458">
        <v>0</v>
      </c>
      <c r="Y582" s="459">
        <v>0</v>
      </c>
      <c r="Z582" s="459">
        <v>0</v>
      </c>
      <c r="AA582" s="459">
        <v>0</v>
      </c>
      <c r="AB582" s="459">
        <v>0</v>
      </c>
      <c r="AC582" s="459">
        <v>0</v>
      </c>
      <c r="AD582" s="459">
        <v>0</v>
      </c>
      <c r="AE582" s="459">
        <v>483</v>
      </c>
      <c r="AF582" s="458">
        <f t="shared" si="117"/>
        <v>2415.3523004168001</v>
      </c>
      <c r="AG582" s="459">
        <v>0</v>
      </c>
      <c r="AH582" s="458">
        <v>0</v>
      </c>
      <c r="AI582" s="459">
        <v>0</v>
      </c>
      <c r="AJ582" s="458">
        <v>0</v>
      </c>
      <c r="AK582" s="459">
        <v>0</v>
      </c>
      <c r="AL582" s="459">
        <v>0</v>
      </c>
      <c r="AM582" s="459">
        <v>0</v>
      </c>
      <c r="AN582" s="459"/>
      <c r="AO582" s="459">
        <v>0</v>
      </c>
      <c r="AP582" s="460"/>
      <c r="AQ582" s="460"/>
      <c r="AR582" s="460"/>
      <c r="AS582" s="460"/>
      <c r="AT582" s="460"/>
      <c r="AU582" s="460"/>
      <c r="AV582" s="460"/>
      <c r="AW582" s="460"/>
      <c r="AX582" s="460"/>
      <c r="AY582" s="460"/>
      <c r="AZ582" s="460"/>
      <c r="BA582" s="460"/>
      <c r="BB582" s="460"/>
      <c r="BC582" s="460"/>
      <c r="BD582" s="460"/>
      <c r="BE582" s="460"/>
      <c r="BF582" s="460"/>
      <c r="BG582" s="460"/>
      <c r="BH582" s="460"/>
      <c r="BI582" s="460"/>
      <c r="BJ582" s="460"/>
      <c r="BK582" s="460"/>
      <c r="BL582" s="460"/>
      <c r="BM582" s="460"/>
      <c r="BN582" s="460"/>
      <c r="BO582" s="460"/>
      <c r="BP582" s="460"/>
      <c r="BQ582" s="460"/>
      <c r="BR582" s="460"/>
      <c r="BS582" s="460"/>
      <c r="BT582" s="460"/>
      <c r="BU582" s="460"/>
      <c r="BV582" s="460"/>
      <c r="BW582" s="460"/>
      <c r="BX582" s="460"/>
      <c r="BY582" s="460"/>
      <c r="BZ582" s="460"/>
      <c r="CA582" s="460"/>
      <c r="CB582" s="460"/>
      <c r="CC582" s="460"/>
      <c r="CD582" s="460"/>
      <c r="CE582" s="460"/>
      <c r="CF582" s="460"/>
      <c r="CG582" s="460"/>
      <c r="CH582" s="460"/>
      <c r="CI582" s="460"/>
      <c r="CJ582" s="460"/>
      <c r="CK582" s="460"/>
    </row>
    <row r="583" spans="1:89" s="329" customFormat="1" ht="36" customHeight="1" x14ac:dyDescent="0.25">
      <c r="A583" s="329">
        <v>1</v>
      </c>
      <c r="B583" s="39">
        <f>SUBTOTAL(103,$A$552:A583)</f>
        <v>32</v>
      </c>
      <c r="C583" s="33" t="s">
        <v>1461</v>
      </c>
      <c r="D583" s="330" t="s">
        <v>62</v>
      </c>
      <c r="E583" s="330"/>
      <c r="F583" s="331" t="s">
        <v>48</v>
      </c>
      <c r="G583" s="330" t="s">
        <v>75</v>
      </c>
      <c r="H583" s="330" t="s">
        <v>57</v>
      </c>
      <c r="I583" s="334">
        <v>2919</v>
      </c>
      <c r="J583" s="334">
        <v>1836.4</v>
      </c>
      <c r="K583" s="334">
        <v>1239.3</v>
      </c>
      <c r="L583" s="332">
        <v>128</v>
      </c>
      <c r="M583" s="330" t="s">
        <v>46</v>
      </c>
      <c r="N583" s="330" t="s">
        <v>50</v>
      </c>
      <c r="O583" s="333" t="s">
        <v>251</v>
      </c>
      <c r="P583" s="38">
        <v>3576070.0900000003</v>
      </c>
      <c r="Q583" s="38">
        <v>0</v>
      </c>
      <c r="R583" s="38">
        <v>0</v>
      </c>
      <c r="S583" s="38">
        <f t="shared" si="114"/>
        <v>3576070.0900000003</v>
      </c>
      <c r="T583" s="38">
        <f t="shared" si="104"/>
        <v>1225.1010928400137</v>
      </c>
      <c r="U583" s="38">
        <v>1548.4265775950666</v>
      </c>
      <c r="V583" s="458">
        <f t="shared" si="105"/>
        <v>323.32548475505291</v>
      </c>
      <c r="W583" s="458">
        <f t="shared" si="115"/>
        <v>1081.9240294621445</v>
      </c>
      <c r="X583" s="458">
        <v>0</v>
      </c>
      <c r="Y583" s="459">
        <v>0</v>
      </c>
      <c r="Z583" s="459">
        <v>0</v>
      </c>
      <c r="AA583" s="459">
        <v>0</v>
      </c>
      <c r="AB583" s="459">
        <v>0</v>
      </c>
      <c r="AC583" s="459">
        <v>0</v>
      </c>
      <c r="AD583" s="459">
        <v>0</v>
      </c>
      <c r="AE583" s="459">
        <v>506.2</v>
      </c>
      <c r="AF583" s="458">
        <f t="shared" si="117"/>
        <v>1081.9240294621445</v>
      </c>
      <c r="AG583" s="459">
        <v>0</v>
      </c>
      <c r="AH583" s="458">
        <v>0</v>
      </c>
      <c r="AI583" s="459">
        <v>0</v>
      </c>
      <c r="AJ583" s="458">
        <v>0</v>
      </c>
      <c r="AK583" s="459">
        <v>0</v>
      </c>
      <c r="AL583" s="459">
        <v>0</v>
      </c>
      <c r="AM583" s="459">
        <v>0</v>
      </c>
      <c r="AN583" s="459"/>
      <c r="AO583" s="459">
        <v>0</v>
      </c>
      <c r="AP583" s="460"/>
      <c r="AQ583" s="460"/>
      <c r="AR583" s="460"/>
      <c r="AS583" s="460"/>
      <c r="AT583" s="460"/>
      <c r="AU583" s="460"/>
      <c r="AV583" s="460"/>
      <c r="AW583" s="460"/>
      <c r="AX583" s="460"/>
      <c r="AY583" s="460"/>
      <c r="AZ583" s="460"/>
      <c r="BA583" s="460"/>
      <c r="BB583" s="460"/>
      <c r="BC583" s="460"/>
      <c r="BD583" s="460"/>
      <c r="BE583" s="460"/>
      <c r="BF583" s="460"/>
      <c r="BG583" s="460"/>
      <c r="BH583" s="460"/>
      <c r="BI583" s="460"/>
      <c r="BJ583" s="460"/>
      <c r="BK583" s="460"/>
      <c r="BL583" s="460"/>
      <c r="BM583" s="460"/>
      <c r="BN583" s="460"/>
      <c r="BO583" s="460"/>
      <c r="BP583" s="460"/>
      <c r="BQ583" s="460"/>
      <c r="BR583" s="460"/>
      <c r="BS583" s="460"/>
      <c r="BT583" s="460"/>
      <c r="BU583" s="460"/>
      <c r="BV583" s="460"/>
      <c r="BW583" s="460"/>
      <c r="BX583" s="460"/>
      <c r="BY583" s="460"/>
      <c r="BZ583" s="460"/>
      <c r="CA583" s="460"/>
      <c r="CB583" s="460"/>
      <c r="CC583" s="460"/>
      <c r="CD583" s="460"/>
      <c r="CE583" s="460"/>
      <c r="CF583" s="460"/>
      <c r="CG583" s="460"/>
      <c r="CH583" s="460"/>
      <c r="CI583" s="460"/>
      <c r="CJ583" s="460"/>
      <c r="CK583" s="460"/>
    </row>
    <row r="584" spans="1:89" s="329" customFormat="1" ht="36" customHeight="1" x14ac:dyDescent="0.25">
      <c r="A584" s="329">
        <v>1</v>
      </c>
      <c r="B584" s="39">
        <f>SUBTOTAL(103,$A$552:A584)</f>
        <v>33</v>
      </c>
      <c r="C584" s="33" t="s">
        <v>1462</v>
      </c>
      <c r="D584" s="330" t="s">
        <v>2120</v>
      </c>
      <c r="E584" s="330"/>
      <c r="F584" s="331" t="s">
        <v>60</v>
      </c>
      <c r="G584" s="330" t="s">
        <v>75</v>
      </c>
      <c r="H584" s="330" t="s">
        <v>1977</v>
      </c>
      <c r="I584" s="334">
        <v>8158.5</v>
      </c>
      <c r="J584" s="334">
        <v>6419.1</v>
      </c>
      <c r="K584" s="334">
        <v>6419.1</v>
      </c>
      <c r="L584" s="332">
        <v>324</v>
      </c>
      <c r="M584" s="330" t="s">
        <v>46</v>
      </c>
      <c r="N584" s="330" t="s">
        <v>50</v>
      </c>
      <c r="O584" s="333" t="s">
        <v>251</v>
      </c>
      <c r="P584" s="38">
        <v>5440026.9199999999</v>
      </c>
      <c r="Q584" s="38">
        <v>0</v>
      </c>
      <c r="R584" s="38">
        <v>0</v>
      </c>
      <c r="S584" s="38">
        <f t="shared" si="114"/>
        <v>5440026.9199999999</v>
      </c>
      <c r="T584" s="38">
        <f t="shared" si="104"/>
        <v>666.79253784396644</v>
      </c>
      <c r="U584" s="38">
        <v>1295.2381834896119</v>
      </c>
      <c r="V584" s="458">
        <f t="shared" si="105"/>
        <v>628.44564564564541</v>
      </c>
      <c r="W584" s="458">
        <f t="shared" si="115"/>
        <v>734.1243610957896</v>
      </c>
      <c r="X584" s="458">
        <v>0</v>
      </c>
      <c r="Y584" s="459">
        <v>0</v>
      </c>
      <c r="Z584" s="459">
        <v>0</v>
      </c>
      <c r="AA584" s="459">
        <v>0</v>
      </c>
      <c r="AB584" s="459">
        <v>0</v>
      </c>
      <c r="AC584" s="459">
        <v>0</v>
      </c>
      <c r="AD584" s="459">
        <v>0</v>
      </c>
      <c r="AE584" s="459">
        <v>960</v>
      </c>
      <c r="AF584" s="458">
        <f t="shared" si="117"/>
        <v>734.1243610957896</v>
      </c>
      <c r="AG584" s="459">
        <v>0</v>
      </c>
      <c r="AH584" s="458">
        <v>0</v>
      </c>
      <c r="AI584" s="459">
        <v>0</v>
      </c>
      <c r="AJ584" s="458">
        <v>0</v>
      </c>
      <c r="AK584" s="459">
        <v>0</v>
      </c>
      <c r="AL584" s="459">
        <v>0</v>
      </c>
      <c r="AM584" s="459">
        <v>0</v>
      </c>
      <c r="AN584" s="459"/>
      <c r="AO584" s="459">
        <v>0</v>
      </c>
      <c r="AP584" s="460"/>
      <c r="AQ584" s="460"/>
      <c r="AR584" s="460"/>
      <c r="AS584" s="460"/>
      <c r="AT584" s="460"/>
      <c r="AU584" s="460"/>
      <c r="AV584" s="460"/>
      <c r="AW584" s="460"/>
      <c r="AX584" s="460"/>
      <c r="AY584" s="460"/>
      <c r="AZ584" s="460"/>
      <c r="BA584" s="460"/>
      <c r="BB584" s="460"/>
      <c r="BC584" s="460"/>
      <c r="BD584" s="460"/>
      <c r="BE584" s="460"/>
      <c r="BF584" s="460"/>
      <c r="BG584" s="460"/>
      <c r="BH584" s="460"/>
      <c r="BI584" s="460"/>
      <c r="BJ584" s="460"/>
      <c r="BK584" s="460"/>
      <c r="BL584" s="460"/>
      <c r="BM584" s="460"/>
      <c r="BN584" s="460"/>
      <c r="BO584" s="460"/>
      <c r="BP584" s="460"/>
      <c r="BQ584" s="460"/>
      <c r="BR584" s="460"/>
      <c r="BS584" s="460"/>
      <c r="BT584" s="460"/>
      <c r="BU584" s="460"/>
      <c r="BV584" s="460"/>
      <c r="BW584" s="460"/>
      <c r="BX584" s="460"/>
      <c r="BY584" s="460"/>
      <c r="BZ584" s="460"/>
      <c r="CA584" s="460"/>
      <c r="CB584" s="460"/>
      <c r="CC584" s="460"/>
      <c r="CD584" s="460"/>
      <c r="CE584" s="460"/>
      <c r="CF584" s="460"/>
      <c r="CG584" s="460"/>
      <c r="CH584" s="460"/>
      <c r="CI584" s="460"/>
      <c r="CJ584" s="460"/>
      <c r="CK584" s="460"/>
    </row>
    <row r="585" spans="1:89" s="329" customFormat="1" ht="36" customHeight="1" x14ac:dyDescent="0.25">
      <c r="A585" s="329">
        <v>1</v>
      </c>
      <c r="B585" s="39">
        <f>SUBTOTAL(103,$A$552:A585)</f>
        <v>34</v>
      </c>
      <c r="C585" s="33" t="s">
        <v>1463</v>
      </c>
      <c r="D585" s="330" t="s">
        <v>58</v>
      </c>
      <c r="E585" s="330"/>
      <c r="F585" s="331" t="s">
        <v>48</v>
      </c>
      <c r="G585" s="330" t="s">
        <v>59</v>
      </c>
      <c r="H585" s="330" t="s">
        <v>61</v>
      </c>
      <c r="I585" s="334">
        <v>2920</v>
      </c>
      <c r="J585" s="334">
        <v>1821.8</v>
      </c>
      <c r="K585" s="334">
        <v>1606.7</v>
      </c>
      <c r="L585" s="332">
        <v>121</v>
      </c>
      <c r="M585" s="330" t="s">
        <v>46</v>
      </c>
      <c r="N585" s="330" t="s">
        <v>50</v>
      </c>
      <c r="O585" s="333" t="s">
        <v>251</v>
      </c>
      <c r="P585" s="38">
        <v>5458332.7699999996</v>
      </c>
      <c r="Q585" s="38">
        <v>0</v>
      </c>
      <c r="R585" s="38">
        <v>0</v>
      </c>
      <c r="S585" s="38">
        <f t="shared" si="114"/>
        <v>5458332.7699999996</v>
      </c>
      <c r="T585" s="38">
        <f t="shared" si="104"/>
        <v>1869.2920445205477</v>
      </c>
      <c r="U585" s="38">
        <v>2422.6077739726024</v>
      </c>
      <c r="V585" s="458">
        <f t="shared" si="105"/>
        <v>553.31572945205471</v>
      </c>
      <c r="W585" s="458">
        <f t="shared" si="115"/>
        <v>1390.935071917808</v>
      </c>
      <c r="X585" s="458">
        <v>0</v>
      </c>
      <c r="Y585" s="459">
        <v>0</v>
      </c>
      <c r="Z585" s="459">
        <v>0</v>
      </c>
      <c r="AA585" s="459">
        <v>0</v>
      </c>
      <c r="AB585" s="459">
        <v>0</v>
      </c>
      <c r="AC585" s="459">
        <v>0</v>
      </c>
      <c r="AD585" s="459">
        <v>0</v>
      </c>
      <c r="AE585" s="459">
        <v>651</v>
      </c>
      <c r="AF585" s="458">
        <f t="shared" si="117"/>
        <v>1390.935071917808</v>
      </c>
      <c r="AG585" s="459">
        <v>0</v>
      </c>
      <c r="AH585" s="458">
        <v>0</v>
      </c>
      <c r="AI585" s="459">
        <v>0</v>
      </c>
      <c r="AJ585" s="458">
        <v>0</v>
      </c>
      <c r="AK585" s="459">
        <v>0</v>
      </c>
      <c r="AL585" s="459">
        <v>0</v>
      </c>
      <c r="AM585" s="459">
        <v>0</v>
      </c>
      <c r="AN585" s="459"/>
      <c r="AO585" s="459">
        <v>0</v>
      </c>
      <c r="AP585" s="460"/>
      <c r="AQ585" s="460"/>
      <c r="AR585" s="460"/>
      <c r="AS585" s="460"/>
      <c r="AT585" s="460"/>
      <c r="AU585" s="460"/>
      <c r="AV585" s="460"/>
      <c r="AW585" s="460"/>
      <c r="AX585" s="460"/>
      <c r="AY585" s="460"/>
      <c r="AZ585" s="460"/>
      <c r="BA585" s="460"/>
      <c r="BB585" s="460"/>
      <c r="BC585" s="460"/>
      <c r="BD585" s="460"/>
      <c r="BE585" s="460"/>
      <c r="BF585" s="460"/>
      <c r="BG585" s="460"/>
      <c r="BH585" s="460"/>
      <c r="BI585" s="460"/>
      <c r="BJ585" s="460"/>
      <c r="BK585" s="460"/>
      <c r="BL585" s="460"/>
      <c r="BM585" s="460"/>
      <c r="BN585" s="460"/>
      <c r="BO585" s="460"/>
      <c r="BP585" s="460"/>
      <c r="BQ585" s="460"/>
      <c r="BR585" s="460"/>
      <c r="BS585" s="460"/>
      <c r="BT585" s="460"/>
      <c r="BU585" s="460"/>
      <c r="BV585" s="460"/>
      <c r="BW585" s="460"/>
      <c r="BX585" s="460"/>
      <c r="BY585" s="460"/>
      <c r="BZ585" s="460"/>
      <c r="CA585" s="460"/>
      <c r="CB585" s="460"/>
      <c r="CC585" s="460"/>
      <c r="CD585" s="460"/>
      <c r="CE585" s="460"/>
      <c r="CF585" s="460"/>
      <c r="CG585" s="460"/>
      <c r="CH585" s="460"/>
      <c r="CI585" s="460"/>
      <c r="CJ585" s="460"/>
      <c r="CK585" s="460"/>
    </row>
    <row r="586" spans="1:89" s="329" customFormat="1" ht="36" customHeight="1" x14ac:dyDescent="0.25">
      <c r="A586" s="329">
        <v>1</v>
      </c>
      <c r="B586" s="39">
        <f>SUBTOTAL(103,$A$552:A586)</f>
        <v>35</v>
      </c>
      <c r="C586" s="33" t="s">
        <v>1464</v>
      </c>
      <c r="D586" s="330">
        <v>1961</v>
      </c>
      <c r="E586" s="330"/>
      <c r="F586" s="331" t="s">
        <v>48</v>
      </c>
      <c r="G586" s="330" t="s">
        <v>75</v>
      </c>
      <c r="H586" s="330" t="s">
        <v>61</v>
      </c>
      <c r="I586" s="334">
        <v>2946.9</v>
      </c>
      <c r="J586" s="334">
        <v>2565.1</v>
      </c>
      <c r="K586" s="334">
        <v>2131.1999999999998</v>
      </c>
      <c r="L586" s="332">
        <v>129</v>
      </c>
      <c r="M586" s="330" t="s">
        <v>46</v>
      </c>
      <c r="N586" s="330" t="s">
        <v>50</v>
      </c>
      <c r="O586" s="333" t="s">
        <v>1962</v>
      </c>
      <c r="P586" s="38">
        <v>4022975</v>
      </c>
      <c r="Q586" s="38">
        <v>0</v>
      </c>
      <c r="R586" s="38">
        <v>0</v>
      </c>
      <c r="S586" s="38">
        <f t="shared" si="114"/>
        <v>4022975</v>
      </c>
      <c r="T586" s="38">
        <f t="shared" si="104"/>
        <v>1365.1549085479655</v>
      </c>
      <c r="U586" s="38">
        <v>1605.9939733279036</v>
      </c>
      <c r="V586" s="458">
        <f t="shared" si="105"/>
        <v>240.8390647799381</v>
      </c>
      <c r="W586" s="458">
        <f t="shared" si="115"/>
        <v>607.61042790729232</v>
      </c>
      <c r="X586" s="458">
        <v>0</v>
      </c>
      <c r="Y586" s="459">
        <v>0</v>
      </c>
      <c r="Z586" s="459">
        <v>0</v>
      </c>
      <c r="AA586" s="459">
        <v>0</v>
      </c>
      <c r="AB586" s="459">
        <v>0</v>
      </c>
      <c r="AC586" s="459">
        <v>0</v>
      </c>
      <c r="AD586" s="459">
        <v>0</v>
      </c>
      <c r="AE586" s="459">
        <v>287</v>
      </c>
      <c r="AF586" s="458">
        <f t="shared" si="117"/>
        <v>607.61042790729232</v>
      </c>
      <c r="AG586" s="459">
        <v>0</v>
      </c>
      <c r="AH586" s="458">
        <v>0</v>
      </c>
      <c r="AI586" s="459">
        <v>0</v>
      </c>
      <c r="AJ586" s="458">
        <v>0</v>
      </c>
      <c r="AK586" s="459">
        <v>0</v>
      </c>
      <c r="AL586" s="459">
        <v>0</v>
      </c>
      <c r="AM586" s="459">
        <v>0</v>
      </c>
      <c r="AN586" s="459"/>
      <c r="AO586" s="459">
        <v>0</v>
      </c>
      <c r="AP586" s="460"/>
      <c r="AQ586" s="460"/>
      <c r="AR586" s="460"/>
      <c r="AS586" s="460"/>
      <c r="AT586" s="460"/>
      <c r="AU586" s="460"/>
      <c r="AV586" s="460"/>
      <c r="AW586" s="460"/>
      <c r="AX586" s="460"/>
      <c r="AY586" s="460"/>
      <c r="AZ586" s="460"/>
      <c r="BA586" s="460"/>
      <c r="BB586" s="460"/>
      <c r="BC586" s="460"/>
      <c r="BD586" s="460"/>
      <c r="BE586" s="460"/>
      <c r="BF586" s="460"/>
      <c r="BG586" s="460"/>
      <c r="BH586" s="460"/>
      <c r="BI586" s="460"/>
      <c r="BJ586" s="460"/>
      <c r="BK586" s="460"/>
      <c r="BL586" s="460"/>
      <c r="BM586" s="460"/>
      <c r="BN586" s="460"/>
      <c r="BO586" s="460"/>
      <c r="BP586" s="460"/>
      <c r="BQ586" s="460"/>
      <c r="BR586" s="460"/>
      <c r="BS586" s="460"/>
      <c r="BT586" s="460"/>
      <c r="BU586" s="460"/>
      <c r="BV586" s="460"/>
      <c r="BW586" s="460"/>
      <c r="BX586" s="460"/>
      <c r="BY586" s="460"/>
      <c r="BZ586" s="460"/>
      <c r="CA586" s="460"/>
      <c r="CB586" s="460"/>
      <c r="CC586" s="460"/>
      <c r="CD586" s="460"/>
      <c r="CE586" s="460"/>
      <c r="CF586" s="460"/>
      <c r="CG586" s="460"/>
      <c r="CH586" s="460"/>
      <c r="CI586" s="460"/>
      <c r="CJ586" s="460"/>
      <c r="CK586" s="460"/>
    </row>
    <row r="587" spans="1:89" s="329" customFormat="1" ht="36" customHeight="1" x14ac:dyDescent="0.25">
      <c r="A587" s="329">
        <v>1</v>
      </c>
      <c r="B587" s="39">
        <f>SUBTOTAL(103,$A$552:A587)</f>
        <v>36</v>
      </c>
      <c r="C587" s="33" t="s">
        <v>1465</v>
      </c>
      <c r="D587" s="330">
        <v>1994</v>
      </c>
      <c r="E587" s="330"/>
      <c r="F587" s="331" t="s">
        <v>48</v>
      </c>
      <c r="G587" s="330">
        <v>4</v>
      </c>
      <c r="H587" s="330" t="s">
        <v>61</v>
      </c>
      <c r="I587" s="334">
        <v>1861.8</v>
      </c>
      <c r="J587" s="334">
        <v>1644.3</v>
      </c>
      <c r="K587" s="334">
        <v>1644.3</v>
      </c>
      <c r="L587" s="332">
        <v>71</v>
      </c>
      <c r="M587" s="330" t="s">
        <v>46</v>
      </c>
      <c r="N587" s="330" t="s">
        <v>50</v>
      </c>
      <c r="O587" s="333" t="s">
        <v>1960</v>
      </c>
      <c r="P587" s="38">
        <v>3214943.65</v>
      </c>
      <c r="Q587" s="38">
        <v>0</v>
      </c>
      <c r="R587" s="38">
        <v>0</v>
      </c>
      <c r="S587" s="38">
        <f t="shared" si="114"/>
        <v>3214943.65</v>
      </c>
      <c r="T587" s="38">
        <f t="shared" si="104"/>
        <v>1726.793237726931</v>
      </c>
      <c r="U587" s="38">
        <v>2252.8345149854977</v>
      </c>
      <c r="V587" s="458">
        <f t="shared" si="105"/>
        <v>526.04127725856665</v>
      </c>
      <c r="W587" s="458">
        <f t="shared" si="115"/>
        <v>2419.4290579009557</v>
      </c>
      <c r="X587" s="458">
        <v>0</v>
      </c>
      <c r="Y587" s="459">
        <v>0</v>
      </c>
      <c r="Z587" s="459">
        <v>0</v>
      </c>
      <c r="AA587" s="459">
        <v>0</v>
      </c>
      <c r="AB587" s="459">
        <v>0</v>
      </c>
      <c r="AC587" s="459">
        <v>0</v>
      </c>
      <c r="AD587" s="459">
        <v>0</v>
      </c>
      <c r="AE587" s="459">
        <v>722</v>
      </c>
      <c r="AF587" s="458">
        <f t="shared" si="117"/>
        <v>2419.4290579009557</v>
      </c>
      <c r="AG587" s="459">
        <v>0</v>
      </c>
      <c r="AH587" s="458">
        <v>0</v>
      </c>
      <c r="AI587" s="459">
        <v>0</v>
      </c>
      <c r="AJ587" s="458">
        <v>0</v>
      </c>
      <c r="AK587" s="459">
        <v>0</v>
      </c>
      <c r="AL587" s="459">
        <v>0</v>
      </c>
      <c r="AM587" s="459">
        <v>0</v>
      </c>
      <c r="AN587" s="459"/>
      <c r="AO587" s="459">
        <v>0</v>
      </c>
      <c r="AP587" s="460"/>
      <c r="AQ587" s="460"/>
      <c r="AR587" s="460"/>
      <c r="AS587" s="460"/>
      <c r="AT587" s="460"/>
      <c r="AU587" s="460"/>
      <c r="AV587" s="460"/>
      <c r="AW587" s="460"/>
      <c r="AX587" s="460"/>
      <c r="AY587" s="460"/>
      <c r="AZ587" s="460"/>
      <c r="BA587" s="460"/>
      <c r="BB587" s="460"/>
      <c r="BC587" s="460"/>
      <c r="BD587" s="460"/>
      <c r="BE587" s="460"/>
      <c r="BF587" s="460"/>
      <c r="BG587" s="460"/>
      <c r="BH587" s="460"/>
      <c r="BI587" s="460"/>
      <c r="BJ587" s="460"/>
      <c r="BK587" s="460"/>
      <c r="BL587" s="460"/>
      <c r="BM587" s="460"/>
      <c r="BN587" s="460"/>
      <c r="BO587" s="460"/>
      <c r="BP587" s="460"/>
      <c r="BQ587" s="460"/>
      <c r="BR587" s="460"/>
      <c r="BS587" s="460"/>
      <c r="BT587" s="460"/>
      <c r="BU587" s="460"/>
      <c r="BV587" s="460"/>
      <c r="BW587" s="460"/>
      <c r="BX587" s="460"/>
      <c r="BY587" s="460"/>
      <c r="BZ587" s="460"/>
      <c r="CA587" s="460"/>
      <c r="CB587" s="460"/>
      <c r="CC587" s="460"/>
      <c r="CD587" s="460"/>
      <c r="CE587" s="460"/>
      <c r="CF587" s="460"/>
      <c r="CG587" s="460"/>
      <c r="CH587" s="460"/>
      <c r="CI587" s="460"/>
      <c r="CJ587" s="460"/>
      <c r="CK587" s="460"/>
    </row>
    <row r="588" spans="1:89" s="329" customFormat="1" ht="36" customHeight="1" x14ac:dyDescent="0.25">
      <c r="A588" s="329">
        <v>1</v>
      </c>
      <c r="B588" s="39">
        <f>SUBTOTAL(103,$A$552:A588)</f>
        <v>37</v>
      </c>
      <c r="C588" s="33" t="s">
        <v>1466</v>
      </c>
      <c r="D588" s="330">
        <v>1917</v>
      </c>
      <c r="E588" s="330"/>
      <c r="F588" s="331" t="s">
        <v>48</v>
      </c>
      <c r="G588" s="330">
        <v>2</v>
      </c>
      <c r="H588" s="330" t="s">
        <v>57</v>
      </c>
      <c r="I588" s="334">
        <v>397.2</v>
      </c>
      <c r="J588" s="334">
        <v>370.5</v>
      </c>
      <c r="K588" s="334">
        <v>370.5</v>
      </c>
      <c r="L588" s="332">
        <v>19</v>
      </c>
      <c r="M588" s="330" t="s">
        <v>46</v>
      </c>
      <c r="N588" s="330" t="s">
        <v>50</v>
      </c>
      <c r="O588" s="333" t="s">
        <v>2118</v>
      </c>
      <c r="P588" s="38">
        <v>1335035.1000000001</v>
      </c>
      <c r="Q588" s="38">
        <v>0</v>
      </c>
      <c r="R588" s="38">
        <v>0</v>
      </c>
      <c r="S588" s="38">
        <f t="shared" si="114"/>
        <v>1335035.1000000001</v>
      </c>
      <c r="T588" s="38">
        <f t="shared" si="104"/>
        <v>3361.1155589123869</v>
      </c>
      <c r="U588" s="38">
        <v>4287.7258043806642</v>
      </c>
      <c r="V588" s="458">
        <f t="shared" si="105"/>
        <v>926.6102454682773</v>
      </c>
      <c r="W588" s="458">
        <f t="shared" si="115"/>
        <v>26513.796777442094</v>
      </c>
      <c r="X588" s="458">
        <v>0</v>
      </c>
      <c r="Y588" s="459">
        <v>0</v>
      </c>
      <c r="Z588" s="459">
        <v>0</v>
      </c>
      <c r="AA588" s="459">
        <v>0</v>
      </c>
      <c r="AB588" s="459">
        <v>0</v>
      </c>
      <c r="AC588" s="459">
        <v>0</v>
      </c>
      <c r="AD588" s="459">
        <v>0</v>
      </c>
      <c r="AE588" s="459">
        <v>1688</v>
      </c>
      <c r="AF588" s="458">
        <f t="shared" si="117"/>
        <v>26513.796777442094</v>
      </c>
      <c r="AG588" s="459">
        <v>0</v>
      </c>
      <c r="AH588" s="458">
        <v>0</v>
      </c>
      <c r="AI588" s="459">
        <v>0</v>
      </c>
      <c r="AJ588" s="458">
        <v>0</v>
      </c>
      <c r="AK588" s="459">
        <v>0</v>
      </c>
      <c r="AL588" s="459">
        <v>0</v>
      </c>
      <c r="AM588" s="459">
        <v>0</v>
      </c>
      <c r="AN588" s="459"/>
      <c r="AO588" s="459">
        <v>0</v>
      </c>
      <c r="AP588" s="460"/>
      <c r="AQ588" s="460"/>
      <c r="AR588" s="460"/>
      <c r="AS588" s="460"/>
      <c r="AT588" s="460"/>
      <c r="AU588" s="460"/>
      <c r="AV588" s="460"/>
      <c r="AW588" s="460"/>
      <c r="AX588" s="460"/>
      <c r="AY588" s="460"/>
      <c r="AZ588" s="460"/>
      <c r="BA588" s="460"/>
      <c r="BB588" s="460"/>
      <c r="BC588" s="460"/>
      <c r="BD588" s="460"/>
      <c r="BE588" s="460"/>
      <c r="BF588" s="460"/>
      <c r="BG588" s="460"/>
      <c r="BH588" s="460"/>
      <c r="BI588" s="460"/>
      <c r="BJ588" s="460"/>
      <c r="BK588" s="460"/>
      <c r="BL588" s="460"/>
      <c r="BM588" s="460"/>
      <c r="BN588" s="460"/>
      <c r="BO588" s="460"/>
      <c r="BP588" s="460"/>
      <c r="BQ588" s="460"/>
      <c r="BR588" s="460"/>
      <c r="BS588" s="460"/>
      <c r="BT588" s="460"/>
      <c r="BU588" s="460"/>
      <c r="BV588" s="460"/>
      <c r="BW588" s="460"/>
      <c r="BX588" s="460"/>
      <c r="BY588" s="460"/>
      <c r="BZ588" s="460"/>
      <c r="CA588" s="460"/>
      <c r="CB588" s="460"/>
      <c r="CC588" s="460"/>
      <c r="CD588" s="460"/>
      <c r="CE588" s="460"/>
      <c r="CF588" s="460"/>
      <c r="CG588" s="460"/>
      <c r="CH588" s="460"/>
      <c r="CI588" s="460"/>
      <c r="CJ588" s="460"/>
      <c r="CK588" s="460"/>
    </row>
    <row r="589" spans="1:89" s="329" customFormat="1" ht="36" customHeight="1" x14ac:dyDescent="0.25">
      <c r="A589" s="329">
        <v>1</v>
      </c>
      <c r="B589" s="39">
        <f>SUBTOTAL(103,$A$552:A589)</f>
        <v>38</v>
      </c>
      <c r="C589" s="33" t="s">
        <v>1467</v>
      </c>
      <c r="D589" s="330">
        <v>1917</v>
      </c>
      <c r="E589" s="330"/>
      <c r="F589" s="331" t="s">
        <v>48</v>
      </c>
      <c r="G589" s="330">
        <v>3</v>
      </c>
      <c r="H589" s="330" t="s">
        <v>56</v>
      </c>
      <c r="I589" s="334">
        <v>1376.9</v>
      </c>
      <c r="J589" s="334">
        <v>1164.9000000000001</v>
      </c>
      <c r="K589" s="334">
        <v>779.2</v>
      </c>
      <c r="L589" s="332">
        <v>40</v>
      </c>
      <c r="M589" s="330" t="s">
        <v>46</v>
      </c>
      <c r="N589" s="330" t="s">
        <v>50</v>
      </c>
      <c r="O589" s="333" t="s">
        <v>251</v>
      </c>
      <c r="P589" s="38">
        <v>4219164.3499999996</v>
      </c>
      <c r="Q589" s="38">
        <v>0</v>
      </c>
      <c r="R589" s="38">
        <v>0</v>
      </c>
      <c r="S589" s="38">
        <f t="shared" si="114"/>
        <v>4219164.3499999996</v>
      </c>
      <c r="T589" s="38">
        <f t="shared" si="104"/>
        <v>3064.2489287529952</v>
      </c>
      <c r="U589" s="38">
        <v>4028.2724526109373</v>
      </c>
      <c r="V589" s="458">
        <f t="shared" si="105"/>
        <v>964.02352385794211</v>
      </c>
      <c r="W589" s="458">
        <f t="shared" si="115"/>
        <v>5120.1745224780298</v>
      </c>
      <c r="X589" s="458">
        <v>0</v>
      </c>
      <c r="Y589" s="459">
        <v>0</v>
      </c>
      <c r="Z589" s="459">
        <v>0</v>
      </c>
      <c r="AA589" s="459">
        <v>0</v>
      </c>
      <c r="AB589" s="459">
        <v>0</v>
      </c>
      <c r="AC589" s="459">
        <v>0</v>
      </c>
      <c r="AD589" s="459">
        <v>0</v>
      </c>
      <c r="AE589" s="459">
        <v>1130</v>
      </c>
      <c r="AF589" s="458">
        <f t="shared" si="117"/>
        <v>5120.1745224780298</v>
      </c>
      <c r="AG589" s="459">
        <v>0</v>
      </c>
      <c r="AH589" s="458">
        <v>0</v>
      </c>
      <c r="AI589" s="459">
        <v>0</v>
      </c>
      <c r="AJ589" s="458">
        <v>0</v>
      </c>
      <c r="AK589" s="459">
        <v>0</v>
      </c>
      <c r="AL589" s="459">
        <v>0</v>
      </c>
      <c r="AM589" s="459">
        <v>0</v>
      </c>
      <c r="AN589" s="459"/>
      <c r="AO589" s="459">
        <v>0</v>
      </c>
      <c r="AP589" s="460"/>
      <c r="AQ589" s="460"/>
      <c r="AR589" s="460"/>
      <c r="AS589" s="460"/>
      <c r="AT589" s="460"/>
      <c r="AU589" s="460"/>
      <c r="AV589" s="460"/>
      <c r="AW589" s="460"/>
      <c r="AX589" s="460"/>
      <c r="AY589" s="460"/>
      <c r="AZ589" s="460"/>
      <c r="BA589" s="460"/>
      <c r="BB589" s="460"/>
      <c r="BC589" s="460"/>
      <c r="BD589" s="460"/>
      <c r="BE589" s="460"/>
      <c r="BF589" s="460"/>
      <c r="BG589" s="460"/>
      <c r="BH589" s="460"/>
      <c r="BI589" s="460"/>
      <c r="BJ589" s="460"/>
      <c r="BK589" s="460"/>
      <c r="BL589" s="460"/>
      <c r="BM589" s="460"/>
      <c r="BN589" s="460"/>
      <c r="BO589" s="460"/>
      <c r="BP589" s="460"/>
      <c r="BQ589" s="460"/>
      <c r="BR589" s="460"/>
      <c r="BS589" s="460"/>
      <c r="BT589" s="460"/>
      <c r="BU589" s="460"/>
      <c r="BV589" s="460"/>
      <c r="BW589" s="460"/>
      <c r="BX589" s="460"/>
      <c r="BY589" s="460"/>
      <c r="BZ589" s="460"/>
      <c r="CA589" s="460"/>
      <c r="CB589" s="460"/>
      <c r="CC589" s="460"/>
      <c r="CD589" s="460"/>
      <c r="CE589" s="460"/>
      <c r="CF589" s="460"/>
      <c r="CG589" s="460"/>
      <c r="CH589" s="460"/>
      <c r="CI589" s="460"/>
      <c r="CJ589" s="460"/>
      <c r="CK589" s="460"/>
    </row>
    <row r="590" spans="1:89" s="329" customFormat="1" ht="36" customHeight="1" x14ac:dyDescent="0.25">
      <c r="A590" s="329">
        <v>1</v>
      </c>
      <c r="B590" s="39">
        <f>SUBTOTAL(103,$A$552:A590)</f>
        <v>39</v>
      </c>
      <c r="C590" s="33" t="s">
        <v>1468</v>
      </c>
      <c r="D590" s="330">
        <v>1961</v>
      </c>
      <c r="E590" s="330"/>
      <c r="F590" s="331" t="s">
        <v>48</v>
      </c>
      <c r="G590" s="330" t="s">
        <v>59</v>
      </c>
      <c r="H590" s="330" t="s">
        <v>56</v>
      </c>
      <c r="I590" s="334">
        <v>1478.4</v>
      </c>
      <c r="J590" s="334">
        <v>1363.8</v>
      </c>
      <c r="K590" s="334">
        <v>1044.5999999999999</v>
      </c>
      <c r="L590" s="332">
        <v>50</v>
      </c>
      <c r="M590" s="330" t="s">
        <v>46</v>
      </c>
      <c r="N590" s="330" t="s">
        <v>50</v>
      </c>
      <c r="O590" s="333" t="s">
        <v>1959</v>
      </c>
      <c r="P590" s="38">
        <v>3434742.09</v>
      </c>
      <c r="Q590" s="38">
        <v>0</v>
      </c>
      <c r="R590" s="38">
        <v>0</v>
      </c>
      <c r="S590" s="38">
        <f t="shared" si="114"/>
        <v>3434742.09</v>
      </c>
      <c r="T590" s="38">
        <f t="shared" si="104"/>
        <v>2323.2833400974023</v>
      </c>
      <c r="U590" s="38">
        <v>2667.694602272727</v>
      </c>
      <c r="V590" s="458">
        <f t="shared" si="105"/>
        <v>344.41126217532474</v>
      </c>
      <c r="W590" s="458">
        <f t="shared" si="115"/>
        <v>3190.3517045454541</v>
      </c>
      <c r="X590" s="458">
        <v>0</v>
      </c>
      <c r="Y590" s="459">
        <v>0</v>
      </c>
      <c r="Z590" s="459">
        <v>0</v>
      </c>
      <c r="AA590" s="459">
        <v>0</v>
      </c>
      <c r="AB590" s="459">
        <v>0</v>
      </c>
      <c r="AC590" s="459">
        <v>0</v>
      </c>
      <c r="AD590" s="459">
        <v>0</v>
      </c>
      <c r="AE590" s="459">
        <v>756</v>
      </c>
      <c r="AF590" s="458">
        <f t="shared" si="117"/>
        <v>3190.3517045454541</v>
      </c>
      <c r="AG590" s="459">
        <v>0</v>
      </c>
      <c r="AH590" s="458">
        <v>0</v>
      </c>
      <c r="AI590" s="459">
        <v>0</v>
      </c>
      <c r="AJ590" s="458">
        <v>0</v>
      </c>
      <c r="AK590" s="459">
        <v>0</v>
      </c>
      <c r="AL590" s="459">
        <v>0</v>
      </c>
      <c r="AM590" s="459">
        <v>0</v>
      </c>
      <c r="AN590" s="459"/>
      <c r="AO590" s="459">
        <v>0</v>
      </c>
      <c r="AP590" s="460"/>
      <c r="AQ590" s="460"/>
      <c r="AR590" s="460"/>
      <c r="AS590" s="460"/>
      <c r="AT590" s="460"/>
      <c r="AU590" s="460"/>
      <c r="AV590" s="460"/>
      <c r="AW590" s="460"/>
      <c r="AX590" s="460"/>
      <c r="AY590" s="460"/>
      <c r="AZ590" s="460"/>
      <c r="BA590" s="460"/>
      <c r="BB590" s="460"/>
      <c r="BC590" s="460"/>
      <c r="BD590" s="460"/>
      <c r="BE590" s="460"/>
      <c r="BF590" s="460"/>
      <c r="BG590" s="460"/>
      <c r="BH590" s="460"/>
      <c r="BI590" s="460"/>
      <c r="BJ590" s="460"/>
      <c r="BK590" s="460"/>
      <c r="BL590" s="460"/>
      <c r="BM590" s="460"/>
      <c r="BN590" s="460"/>
      <c r="BO590" s="460"/>
      <c r="BP590" s="460"/>
      <c r="BQ590" s="460"/>
      <c r="BR590" s="460"/>
      <c r="BS590" s="460"/>
      <c r="BT590" s="460"/>
      <c r="BU590" s="460"/>
      <c r="BV590" s="460"/>
      <c r="BW590" s="460"/>
      <c r="BX590" s="460"/>
      <c r="BY590" s="460"/>
      <c r="BZ590" s="460"/>
      <c r="CA590" s="460"/>
      <c r="CB590" s="460"/>
      <c r="CC590" s="460"/>
      <c r="CD590" s="460"/>
      <c r="CE590" s="460"/>
      <c r="CF590" s="460"/>
      <c r="CG590" s="460"/>
      <c r="CH590" s="460"/>
      <c r="CI590" s="460"/>
      <c r="CJ590" s="460"/>
      <c r="CK590" s="460"/>
    </row>
    <row r="591" spans="1:89" s="329" customFormat="1" ht="36" customHeight="1" x14ac:dyDescent="0.25">
      <c r="A591" s="329">
        <v>1</v>
      </c>
      <c r="B591" s="39">
        <f>SUBTOTAL(103,$A$552:A591)</f>
        <v>40</v>
      </c>
      <c r="C591" s="33" t="s">
        <v>1087</v>
      </c>
      <c r="D591" s="330">
        <v>1960</v>
      </c>
      <c r="E591" s="330"/>
      <c r="F591" s="331" t="s">
        <v>48</v>
      </c>
      <c r="G591" s="330">
        <v>5</v>
      </c>
      <c r="H591" s="330" t="s">
        <v>61</v>
      </c>
      <c r="I591" s="334">
        <v>3202.4</v>
      </c>
      <c r="J591" s="334">
        <v>2438.9</v>
      </c>
      <c r="K591" s="334">
        <v>2438.9</v>
      </c>
      <c r="L591" s="332">
        <v>120</v>
      </c>
      <c r="M591" s="330" t="s">
        <v>46</v>
      </c>
      <c r="N591" s="330" t="s">
        <v>50</v>
      </c>
      <c r="O591" s="333" t="s">
        <v>1958</v>
      </c>
      <c r="P591" s="38">
        <v>5709375</v>
      </c>
      <c r="Q591" s="38">
        <v>0</v>
      </c>
      <c r="R591" s="38">
        <v>0</v>
      </c>
      <c r="S591" s="38">
        <f t="shared" si="114"/>
        <v>5709375</v>
      </c>
      <c r="T591" s="38">
        <f t="shared" ref="T591:T654" si="118">P591/I591</f>
        <v>1782.8425555833126</v>
      </c>
      <c r="U591" s="38">
        <v>4650.5989882588065</v>
      </c>
      <c r="V591" s="458">
        <f t="shared" si="105"/>
        <v>2867.7564326754937</v>
      </c>
      <c r="W591" s="458">
        <f t="shared" si="115"/>
        <v>1305.2928116412688</v>
      </c>
      <c r="X591" s="458">
        <v>0</v>
      </c>
      <c r="Y591" s="459">
        <v>0</v>
      </c>
      <c r="Z591" s="459">
        <v>0</v>
      </c>
      <c r="AA591" s="459">
        <v>0</v>
      </c>
      <c r="AB591" s="459">
        <v>0</v>
      </c>
      <c r="AC591" s="459">
        <v>0</v>
      </c>
      <c r="AD591" s="459">
        <v>0</v>
      </c>
      <c r="AE591" s="459">
        <v>670</v>
      </c>
      <c r="AF591" s="458">
        <f t="shared" si="117"/>
        <v>1305.2928116412688</v>
      </c>
      <c r="AG591" s="459">
        <v>0</v>
      </c>
      <c r="AH591" s="458">
        <v>0</v>
      </c>
      <c r="AI591" s="459">
        <v>0</v>
      </c>
      <c r="AJ591" s="458">
        <v>0</v>
      </c>
      <c r="AK591" s="459">
        <v>0</v>
      </c>
      <c r="AL591" s="459">
        <v>0</v>
      </c>
      <c r="AM591" s="459">
        <v>0</v>
      </c>
      <c r="AN591" s="459"/>
      <c r="AO591" s="459">
        <v>0</v>
      </c>
      <c r="AP591" s="460"/>
      <c r="AQ591" s="460"/>
      <c r="AR591" s="460"/>
      <c r="AS591" s="460"/>
      <c r="AT591" s="460"/>
      <c r="AU591" s="460"/>
      <c r="AV591" s="460"/>
      <c r="AW591" s="460"/>
      <c r="AX591" s="460"/>
      <c r="AY591" s="460"/>
      <c r="AZ591" s="460"/>
      <c r="BA591" s="460"/>
      <c r="BB591" s="460"/>
      <c r="BC591" s="460"/>
      <c r="BD591" s="460"/>
      <c r="BE591" s="460"/>
      <c r="BF591" s="460"/>
      <c r="BG591" s="460"/>
      <c r="BH591" s="460"/>
      <c r="BI591" s="460"/>
      <c r="BJ591" s="460"/>
      <c r="BK591" s="460"/>
      <c r="BL591" s="460"/>
      <c r="BM591" s="460"/>
      <c r="BN591" s="460"/>
      <c r="BO591" s="460"/>
      <c r="BP591" s="460"/>
      <c r="BQ591" s="460"/>
      <c r="BR591" s="460"/>
      <c r="BS591" s="460"/>
      <c r="BT591" s="460"/>
      <c r="BU591" s="460"/>
      <c r="BV591" s="460"/>
      <c r="BW591" s="460"/>
      <c r="BX591" s="460"/>
      <c r="BY591" s="460"/>
      <c r="BZ591" s="460"/>
      <c r="CA591" s="460"/>
      <c r="CB591" s="460"/>
      <c r="CC591" s="460"/>
      <c r="CD591" s="460"/>
      <c r="CE591" s="460"/>
      <c r="CF591" s="460"/>
      <c r="CG591" s="460"/>
      <c r="CH591" s="460"/>
      <c r="CI591" s="460"/>
      <c r="CJ591" s="460"/>
      <c r="CK591" s="460"/>
    </row>
    <row r="592" spans="1:89" s="329" customFormat="1" ht="36" customHeight="1" x14ac:dyDescent="0.25">
      <c r="A592" s="329">
        <v>1</v>
      </c>
      <c r="B592" s="39">
        <f>SUBTOTAL(103,$A$552:A592)</f>
        <v>41</v>
      </c>
      <c r="C592" s="33" t="s">
        <v>1088</v>
      </c>
      <c r="D592" s="330">
        <v>1941</v>
      </c>
      <c r="E592" s="330"/>
      <c r="F592" s="331" t="s">
        <v>48</v>
      </c>
      <c r="G592" s="330">
        <v>3</v>
      </c>
      <c r="H592" s="330" t="s">
        <v>56</v>
      </c>
      <c r="I592" s="334">
        <v>1265</v>
      </c>
      <c r="J592" s="334">
        <v>1152.5999999999999</v>
      </c>
      <c r="K592" s="334">
        <v>1105.5</v>
      </c>
      <c r="L592" s="332">
        <v>60</v>
      </c>
      <c r="M592" s="330" t="s">
        <v>46</v>
      </c>
      <c r="N592" s="330" t="s">
        <v>50</v>
      </c>
      <c r="O592" s="333" t="s">
        <v>1966</v>
      </c>
      <c r="P592" s="38">
        <v>2783418.81</v>
      </c>
      <c r="Q592" s="38">
        <v>0</v>
      </c>
      <c r="R592" s="38">
        <v>0</v>
      </c>
      <c r="S592" s="38">
        <f t="shared" si="114"/>
        <v>2783418.81</v>
      </c>
      <c r="T592" s="38">
        <f t="shared" si="118"/>
        <v>2200.3310750988144</v>
      </c>
      <c r="U592" s="38">
        <v>5057.4118577075096</v>
      </c>
      <c r="V592" s="458">
        <f t="shared" si="105"/>
        <v>2857.0807826086952</v>
      </c>
      <c r="W592" s="458">
        <f t="shared" si="115"/>
        <v>1341.7355458498023</v>
      </c>
      <c r="X592" s="458">
        <v>0</v>
      </c>
      <c r="Y592" s="459">
        <v>0</v>
      </c>
      <c r="Z592" s="459">
        <v>0</v>
      </c>
      <c r="AA592" s="459">
        <v>0</v>
      </c>
      <c r="AB592" s="459">
        <v>0</v>
      </c>
      <c r="AC592" s="459">
        <v>0</v>
      </c>
      <c r="AD592" s="459">
        <v>0</v>
      </c>
      <c r="AE592" s="459">
        <v>272.05</v>
      </c>
      <c r="AF592" s="458">
        <f t="shared" si="117"/>
        <v>1341.7355458498023</v>
      </c>
      <c r="AG592" s="459">
        <v>0</v>
      </c>
      <c r="AH592" s="458">
        <v>0</v>
      </c>
      <c r="AI592" s="459">
        <v>0</v>
      </c>
      <c r="AJ592" s="458">
        <v>0</v>
      </c>
      <c r="AK592" s="459">
        <v>0</v>
      </c>
      <c r="AL592" s="459">
        <v>0</v>
      </c>
      <c r="AM592" s="459">
        <v>0</v>
      </c>
      <c r="AN592" s="459"/>
      <c r="AO592" s="459">
        <v>0</v>
      </c>
      <c r="AP592" s="460"/>
      <c r="AQ592" s="460"/>
      <c r="AR592" s="460"/>
      <c r="AS592" s="460"/>
      <c r="AT592" s="460"/>
      <c r="AU592" s="460"/>
      <c r="AV592" s="460"/>
      <c r="AW592" s="460"/>
      <c r="AX592" s="460"/>
      <c r="AY592" s="460"/>
      <c r="AZ592" s="460"/>
      <c r="BA592" s="460"/>
      <c r="BB592" s="460"/>
      <c r="BC592" s="460"/>
      <c r="BD592" s="460"/>
      <c r="BE592" s="460"/>
      <c r="BF592" s="460"/>
      <c r="BG592" s="460"/>
      <c r="BH592" s="460"/>
      <c r="BI592" s="460"/>
      <c r="BJ592" s="460"/>
      <c r="BK592" s="460"/>
      <c r="BL592" s="460"/>
      <c r="BM592" s="460"/>
      <c r="BN592" s="460"/>
      <c r="BO592" s="460"/>
      <c r="BP592" s="460"/>
      <c r="BQ592" s="460"/>
      <c r="BR592" s="460"/>
      <c r="BS592" s="460"/>
      <c r="BT592" s="460"/>
      <c r="BU592" s="460"/>
      <c r="BV592" s="460"/>
      <c r="BW592" s="460"/>
      <c r="BX592" s="460"/>
      <c r="BY592" s="460"/>
      <c r="BZ592" s="460"/>
      <c r="CA592" s="460"/>
      <c r="CB592" s="460"/>
      <c r="CC592" s="460"/>
      <c r="CD592" s="460"/>
      <c r="CE592" s="460"/>
      <c r="CF592" s="460"/>
      <c r="CG592" s="460"/>
      <c r="CH592" s="460"/>
      <c r="CI592" s="460"/>
      <c r="CJ592" s="460"/>
      <c r="CK592" s="460"/>
    </row>
    <row r="593" spans="1:89" s="329" customFormat="1" ht="36" customHeight="1" x14ac:dyDescent="0.25">
      <c r="A593" s="329">
        <v>1</v>
      </c>
      <c r="B593" s="39">
        <f>SUBTOTAL(103,$A$552:A593)</f>
        <v>42</v>
      </c>
      <c r="C593" s="33" t="s">
        <v>1089</v>
      </c>
      <c r="D593" s="330">
        <v>1961</v>
      </c>
      <c r="E593" s="330"/>
      <c r="F593" s="331" t="s">
        <v>48</v>
      </c>
      <c r="G593" s="330" t="s">
        <v>1969</v>
      </c>
      <c r="H593" s="330" t="s">
        <v>61</v>
      </c>
      <c r="I593" s="334">
        <v>2941.6</v>
      </c>
      <c r="J593" s="334">
        <v>2564.1</v>
      </c>
      <c r="K593" s="334">
        <v>2365.9</v>
      </c>
      <c r="L593" s="332">
        <v>130</v>
      </c>
      <c r="M593" s="330" t="s">
        <v>46</v>
      </c>
      <c r="N593" s="330" t="s">
        <v>50</v>
      </c>
      <c r="O593" s="333" t="s">
        <v>1962</v>
      </c>
      <c r="P593" s="38">
        <v>3863646.31</v>
      </c>
      <c r="Q593" s="38">
        <v>0</v>
      </c>
      <c r="R593" s="38">
        <v>0</v>
      </c>
      <c r="S593" s="38">
        <f t="shared" si="114"/>
        <v>3863646.31</v>
      </c>
      <c r="T593" s="38">
        <f t="shared" si="118"/>
        <v>1313.4506085123742</v>
      </c>
      <c r="U593" s="38">
        <v>1981.61317534675</v>
      </c>
      <c r="V593" s="458">
        <f t="shared" ref="V593:V656" si="119">U593-T593</f>
        <v>668.16256683437587</v>
      </c>
      <c r="W593" s="458">
        <f t="shared" si="115"/>
        <v>1879.1386524340494</v>
      </c>
      <c r="X593" s="458">
        <v>0</v>
      </c>
      <c r="Y593" s="459">
        <v>0</v>
      </c>
      <c r="Z593" s="459">
        <v>0</v>
      </c>
      <c r="AA593" s="459">
        <v>0</v>
      </c>
      <c r="AB593" s="459">
        <v>0</v>
      </c>
      <c r="AC593" s="459">
        <v>0</v>
      </c>
      <c r="AD593" s="459">
        <v>0</v>
      </c>
      <c r="AE593" s="459">
        <v>886</v>
      </c>
      <c r="AF593" s="458">
        <f t="shared" si="117"/>
        <v>1879.1386524340494</v>
      </c>
      <c r="AG593" s="459">
        <v>0</v>
      </c>
      <c r="AH593" s="458">
        <v>0</v>
      </c>
      <c r="AI593" s="459">
        <v>0</v>
      </c>
      <c r="AJ593" s="458">
        <v>0</v>
      </c>
      <c r="AK593" s="459">
        <v>0</v>
      </c>
      <c r="AL593" s="459">
        <v>0</v>
      </c>
      <c r="AM593" s="459">
        <v>0</v>
      </c>
      <c r="AN593" s="459"/>
      <c r="AO593" s="459">
        <v>0</v>
      </c>
      <c r="AP593" s="460"/>
      <c r="AQ593" s="460"/>
      <c r="AR593" s="460"/>
      <c r="AS593" s="460"/>
      <c r="AT593" s="460"/>
      <c r="AU593" s="460"/>
      <c r="AV593" s="460"/>
      <c r="AW593" s="460"/>
      <c r="AX593" s="460"/>
      <c r="AY593" s="460"/>
      <c r="AZ593" s="460"/>
      <c r="BA593" s="460"/>
      <c r="BB593" s="460"/>
      <c r="BC593" s="460"/>
      <c r="BD593" s="460"/>
      <c r="BE593" s="460"/>
      <c r="BF593" s="460"/>
      <c r="BG593" s="460"/>
      <c r="BH593" s="460"/>
      <c r="BI593" s="460"/>
      <c r="BJ593" s="460"/>
      <c r="BK593" s="460"/>
      <c r="BL593" s="460"/>
      <c r="BM593" s="460"/>
      <c r="BN593" s="460"/>
      <c r="BO593" s="460"/>
      <c r="BP593" s="460"/>
      <c r="BQ593" s="460"/>
      <c r="BR593" s="460"/>
      <c r="BS593" s="460"/>
      <c r="BT593" s="460"/>
      <c r="BU593" s="460"/>
      <c r="BV593" s="460"/>
      <c r="BW593" s="460"/>
      <c r="BX593" s="460"/>
      <c r="BY593" s="460"/>
      <c r="BZ593" s="460"/>
      <c r="CA593" s="460"/>
      <c r="CB593" s="460"/>
      <c r="CC593" s="460"/>
      <c r="CD593" s="460"/>
      <c r="CE593" s="460"/>
      <c r="CF593" s="460"/>
      <c r="CG593" s="460"/>
      <c r="CH593" s="460"/>
      <c r="CI593" s="460"/>
      <c r="CJ593" s="460"/>
      <c r="CK593" s="460"/>
    </row>
    <row r="594" spans="1:89" s="329" customFormat="1" ht="36" customHeight="1" x14ac:dyDescent="0.25">
      <c r="A594" s="329">
        <v>1</v>
      </c>
      <c r="B594" s="39">
        <f>SUBTOTAL(103,$A$552:A594)</f>
        <v>43</v>
      </c>
      <c r="C594" s="33" t="s">
        <v>1090</v>
      </c>
      <c r="D594" s="330">
        <v>1973</v>
      </c>
      <c r="E594" s="330"/>
      <c r="F594" s="331" t="s">
        <v>48</v>
      </c>
      <c r="G594" s="330">
        <v>9</v>
      </c>
      <c r="H594" s="330" t="s">
        <v>57</v>
      </c>
      <c r="I594" s="334">
        <v>1958.4</v>
      </c>
      <c r="J594" s="334">
        <v>1958.4</v>
      </c>
      <c r="K594" s="334">
        <v>1941.8</v>
      </c>
      <c r="L594" s="332">
        <v>92</v>
      </c>
      <c r="M594" s="330" t="s">
        <v>46</v>
      </c>
      <c r="N594" s="330" t="s">
        <v>50</v>
      </c>
      <c r="O594" s="333" t="s">
        <v>1968</v>
      </c>
      <c r="P594" s="38">
        <v>1040953.78</v>
      </c>
      <c r="Q594" s="38">
        <v>0</v>
      </c>
      <c r="R594" s="38">
        <v>0</v>
      </c>
      <c r="S594" s="38">
        <f t="shared" si="114"/>
        <v>1040953.78</v>
      </c>
      <c r="T594" s="38">
        <f t="shared" si="118"/>
        <v>531.53277165032682</v>
      </c>
      <c r="U594" s="38">
        <v>2104.4022671568628</v>
      </c>
      <c r="V594" s="458">
        <f t="shared" si="119"/>
        <v>1572.8694955065359</v>
      </c>
      <c r="W594" s="458">
        <f t="shared" si="115"/>
        <v>2007.0022977941176</v>
      </c>
      <c r="X594" s="458">
        <v>0</v>
      </c>
      <c r="Y594" s="459">
        <v>0</v>
      </c>
      <c r="Z594" s="459">
        <v>0</v>
      </c>
      <c r="AA594" s="459">
        <v>0</v>
      </c>
      <c r="AB594" s="459">
        <v>0</v>
      </c>
      <c r="AC594" s="459">
        <v>0</v>
      </c>
      <c r="AD594" s="459">
        <v>0</v>
      </c>
      <c r="AE594" s="459">
        <v>630</v>
      </c>
      <c r="AF594" s="458">
        <f t="shared" si="117"/>
        <v>2007.0022977941176</v>
      </c>
      <c r="AG594" s="459">
        <v>0</v>
      </c>
      <c r="AH594" s="458">
        <v>0</v>
      </c>
      <c r="AI594" s="459">
        <v>0</v>
      </c>
      <c r="AJ594" s="458">
        <v>0</v>
      </c>
      <c r="AK594" s="459">
        <v>0</v>
      </c>
      <c r="AL594" s="459">
        <v>0</v>
      </c>
      <c r="AM594" s="459">
        <v>0</v>
      </c>
      <c r="AN594" s="459"/>
      <c r="AO594" s="459">
        <v>0</v>
      </c>
      <c r="AP594" s="460"/>
      <c r="AQ594" s="460"/>
      <c r="AR594" s="460"/>
      <c r="AS594" s="460"/>
      <c r="AT594" s="460"/>
      <c r="AU594" s="460"/>
      <c r="AV594" s="460"/>
      <c r="AW594" s="460"/>
      <c r="AX594" s="460"/>
      <c r="AY594" s="460"/>
      <c r="AZ594" s="460"/>
      <c r="BA594" s="460"/>
      <c r="BB594" s="460"/>
      <c r="BC594" s="460"/>
      <c r="BD594" s="460"/>
      <c r="BE594" s="460"/>
      <c r="BF594" s="460"/>
      <c r="BG594" s="460"/>
      <c r="BH594" s="460"/>
      <c r="BI594" s="460"/>
      <c r="BJ594" s="460"/>
      <c r="BK594" s="460"/>
      <c r="BL594" s="460"/>
      <c r="BM594" s="460"/>
      <c r="BN594" s="460"/>
      <c r="BO594" s="460"/>
      <c r="BP594" s="460"/>
      <c r="BQ594" s="460"/>
      <c r="BR594" s="460"/>
      <c r="BS594" s="460"/>
      <c r="BT594" s="460"/>
      <c r="BU594" s="460"/>
      <c r="BV594" s="460"/>
      <c r="BW594" s="460"/>
      <c r="BX594" s="460"/>
      <c r="BY594" s="460"/>
      <c r="BZ594" s="460"/>
      <c r="CA594" s="460"/>
      <c r="CB594" s="460"/>
      <c r="CC594" s="460"/>
      <c r="CD594" s="460"/>
      <c r="CE594" s="460"/>
      <c r="CF594" s="460"/>
      <c r="CG594" s="460"/>
      <c r="CH594" s="460"/>
      <c r="CI594" s="460"/>
      <c r="CJ594" s="460"/>
      <c r="CK594" s="460"/>
    </row>
    <row r="595" spans="1:89" s="329" customFormat="1" ht="36" customHeight="1" x14ac:dyDescent="0.25">
      <c r="A595" s="329">
        <v>1</v>
      </c>
      <c r="B595" s="39">
        <f>SUBTOTAL(103,$A$552:A595)</f>
        <v>44</v>
      </c>
      <c r="C595" s="33" t="s">
        <v>1469</v>
      </c>
      <c r="D595" s="330">
        <v>1950</v>
      </c>
      <c r="E595" s="330"/>
      <c r="F595" s="331" t="s">
        <v>48</v>
      </c>
      <c r="G595" s="330">
        <v>2</v>
      </c>
      <c r="H595" s="330" t="s">
        <v>56</v>
      </c>
      <c r="I595" s="334">
        <v>814.1</v>
      </c>
      <c r="J595" s="334">
        <v>739.6</v>
      </c>
      <c r="K595" s="334">
        <v>739.6</v>
      </c>
      <c r="L595" s="332">
        <v>34</v>
      </c>
      <c r="M595" s="330" t="s">
        <v>46</v>
      </c>
      <c r="N595" s="330" t="s">
        <v>50</v>
      </c>
      <c r="O595" s="333" t="s">
        <v>1959</v>
      </c>
      <c r="P595" s="38">
        <v>1338055.4100000001</v>
      </c>
      <c r="Q595" s="38">
        <v>0</v>
      </c>
      <c r="R595" s="38">
        <v>0</v>
      </c>
      <c r="S595" s="38">
        <f t="shared" si="114"/>
        <v>1338055.4100000001</v>
      </c>
      <c r="T595" s="38">
        <f t="shared" si="118"/>
        <v>1643.6007984277117</v>
      </c>
      <c r="U595" s="38">
        <v>3029.0628669696598</v>
      </c>
      <c r="V595" s="458">
        <f t="shared" si="119"/>
        <v>1385.4620685419482</v>
      </c>
      <c r="W595" s="458">
        <f t="shared" si="115"/>
        <v>8350.2227441346258</v>
      </c>
      <c r="X595" s="458">
        <v>0</v>
      </c>
      <c r="Y595" s="459">
        <v>0</v>
      </c>
      <c r="Z595" s="459">
        <v>0</v>
      </c>
      <c r="AA595" s="459">
        <v>0</v>
      </c>
      <c r="AB595" s="459">
        <v>0</v>
      </c>
      <c r="AC595" s="459">
        <v>0</v>
      </c>
      <c r="AD595" s="459">
        <v>0</v>
      </c>
      <c r="AE595" s="459">
        <v>1089.5999999999999</v>
      </c>
      <c r="AF595" s="458">
        <f t="shared" si="117"/>
        <v>8350.2227441346258</v>
      </c>
      <c r="AG595" s="459">
        <v>0</v>
      </c>
      <c r="AH595" s="458">
        <v>0</v>
      </c>
      <c r="AI595" s="459">
        <v>0</v>
      </c>
      <c r="AJ595" s="458">
        <v>0</v>
      </c>
      <c r="AK595" s="459">
        <v>0</v>
      </c>
      <c r="AL595" s="459">
        <v>0</v>
      </c>
      <c r="AM595" s="459">
        <v>0</v>
      </c>
      <c r="AN595" s="459"/>
      <c r="AO595" s="459">
        <v>0</v>
      </c>
      <c r="AP595" s="460"/>
      <c r="AQ595" s="460"/>
      <c r="AR595" s="460"/>
      <c r="AS595" s="460"/>
      <c r="AT595" s="460"/>
      <c r="AU595" s="460"/>
      <c r="AV595" s="460"/>
      <c r="AW595" s="460"/>
      <c r="AX595" s="460"/>
      <c r="AY595" s="460"/>
      <c r="AZ595" s="460"/>
      <c r="BA595" s="460"/>
      <c r="BB595" s="460"/>
      <c r="BC595" s="460"/>
      <c r="BD595" s="460"/>
      <c r="BE595" s="460"/>
      <c r="BF595" s="460"/>
      <c r="BG595" s="460"/>
      <c r="BH595" s="460"/>
      <c r="BI595" s="460"/>
      <c r="BJ595" s="460"/>
      <c r="BK595" s="460"/>
      <c r="BL595" s="460"/>
      <c r="BM595" s="460"/>
      <c r="BN595" s="460"/>
      <c r="BO595" s="460"/>
      <c r="BP595" s="460"/>
      <c r="BQ595" s="460"/>
      <c r="BR595" s="460"/>
      <c r="BS595" s="460"/>
      <c r="BT595" s="460"/>
      <c r="BU595" s="460"/>
      <c r="BV595" s="460"/>
      <c r="BW595" s="460"/>
      <c r="BX595" s="460"/>
      <c r="BY595" s="460"/>
      <c r="BZ595" s="460"/>
      <c r="CA595" s="460"/>
      <c r="CB595" s="460"/>
      <c r="CC595" s="460"/>
      <c r="CD595" s="460"/>
      <c r="CE595" s="460"/>
      <c r="CF595" s="460"/>
      <c r="CG595" s="460"/>
      <c r="CH595" s="460"/>
      <c r="CI595" s="460"/>
      <c r="CJ595" s="460"/>
      <c r="CK595" s="460"/>
    </row>
    <row r="596" spans="1:89" s="329" customFormat="1" ht="36" customHeight="1" x14ac:dyDescent="0.25">
      <c r="A596" s="329">
        <v>1</v>
      </c>
      <c r="B596" s="39">
        <f>SUBTOTAL(103,$A$552:A596)</f>
        <v>45</v>
      </c>
      <c r="C596" s="33" t="s">
        <v>1470</v>
      </c>
      <c r="D596" s="330">
        <v>1958</v>
      </c>
      <c r="E596" s="330"/>
      <c r="F596" s="331" t="s">
        <v>48</v>
      </c>
      <c r="G596" s="330">
        <v>2</v>
      </c>
      <c r="H596" s="330" t="s">
        <v>56</v>
      </c>
      <c r="I596" s="334">
        <v>515.4</v>
      </c>
      <c r="J596" s="334">
        <v>454.3</v>
      </c>
      <c r="K596" s="334">
        <v>454.3</v>
      </c>
      <c r="L596" s="332">
        <v>21</v>
      </c>
      <c r="M596" s="330" t="s">
        <v>46</v>
      </c>
      <c r="N596" s="330" t="s">
        <v>50</v>
      </c>
      <c r="O596" s="333" t="s">
        <v>251</v>
      </c>
      <c r="P596" s="38">
        <v>221655.15999999997</v>
      </c>
      <c r="Q596" s="38">
        <v>0</v>
      </c>
      <c r="R596" s="38">
        <v>0</v>
      </c>
      <c r="S596" s="38">
        <f t="shared" si="114"/>
        <v>221655.15999999997</v>
      </c>
      <c r="T596" s="38">
        <f t="shared" si="118"/>
        <v>430.06433837795885</v>
      </c>
      <c r="U596" s="38">
        <v>430.06433837795885</v>
      </c>
      <c r="V596" s="458">
        <f t="shared" si="119"/>
        <v>0</v>
      </c>
      <c r="W596" s="458">
        <f t="shared" si="115"/>
        <v>28896.154831199074</v>
      </c>
      <c r="X596" s="458">
        <v>0</v>
      </c>
      <c r="Y596" s="459">
        <v>0</v>
      </c>
      <c r="Z596" s="459">
        <v>0</v>
      </c>
      <c r="AA596" s="459">
        <v>0</v>
      </c>
      <c r="AB596" s="459">
        <v>0</v>
      </c>
      <c r="AC596" s="459">
        <v>0</v>
      </c>
      <c r="AD596" s="459">
        <v>0</v>
      </c>
      <c r="AE596" s="459">
        <v>0</v>
      </c>
      <c r="AF596" s="458">
        <v>0</v>
      </c>
      <c r="AG596" s="459">
        <v>0</v>
      </c>
      <c r="AH596" s="458">
        <v>0</v>
      </c>
      <c r="AI596" s="459">
        <v>2002</v>
      </c>
      <c r="AJ596" s="458">
        <f>7439.1*AI596/I596</f>
        <v>28896.154831199074</v>
      </c>
      <c r="AK596" s="459">
        <v>0</v>
      </c>
      <c r="AL596" s="459">
        <v>0</v>
      </c>
      <c r="AM596" s="459">
        <v>0</v>
      </c>
      <c r="AN596" s="459"/>
      <c r="AO596" s="459">
        <v>0</v>
      </c>
      <c r="AP596" s="460"/>
      <c r="AQ596" s="460"/>
      <c r="AR596" s="460"/>
      <c r="AS596" s="460"/>
      <c r="AT596" s="460"/>
      <c r="AU596" s="460"/>
      <c r="AV596" s="460"/>
      <c r="AW596" s="460"/>
      <c r="AX596" s="460"/>
      <c r="AY596" s="460"/>
      <c r="AZ596" s="460"/>
      <c r="BA596" s="460"/>
      <c r="BB596" s="460"/>
      <c r="BC596" s="460"/>
      <c r="BD596" s="460"/>
      <c r="BE596" s="460"/>
      <c r="BF596" s="460"/>
      <c r="BG596" s="460"/>
      <c r="BH596" s="460"/>
      <c r="BI596" s="460"/>
      <c r="BJ596" s="460"/>
      <c r="BK596" s="460"/>
      <c r="BL596" s="460"/>
      <c r="BM596" s="460"/>
      <c r="BN596" s="460"/>
      <c r="BO596" s="460"/>
      <c r="BP596" s="460"/>
      <c r="BQ596" s="460"/>
      <c r="BR596" s="460"/>
      <c r="BS596" s="460"/>
      <c r="BT596" s="460"/>
      <c r="BU596" s="460"/>
      <c r="BV596" s="460"/>
      <c r="BW596" s="460"/>
      <c r="BX596" s="460"/>
      <c r="BY596" s="460"/>
      <c r="BZ596" s="460"/>
      <c r="CA596" s="460"/>
      <c r="CB596" s="460"/>
      <c r="CC596" s="460"/>
      <c r="CD596" s="460"/>
      <c r="CE596" s="460"/>
      <c r="CF596" s="460"/>
      <c r="CG596" s="460"/>
      <c r="CH596" s="460"/>
      <c r="CI596" s="460"/>
      <c r="CJ596" s="460"/>
      <c r="CK596" s="460"/>
    </row>
    <row r="597" spans="1:89" s="329" customFormat="1" ht="36" customHeight="1" x14ac:dyDescent="0.25">
      <c r="A597" s="329">
        <v>1</v>
      </c>
      <c r="B597" s="39">
        <f>SUBTOTAL(103,$A$552:A597)</f>
        <v>46</v>
      </c>
      <c r="C597" s="33" t="s">
        <v>1147</v>
      </c>
      <c r="D597" s="330" t="s">
        <v>2048</v>
      </c>
      <c r="E597" s="330"/>
      <c r="F597" s="331" t="s">
        <v>48</v>
      </c>
      <c r="G597" s="330" t="s">
        <v>59</v>
      </c>
      <c r="H597" s="330" t="s">
        <v>56</v>
      </c>
      <c r="I597" s="334">
        <v>1341.9</v>
      </c>
      <c r="J597" s="334">
        <v>1245.7</v>
      </c>
      <c r="K597" s="334">
        <v>1245.7</v>
      </c>
      <c r="L597" s="332">
        <v>62</v>
      </c>
      <c r="M597" s="330" t="s">
        <v>46</v>
      </c>
      <c r="N597" s="330" t="s">
        <v>50</v>
      </c>
      <c r="O597" s="333" t="s">
        <v>1976</v>
      </c>
      <c r="P597" s="38">
        <v>2839946.57</v>
      </c>
      <c r="Q597" s="38">
        <v>0</v>
      </c>
      <c r="R597" s="38">
        <v>0</v>
      </c>
      <c r="S597" s="38">
        <f t="shared" si="114"/>
        <v>2839946.57</v>
      </c>
      <c r="T597" s="38">
        <f t="shared" si="118"/>
        <v>2116.3622997242715</v>
      </c>
      <c r="U597" s="38">
        <v>2116.3622997242715</v>
      </c>
      <c r="V597" s="458">
        <f t="shared" si="119"/>
        <v>0</v>
      </c>
      <c r="W597" s="458">
        <f t="shared" si="115"/>
        <v>4767.587748714509</v>
      </c>
      <c r="X597" s="458">
        <v>0</v>
      </c>
      <c r="Y597" s="459">
        <v>0</v>
      </c>
      <c r="Z597" s="459">
        <v>0</v>
      </c>
      <c r="AA597" s="459">
        <v>0</v>
      </c>
      <c r="AB597" s="459">
        <v>0</v>
      </c>
      <c r="AC597" s="459">
        <v>0</v>
      </c>
      <c r="AD597" s="459">
        <v>0</v>
      </c>
      <c r="AE597" s="459">
        <v>0</v>
      </c>
      <c r="AF597" s="458">
        <v>0</v>
      </c>
      <c r="AG597" s="459">
        <v>0</v>
      </c>
      <c r="AH597" s="458">
        <v>0</v>
      </c>
      <c r="AI597" s="459">
        <v>860</v>
      </c>
      <c r="AJ597" s="458">
        <f>7439.1*AI597/I597</f>
        <v>4767.587748714509</v>
      </c>
      <c r="AK597" s="459">
        <v>0</v>
      </c>
      <c r="AL597" s="459">
        <v>0</v>
      </c>
      <c r="AM597" s="459">
        <v>0</v>
      </c>
      <c r="AN597" s="459"/>
      <c r="AO597" s="459">
        <v>0</v>
      </c>
      <c r="AP597" s="460"/>
      <c r="AQ597" s="460"/>
      <c r="AR597" s="460"/>
      <c r="AS597" s="460"/>
      <c r="AT597" s="460"/>
      <c r="AU597" s="460"/>
      <c r="AV597" s="460"/>
      <c r="AW597" s="460"/>
      <c r="AX597" s="460"/>
      <c r="AY597" s="460"/>
      <c r="AZ597" s="460"/>
      <c r="BA597" s="460"/>
      <c r="BB597" s="460"/>
      <c r="BC597" s="460"/>
      <c r="BD597" s="460"/>
      <c r="BE597" s="460"/>
      <c r="BF597" s="460"/>
      <c r="BG597" s="460"/>
      <c r="BH597" s="460"/>
      <c r="BI597" s="460"/>
      <c r="BJ597" s="460"/>
      <c r="BK597" s="460"/>
      <c r="BL597" s="460"/>
      <c r="BM597" s="460"/>
      <c r="BN597" s="460"/>
      <c r="BO597" s="460"/>
      <c r="BP597" s="460"/>
      <c r="BQ597" s="460"/>
      <c r="BR597" s="460"/>
      <c r="BS597" s="460"/>
      <c r="BT597" s="460"/>
      <c r="BU597" s="460"/>
      <c r="BV597" s="460"/>
      <c r="BW597" s="460"/>
      <c r="BX597" s="460"/>
      <c r="BY597" s="460"/>
      <c r="BZ597" s="460"/>
      <c r="CA597" s="460"/>
      <c r="CB597" s="460"/>
      <c r="CC597" s="460"/>
      <c r="CD597" s="460"/>
      <c r="CE597" s="460"/>
      <c r="CF597" s="460"/>
      <c r="CG597" s="460"/>
      <c r="CH597" s="460"/>
      <c r="CI597" s="460"/>
      <c r="CJ597" s="460"/>
      <c r="CK597" s="460"/>
    </row>
    <row r="598" spans="1:89" s="329" customFormat="1" ht="36" customHeight="1" x14ac:dyDescent="0.25">
      <c r="A598" s="329">
        <v>1</v>
      </c>
      <c r="B598" s="39">
        <f>SUBTOTAL(103,$A$552:A598)</f>
        <v>47</v>
      </c>
      <c r="C598" s="33" t="s">
        <v>983</v>
      </c>
      <c r="D598" s="330">
        <v>1962</v>
      </c>
      <c r="E598" s="330"/>
      <c r="F598" s="331" t="s">
        <v>48</v>
      </c>
      <c r="G598" s="330">
        <v>5</v>
      </c>
      <c r="H598" s="330" t="s">
        <v>59</v>
      </c>
      <c r="I598" s="334">
        <v>3393.1</v>
      </c>
      <c r="J598" s="334">
        <v>3313.4</v>
      </c>
      <c r="K598" s="334">
        <v>2812</v>
      </c>
      <c r="L598" s="332">
        <v>148</v>
      </c>
      <c r="M598" s="330" t="s">
        <v>46</v>
      </c>
      <c r="N598" s="330" t="s">
        <v>50</v>
      </c>
      <c r="O598" s="333" t="s">
        <v>1971</v>
      </c>
      <c r="P598" s="38">
        <v>3246745.9499999997</v>
      </c>
      <c r="Q598" s="38">
        <v>0</v>
      </c>
      <c r="R598" s="38">
        <v>0</v>
      </c>
      <c r="S598" s="38">
        <f t="shared" si="114"/>
        <v>3246745.9499999997</v>
      </c>
      <c r="T598" s="38">
        <f t="shared" si="118"/>
        <v>956.86715687719186</v>
      </c>
      <c r="U598" s="38">
        <v>2016.5593911172675</v>
      </c>
      <c r="V598" s="458">
        <f t="shared" si="119"/>
        <v>1059.6922342400758</v>
      </c>
      <c r="W598" s="458">
        <f t="shared" si="115"/>
        <v>1528.1477412985175</v>
      </c>
      <c r="X598" s="458">
        <v>0</v>
      </c>
      <c r="Y598" s="459">
        <v>0</v>
      </c>
      <c r="Z598" s="459">
        <v>0</v>
      </c>
      <c r="AA598" s="459">
        <v>0</v>
      </c>
      <c r="AB598" s="459">
        <v>0</v>
      </c>
      <c r="AC598" s="459">
        <v>0</v>
      </c>
      <c r="AD598" s="459">
        <v>0</v>
      </c>
      <c r="AE598" s="459">
        <v>831.1</v>
      </c>
      <c r="AF598" s="458">
        <f>6238.91*AE598/I598</f>
        <v>1528.1477412985175</v>
      </c>
      <c r="AG598" s="459">
        <v>0</v>
      </c>
      <c r="AH598" s="458">
        <v>0</v>
      </c>
      <c r="AI598" s="459">
        <v>0</v>
      </c>
      <c r="AJ598" s="458">
        <v>0</v>
      </c>
      <c r="AK598" s="459">
        <v>0</v>
      </c>
      <c r="AL598" s="459">
        <v>0</v>
      </c>
      <c r="AM598" s="459">
        <v>0</v>
      </c>
      <c r="AN598" s="459"/>
      <c r="AO598" s="459">
        <v>0</v>
      </c>
      <c r="AP598" s="460"/>
      <c r="AQ598" s="460"/>
      <c r="AR598" s="460"/>
      <c r="AS598" s="460"/>
      <c r="AT598" s="460"/>
      <c r="AU598" s="460"/>
      <c r="AV598" s="460"/>
      <c r="AW598" s="460"/>
      <c r="AX598" s="460"/>
      <c r="AY598" s="460"/>
      <c r="AZ598" s="460"/>
      <c r="BA598" s="460"/>
      <c r="BB598" s="460"/>
      <c r="BC598" s="460"/>
      <c r="BD598" s="460"/>
      <c r="BE598" s="460"/>
      <c r="BF598" s="460"/>
      <c r="BG598" s="460"/>
      <c r="BH598" s="460"/>
      <c r="BI598" s="460"/>
      <c r="BJ598" s="460"/>
      <c r="BK598" s="460"/>
      <c r="BL598" s="460"/>
      <c r="BM598" s="460"/>
      <c r="BN598" s="460"/>
      <c r="BO598" s="460"/>
      <c r="BP598" s="460"/>
      <c r="BQ598" s="460"/>
      <c r="BR598" s="460"/>
      <c r="BS598" s="460"/>
      <c r="BT598" s="460"/>
      <c r="BU598" s="460"/>
      <c r="BV598" s="460"/>
      <c r="BW598" s="460"/>
      <c r="BX598" s="460"/>
      <c r="BY598" s="460"/>
      <c r="BZ598" s="460"/>
      <c r="CA598" s="460"/>
      <c r="CB598" s="460"/>
      <c r="CC598" s="460"/>
      <c r="CD598" s="460"/>
      <c r="CE598" s="460"/>
      <c r="CF598" s="460"/>
      <c r="CG598" s="460"/>
      <c r="CH598" s="460"/>
      <c r="CI598" s="460"/>
      <c r="CJ598" s="460"/>
      <c r="CK598" s="460"/>
    </row>
    <row r="599" spans="1:89" s="329" customFormat="1" ht="36" customHeight="1" x14ac:dyDescent="0.25">
      <c r="A599" s="329">
        <v>1</v>
      </c>
      <c r="B599" s="39">
        <f>SUBTOTAL(103,$A$552:A599)</f>
        <v>48</v>
      </c>
      <c r="C599" s="33" t="s">
        <v>1084</v>
      </c>
      <c r="D599" s="330">
        <v>1962</v>
      </c>
      <c r="E599" s="330"/>
      <c r="F599" s="331" t="s">
        <v>48</v>
      </c>
      <c r="G599" s="330">
        <v>2</v>
      </c>
      <c r="H599" s="330" t="s">
        <v>56</v>
      </c>
      <c r="I599" s="334">
        <v>628.29999999999995</v>
      </c>
      <c r="J599" s="334">
        <v>628.29999999999995</v>
      </c>
      <c r="K599" s="334">
        <v>628.29999999999995</v>
      </c>
      <c r="L599" s="332">
        <v>38</v>
      </c>
      <c r="M599" s="330" t="s">
        <v>46</v>
      </c>
      <c r="N599" s="330" t="s">
        <v>47</v>
      </c>
      <c r="O599" s="333" t="s">
        <v>1983</v>
      </c>
      <c r="P599" s="38">
        <v>2490072.1</v>
      </c>
      <c r="Q599" s="38">
        <v>0</v>
      </c>
      <c r="R599" s="38">
        <v>0</v>
      </c>
      <c r="S599" s="38">
        <f t="shared" si="114"/>
        <v>2490072.1</v>
      </c>
      <c r="T599" s="38">
        <f t="shared" si="118"/>
        <v>3963.1897182874427</v>
      </c>
      <c r="U599" s="38">
        <v>5414.2722361929018</v>
      </c>
      <c r="V599" s="458">
        <f t="shared" si="119"/>
        <v>1451.0825179054591</v>
      </c>
      <c r="W599" s="458">
        <f t="shared" si="115"/>
        <v>6559.3846888429107</v>
      </c>
      <c r="X599" s="458">
        <v>0</v>
      </c>
      <c r="Y599" s="459">
        <v>0</v>
      </c>
      <c r="Z599" s="459">
        <v>0</v>
      </c>
      <c r="AA599" s="459">
        <v>0</v>
      </c>
      <c r="AB599" s="459">
        <v>0</v>
      </c>
      <c r="AC599" s="459">
        <v>0</v>
      </c>
      <c r="AD599" s="459">
        <v>0</v>
      </c>
      <c r="AE599" s="459">
        <v>0</v>
      </c>
      <c r="AF599" s="458">
        <v>0</v>
      </c>
      <c r="AG599" s="459">
        <v>0</v>
      </c>
      <c r="AH599" s="458">
        <v>0</v>
      </c>
      <c r="AI599" s="459">
        <v>554</v>
      </c>
      <c r="AJ599" s="458">
        <f>7439.1*AI599/I599</f>
        <v>6559.3846888429107</v>
      </c>
      <c r="AK599" s="459">
        <v>0</v>
      </c>
      <c r="AL599" s="459">
        <v>0</v>
      </c>
      <c r="AM599" s="459">
        <v>0</v>
      </c>
      <c r="AN599" s="459"/>
      <c r="AO599" s="459">
        <v>0</v>
      </c>
      <c r="AP599" s="460"/>
      <c r="AQ599" s="460"/>
      <c r="AR599" s="460"/>
      <c r="AS599" s="460"/>
      <c r="AT599" s="460"/>
      <c r="AU599" s="460"/>
      <c r="AV599" s="460"/>
      <c r="AW599" s="460"/>
      <c r="AX599" s="460"/>
      <c r="AY599" s="460"/>
      <c r="AZ599" s="460"/>
      <c r="BA599" s="460"/>
      <c r="BB599" s="460"/>
      <c r="BC599" s="460"/>
      <c r="BD599" s="460"/>
      <c r="BE599" s="460"/>
      <c r="BF599" s="460"/>
      <c r="BG599" s="460"/>
      <c r="BH599" s="460"/>
      <c r="BI599" s="460"/>
      <c r="BJ599" s="460"/>
      <c r="BK599" s="460"/>
      <c r="BL599" s="460"/>
      <c r="BM599" s="460"/>
      <c r="BN599" s="460"/>
      <c r="BO599" s="460"/>
      <c r="BP599" s="460"/>
      <c r="BQ599" s="460"/>
      <c r="BR599" s="460"/>
      <c r="BS599" s="460"/>
      <c r="BT599" s="460"/>
      <c r="BU599" s="460"/>
      <c r="BV599" s="460"/>
      <c r="BW599" s="460"/>
      <c r="BX599" s="460"/>
      <c r="BY599" s="460"/>
      <c r="BZ599" s="460"/>
      <c r="CA599" s="460"/>
      <c r="CB599" s="460"/>
      <c r="CC599" s="460"/>
      <c r="CD599" s="460"/>
      <c r="CE599" s="460"/>
      <c r="CF599" s="460"/>
      <c r="CG599" s="460"/>
      <c r="CH599" s="460"/>
      <c r="CI599" s="460"/>
      <c r="CJ599" s="460"/>
      <c r="CK599" s="460"/>
    </row>
    <row r="600" spans="1:89" s="329" customFormat="1" ht="36" customHeight="1" x14ac:dyDescent="0.25">
      <c r="A600" s="329">
        <v>1</v>
      </c>
      <c r="B600" s="39">
        <f>SUBTOTAL(103,$A$552:A600)</f>
        <v>49</v>
      </c>
      <c r="C600" s="33" t="s">
        <v>1086</v>
      </c>
      <c r="D600" s="330">
        <v>1964</v>
      </c>
      <c r="E600" s="330"/>
      <c r="F600" s="331" t="s">
        <v>48</v>
      </c>
      <c r="G600" s="330">
        <v>2</v>
      </c>
      <c r="H600" s="330" t="s">
        <v>56</v>
      </c>
      <c r="I600" s="334">
        <v>669.2</v>
      </c>
      <c r="J600" s="334">
        <v>667</v>
      </c>
      <c r="K600" s="334">
        <v>667</v>
      </c>
      <c r="L600" s="332">
        <v>30</v>
      </c>
      <c r="M600" s="330" t="s">
        <v>46</v>
      </c>
      <c r="N600" s="330" t="s">
        <v>50</v>
      </c>
      <c r="O600" s="333" t="s">
        <v>1983</v>
      </c>
      <c r="P600" s="38">
        <v>2875925.36</v>
      </c>
      <c r="Q600" s="38">
        <v>0</v>
      </c>
      <c r="R600" s="38">
        <v>0</v>
      </c>
      <c r="S600" s="38">
        <f t="shared" si="114"/>
        <v>2875925.36</v>
      </c>
      <c r="T600" s="38">
        <f t="shared" si="118"/>
        <v>4297.5573221757313</v>
      </c>
      <c r="U600" s="38">
        <v>6220.9001046025096</v>
      </c>
      <c r="V600" s="458">
        <f t="shared" si="119"/>
        <v>1923.3427824267783</v>
      </c>
      <c r="W600" s="458">
        <f t="shared" si="115"/>
        <v>16944.962510460249</v>
      </c>
      <c r="X600" s="458">
        <v>0</v>
      </c>
      <c r="Y600" s="459">
        <v>0</v>
      </c>
      <c r="Z600" s="459">
        <v>0</v>
      </c>
      <c r="AA600" s="459">
        <v>0</v>
      </c>
      <c r="AB600" s="459">
        <v>0</v>
      </c>
      <c r="AC600" s="459">
        <v>0</v>
      </c>
      <c r="AD600" s="459">
        <v>0</v>
      </c>
      <c r="AE600" s="459">
        <v>0</v>
      </c>
      <c r="AF600" s="458">
        <v>0</v>
      </c>
      <c r="AG600" s="459">
        <v>0</v>
      </c>
      <c r="AH600" s="458">
        <v>0</v>
      </c>
      <c r="AI600" s="459">
        <v>1524.32</v>
      </c>
      <c r="AJ600" s="458">
        <f>7439.1*AI600/I600</f>
        <v>16944.962510460249</v>
      </c>
      <c r="AK600" s="459">
        <v>0</v>
      </c>
      <c r="AL600" s="459">
        <v>0</v>
      </c>
      <c r="AM600" s="459">
        <v>0</v>
      </c>
      <c r="AN600" s="459"/>
      <c r="AO600" s="459">
        <v>0</v>
      </c>
      <c r="AP600" s="460"/>
      <c r="AQ600" s="460"/>
      <c r="AR600" s="460"/>
      <c r="AS600" s="460"/>
      <c r="AT600" s="460"/>
      <c r="AU600" s="460"/>
      <c r="AV600" s="460"/>
      <c r="AW600" s="460"/>
      <c r="AX600" s="460"/>
      <c r="AY600" s="460"/>
      <c r="AZ600" s="460"/>
      <c r="BA600" s="460"/>
      <c r="BB600" s="460"/>
      <c r="BC600" s="460"/>
      <c r="BD600" s="460"/>
      <c r="BE600" s="460"/>
      <c r="BF600" s="460"/>
      <c r="BG600" s="460"/>
      <c r="BH600" s="460"/>
      <c r="BI600" s="460"/>
      <c r="BJ600" s="460"/>
      <c r="BK600" s="460"/>
      <c r="BL600" s="460"/>
      <c r="BM600" s="460"/>
      <c r="BN600" s="460"/>
      <c r="BO600" s="460"/>
      <c r="BP600" s="460"/>
      <c r="BQ600" s="460"/>
      <c r="BR600" s="460"/>
      <c r="BS600" s="460"/>
      <c r="BT600" s="460"/>
      <c r="BU600" s="460"/>
      <c r="BV600" s="460"/>
      <c r="BW600" s="460"/>
      <c r="BX600" s="460"/>
      <c r="BY600" s="460"/>
      <c r="BZ600" s="460"/>
      <c r="CA600" s="460"/>
      <c r="CB600" s="460"/>
      <c r="CC600" s="460"/>
      <c r="CD600" s="460"/>
      <c r="CE600" s="460"/>
      <c r="CF600" s="460"/>
      <c r="CG600" s="460"/>
      <c r="CH600" s="460"/>
      <c r="CI600" s="460"/>
      <c r="CJ600" s="460"/>
      <c r="CK600" s="460"/>
    </row>
    <row r="601" spans="1:89" s="329" customFormat="1" ht="36" customHeight="1" x14ac:dyDescent="0.25">
      <c r="A601" s="329">
        <v>1</v>
      </c>
      <c r="B601" s="39">
        <f>SUBTOTAL(103,$A$552:A601)</f>
        <v>50</v>
      </c>
      <c r="C601" s="33" t="s">
        <v>1471</v>
      </c>
      <c r="D601" s="330">
        <v>1966</v>
      </c>
      <c r="E601" s="330"/>
      <c r="F601" s="331" t="s">
        <v>60</v>
      </c>
      <c r="G601" s="330">
        <v>5</v>
      </c>
      <c r="H601" s="330" t="s">
        <v>59</v>
      </c>
      <c r="I601" s="334">
        <v>3858.2</v>
      </c>
      <c r="J601" s="334">
        <v>3557.3</v>
      </c>
      <c r="K601" s="334">
        <v>3557.3</v>
      </c>
      <c r="L601" s="332">
        <v>184</v>
      </c>
      <c r="M601" s="330" t="s">
        <v>46</v>
      </c>
      <c r="N601" s="330" t="s">
        <v>50</v>
      </c>
      <c r="O601" s="333" t="s">
        <v>1956</v>
      </c>
      <c r="P601" s="38">
        <v>3926550</v>
      </c>
      <c r="Q601" s="38">
        <v>0</v>
      </c>
      <c r="R601" s="38">
        <v>0</v>
      </c>
      <c r="S601" s="38">
        <f t="shared" si="114"/>
        <v>3926550</v>
      </c>
      <c r="T601" s="38">
        <f t="shared" si="118"/>
        <v>1017.7155150069981</v>
      </c>
      <c r="U601" s="38">
        <v>1460.3107666787621</v>
      </c>
      <c r="V601" s="458">
        <f t="shared" si="119"/>
        <v>442.595251671764</v>
      </c>
      <c r="W601" s="458">
        <f t="shared" si="115"/>
        <v>639.14780985952007</v>
      </c>
      <c r="X601" s="458">
        <v>0</v>
      </c>
      <c r="Y601" s="459">
        <v>0</v>
      </c>
      <c r="Z601" s="459">
        <v>0</v>
      </c>
      <c r="AA601" s="459">
        <v>0</v>
      </c>
      <c r="AB601" s="459">
        <v>0</v>
      </c>
      <c r="AC601" s="459">
        <v>0</v>
      </c>
      <c r="AD601" s="459">
        <v>0</v>
      </c>
      <c r="AE601" s="459">
        <v>0</v>
      </c>
      <c r="AF601" s="458">
        <v>0</v>
      </c>
      <c r="AG601" s="459">
        <v>278</v>
      </c>
      <c r="AH601" s="458">
        <f>8870.36*AG601/I601</f>
        <v>639.14780985952007</v>
      </c>
      <c r="AI601" s="459">
        <v>0</v>
      </c>
      <c r="AJ601" s="458">
        <v>0</v>
      </c>
      <c r="AK601" s="459">
        <v>0</v>
      </c>
      <c r="AL601" s="459">
        <v>0</v>
      </c>
      <c r="AM601" s="459">
        <v>0</v>
      </c>
      <c r="AN601" s="459"/>
      <c r="AO601" s="459">
        <v>0</v>
      </c>
      <c r="AP601" s="460"/>
      <c r="AQ601" s="460"/>
      <c r="AR601" s="460"/>
      <c r="AS601" s="460"/>
      <c r="AT601" s="460"/>
      <c r="AU601" s="460"/>
      <c r="AV601" s="460"/>
      <c r="AW601" s="460"/>
      <c r="AX601" s="460"/>
      <c r="AY601" s="460"/>
      <c r="AZ601" s="460"/>
      <c r="BA601" s="460"/>
      <c r="BB601" s="460"/>
      <c r="BC601" s="460"/>
      <c r="BD601" s="460"/>
      <c r="BE601" s="460"/>
      <c r="BF601" s="460"/>
      <c r="BG601" s="460"/>
      <c r="BH601" s="460"/>
      <c r="BI601" s="460"/>
      <c r="BJ601" s="460"/>
      <c r="BK601" s="460"/>
      <c r="BL601" s="460"/>
      <c r="BM601" s="460"/>
      <c r="BN601" s="460"/>
      <c r="BO601" s="460"/>
      <c r="BP601" s="460"/>
      <c r="BQ601" s="460"/>
      <c r="BR601" s="460"/>
      <c r="BS601" s="460"/>
      <c r="BT601" s="460"/>
      <c r="BU601" s="460"/>
      <c r="BV601" s="460"/>
      <c r="BW601" s="460"/>
      <c r="BX601" s="460"/>
      <c r="BY601" s="460"/>
      <c r="BZ601" s="460"/>
      <c r="CA601" s="460"/>
      <c r="CB601" s="460"/>
      <c r="CC601" s="460"/>
      <c r="CD601" s="460"/>
      <c r="CE601" s="460"/>
      <c r="CF601" s="460"/>
      <c r="CG601" s="460"/>
      <c r="CH601" s="460"/>
      <c r="CI601" s="460"/>
      <c r="CJ601" s="460"/>
      <c r="CK601" s="460"/>
    </row>
    <row r="602" spans="1:89" s="329" customFormat="1" ht="36" customHeight="1" x14ac:dyDescent="0.25">
      <c r="A602" s="329">
        <v>1</v>
      </c>
      <c r="B602" s="39">
        <f>SUBTOTAL(103,$A$552:A602)</f>
        <v>51</v>
      </c>
      <c r="C602" s="33" t="s">
        <v>1472</v>
      </c>
      <c r="D602" s="330">
        <v>1959</v>
      </c>
      <c r="E602" s="330"/>
      <c r="F602" s="331" t="s">
        <v>48</v>
      </c>
      <c r="G602" s="330">
        <v>3</v>
      </c>
      <c r="H602" s="330" t="s">
        <v>61</v>
      </c>
      <c r="I602" s="334">
        <v>1365.9</v>
      </c>
      <c r="J602" s="334">
        <v>1149.9000000000001</v>
      </c>
      <c r="K602" s="334">
        <v>1149.9000000000001</v>
      </c>
      <c r="L602" s="332">
        <v>40</v>
      </c>
      <c r="M602" s="330" t="s">
        <v>46</v>
      </c>
      <c r="N602" s="330" t="s">
        <v>50</v>
      </c>
      <c r="O602" s="333" t="s">
        <v>2118</v>
      </c>
      <c r="P602" s="38">
        <v>3158283.01</v>
      </c>
      <c r="Q602" s="38">
        <v>0</v>
      </c>
      <c r="R602" s="38">
        <v>0</v>
      </c>
      <c r="S602" s="38">
        <f t="shared" si="114"/>
        <v>3158283.01</v>
      </c>
      <c r="T602" s="38">
        <f t="shared" si="118"/>
        <v>2312.2358957463939</v>
      </c>
      <c r="U602" s="38">
        <v>7315.4690094443231</v>
      </c>
      <c r="V602" s="458">
        <f t="shared" si="119"/>
        <v>5003.2331136979292</v>
      </c>
      <c r="W602" s="458">
        <f>T602</f>
        <v>2312.2358957463939</v>
      </c>
      <c r="X602" s="458">
        <v>113.09</v>
      </c>
      <c r="Y602" s="459">
        <v>0</v>
      </c>
      <c r="Z602" s="459">
        <v>0</v>
      </c>
      <c r="AA602" s="459">
        <v>184.98</v>
      </c>
      <c r="AB602" s="459">
        <v>0</v>
      </c>
      <c r="AC602" s="459">
        <v>0</v>
      </c>
      <c r="AD602" s="459">
        <v>0</v>
      </c>
      <c r="AE602" s="459">
        <v>0</v>
      </c>
      <c r="AF602" s="458">
        <v>0</v>
      </c>
      <c r="AG602" s="459">
        <v>0</v>
      </c>
      <c r="AH602" s="458">
        <v>0</v>
      </c>
      <c r="AI602" s="459">
        <v>0</v>
      </c>
      <c r="AJ602" s="458">
        <v>0</v>
      </c>
      <c r="AK602" s="459">
        <v>0</v>
      </c>
      <c r="AL602" s="459">
        <v>0</v>
      </c>
      <c r="AM602" s="459">
        <v>0</v>
      </c>
      <c r="AN602" s="459"/>
      <c r="AO602" s="459">
        <v>0</v>
      </c>
      <c r="AP602" s="460"/>
      <c r="AQ602" s="460"/>
      <c r="AR602" s="460"/>
      <c r="AS602" s="460"/>
      <c r="AT602" s="460"/>
      <c r="AU602" s="460"/>
      <c r="AV602" s="460"/>
      <c r="AW602" s="460"/>
      <c r="AX602" s="460"/>
      <c r="AY602" s="460"/>
      <c r="AZ602" s="460"/>
      <c r="BA602" s="460"/>
      <c r="BB602" s="460"/>
      <c r="BC602" s="460"/>
      <c r="BD602" s="460"/>
      <c r="BE602" s="460"/>
      <c r="BF602" s="460"/>
      <c r="BG602" s="460"/>
      <c r="BH602" s="460"/>
      <c r="BI602" s="460"/>
      <c r="BJ602" s="460"/>
      <c r="BK602" s="460"/>
      <c r="BL602" s="460"/>
      <c r="BM602" s="460"/>
      <c r="BN602" s="460"/>
      <c r="BO602" s="460"/>
      <c r="BP602" s="460"/>
      <c r="BQ602" s="460"/>
      <c r="BR602" s="460"/>
      <c r="BS602" s="460"/>
      <c r="BT602" s="460"/>
      <c r="BU602" s="460"/>
      <c r="BV602" s="460"/>
      <c r="BW602" s="460"/>
      <c r="BX602" s="460"/>
      <c r="BY602" s="460"/>
      <c r="BZ602" s="460"/>
      <c r="CA602" s="460"/>
      <c r="CB602" s="460"/>
      <c r="CC602" s="460"/>
      <c r="CD602" s="460"/>
      <c r="CE602" s="460"/>
      <c r="CF602" s="460"/>
      <c r="CG602" s="460"/>
      <c r="CH602" s="460"/>
      <c r="CI602" s="460"/>
      <c r="CJ602" s="460"/>
      <c r="CK602" s="460"/>
    </row>
    <row r="603" spans="1:89" s="329" customFormat="1" ht="36" customHeight="1" x14ac:dyDescent="0.25">
      <c r="A603" s="329">
        <v>1</v>
      </c>
      <c r="B603" s="39">
        <f>SUBTOTAL(103,$A$552:A603)</f>
        <v>52</v>
      </c>
      <c r="C603" s="33" t="s">
        <v>1091</v>
      </c>
      <c r="D603" s="330">
        <v>1989</v>
      </c>
      <c r="E603" s="330"/>
      <c r="F603" s="331" t="s">
        <v>63</v>
      </c>
      <c r="G603" s="330">
        <v>7</v>
      </c>
      <c r="H603" s="330" t="s">
        <v>56</v>
      </c>
      <c r="I603" s="334">
        <v>4121.3999999999996</v>
      </c>
      <c r="J603" s="334">
        <v>3057</v>
      </c>
      <c r="K603" s="334">
        <v>3057</v>
      </c>
      <c r="L603" s="332">
        <v>163</v>
      </c>
      <c r="M603" s="330" t="s">
        <v>46</v>
      </c>
      <c r="N603" s="330" t="s">
        <v>50</v>
      </c>
      <c r="O603" s="333" t="s">
        <v>1984</v>
      </c>
      <c r="P603" s="38">
        <v>2934234.5</v>
      </c>
      <c r="Q603" s="38">
        <v>0</v>
      </c>
      <c r="R603" s="38">
        <v>0</v>
      </c>
      <c r="S603" s="38">
        <f t="shared" si="114"/>
        <v>2934234.5</v>
      </c>
      <c r="T603" s="38">
        <f t="shared" si="118"/>
        <v>711.9509147377106</v>
      </c>
      <c r="U603" s="38">
        <v>1120.7123792885914</v>
      </c>
      <c r="V603" s="458">
        <f t="shared" si="119"/>
        <v>408.76146455088076</v>
      </c>
      <c r="W603" s="458">
        <f t="shared" si="115"/>
        <v>686.34973407094674</v>
      </c>
      <c r="X603" s="458">
        <v>0</v>
      </c>
      <c r="Y603" s="459">
        <v>0</v>
      </c>
      <c r="Z603" s="459">
        <v>0</v>
      </c>
      <c r="AA603" s="459">
        <v>0</v>
      </c>
      <c r="AB603" s="459">
        <v>0</v>
      </c>
      <c r="AC603" s="459">
        <v>0</v>
      </c>
      <c r="AD603" s="459">
        <v>0</v>
      </c>
      <c r="AE603" s="459">
        <v>453.4</v>
      </c>
      <c r="AF603" s="458">
        <f>6238.91*AE603/I603</f>
        <v>686.34973407094674</v>
      </c>
      <c r="AG603" s="459">
        <v>0</v>
      </c>
      <c r="AH603" s="458">
        <v>0</v>
      </c>
      <c r="AI603" s="459">
        <v>0</v>
      </c>
      <c r="AJ603" s="458">
        <v>0</v>
      </c>
      <c r="AK603" s="459">
        <v>0</v>
      </c>
      <c r="AL603" s="459">
        <v>0</v>
      </c>
      <c r="AM603" s="459">
        <v>0</v>
      </c>
      <c r="AN603" s="459"/>
      <c r="AO603" s="459">
        <v>0</v>
      </c>
      <c r="AP603" s="460"/>
      <c r="AQ603" s="460"/>
      <c r="AR603" s="460"/>
      <c r="AS603" s="460"/>
      <c r="AT603" s="460"/>
      <c r="AU603" s="460"/>
      <c r="AV603" s="460"/>
      <c r="AW603" s="460"/>
      <c r="AX603" s="460"/>
      <c r="AY603" s="460"/>
      <c r="AZ603" s="460"/>
      <c r="BA603" s="460"/>
      <c r="BB603" s="460"/>
      <c r="BC603" s="460"/>
      <c r="BD603" s="460"/>
      <c r="BE603" s="460"/>
      <c r="BF603" s="460"/>
      <c r="BG603" s="460"/>
      <c r="BH603" s="460"/>
      <c r="BI603" s="460"/>
      <c r="BJ603" s="460"/>
      <c r="BK603" s="460"/>
      <c r="BL603" s="460"/>
      <c r="BM603" s="460"/>
      <c r="BN603" s="460"/>
      <c r="BO603" s="460"/>
      <c r="BP603" s="460"/>
      <c r="BQ603" s="460"/>
      <c r="BR603" s="460"/>
      <c r="BS603" s="460"/>
      <c r="BT603" s="460"/>
      <c r="BU603" s="460"/>
      <c r="BV603" s="460"/>
      <c r="BW603" s="460"/>
      <c r="BX603" s="460"/>
      <c r="BY603" s="460"/>
      <c r="BZ603" s="460"/>
      <c r="CA603" s="460"/>
      <c r="CB603" s="460"/>
      <c r="CC603" s="460"/>
      <c r="CD603" s="460"/>
      <c r="CE603" s="460"/>
      <c r="CF603" s="460"/>
      <c r="CG603" s="460"/>
      <c r="CH603" s="460"/>
      <c r="CI603" s="460"/>
      <c r="CJ603" s="460"/>
      <c r="CK603" s="460"/>
    </row>
    <row r="604" spans="1:89" s="329" customFormat="1" ht="36" customHeight="1" x14ac:dyDescent="0.25">
      <c r="A604" s="329">
        <v>1</v>
      </c>
      <c r="B604" s="39">
        <f>SUBTOTAL(103,$A$552:A604)</f>
        <v>53</v>
      </c>
      <c r="C604" s="33" t="s">
        <v>1473</v>
      </c>
      <c r="D604" s="330">
        <v>1984</v>
      </c>
      <c r="E604" s="330"/>
      <c r="F604" s="331" t="s">
        <v>48</v>
      </c>
      <c r="G604" s="330">
        <v>12</v>
      </c>
      <c r="H604" s="330" t="s">
        <v>57</v>
      </c>
      <c r="I604" s="334">
        <v>6206.9</v>
      </c>
      <c r="J604" s="334">
        <v>5104.59</v>
      </c>
      <c r="K604" s="334">
        <v>5104.59</v>
      </c>
      <c r="L604" s="332">
        <v>242</v>
      </c>
      <c r="M604" s="330" t="s">
        <v>46</v>
      </c>
      <c r="N604" s="330" t="s">
        <v>50</v>
      </c>
      <c r="O604" s="333" t="s">
        <v>1956</v>
      </c>
      <c r="P604" s="38">
        <v>4050874.1399999997</v>
      </c>
      <c r="Q604" s="38">
        <v>0</v>
      </c>
      <c r="R604" s="38">
        <v>0</v>
      </c>
      <c r="S604" s="38">
        <f t="shared" si="114"/>
        <v>4050874.1399999997</v>
      </c>
      <c r="T604" s="38">
        <f t="shared" si="118"/>
        <v>652.64047108862712</v>
      </c>
      <c r="U604" s="38">
        <v>652.64047108862712</v>
      </c>
      <c r="V604" s="458">
        <f t="shared" si="119"/>
        <v>0</v>
      </c>
      <c r="W604" s="458">
        <f t="shared" si="115"/>
        <v>1746.0931044482752</v>
      </c>
      <c r="X604" s="458">
        <v>0</v>
      </c>
      <c r="Y604" s="459">
        <v>0</v>
      </c>
      <c r="Z604" s="459">
        <v>0</v>
      </c>
      <c r="AA604" s="459">
        <v>0</v>
      </c>
      <c r="AB604" s="459">
        <v>0</v>
      </c>
      <c r="AC604" s="459">
        <v>0</v>
      </c>
      <c r="AD604" s="459">
        <v>0</v>
      </c>
      <c r="AE604" s="459">
        <v>0</v>
      </c>
      <c r="AF604" s="458">
        <v>0</v>
      </c>
      <c r="AG604" s="459">
        <v>0</v>
      </c>
      <c r="AH604" s="458">
        <v>0</v>
      </c>
      <c r="AI604" s="459">
        <v>1389</v>
      </c>
      <c r="AJ604" s="458">
        <f>7802.61*AI604/I604</f>
        <v>1746.0931044482752</v>
      </c>
      <c r="AK604" s="459">
        <v>0</v>
      </c>
      <c r="AL604" s="459">
        <v>0</v>
      </c>
      <c r="AM604" s="459">
        <v>0</v>
      </c>
      <c r="AN604" s="459"/>
      <c r="AO604" s="459">
        <v>0</v>
      </c>
      <c r="AP604" s="460"/>
      <c r="AQ604" s="460"/>
      <c r="AR604" s="460"/>
      <c r="AS604" s="460"/>
      <c r="AT604" s="460"/>
      <c r="AU604" s="460"/>
      <c r="AV604" s="460"/>
      <c r="AW604" s="460"/>
      <c r="AX604" s="460"/>
      <c r="AY604" s="460"/>
      <c r="AZ604" s="460"/>
      <c r="BA604" s="460"/>
      <c r="BB604" s="460"/>
      <c r="BC604" s="460"/>
      <c r="BD604" s="460"/>
      <c r="BE604" s="460"/>
      <c r="BF604" s="460"/>
      <c r="BG604" s="460"/>
      <c r="BH604" s="460"/>
      <c r="BI604" s="460"/>
      <c r="BJ604" s="460"/>
      <c r="BK604" s="460"/>
      <c r="BL604" s="460"/>
      <c r="BM604" s="460"/>
      <c r="BN604" s="460"/>
      <c r="BO604" s="460"/>
      <c r="BP604" s="460"/>
      <c r="BQ604" s="460"/>
      <c r="BR604" s="460"/>
      <c r="BS604" s="460"/>
      <c r="BT604" s="460"/>
      <c r="BU604" s="460"/>
      <c r="BV604" s="460"/>
      <c r="BW604" s="460"/>
      <c r="BX604" s="460"/>
      <c r="BY604" s="460"/>
      <c r="BZ604" s="460"/>
      <c r="CA604" s="460"/>
      <c r="CB604" s="460"/>
      <c r="CC604" s="460"/>
      <c r="CD604" s="460"/>
      <c r="CE604" s="460"/>
      <c r="CF604" s="460"/>
      <c r="CG604" s="460"/>
      <c r="CH604" s="460"/>
      <c r="CI604" s="460"/>
      <c r="CJ604" s="460"/>
      <c r="CK604" s="460"/>
    </row>
    <row r="605" spans="1:89" s="329" customFormat="1" ht="36" customHeight="1" x14ac:dyDescent="0.25">
      <c r="A605" s="329">
        <v>1</v>
      </c>
      <c r="B605" s="39">
        <f>SUBTOTAL(103,$A$552:A605)</f>
        <v>54</v>
      </c>
      <c r="C605" s="33" t="s">
        <v>1474</v>
      </c>
      <c r="D605" s="330">
        <v>1957</v>
      </c>
      <c r="E605" s="330"/>
      <c r="F605" s="331" t="s">
        <v>48</v>
      </c>
      <c r="G605" s="330">
        <v>2</v>
      </c>
      <c r="H605" s="330" t="s">
        <v>57</v>
      </c>
      <c r="I605" s="334">
        <v>718.26</v>
      </c>
      <c r="J605" s="334">
        <v>408.26</v>
      </c>
      <c r="K605" s="334">
        <v>408.26</v>
      </c>
      <c r="L605" s="332">
        <v>22</v>
      </c>
      <c r="M605" s="330" t="s">
        <v>46</v>
      </c>
      <c r="N605" s="330" t="s">
        <v>50</v>
      </c>
      <c r="O605" s="333" t="s">
        <v>1957</v>
      </c>
      <c r="P605" s="38">
        <v>1987488.72</v>
      </c>
      <c r="Q605" s="38">
        <v>0</v>
      </c>
      <c r="R605" s="38">
        <v>0</v>
      </c>
      <c r="S605" s="38">
        <f t="shared" si="114"/>
        <v>1987488.72</v>
      </c>
      <c r="T605" s="38">
        <f t="shared" si="118"/>
        <v>2767.0881296466459</v>
      </c>
      <c r="U605" s="38">
        <v>5612.1052627182362</v>
      </c>
      <c r="V605" s="458">
        <f t="shared" si="119"/>
        <v>2845.0171330715903</v>
      </c>
      <c r="W605" s="458">
        <f t="shared" si="115"/>
        <v>9493.9557124161165</v>
      </c>
      <c r="X605" s="458">
        <v>0</v>
      </c>
      <c r="Y605" s="459">
        <v>0</v>
      </c>
      <c r="Z605" s="459">
        <v>0</v>
      </c>
      <c r="AA605" s="459">
        <v>0</v>
      </c>
      <c r="AB605" s="459">
        <v>0</v>
      </c>
      <c r="AC605" s="459">
        <v>0</v>
      </c>
      <c r="AD605" s="459">
        <v>0</v>
      </c>
      <c r="AE605" s="459">
        <v>1093</v>
      </c>
      <c r="AF605" s="458">
        <f>6238.91*AE605/I605</f>
        <v>9493.9557124161165</v>
      </c>
      <c r="AG605" s="459">
        <v>0</v>
      </c>
      <c r="AH605" s="458">
        <v>0</v>
      </c>
      <c r="AI605" s="459">
        <v>0</v>
      </c>
      <c r="AJ605" s="458">
        <v>0</v>
      </c>
      <c r="AK605" s="459">
        <v>0</v>
      </c>
      <c r="AL605" s="459">
        <v>0</v>
      </c>
      <c r="AM605" s="459">
        <v>0</v>
      </c>
      <c r="AN605" s="459"/>
      <c r="AO605" s="459">
        <v>0</v>
      </c>
      <c r="AP605" s="460"/>
      <c r="AQ605" s="460"/>
      <c r="AR605" s="460"/>
      <c r="AS605" s="460"/>
      <c r="AT605" s="460"/>
      <c r="AU605" s="460"/>
      <c r="AV605" s="460"/>
      <c r="AW605" s="460"/>
      <c r="AX605" s="460"/>
      <c r="AY605" s="460"/>
      <c r="AZ605" s="460"/>
      <c r="BA605" s="460"/>
      <c r="BB605" s="460"/>
      <c r="BC605" s="460"/>
      <c r="BD605" s="460"/>
      <c r="BE605" s="460"/>
      <c r="BF605" s="460"/>
      <c r="BG605" s="460"/>
      <c r="BH605" s="460"/>
      <c r="BI605" s="460"/>
      <c r="BJ605" s="460"/>
      <c r="BK605" s="460"/>
      <c r="BL605" s="460"/>
      <c r="BM605" s="460"/>
      <c r="BN605" s="460"/>
      <c r="BO605" s="460"/>
      <c r="BP605" s="460"/>
      <c r="BQ605" s="460"/>
      <c r="BR605" s="460"/>
      <c r="BS605" s="460"/>
      <c r="BT605" s="460"/>
      <c r="BU605" s="460"/>
      <c r="BV605" s="460"/>
      <c r="BW605" s="460"/>
      <c r="BX605" s="460"/>
      <c r="BY605" s="460"/>
      <c r="BZ605" s="460"/>
      <c r="CA605" s="460"/>
      <c r="CB605" s="460"/>
      <c r="CC605" s="460"/>
      <c r="CD605" s="460"/>
      <c r="CE605" s="460"/>
      <c r="CF605" s="460"/>
      <c r="CG605" s="460"/>
      <c r="CH605" s="460"/>
      <c r="CI605" s="460"/>
      <c r="CJ605" s="460"/>
      <c r="CK605" s="460"/>
    </row>
    <row r="606" spans="1:89" s="329" customFormat="1" ht="36" customHeight="1" x14ac:dyDescent="0.25">
      <c r="A606" s="329">
        <v>1</v>
      </c>
      <c r="B606" s="39">
        <f>SUBTOTAL(103,$A$552:A606)</f>
        <v>55</v>
      </c>
      <c r="C606" s="33" t="s">
        <v>1476</v>
      </c>
      <c r="D606" s="330">
        <v>1995</v>
      </c>
      <c r="E606" s="330"/>
      <c r="F606" s="331" t="s">
        <v>48</v>
      </c>
      <c r="G606" s="330">
        <v>9</v>
      </c>
      <c r="H606" s="330" t="s">
        <v>57</v>
      </c>
      <c r="I606" s="334">
        <v>6176.6</v>
      </c>
      <c r="J606" s="334">
        <v>5017.5</v>
      </c>
      <c r="K606" s="334">
        <v>5017.5</v>
      </c>
      <c r="L606" s="332">
        <v>299</v>
      </c>
      <c r="M606" s="330" t="s">
        <v>46</v>
      </c>
      <c r="N606" s="330" t="s">
        <v>50</v>
      </c>
      <c r="O606" s="333" t="s">
        <v>1956</v>
      </c>
      <c r="P606" s="38">
        <v>2420368.62</v>
      </c>
      <c r="Q606" s="38">
        <v>0</v>
      </c>
      <c r="R606" s="38">
        <v>0</v>
      </c>
      <c r="S606" s="38">
        <f t="shared" si="114"/>
        <v>2420368.62</v>
      </c>
      <c r="T606" s="38">
        <f t="shared" si="118"/>
        <v>391.86099472201533</v>
      </c>
      <c r="U606" s="38">
        <v>1033.8040022018586</v>
      </c>
      <c r="V606" s="458">
        <f t="shared" si="119"/>
        <v>641.94300747984323</v>
      </c>
      <c r="W606" s="458">
        <f t="shared" si="115"/>
        <v>548.8818595991321</v>
      </c>
      <c r="X606" s="458">
        <v>0</v>
      </c>
      <c r="Y606" s="459">
        <v>0</v>
      </c>
      <c r="Z606" s="459">
        <v>0</v>
      </c>
      <c r="AA606" s="459">
        <v>0</v>
      </c>
      <c r="AB606" s="459">
        <v>0</v>
      </c>
      <c r="AC606" s="459">
        <v>0</v>
      </c>
      <c r="AD606" s="459">
        <v>0</v>
      </c>
      <c r="AE606" s="459">
        <v>543.4</v>
      </c>
      <c r="AF606" s="458">
        <f>6238.91*AE606/I606</f>
        <v>548.8818595991321</v>
      </c>
      <c r="AG606" s="459">
        <v>0</v>
      </c>
      <c r="AH606" s="458">
        <v>0</v>
      </c>
      <c r="AI606" s="459">
        <v>0</v>
      </c>
      <c r="AJ606" s="458">
        <v>0</v>
      </c>
      <c r="AK606" s="459">
        <v>0</v>
      </c>
      <c r="AL606" s="459">
        <v>0</v>
      </c>
      <c r="AM606" s="459">
        <v>0</v>
      </c>
      <c r="AN606" s="459"/>
      <c r="AO606" s="459">
        <v>0</v>
      </c>
      <c r="AP606" s="460"/>
      <c r="AQ606" s="460"/>
      <c r="AR606" s="460"/>
      <c r="AS606" s="460"/>
      <c r="AT606" s="460"/>
      <c r="AU606" s="460"/>
      <c r="AV606" s="460"/>
      <c r="AW606" s="460"/>
      <c r="AX606" s="460"/>
      <c r="AY606" s="460"/>
      <c r="AZ606" s="460"/>
      <c r="BA606" s="460"/>
      <c r="BB606" s="460"/>
      <c r="BC606" s="460"/>
      <c r="BD606" s="460"/>
      <c r="BE606" s="460"/>
      <c r="BF606" s="460"/>
      <c r="BG606" s="460"/>
      <c r="BH606" s="460"/>
      <c r="BI606" s="460"/>
      <c r="BJ606" s="460"/>
      <c r="BK606" s="460"/>
      <c r="BL606" s="460"/>
      <c r="BM606" s="460"/>
      <c r="BN606" s="460"/>
      <c r="BO606" s="460"/>
      <c r="BP606" s="460"/>
      <c r="BQ606" s="460"/>
      <c r="BR606" s="460"/>
      <c r="BS606" s="460"/>
      <c r="BT606" s="460"/>
      <c r="BU606" s="460"/>
      <c r="BV606" s="460"/>
      <c r="BW606" s="460"/>
      <c r="BX606" s="460"/>
      <c r="BY606" s="460"/>
      <c r="BZ606" s="460"/>
      <c r="CA606" s="460"/>
      <c r="CB606" s="460"/>
      <c r="CC606" s="460"/>
      <c r="CD606" s="460"/>
      <c r="CE606" s="460"/>
      <c r="CF606" s="460"/>
      <c r="CG606" s="460"/>
      <c r="CH606" s="460"/>
      <c r="CI606" s="460"/>
      <c r="CJ606" s="460"/>
      <c r="CK606" s="460"/>
    </row>
    <row r="607" spans="1:89" s="329" customFormat="1" ht="36" customHeight="1" x14ac:dyDescent="0.25">
      <c r="A607" s="329">
        <v>1</v>
      </c>
      <c r="B607" s="39">
        <f>SUBTOTAL(103,$A$552:A607)</f>
        <v>56</v>
      </c>
      <c r="C607" s="33" t="s">
        <v>1477</v>
      </c>
      <c r="D607" s="330">
        <v>1988</v>
      </c>
      <c r="E607" s="330"/>
      <c r="F607" s="331" t="s">
        <v>48</v>
      </c>
      <c r="G607" s="330">
        <v>5</v>
      </c>
      <c r="H607" s="330" t="s">
        <v>56</v>
      </c>
      <c r="I607" s="334">
        <v>1410.8</v>
      </c>
      <c r="J607" s="334">
        <v>1242.3</v>
      </c>
      <c r="K607" s="334">
        <v>1242.3</v>
      </c>
      <c r="L607" s="332">
        <v>70</v>
      </c>
      <c r="M607" s="330" t="s">
        <v>46</v>
      </c>
      <c r="N607" s="330" t="s">
        <v>50</v>
      </c>
      <c r="O607" s="333" t="s">
        <v>1956</v>
      </c>
      <c r="P607" s="38">
        <v>1273022.3799999999</v>
      </c>
      <c r="Q607" s="38">
        <v>0</v>
      </c>
      <c r="R607" s="38">
        <v>0</v>
      </c>
      <c r="S607" s="38">
        <f t="shared" si="114"/>
        <v>1273022.3799999999</v>
      </c>
      <c r="T607" s="38">
        <f t="shared" si="118"/>
        <v>902.34078537000278</v>
      </c>
      <c r="U607" s="38">
        <v>1553.0666997448257</v>
      </c>
      <c r="V607" s="458">
        <f t="shared" si="119"/>
        <v>650.72591437482288</v>
      </c>
      <c r="W607" s="458">
        <f t="shared" si="115"/>
        <v>2940.7961085908705</v>
      </c>
      <c r="X607" s="458">
        <v>0</v>
      </c>
      <c r="Y607" s="459">
        <v>0</v>
      </c>
      <c r="Z607" s="459">
        <v>0</v>
      </c>
      <c r="AA607" s="459">
        <v>0</v>
      </c>
      <c r="AB607" s="459">
        <v>0</v>
      </c>
      <c r="AC607" s="459">
        <v>0</v>
      </c>
      <c r="AD607" s="459">
        <v>0</v>
      </c>
      <c r="AE607" s="459">
        <v>665</v>
      </c>
      <c r="AF607" s="458">
        <f>6238.91*AE607/I607</f>
        <v>2940.7961085908705</v>
      </c>
      <c r="AG607" s="459">
        <v>0</v>
      </c>
      <c r="AH607" s="458">
        <v>0</v>
      </c>
      <c r="AI607" s="459">
        <v>0</v>
      </c>
      <c r="AJ607" s="458">
        <v>0</v>
      </c>
      <c r="AK607" s="459">
        <v>0</v>
      </c>
      <c r="AL607" s="459">
        <v>0</v>
      </c>
      <c r="AM607" s="459">
        <v>0</v>
      </c>
      <c r="AN607" s="459"/>
      <c r="AO607" s="459">
        <v>0</v>
      </c>
      <c r="AP607" s="460"/>
      <c r="AQ607" s="460"/>
      <c r="AR607" s="460"/>
      <c r="AS607" s="460"/>
      <c r="AT607" s="460"/>
      <c r="AU607" s="460"/>
      <c r="AV607" s="460"/>
      <c r="AW607" s="460"/>
      <c r="AX607" s="460"/>
      <c r="AY607" s="460"/>
      <c r="AZ607" s="460"/>
      <c r="BA607" s="460"/>
      <c r="BB607" s="460"/>
      <c r="BC607" s="460"/>
      <c r="BD607" s="460"/>
      <c r="BE607" s="460"/>
      <c r="BF607" s="460"/>
      <c r="BG607" s="460"/>
      <c r="BH607" s="460"/>
      <c r="BI607" s="460"/>
      <c r="BJ607" s="460"/>
      <c r="BK607" s="460"/>
      <c r="BL607" s="460"/>
      <c r="BM607" s="460"/>
      <c r="BN607" s="460"/>
      <c r="BO607" s="460"/>
      <c r="BP607" s="460"/>
      <c r="BQ607" s="460"/>
      <c r="BR607" s="460"/>
      <c r="BS607" s="460"/>
      <c r="BT607" s="460"/>
      <c r="BU607" s="460"/>
      <c r="BV607" s="460"/>
      <c r="BW607" s="460"/>
      <c r="BX607" s="460"/>
      <c r="BY607" s="460"/>
      <c r="BZ607" s="460"/>
      <c r="CA607" s="460"/>
      <c r="CB607" s="460"/>
      <c r="CC607" s="460"/>
      <c r="CD607" s="460"/>
      <c r="CE607" s="460"/>
      <c r="CF607" s="460"/>
      <c r="CG607" s="460"/>
      <c r="CH607" s="460"/>
      <c r="CI607" s="460"/>
      <c r="CJ607" s="460"/>
      <c r="CK607" s="460"/>
    </row>
    <row r="608" spans="1:89" s="329" customFormat="1" ht="36" customHeight="1" x14ac:dyDescent="0.25">
      <c r="A608" s="329">
        <v>1</v>
      </c>
      <c r="B608" s="39">
        <f>SUBTOTAL(103,$A$552:A608)</f>
        <v>57</v>
      </c>
      <c r="C608" s="33" t="s">
        <v>957</v>
      </c>
      <c r="D608" s="330">
        <v>1985</v>
      </c>
      <c r="E608" s="330"/>
      <c r="F608" s="331" t="s">
        <v>60</v>
      </c>
      <c r="G608" s="330">
        <v>2</v>
      </c>
      <c r="H608" s="330" t="s">
        <v>56</v>
      </c>
      <c r="I608" s="334">
        <v>617.79999999999995</v>
      </c>
      <c r="J608" s="334">
        <v>560.5</v>
      </c>
      <c r="K608" s="334">
        <v>560.5</v>
      </c>
      <c r="L608" s="332">
        <v>38</v>
      </c>
      <c r="M608" s="330" t="s">
        <v>46</v>
      </c>
      <c r="N608" s="330" t="s">
        <v>50</v>
      </c>
      <c r="O608" s="333" t="s">
        <v>251</v>
      </c>
      <c r="P608" s="38">
        <v>2536990.1700000004</v>
      </c>
      <c r="Q608" s="38">
        <v>0</v>
      </c>
      <c r="R608" s="38">
        <v>0</v>
      </c>
      <c r="S608" s="38">
        <f t="shared" si="114"/>
        <v>2536990.1700000004</v>
      </c>
      <c r="T608" s="38">
        <f t="shared" si="118"/>
        <v>4106.4910488831347</v>
      </c>
      <c r="U608" s="38">
        <v>4955.0548883133697</v>
      </c>
      <c r="V608" s="458">
        <f t="shared" si="119"/>
        <v>848.56383943023502</v>
      </c>
      <c r="W608" s="458">
        <f t="shared" si="115"/>
        <v>10114.671414697314</v>
      </c>
      <c r="X608" s="458">
        <v>0</v>
      </c>
      <c r="Y608" s="459">
        <v>0</v>
      </c>
      <c r="Z608" s="459">
        <v>0</v>
      </c>
      <c r="AA608" s="459">
        <v>0</v>
      </c>
      <c r="AB608" s="459">
        <v>0</v>
      </c>
      <c r="AC608" s="459">
        <v>0</v>
      </c>
      <c r="AD608" s="459">
        <v>0</v>
      </c>
      <c r="AE608" s="459">
        <v>0</v>
      </c>
      <c r="AF608" s="458">
        <v>0</v>
      </c>
      <c r="AG608" s="459">
        <v>0</v>
      </c>
      <c r="AH608" s="458">
        <v>0</v>
      </c>
      <c r="AI608" s="459">
        <v>840</v>
      </c>
      <c r="AJ608" s="458">
        <f>7439.1*AI608/I608</f>
        <v>10114.671414697314</v>
      </c>
      <c r="AK608" s="459">
        <v>0</v>
      </c>
      <c r="AL608" s="459">
        <v>0</v>
      </c>
      <c r="AM608" s="459">
        <v>0</v>
      </c>
      <c r="AN608" s="459"/>
      <c r="AO608" s="459">
        <v>0</v>
      </c>
      <c r="AP608" s="460"/>
      <c r="AQ608" s="460"/>
      <c r="AR608" s="460"/>
      <c r="AS608" s="460"/>
      <c r="AT608" s="460"/>
      <c r="AU608" s="460"/>
      <c r="AV608" s="460"/>
      <c r="AW608" s="460"/>
      <c r="AX608" s="460"/>
      <c r="AY608" s="460"/>
      <c r="AZ608" s="460"/>
      <c r="BA608" s="460"/>
      <c r="BB608" s="460"/>
      <c r="BC608" s="460"/>
      <c r="BD608" s="460"/>
      <c r="BE608" s="460"/>
      <c r="BF608" s="460"/>
      <c r="BG608" s="460"/>
      <c r="BH608" s="460"/>
      <c r="BI608" s="460"/>
      <c r="BJ608" s="460"/>
      <c r="BK608" s="460"/>
      <c r="BL608" s="460"/>
      <c r="BM608" s="460"/>
      <c r="BN608" s="460"/>
      <c r="BO608" s="460"/>
      <c r="BP608" s="460"/>
      <c r="BQ608" s="460"/>
      <c r="BR608" s="460"/>
      <c r="BS608" s="460"/>
      <c r="BT608" s="460"/>
      <c r="BU608" s="460"/>
      <c r="BV608" s="460"/>
      <c r="BW608" s="460"/>
      <c r="BX608" s="460"/>
      <c r="BY608" s="460"/>
      <c r="BZ608" s="460"/>
      <c r="CA608" s="460"/>
      <c r="CB608" s="460"/>
      <c r="CC608" s="460"/>
      <c r="CD608" s="460"/>
      <c r="CE608" s="460"/>
      <c r="CF608" s="460"/>
      <c r="CG608" s="460"/>
      <c r="CH608" s="460"/>
      <c r="CI608" s="460"/>
      <c r="CJ608" s="460"/>
      <c r="CK608" s="460"/>
    </row>
    <row r="609" spans="1:89" s="329" customFormat="1" ht="36" customHeight="1" x14ac:dyDescent="0.25">
      <c r="A609" s="329">
        <v>1</v>
      </c>
      <c r="B609" s="39">
        <f>SUBTOTAL(103,$A$552:A609)</f>
        <v>58</v>
      </c>
      <c r="C609" s="33" t="s">
        <v>1478</v>
      </c>
      <c r="D609" s="330">
        <v>1962</v>
      </c>
      <c r="E609" s="330"/>
      <c r="F609" s="331" t="s">
        <v>48</v>
      </c>
      <c r="G609" s="330">
        <v>2</v>
      </c>
      <c r="H609" s="330" t="s">
        <v>56</v>
      </c>
      <c r="I609" s="334">
        <v>682.9</v>
      </c>
      <c r="J609" s="334">
        <v>653.4</v>
      </c>
      <c r="K609" s="334">
        <v>653.4</v>
      </c>
      <c r="L609" s="332">
        <v>36</v>
      </c>
      <c r="M609" s="330" t="s">
        <v>46</v>
      </c>
      <c r="N609" s="330" t="s">
        <v>50</v>
      </c>
      <c r="O609" s="333" t="s">
        <v>1967</v>
      </c>
      <c r="P609" s="38">
        <v>2380804.91</v>
      </c>
      <c r="Q609" s="38">
        <v>0</v>
      </c>
      <c r="R609" s="38">
        <v>0</v>
      </c>
      <c r="S609" s="38">
        <f t="shared" si="114"/>
        <v>2380804.91</v>
      </c>
      <c r="T609" s="38">
        <f t="shared" si="118"/>
        <v>3486.3155806120958</v>
      </c>
      <c r="U609" s="38">
        <v>5252.7293454385708</v>
      </c>
      <c r="V609" s="458">
        <f t="shared" si="119"/>
        <v>1766.413764826475</v>
      </c>
      <c r="W609" s="458">
        <f t="shared" si="115"/>
        <v>8222.3151266656914</v>
      </c>
      <c r="X609" s="458">
        <v>0</v>
      </c>
      <c r="Y609" s="459">
        <v>0</v>
      </c>
      <c r="Z609" s="459">
        <v>0</v>
      </c>
      <c r="AA609" s="459">
        <v>0</v>
      </c>
      <c r="AB609" s="459">
        <v>0</v>
      </c>
      <c r="AC609" s="459">
        <v>0</v>
      </c>
      <c r="AD609" s="459">
        <v>0</v>
      </c>
      <c r="AE609" s="459">
        <v>900</v>
      </c>
      <c r="AF609" s="458">
        <f>6238.91*AE609/I609</f>
        <v>8222.3151266656914</v>
      </c>
      <c r="AG609" s="459">
        <v>0</v>
      </c>
      <c r="AH609" s="458">
        <v>0</v>
      </c>
      <c r="AI609" s="459">
        <v>0</v>
      </c>
      <c r="AJ609" s="458">
        <v>0</v>
      </c>
      <c r="AK609" s="459">
        <v>0</v>
      </c>
      <c r="AL609" s="459">
        <v>0</v>
      </c>
      <c r="AM609" s="459">
        <v>0</v>
      </c>
      <c r="AN609" s="459"/>
      <c r="AO609" s="459">
        <v>0</v>
      </c>
      <c r="AP609" s="460"/>
      <c r="AQ609" s="460"/>
      <c r="AR609" s="460"/>
      <c r="AS609" s="460"/>
      <c r="AT609" s="460"/>
      <c r="AU609" s="460"/>
      <c r="AV609" s="460"/>
      <c r="AW609" s="460"/>
      <c r="AX609" s="460"/>
      <c r="AY609" s="460"/>
      <c r="AZ609" s="460"/>
      <c r="BA609" s="460"/>
      <c r="BB609" s="460"/>
      <c r="BC609" s="460"/>
      <c r="BD609" s="460"/>
      <c r="BE609" s="460"/>
      <c r="BF609" s="460"/>
      <c r="BG609" s="460"/>
      <c r="BH609" s="460"/>
      <c r="BI609" s="460"/>
      <c r="BJ609" s="460"/>
      <c r="BK609" s="460"/>
      <c r="BL609" s="460"/>
      <c r="BM609" s="460"/>
      <c r="BN609" s="460"/>
      <c r="BO609" s="460"/>
      <c r="BP609" s="460"/>
      <c r="BQ609" s="460"/>
      <c r="BR609" s="460"/>
      <c r="BS609" s="460"/>
      <c r="BT609" s="460"/>
      <c r="BU609" s="460"/>
      <c r="BV609" s="460"/>
      <c r="BW609" s="460"/>
      <c r="BX609" s="460"/>
      <c r="BY609" s="460"/>
      <c r="BZ609" s="460"/>
      <c r="CA609" s="460"/>
      <c r="CB609" s="460"/>
      <c r="CC609" s="460"/>
      <c r="CD609" s="460"/>
      <c r="CE609" s="460"/>
      <c r="CF609" s="460"/>
      <c r="CG609" s="460"/>
      <c r="CH609" s="460"/>
      <c r="CI609" s="460"/>
      <c r="CJ609" s="460"/>
      <c r="CK609" s="460"/>
    </row>
    <row r="610" spans="1:89" s="329" customFormat="1" ht="36" customHeight="1" x14ac:dyDescent="0.25">
      <c r="A610" s="329">
        <v>1</v>
      </c>
      <c r="B610" s="39">
        <f>SUBTOTAL(103,$A$552:A610)</f>
        <v>59</v>
      </c>
      <c r="C610" s="33" t="s">
        <v>1479</v>
      </c>
      <c r="D610" s="330">
        <v>1991</v>
      </c>
      <c r="E610" s="330"/>
      <c r="F610" s="331" t="s">
        <v>60</v>
      </c>
      <c r="G610" s="330">
        <v>9</v>
      </c>
      <c r="H610" s="330" t="s">
        <v>59</v>
      </c>
      <c r="I610" s="334">
        <v>8855.2999999999993</v>
      </c>
      <c r="J610" s="334">
        <v>8855.2999999999993</v>
      </c>
      <c r="K610" s="334">
        <v>8855.2999999999993</v>
      </c>
      <c r="L610" s="332">
        <v>382</v>
      </c>
      <c r="M610" s="330" t="s">
        <v>46</v>
      </c>
      <c r="N610" s="330" t="s">
        <v>50</v>
      </c>
      <c r="O610" s="333" t="s">
        <v>72</v>
      </c>
      <c r="P610" s="38">
        <v>8993212</v>
      </c>
      <c r="Q610" s="38">
        <v>0</v>
      </c>
      <c r="R610" s="38">
        <v>0</v>
      </c>
      <c r="S610" s="38">
        <f t="shared" si="114"/>
        <v>8993212</v>
      </c>
      <c r="T610" s="38">
        <f t="shared" si="118"/>
        <v>1015.5739500638036</v>
      </c>
      <c r="U610" s="38">
        <v>1110.205187853602</v>
      </c>
      <c r="V610" s="458">
        <f t="shared" si="119"/>
        <v>94.63123778979832</v>
      </c>
      <c r="W610" s="458">
        <f t="shared" si="115"/>
        <v>1128.3862906959675</v>
      </c>
      <c r="X610" s="458">
        <v>0</v>
      </c>
      <c r="Y610" s="459">
        <v>0</v>
      </c>
      <c r="Z610" s="459">
        <v>0</v>
      </c>
      <c r="AA610" s="459">
        <v>0</v>
      </c>
      <c r="AB610" s="459">
        <v>0</v>
      </c>
      <c r="AC610" s="459">
        <v>0</v>
      </c>
      <c r="AD610" s="459">
        <v>0</v>
      </c>
      <c r="AE610" s="459">
        <v>0</v>
      </c>
      <c r="AF610" s="458">
        <v>0</v>
      </c>
      <c r="AG610" s="459">
        <v>0</v>
      </c>
      <c r="AH610" s="458">
        <v>0</v>
      </c>
      <c r="AI610" s="459">
        <v>1343.2</v>
      </c>
      <c r="AJ610" s="458">
        <f>7439.1*AI610/I610</f>
        <v>1128.3862906959675</v>
      </c>
      <c r="AK610" s="459">
        <v>0</v>
      </c>
      <c r="AL610" s="459">
        <v>0</v>
      </c>
      <c r="AM610" s="459">
        <v>0</v>
      </c>
      <c r="AN610" s="459"/>
      <c r="AO610" s="459">
        <v>0</v>
      </c>
      <c r="AP610" s="460"/>
      <c r="AQ610" s="460"/>
      <c r="AR610" s="460"/>
      <c r="AS610" s="460"/>
      <c r="AT610" s="460"/>
      <c r="AU610" s="460"/>
      <c r="AV610" s="460"/>
      <c r="AW610" s="460"/>
      <c r="AX610" s="460"/>
      <c r="AY610" s="460"/>
      <c r="AZ610" s="460"/>
      <c r="BA610" s="460"/>
      <c r="BB610" s="460"/>
      <c r="BC610" s="460"/>
      <c r="BD610" s="460"/>
      <c r="BE610" s="460"/>
      <c r="BF610" s="460"/>
      <c r="BG610" s="460"/>
      <c r="BH610" s="460"/>
      <c r="BI610" s="460"/>
      <c r="BJ610" s="460"/>
      <c r="BK610" s="460"/>
      <c r="BL610" s="460"/>
      <c r="BM610" s="460"/>
      <c r="BN610" s="460"/>
      <c r="BO610" s="460"/>
      <c r="BP610" s="460"/>
      <c r="BQ610" s="460"/>
      <c r="BR610" s="460"/>
      <c r="BS610" s="460"/>
      <c r="BT610" s="460"/>
      <c r="BU610" s="460"/>
      <c r="BV610" s="460"/>
      <c r="BW610" s="460"/>
      <c r="BX610" s="460"/>
      <c r="BY610" s="460"/>
      <c r="BZ610" s="460"/>
      <c r="CA610" s="460"/>
      <c r="CB610" s="460"/>
      <c r="CC610" s="460"/>
      <c r="CD610" s="460"/>
      <c r="CE610" s="460"/>
      <c r="CF610" s="460"/>
      <c r="CG610" s="460"/>
      <c r="CH610" s="460"/>
      <c r="CI610" s="460"/>
      <c r="CJ610" s="460"/>
      <c r="CK610" s="460"/>
    </row>
    <row r="611" spans="1:89" s="329" customFormat="1" ht="36" customHeight="1" x14ac:dyDescent="0.25">
      <c r="A611" s="329">
        <v>1</v>
      </c>
      <c r="B611" s="39">
        <f>SUBTOTAL(103,$A$552:A611)</f>
        <v>60</v>
      </c>
      <c r="C611" s="33" t="s">
        <v>1480</v>
      </c>
      <c r="D611" s="335">
        <v>1998</v>
      </c>
      <c r="E611" s="330"/>
      <c r="F611" s="331" t="s">
        <v>48</v>
      </c>
      <c r="G611" s="330">
        <v>10</v>
      </c>
      <c r="H611" s="330" t="s">
        <v>56</v>
      </c>
      <c r="I611" s="334">
        <v>5111.5</v>
      </c>
      <c r="J611" s="334">
        <v>5111.5</v>
      </c>
      <c r="K611" s="334">
        <v>5111.5</v>
      </c>
      <c r="L611" s="332">
        <v>194</v>
      </c>
      <c r="M611" s="330" t="s">
        <v>46</v>
      </c>
      <c r="N611" s="330" t="s">
        <v>50</v>
      </c>
      <c r="O611" s="333" t="s">
        <v>1962</v>
      </c>
      <c r="P611" s="38">
        <v>4622702.9800000004</v>
      </c>
      <c r="Q611" s="38">
        <v>0</v>
      </c>
      <c r="R611" s="38">
        <v>0</v>
      </c>
      <c r="S611" s="38">
        <f t="shared" si="114"/>
        <v>4622702.9800000004</v>
      </c>
      <c r="T611" s="38">
        <f t="shared" si="118"/>
        <v>904.37307639636128</v>
      </c>
      <c r="U611" s="38">
        <v>1165.9397202386774</v>
      </c>
      <c r="V611" s="458">
        <f t="shared" si="119"/>
        <v>261.56664384231613</v>
      </c>
      <c r="W611" s="458">
        <f t="shared" si="115"/>
        <v>903.62985425022009</v>
      </c>
      <c r="X611" s="458">
        <v>0</v>
      </c>
      <c r="Y611" s="459">
        <v>0</v>
      </c>
      <c r="Z611" s="459">
        <v>0</v>
      </c>
      <c r="AA611" s="459">
        <v>0</v>
      </c>
      <c r="AB611" s="459">
        <v>0</v>
      </c>
      <c r="AC611" s="459">
        <v>2</v>
      </c>
      <c r="AD611" s="458">
        <f>2309452*AC611/I611</f>
        <v>903.62985425022009</v>
      </c>
      <c r="AE611" s="459">
        <v>0</v>
      </c>
      <c r="AF611" s="458">
        <v>0</v>
      </c>
      <c r="AG611" s="459">
        <v>0</v>
      </c>
      <c r="AH611" s="458">
        <v>0</v>
      </c>
      <c r="AI611" s="459">
        <v>0</v>
      </c>
      <c r="AJ611" s="458">
        <v>0</v>
      </c>
      <c r="AK611" s="459">
        <v>0</v>
      </c>
      <c r="AL611" s="459">
        <v>0</v>
      </c>
      <c r="AM611" s="459">
        <v>0</v>
      </c>
      <c r="AN611" s="459"/>
      <c r="AO611" s="459">
        <v>0</v>
      </c>
      <c r="AP611" s="460"/>
      <c r="AQ611" s="460"/>
      <c r="AR611" s="460"/>
      <c r="AS611" s="460"/>
      <c r="AT611" s="460"/>
      <c r="AU611" s="460"/>
      <c r="AV611" s="460"/>
      <c r="AW611" s="460"/>
      <c r="AX611" s="460"/>
      <c r="AY611" s="460"/>
      <c r="AZ611" s="460"/>
      <c r="BA611" s="460"/>
      <c r="BB611" s="460"/>
      <c r="BC611" s="460"/>
      <c r="BD611" s="460"/>
      <c r="BE611" s="460"/>
      <c r="BF611" s="460"/>
      <c r="BG611" s="460"/>
      <c r="BH611" s="460"/>
      <c r="BI611" s="460"/>
      <c r="BJ611" s="460"/>
      <c r="BK611" s="460"/>
      <c r="BL611" s="460"/>
      <c r="BM611" s="460"/>
      <c r="BN611" s="460"/>
      <c r="BO611" s="460"/>
      <c r="BP611" s="460"/>
      <c r="BQ611" s="460"/>
      <c r="BR611" s="460"/>
      <c r="BS611" s="460"/>
      <c r="BT611" s="460"/>
      <c r="BU611" s="460"/>
      <c r="BV611" s="460"/>
      <c r="BW611" s="460"/>
      <c r="BX611" s="460"/>
      <c r="BY611" s="460"/>
      <c r="BZ611" s="460"/>
      <c r="CA611" s="460"/>
      <c r="CB611" s="460"/>
      <c r="CC611" s="460"/>
      <c r="CD611" s="460"/>
      <c r="CE611" s="460"/>
      <c r="CF611" s="460"/>
      <c r="CG611" s="460"/>
      <c r="CH611" s="460"/>
      <c r="CI611" s="460"/>
      <c r="CJ611" s="460"/>
      <c r="CK611" s="460"/>
    </row>
    <row r="612" spans="1:89" s="329" customFormat="1" ht="36" customHeight="1" x14ac:dyDescent="0.25">
      <c r="A612" s="329">
        <v>1</v>
      </c>
      <c r="B612" s="39">
        <f>SUBTOTAL(103,$A$552:A612)</f>
        <v>61</v>
      </c>
      <c r="C612" s="33" t="s">
        <v>1481</v>
      </c>
      <c r="D612" s="330">
        <v>1970</v>
      </c>
      <c r="E612" s="330"/>
      <c r="F612" s="331" t="s">
        <v>48</v>
      </c>
      <c r="G612" s="330">
        <v>5</v>
      </c>
      <c r="H612" s="330" t="s">
        <v>56</v>
      </c>
      <c r="I612" s="38">
        <v>2303.6999999999998</v>
      </c>
      <c r="J612" s="38">
        <v>1759</v>
      </c>
      <c r="K612" s="38">
        <v>1399.2</v>
      </c>
      <c r="L612" s="332">
        <v>77</v>
      </c>
      <c r="M612" s="330" t="s">
        <v>46</v>
      </c>
      <c r="N612" s="330" t="s">
        <v>50</v>
      </c>
      <c r="O612" s="333" t="s">
        <v>251</v>
      </c>
      <c r="P612" s="38">
        <v>2729580.86</v>
      </c>
      <c r="Q612" s="38">
        <v>0</v>
      </c>
      <c r="R612" s="38">
        <v>0</v>
      </c>
      <c r="S612" s="38">
        <f t="shared" si="114"/>
        <v>2729580.86</v>
      </c>
      <c r="T612" s="38">
        <f t="shared" si="118"/>
        <v>1184.8681946433999</v>
      </c>
      <c r="U612" s="38">
        <v>1625.0352129183486</v>
      </c>
      <c r="V612" s="458">
        <f t="shared" si="119"/>
        <v>440.16701827494876</v>
      </c>
      <c r="W612" s="458">
        <f t="shared" si="115"/>
        <v>1624.9277249641882</v>
      </c>
      <c r="X612" s="458">
        <v>0</v>
      </c>
      <c r="Y612" s="459">
        <v>0</v>
      </c>
      <c r="Z612" s="459">
        <v>0</v>
      </c>
      <c r="AA612" s="459">
        <v>0</v>
      </c>
      <c r="AB612" s="459">
        <v>0</v>
      </c>
      <c r="AC612" s="459">
        <v>0</v>
      </c>
      <c r="AD612" s="459">
        <v>0</v>
      </c>
      <c r="AE612" s="459">
        <v>600</v>
      </c>
      <c r="AF612" s="458">
        <f>6238.91*AE612/I612</f>
        <v>1624.9277249641882</v>
      </c>
      <c r="AG612" s="459">
        <v>0</v>
      </c>
      <c r="AH612" s="458">
        <v>0</v>
      </c>
      <c r="AI612" s="459">
        <v>0</v>
      </c>
      <c r="AJ612" s="458">
        <v>0</v>
      </c>
      <c r="AK612" s="459">
        <v>0</v>
      </c>
      <c r="AL612" s="459">
        <v>0</v>
      </c>
      <c r="AM612" s="459">
        <v>0</v>
      </c>
      <c r="AN612" s="459"/>
      <c r="AO612" s="459">
        <v>0</v>
      </c>
      <c r="AP612" s="460"/>
      <c r="AQ612" s="460"/>
      <c r="AR612" s="460"/>
      <c r="AS612" s="460"/>
      <c r="AT612" s="460"/>
      <c r="AU612" s="460"/>
      <c r="AV612" s="460"/>
      <c r="AW612" s="460"/>
      <c r="AX612" s="460"/>
      <c r="AY612" s="460"/>
      <c r="AZ612" s="460"/>
      <c r="BA612" s="460"/>
      <c r="BB612" s="460"/>
      <c r="BC612" s="460"/>
      <c r="BD612" s="460"/>
      <c r="BE612" s="460"/>
      <c r="BF612" s="460"/>
      <c r="BG612" s="460"/>
      <c r="BH612" s="460"/>
      <c r="BI612" s="460"/>
      <c r="BJ612" s="460"/>
      <c r="BK612" s="460"/>
      <c r="BL612" s="460"/>
      <c r="BM612" s="460"/>
      <c r="BN612" s="460"/>
      <c r="BO612" s="460"/>
      <c r="BP612" s="460"/>
      <c r="BQ612" s="460"/>
      <c r="BR612" s="460"/>
      <c r="BS612" s="460"/>
      <c r="BT612" s="460"/>
      <c r="BU612" s="460"/>
      <c r="BV612" s="460"/>
      <c r="BW612" s="460"/>
      <c r="BX612" s="460"/>
      <c r="BY612" s="460"/>
      <c r="BZ612" s="460"/>
      <c r="CA612" s="460"/>
      <c r="CB612" s="460"/>
      <c r="CC612" s="460"/>
      <c r="CD612" s="460"/>
      <c r="CE612" s="460"/>
      <c r="CF612" s="460"/>
      <c r="CG612" s="460"/>
      <c r="CH612" s="460"/>
      <c r="CI612" s="460"/>
      <c r="CJ612" s="460"/>
      <c r="CK612" s="460"/>
    </row>
    <row r="613" spans="1:89" s="329" customFormat="1" ht="36" customHeight="1" x14ac:dyDescent="0.25">
      <c r="A613" s="329">
        <v>1</v>
      </c>
      <c r="B613" s="39">
        <f>SUBTOTAL(103,$A$552:A613)</f>
        <v>62</v>
      </c>
      <c r="C613" s="33" t="s">
        <v>1482</v>
      </c>
      <c r="D613" s="330">
        <v>1970</v>
      </c>
      <c r="E613" s="330"/>
      <c r="F613" s="331" t="s">
        <v>1981</v>
      </c>
      <c r="G613" s="330" t="s">
        <v>59</v>
      </c>
      <c r="H613" s="330" t="s">
        <v>57</v>
      </c>
      <c r="I613" s="38">
        <v>1694.4</v>
      </c>
      <c r="J613" s="38">
        <v>1418.1</v>
      </c>
      <c r="K613" s="38">
        <v>1418.1</v>
      </c>
      <c r="L613" s="332">
        <v>111</v>
      </c>
      <c r="M613" s="330" t="s">
        <v>46</v>
      </c>
      <c r="N613" s="330" t="s">
        <v>50</v>
      </c>
      <c r="O613" s="333" t="s">
        <v>1982</v>
      </c>
      <c r="P613" s="38">
        <v>4574650</v>
      </c>
      <c r="Q613" s="38">
        <v>0</v>
      </c>
      <c r="R613" s="38">
        <v>0</v>
      </c>
      <c r="S613" s="38">
        <f t="shared" si="114"/>
        <v>4574650</v>
      </c>
      <c r="T613" s="38">
        <f t="shared" si="118"/>
        <v>2699.8642587346553</v>
      </c>
      <c r="U613" s="38">
        <v>3546.8498583569399</v>
      </c>
      <c r="V613" s="458">
        <f t="shared" si="119"/>
        <v>846.98559962228455</v>
      </c>
      <c r="W613" s="458">
        <f t="shared" si="115"/>
        <v>2378.9841395184135</v>
      </c>
      <c r="X613" s="458">
        <v>0</v>
      </c>
      <c r="Y613" s="459">
        <v>0</v>
      </c>
      <c r="Z613" s="459">
        <v>0</v>
      </c>
      <c r="AA613" s="459">
        <v>0</v>
      </c>
      <c r="AB613" s="459">
        <v>0</v>
      </c>
      <c r="AC613" s="459">
        <v>0</v>
      </c>
      <c r="AD613" s="459">
        <v>0</v>
      </c>
      <c r="AE613" s="459">
        <v>0</v>
      </c>
      <c r="AF613" s="458">
        <v>0</v>
      </c>
      <c r="AG613" s="459">
        <v>0</v>
      </c>
      <c r="AH613" s="458">
        <v>0</v>
      </c>
      <c r="AI613" s="459">
        <v>541.86</v>
      </c>
      <c r="AJ613" s="458">
        <f>7439.1*AI613/I613</f>
        <v>2378.9841395184135</v>
      </c>
      <c r="AK613" s="459">
        <v>0</v>
      </c>
      <c r="AL613" s="459">
        <v>0</v>
      </c>
      <c r="AM613" s="459">
        <v>0</v>
      </c>
      <c r="AN613" s="459"/>
      <c r="AO613" s="459">
        <v>0</v>
      </c>
      <c r="AP613" s="460"/>
      <c r="AQ613" s="460"/>
      <c r="AR613" s="460"/>
      <c r="AS613" s="460"/>
      <c r="AT613" s="460"/>
      <c r="AU613" s="460"/>
      <c r="AV613" s="460"/>
      <c r="AW613" s="460"/>
      <c r="AX613" s="460"/>
      <c r="AY613" s="460"/>
      <c r="AZ613" s="460"/>
      <c r="BA613" s="460"/>
      <c r="BB613" s="460"/>
      <c r="BC613" s="460"/>
      <c r="BD613" s="460"/>
      <c r="BE613" s="460"/>
      <c r="BF613" s="460"/>
      <c r="BG613" s="460"/>
      <c r="BH613" s="460"/>
      <c r="BI613" s="460"/>
      <c r="BJ613" s="460"/>
      <c r="BK613" s="460"/>
      <c r="BL613" s="460"/>
      <c r="BM613" s="460"/>
      <c r="BN613" s="460"/>
      <c r="BO613" s="460"/>
      <c r="BP613" s="460"/>
      <c r="BQ613" s="460"/>
      <c r="BR613" s="460"/>
      <c r="BS613" s="460"/>
      <c r="BT613" s="460"/>
      <c r="BU613" s="460"/>
      <c r="BV613" s="460"/>
      <c r="BW613" s="460"/>
      <c r="BX613" s="460"/>
      <c r="BY613" s="460"/>
      <c r="BZ613" s="460"/>
      <c r="CA613" s="460"/>
      <c r="CB613" s="460"/>
      <c r="CC613" s="460"/>
      <c r="CD613" s="460"/>
      <c r="CE613" s="460"/>
      <c r="CF613" s="460"/>
      <c r="CG613" s="460"/>
      <c r="CH613" s="460"/>
      <c r="CI613" s="460"/>
      <c r="CJ613" s="460"/>
      <c r="CK613" s="460"/>
    </row>
    <row r="614" spans="1:89" s="329" customFormat="1" ht="36" customHeight="1" x14ac:dyDescent="0.25">
      <c r="A614" s="329">
        <v>1</v>
      </c>
      <c r="B614" s="39">
        <f>SUBTOTAL(103,$A$552:A614)</f>
        <v>63</v>
      </c>
      <c r="C614" s="33" t="s">
        <v>1483</v>
      </c>
      <c r="D614" s="330">
        <v>1984</v>
      </c>
      <c r="E614" s="330"/>
      <c r="F614" s="331" t="s">
        <v>1981</v>
      </c>
      <c r="G614" s="330" t="s">
        <v>1965</v>
      </c>
      <c r="H614" s="330" t="s">
        <v>57</v>
      </c>
      <c r="I614" s="38">
        <v>6288</v>
      </c>
      <c r="J614" s="38">
        <v>5117.7</v>
      </c>
      <c r="K614" s="38">
        <v>5074.5</v>
      </c>
      <c r="L614" s="332">
        <v>320</v>
      </c>
      <c r="M614" s="330" t="s">
        <v>46</v>
      </c>
      <c r="N614" s="330" t="s">
        <v>50</v>
      </c>
      <c r="O614" s="333" t="s">
        <v>240</v>
      </c>
      <c r="P614" s="38">
        <v>4363000</v>
      </c>
      <c r="Q614" s="38">
        <v>0</v>
      </c>
      <c r="R614" s="38">
        <v>0</v>
      </c>
      <c r="S614" s="38">
        <f t="shared" si="114"/>
        <v>4363000</v>
      </c>
      <c r="T614" s="38">
        <f t="shared" si="118"/>
        <v>693.86132315521627</v>
      </c>
      <c r="U614" s="38">
        <v>851.21858301526709</v>
      </c>
      <c r="V614" s="458">
        <f t="shared" si="119"/>
        <v>157.35725986005082</v>
      </c>
      <c r="W614" s="458">
        <f t="shared" si="115"/>
        <v>1012.036927480916</v>
      </c>
      <c r="X614" s="458">
        <v>0</v>
      </c>
      <c r="Y614" s="459">
        <v>0</v>
      </c>
      <c r="Z614" s="459">
        <v>0</v>
      </c>
      <c r="AA614" s="459">
        <v>0</v>
      </c>
      <c r="AB614" s="459">
        <v>0</v>
      </c>
      <c r="AC614" s="459">
        <v>0</v>
      </c>
      <c r="AD614" s="459">
        <v>0</v>
      </c>
      <c r="AE614" s="459">
        <v>1020</v>
      </c>
      <c r="AF614" s="458">
        <f>6238.91*AE614/I614</f>
        <v>1012.036927480916</v>
      </c>
      <c r="AG614" s="459">
        <v>0</v>
      </c>
      <c r="AH614" s="458">
        <v>0</v>
      </c>
      <c r="AI614" s="459">
        <v>0</v>
      </c>
      <c r="AJ614" s="458">
        <v>0</v>
      </c>
      <c r="AK614" s="459">
        <v>0</v>
      </c>
      <c r="AL614" s="459">
        <v>0</v>
      </c>
      <c r="AM614" s="459">
        <v>0</v>
      </c>
      <c r="AN614" s="459"/>
      <c r="AO614" s="459">
        <v>0</v>
      </c>
      <c r="AP614" s="460"/>
      <c r="AQ614" s="460"/>
      <c r="AR614" s="460"/>
      <c r="AS614" s="460"/>
      <c r="AT614" s="460"/>
      <c r="AU614" s="460"/>
      <c r="AV614" s="460"/>
      <c r="AW614" s="460"/>
      <c r="AX614" s="460"/>
      <c r="AY614" s="460"/>
      <c r="AZ614" s="460"/>
      <c r="BA614" s="460"/>
      <c r="BB614" s="460"/>
      <c r="BC614" s="460"/>
      <c r="BD614" s="460"/>
      <c r="BE614" s="460"/>
      <c r="BF614" s="460"/>
      <c r="BG614" s="460"/>
      <c r="BH614" s="460"/>
      <c r="BI614" s="460"/>
      <c r="BJ614" s="460"/>
      <c r="BK614" s="460"/>
      <c r="BL614" s="460"/>
      <c r="BM614" s="460"/>
      <c r="BN614" s="460"/>
      <c r="BO614" s="460"/>
      <c r="BP614" s="460"/>
      <c r="BQ614" s="460"/>
      <c r="BR614" s="460"/>
      <c r="BS614" s="460"/>
      <c r="BT614" s="460"/>
      <c r="BU614" s="460"/>
      <c r="BV614" s="460"/>
      <c r="BW614" s="460"/>
      <c r="BX614" s="460"/>
      <c r="BY614" s="460"/>
      <c r="BZ614" s="460"/>
      <c r="CA614" s="460"/>
      <c r="CB614" s="460"/>
      <c r="CC614" s="460"/>
      <c r="CD614" s="460"/>
      <c r="CE614" s="460"/>
      <c r="CF614" s="460"/>
      <c r="CG614" s="460"/>
      <c r="CH614" s="460"/>
      <c r="CI614" s="460"/>
      <c r="CJ614" s="460"/>
      <c r="CK614" s="460"/>
    </row>
    <row r="615" spans="1:89" s="329" customFormat="1" ht="36" customHeight="1" x14ac:dyDescent="0.25">
      <c r="A615" s="329">
        <v>1</v>
      </c>
      <c r="B615" s="39">
        <f>SUBTOTAL(103,$A$552:A615)</f>
        <v>64</v>
      </c>
      <c r="C615" s="33" t="s">
        <v>1484</v>
      </c>
      <c r="D615" s="330">
        <v>1988</v>
      </c>
      <c r="E615" s="330"/>
      <c r="F615" s="331" t="s">
        <v>1981</v>
      </c>
      <c r="G615" s="330" t="s">
        <v>1965</v>
      </c>
      <c r="H615" s="330" t="s">
        <v>57</v>
      </c>
      <c r="I615" s="38">
        <v>7446.7</v>
      </c>
      <c r="J615" s="38">
        <v>6148.5</v>
      </c>
      <c r="K615" s="38">
        <v>5708.1</v>
      </c>
      <c r="L615" s="332">
        <v>289</v>
      </c>
      <c r="M615" s="330" t="s">
        <v>46</v>
      </c>
      <c r="N615" s="330" t="s">
        <v>50</v>
      </c>
      <c r="O615" s="333" t="s">
        <v>240</v>
      </c>
      <c r="P615" s="38">
        <v>4363000</v>
      </c>
      <c r="Q615" s="38">
        <v>0</v>
      </c>
      <c r="R615" s="38">
        <v>0</v>
      </c>
      <c r="S615" s="38">
        <f t="shared" si="114"/>
        <v>4363000</v>
      </c>
      <c r="T615" s="38">
        <f t="shared" si="118"/>
        <v>585.89710878644235</v>
      </c>
      <c r="U615" s="38">
        <v>718.76971678730172</v>
      </c>
      <c r="V615" s="458">
        <f t="shared" si="119"/>
        <v>132.87260800085937</v>
      </c>
      <c r="W615" s="458">
        <f t="shared" si="115"/>
        <v>293.23304282433833</v>
      </c>
      <c r="X615" s="458">
        <v>0</v>
      </c>
      <c r="Y615" s="459">
        <v>0</v>
      </c>
      <c r="Z615" s="459">
        <v>0</v>
      </c>
      <c r="AA615" s="459">
        <v>0</v>
      </c>
      <c r="AB615" s="459">
        <v>0</v>
      </c>
      <c r="AC615" s="459">
        <v>0</v>
      </c>
      <c r="AD615" s="459">
        <v>0</v>
      </c>
      <c r="AE615" s="459">
        <v>350</v>
      </c>
      <c r="AF615" s="458">
        <f>6238.91*AE615/I615</f>
        <v>293.23304282433833</v>
      </c>
      <c r="AG615" s="459">
        <v>0</v>
      </c>
      <c r="AH615" s="458">
        <v>0</v>
      </c>
      <c r="AI615" s="459">
        <v>0</v>
      </c>
      <c r="AJ615" s="458">
        <v>0</v>
      </c>
      <c r="AK615" s="459">
        <v>0</v>
      </c>
      <c r="AL615" s="459">
        <v>0</v>
      </c>
      <c r="AM615" s="459">
        <v>0</v>
      </c>
      <c r="AN615" s="459"/>
      <c r="AO615" s="459">
        <v>0</v>
      </c>
      <c r="AP615" s="460"/>
      <c r="AQ615" s="460"/>
      <c r="AR615" s="460"/>
      <c r="AS615" s="460"/>
      <c r="AT615" s="460"/>
      <c r="AU615" s="460"/>
      <c r="AV615" s="460"/>
      <c r="AW615" s="460"/>
      <c r="AX615" s="460"/>
      <c r="AY615" s="460"/>
      <c r="AZ615" s="460"/>
      <c r="BA615" s="460"/>
      <c r="BB615" s="460"/>
      <c r="BC615" s="460"/>
      <c r="BD615" s="460"/>
      <c r="BE615" s="460"/>
      <c r="BF615" s="460"/>
      <c r="BG615" s="460"/>
      <c r="BH615" s="460"/>
      <c r="BI615" s="460"/>
      <c r="BJ615" s="460"/>
      <c r="BK615" s="460"/>
      <c r="BL615" s="460"/>
      <c r="BM615" s="460"/>
      <c r="BN615" s="460"/>
      <c r="BO615" s="460"/>
      <c r="BP615" s="460"/>
      <c r="BQ615" s="460"/>
      <c r="BR615" s="460"/>
      <c r="BS615" s="460"/>
      <c r="BT615" s="460"/>
      <c r="BU615" s="460"/>
      <c r="BV615" s="460"/>
      <c r="BW615" s="460"/>
      <c r="BX615" s="460"/>
      <c r="BY615" s="460"/>
      <c r="BZ615" s="460"/>
      <c r="CA615" s="460"/>
      <c r="CB615" s="460"/>
      <c r="CC615" s="460"/>
      <c r="CD615" s="460"/>
      <c r="CE615" s="460"/>
      <c r="CF615" s="460"/>
      <c r="CG615" s="460"/>
      <c r="CH615" s="460"/>
      <c r="CI615" s="460"/>
      <c r="CJ615" s="460"/>
      <c r="CK615" s="460"/>
    </row>
    <row r="616" spans="1:89" s="329" customFormat="1" ht="36" customHeight="1" x14ac:dyDescent="0.25">
      <c r="A616" s="329">
        <v>1</v>
      </c>
      <c r="B616" s="39">
        <f>SUBTOTAL(103,$A$552:A616)</f>
        <v>65</v>
      </c>
      <c r="C616" s="33" t="s">
        <v>1485</v>
      </c>
      <c r="D616" s="330">
        <v>1972</v>
      </c>
      <c r="E616" s="330"/>
      <c r="F616" s="331" t="s">
        <v>1981</v>
      </c>
      <c r="G616" s="330" t="s">
        <v>75</v>
      </c>
      <c r="H616" s="330" t="s">
        <v>56</v>
      </c>
      <c r="I616" s="38">
        <v>4729.3</v>
      </c>
      <c r="J616" s="38">
        <v>2860.4</v>
      </c>
      <c r="K616" s="38">
        <v>2738.6</v>
      </c>
      <c r="L616" s="332">
        <v>204</v>
      </c>
      <c r="M616" s="330" t="s">
        <v>46</v>
      </c>
      <c r="N616" s="330" t="s">
        <v>50</v>
      </c>
      <c r="O616" s="333" t="s">
        <v>240</v>
      </c>
      <c r="P616" s="38">
        <v>5178754.45</v>
      </c>
      <c r="Q616" s="38">
        <v>0</v>
      </c>
      <c r="R616" s="38">
        <v>0</v>
      </c>
      <c r="S616" s="38">
        <f t="shared" ref="S616" si="120">P616-Q616-R616</f>
        <v>5178754.45</v>
      </c>
      <c r="T616" s="38">
        <f t="shared" si="118"/>
        <v>1095.0361469984987</v>
      </c>
      <c r="U616" s="38">
        <v>1371.3566151438902</v>
      </c>
      <c r="V616" s="458">
        <f t="shared" si="119"/>
        <v>276.32046814539149</v>
      </c>
      <c r="W616" s="458">
        <f t="shared" ref="W616:W620" si="121">X616+Y616+Z616+AA616+AB616+AD616+AF616+AH616+AJ616+AL616+AN616+AO616</f>
        <v>645.09060326052474</v>
      </c>
      <c r="X616" s="458">
        <v>0</v>
      </c>
      <c r="Y616" s="459">
        <v>0</v>
      </c>
      <c r="Z616" s="459">
        <v>0</v>
      </c>
      <c r="AA616" s="459">
        <v>0</v>
      </c>
      <c r="AB616" s="459">
        <v>0</v>
      </c>
      <c r="AC616" s="459">
        <v>0</v>
      </c>
      <c r="AD616" s="459">
        <v>0</v>
      </c>
      <c r="AE616" s="459">
        <v>489</v>
      </c>
      <c r="AF616" s="458">
        <f>6238.91*AE616/I616</f>
        <v>645.09060326052474</v>
      </c>
      <c r="AG616" s="459">
        <v>0</v>
      </c>
      <c r="AH616" s="458">
        <v>0</v>
      </c>
      <c r="AI616" s="459">
        <v>0</v>
      </c>
      <c r="AJ616" s="458">
        <v>0</v>
      </c>
      <c r="AK616" s="459">
        <v>0</v>
      </c>
      <c r="AL616" s="459">
        <v>0</v>
      </c>
      <c r="AM616" s="459">
        <v>0</v>
      </c>
      <c r="AN616" s="459"/>
      <c r="AO616" s="459">
        <v>0</v>
      </c>
      <c r="AP616" s="460"/>
      <c r="AQ616" s="460"/>
      <c r="AR616" s="460"/>
      <c r="AS616" s="460"/>
      <c r="AT616" s="460"/>
      <c r="AU616" s="460"/>
      <c r="AV616" s="460"/>
      <c r="AW616" s="460"/>
      <c r="AX616" s="460"/>
      <c r="AY616" s="460"/>
      <c r="AZ616" s="460"/>
      <c r="BA616" s="460"/>
      <c r="BB616" s="460"/>
      <c r="BC616" s="460"/>
      <c r="BD616" s="460"/>
      <c r="BE616" s="460"/>
      <c r="BF616" s="460"/>
      <c r="BG616" s="460"/>
      <c r="BH616" s="460"/>
      <c r="BI616" s="460"/>
      <c r="BJ616" s="460"/>
      <c r="BK616" s="460"/>
      <c r="BL616" s="460"/>
      <c r="BM616" s="460"/>
      <c r="BN616" s="460"/>
      <c r="BO616" s="460"/>
      <c r="BP616" s="460"/>
      <c r="BQ616" s="460"/>
      <c r="BR616" s="460"/>
      <c r="BS616" s="460"/>
      <c r="BT616" s="460"/>
      <c r="BU616" s="460"/>
      <c r="BV616" s="460"/>
      <c r="BW616" s="460"/>
      <c r="BX616" s="460"/>
      <c r="BY616" s="460"/>
      <c r="BZ616" s="460"/>
      <c r="CA616" s="460"/>
      <c r="CB616" s="460"/>
      <c r="CC616" s="460"/>
      <c r="CD616" s="460"/>
      <c r="CE616" s="460"/>
      <c r="CF616" s="460"/>
      <c r="CG616" s="460"/>
      <c r="CH616" s="460"/>
      <c r="CI616" s="460"/>
      <c r="CJ616" s="460"/>
      <c r="CK616" s="460"/>
    </row>
    <row r="617" spans="1:89" s="329" customFormat="1" ht="36" customHeight="1" x14ac:dyDescent="0.25">
      <c r="A617" s="329">
        <v>1</v>
      </c>
      <c r="B617" s="39">
        <f>SUBTOTAL(103,$A$552:A617)</f>
        <v>66</v>
      </c>
      <c r="C617" s="33" t="s">
        <v>916</v>
      </c>
      <c r="D617" s="330">
        <v>1959</v>
      </c>
      <c r="E617" s="330"/>
      <c r="F617" s="331" t="s">
        <v>48</v>
      </c>
      <c r="G617" s="330">
        <v>2</v>
      </c>
      <c r="H617" s="330" t="s">
        <v>56</v>
      </c>
      <c r="I617" s="38">
        <v>918.1</v>
      </c>
      <c r="J617" s="38">
        <v>907</v>
      </c>
      <c r="K617" s="38">
        <v>907</v>
      </c>
      <c r="L617" s="332">
        <v>40</v>
      </c>
      <c r="M617" s="330" t="s">
        <v>46</v>
      </c>
      <c r="N617" s="330" t="s">
        <v>50</v>
      </c>
      <c r="O617" s="333" t="s">
        <v>1956</v>
      </c>
      <c r="P617" s="38">
        <v>2112589</v>
      </c>
      <c r="Q617" s="38">
        <v>0</v>
      </c>
      <c r="R617" s="38">
        <v>0</v>
      </c>
      <c r="S617" s="38">
        <f>P617-R617-Q617</f>
        <v>2112589</v>
      </c>
      <c r="T617" s="38">
        <f t="shared" si="118"/>
        <v>2301.0445485241257</v>
      </c>
      <c r="U617" s="38">
        <v>3409.3181570635006</v>
      </c>
      <c r="V617" s="458">
        <f t="shared" si="119"/>
        <v>1108.2736085393749</v>
      </c>
      <c r="W617" s="458">
        <f t="shared" si="121"/>
        <v>3893.7974403659728</v>
      </c>
      <c r="X617" s="458">
        <v>0</v>
      </c>
      <c r="Y617" s="459">
        <v>0</v>
      </c>
      <c r="Z617" s="459">
        <v>0</v>
      </c>
      <c r="AA617" s="459">
        <v>0</v>
      </c>
      <c r="AB617" s="459">
        <v>0</v>
      </c>
      <c r="AC617" s="459">
        <v>0</v>
      </c>
      <c r="AD617" s="459">
        <v>0</v>
      </c>
      <c r="AE617" s="459">
        <v>573</v>
      </c>
      <c r="AF617" s="458">
        <f>6238.91*AE617/I617</f>
        <v>3893.7974403659728</v>
      </c>
      <c r="AG617" s="459">
        <v>0</v>
      </c>
      <c r="AH617" s="458">
        <v>0</v>
      </c>
      <c r="AI617" s="459">
        <v>0</v>
      </c>
      <c r="AJ617" s="458">
        <v>0</v>
      </c>
      <c r="AK617" s="459">
        <v>0</v>
      </c>
      <c r="AL617" s="459">
        <v>0</v>
      </c>
      <c r="AM617" s="459">
        <v>0</v>
      </c>
      <c r="AN617" s="459"/>
      <c r="AO617" s="459">
        <v>0</v>
      </c>
      <c r="AP617" s="460"/>
      <c r="AQ617" s="460"/>
      <c r="AR617" s="460"/>
      <c r="AS617" s="460"/>
      <c r="AT617" s="460"/>
      <c r="AU617" s="460"/>
      <c r="AV617" s="460"/>
      <c r="AW617" s="460"/>
      <c r="AX617" s="460"/>
      <c r="AY617" s="460"/>
      <c r="AZ617" s="460"/>
      <c r="BA617" s="460"/>
      <c r="BB617" s="460"/>
      <c r="BC617" s="460"/>
      <c r="BD617" s="460"/>
      <c r="BE617" s="460"/>
      <c r="BF617" s="460"/>
      <c r="BG617" s="460"/>
      <c r="BH617" s="460"/>
      <c r="BI617" s="460"/>
      <c r="BJ617" s="460"/>
      <c r="BK617" s="460"/>
      <c r="BL617" s="460"/>
      <c r="BM617" s="460"/>
      <c r="BN617" s="460"/>
      <c r="BO617" s="460"/>
      <c r="BP617" s="460"/>
      <c r="BQ617" s="460"/>
      <c r="BR617" s="460"/>
      <c r="BS617" s="460"/>
      <c r="BT617" s="460"/>
      <c r="BU617" s="460"/>
      <c r="BV617" s="460"/>
      <c r="BW617" s="460"/>
      <c r="BX617" s="460"/>
      <c r="BY617" s="460"/>
      <c r="BZ617" s="460"/>
      <c r="CA617" s="460"/>
      <c r="CB617" s="460"/>
      <c r="CC617" s="460"/>
      <c r="CD617" s="460"/>
      <c r="CE617" s="460"/>
      <c r="CF617" s="460"/>
      <c r="CG617" s="460"/>
      <c r="CH617" s="460"/>
      <c r="CI617" s="460"/>
      <c r="CJ617" s="460"/>
      <c r="CK617" s="460"/>
    </row>
    <row r="618" spans="1:89" s="329" customFormat="1" ht="36" customHeight="1" x14ac:dyDescent="0.25">
      <c r="A618" s="329">
        <v>1</v>
      </c>
      <c r="B618" s="39">
        <f>SUBTOTAL(103,$A$552:A618)</f>
        <v>67</v>
      </c>
      <c r="C618" s="33" t="s">
        <v>936</v>
      </c>
      <c r="D618" s="335">
        <v>1989</v>
      </c>
      <c r="E618" s="330"/>
      <c r="F618" s="331" t="s">
        <v>48</v>
      </c>
      <c r="G618" s="330">
        <v>5</v>
      </c>
      <c r="H618" s="330" t="s">
        <v>61</v>
      </c>
      <c r="I618" s="334">
        <v>2454.8000000000002</v>
      </c>
      <c r="J618" s="334">
        <v>1816.2</v>
      </c>
      <c r="K618" s="334">
        <v>1749.1</v>
      </c>
      <c r="L618" s="332">
        <v>71</v>
      </c>
      <c r="M618" s="330" t="s">
        <v>46</v>
      </c>
      <c r="N618" s="330" t="s">
        <v>50</v>
      </c>
      <c r="O618" s="333" t="s">
        <v>251</v>
      </c>
      <c r="P618" s="38">
        <v>2556530.7300000004</v>
      </c>
      <c r="Q618" s="38">
        <v>0</v>
      </c>
      <c r="R618" s="38">
        <v>0</v>
      </c>
      <c r="S618" s="38">
        <f t="shared" ref="S618:S640" si="122">P618-Q618-R618</f>
        <v>2556530.7300000004</v>
      </c>
      <c r="T618" s="38">
        <f t="shared" si="118"/>
        <v>1041.4415553201891</v>
      </c>
      <c r="U618" s="38">
        <v>1767.2770368258105</v>
      </c>
      <c r="V618" s="458">
        <f t="shared" si="119"/>
        <v>725.83548150562137</v>
      </c>
      <c r="W618" s="458">
        <f t="shared" si="121"/>
        <v>4004.8883819455759</v>
      </c>
      <c r="X618" s="458">
        <v>0</v>
      </c>
      <c r="Y618" s="459">
        <v>0</v>
      </c>
      <c r="Z618" s="459">
        <v>0</v>
      </c>
      <c r="AA618" s="459">
        <v>0</v>
      </c>
      <c r="AB618" s="459">
        <v>0</v>
      </c>
      <c r="AC618" s="459">
        <v>4</v>
      </c>
      <c r="AD618" s="458">
        <f>2457800*AC618/I618</f>
        <v>4004.8883819455759</v>
      </c>
      <c r="AE618" s="459">
        <v>0</v>
      </c>
      <c r="AF618" s="458">
        <v>0</v>
      </c>
      <c r="AG618" s="459">
        <v>0</v>
      </c>
      <c r="AH618" s="458">
        <v>0</v>
      </c>
      <c r="AI618" s="459">
        <v>0</v>
      </c>
      <c r="AJ618" s="458">
        <v>0</v>
      </c>
      <c r="AK618" s="459">
        <v>0</v>
      </c>
      <c r="AL618" s="459">
        <v>0</v>
      </c>
      <c r="AM618" s="459">
        <v>0</v>
      </c>
      <c r="AN618" s="459"/>
      <c r="AO618" s="459">
        <v>0</v>
      </c>
      <c r="AP618" s="460"/>
      <c r="AQ618" s="460"/>
      <c r="AR618" s="460"/>
      <c r="AS618" s="460"/>
      <c r="AT618" s="460"/>
      <c r="AU618" s="460"/>
      <c r="AV618" s="460"/>
      <c r="AW618" s="460"/>
      <c r="AX618" s="460"/>
      <c r="AY618" s="460"/>
      <c r="AZ618" s="460"/>
      <c r="BA618" s="460"/>
      <c r="BB618" s="460"/>
      <c r="BC618" s="460"/>
      <c r="BD618" s="460"/>
      <c r="BE618" s="460"/>
      <c r="BF618" s="460"/>
      <c r="BG618" s="460"/>
      <c r="BH618" s="460"/>
      <c r="BI618" s="460"/>
      <c r="BJ618" s="460"/>
      <c r="BK618" s="460"/>
      <c r="BL618" s="460"/>
      <c r="BM618" s="460"/>
      <c r="BN618" s="460"/>
      <c r="BO618" s="460"/>
      <c r="BP618" s="460"/>
      <c r="BQ618" s="460"/>
      <c r="BR618" s="460"/>
      <c r="BS618" s="460"/>
      <c r="BT618" s="460"/>
      <c r="BU618" s="460"/>
      <c r="BV618" s="460"/>
      <c r="BW618" s="460"/>
      <c r="BX618" s="460"/>
      <c r="BY618" s="460"/>
      <c r="BZ618" s="460"/>
      <c r="CA618" s="460"/>
      <c r="CB618" s="460"/>
      <c r="CC618" s="460"/>
      <c r="CD618" s="460"/>
      <c r="CE618" s="460"/>
      <c r="CF618" s="460"/>
      <c r="CG618" s="460"/>
      <c r="CH618" s="460"/>
      <c r="CI618" s="460"/>
      <c r="CJ618" s="460"/>
      <c r="CK618" s="460"/>
    </row>
    <row r="619" spans="1:89" s="329" customFormat="1" ht="36" customHeight="1" x14ac:dyDescent="0.25">
      <c r="A619" s="329">
        <v>1</v>
      </c>
      <c r="B619" s="39">
        <f>SUBTOTAL(103,$A$552:A619)</f>
        <v>68</v>
      </c>
      <c r="C619" s="33" t="s">
        <v>968</v>
      </c>
      <c r="D619" s="335">
        <v>1974</v>
      </c>
      <c r="E619" s="330"/>
      <c r="F619" s="331" t="s">
        <v>1981</v>
      </c>
      <c r="G619" s="330" t="s">
        <v>75</v>
      </c>
      <c r="H619" s="330" t="s">
        <v>59</v>
      </c>
      <c r="I619" s="334">
        <v>4916.8</v>
      </c>
      <c r="J619" s="334">
        <v>4565.5</v>
      </c>
      <c r="K619" s="334">
        <v>4565.5</v>
      </c>
      <c r="L619" s="332">
        <v>114</v>
      </c>
      <c r="M619" s="330" t="s">
        <v>46</v>
      </c>
      <c r="N619" s="330" t="s">
        <v>50</v>
      </c>
      <c r="O619" s="333" t="s">
        <v>394</v>
      </c>
      <c r="P619" s="38">
        <v>2262188.67</v>
      </c>
      <c r="Q619" s="38">
        <v>0</v>
      </c>
      <c r="R619" s="38">
        <v>0</v>
      </c>
      <c r="S619" s="38">
        <f t="shared" si="122"/>
        <v>2262188.67</v>
      </c>
      <c r="T619" s="38">
        <f t="shared" si="118"/>
        <v>460.09369305239176</v>
      </c>
      <c r="U619" s="38">
        <v>1558.4267328343637</v>
      </c>
      <c r="V619" s="458">
        <f t="shared" si="119"/>
        <v>1098.333039781972</v>
      </c>
      <c r="W619" s="458">
        <f t="shared" si="121"/>
        <v>1207.9894077448748</v>
      </c>
      <c r="X619" s="458">
        <v>0</v>
      </c>
      <c r="Y619" s="459">
        <v>0</v>
      </c>
      <c r="Z619" s="459">
        <v>0</v>
      </c>
      <c r="AA619" s="459">
        <v>0</v>
      </c>
      <c r="AB619" s="459">
        <v>0</v>
      </c>
      <c r="AC619" s="459">
        <v>0</v>
      </c>
      <c r="AD619" s="459">
        <v>0</v>
      </c>
      <c r="AE619" s="459">
        <v>952</v>
      </c>
      <c r="AF619" s="458">
        <f>6238.91*AE619/I619</f>
        <v>1207.9894077448748</v>
      </c>
      <c r="AG619" s="459">
        <v>0</v>
      </c>
      <c r="AH619" s="458">
        <v>0</v>
      </c>
      <c r="AI619" s="459">
        <v>0</v>
      </c>
      <c r="AJ619" s="458">
        <v>0</v>
      </c>
      <c r="AK619" s="459">
        <v>0</v>
      </c>
      <c r="AL619" s="459">
        <v>0</v>
      </c>
      <c r="AM619" s="459">
        <v>0</v>
      </c>
      <c r="AN619" s="459"/>
      <c r="AO619" s="459">
        <v>0</v>
      </c>
      <c r="AP619" s="460"/>
      <c r="AQ619" s="460"/>
      <c r="AR619" s="460"/>
      <c r="AS619" s="460"/>
      <c r="AT619" s="460"/>
      <c r="AU619" s="460"/>
      <c r="AV619" s="460"/>
      <c r="AW619" s="460"/>
      <c r="AX619" s="460"/>
      <c r="AY619" s="460"/>
      <c r="AZ619" s="460"/>
      <c r="BA619" s="460"/>
      <c r="BB619" s="460"/>
      <c r="BC619" s="460"/>
      <c r="BD619" s="460"/>
      <c r="BE619" s="460"/>
      <c r="BF619" s="460"/>
      <c r="BG619" s="460"/>
      <c r="BH619" s="460"/>
      <c r="BI619" s="460"/>
      <c r="BJ619" s="460"/>
      <c r="BK619" s="460"/>
      <c r="BL619" s="460"/>
      <c r="BM619" s="460"/>
      <c r="BN619" s="460"/>
      <c r="BO619" s="460"/>
      <c r="BP619" s="460"/>
      <c r="BQ619" s="460"/>
      <c r="BR619" s="460"/>
      <c r="BS619" s="460"/>
      <c r="BT619" s="460"/>
      <c r="BU619" s="460"/>
      <c r="BV619" s="460"/>
      <c r="BW619" s="460"/>
      <c r="BX619" s="460"/>
      <c r="BY619" s="460"/>
      <c r="BZ619" s="460"/>
      <c r="CA619" s="460"/>
      <c r="CB619" s="460"/>
      <c r="CC619" s="460"/>
      <c r="CD619" s="460"/>
      <c r="CE619" s="460"/>
      <c r="CF619" s="460"/>
      <c r="CG619" s="460"/>
      <c r="CH619" s="460"/>
      <c r="CI619" s="460"/>
      <c r="CJ619" s="460"/>
      <c r="CK619" s="460"/>
    </row>
    <row r="620" spans="1:89" s="329" customFormat="1" ht="36" customHeight="1" x14ac:dyDescent="0.25">
      <c r="A620" s="329">
        <v>1</v>
      </c>
      <c r="B620" s="39">
        <f>SUBTOTAL(103,$A$552:A620)</f>
        <v>69</v>
      </c>
      <c r="C620" s="33" t="s">
        <v>1067</v>
      </c>
      <c r="D620" s="335">
        <v>1970</v>
      </c>
      <c r="E620" s="330"/>
      <c r="F620" s="331" t="s">
        <v>48</v>
      </c>
      <c r="G620" s="330">
        <v>5</v>
      </c>
      <c r="H620" s="330" t="s">
        <v>59</v>
      </c>
      <c r="I620" s="334">
        <v>12297.5</v>
      </c>
      <c r="J620" s="334">
        <v>3386.1</v>
      </c>
      <c r="K620" s="334">
        <v>3386.1</v>
      </c>
      <c r="L620" s="332">
        <v>153</v>
      </c>
      <c r="M620" s="330" t="s">
        <v>46</v>
      </c>
      <c r="N620" s="330" t="s">
        <v>50</v>
      </c>
      <c r="O620" s="333" t="s">
        <v>1978</v>
      </c>
      <c r="P620" s="38">
        <v>4542675.7399999993</v>
      </c>
      <c r="Q620" s="38">
        <v>0</v>
      </c>
      <c r="R620" s="38">
        <v>0</v>
      </c>
      <c r="S620" s="38">
        <f t="shared" si="122"/>
        <v>4542675.7399999993</v>
      </c>
      <c r="T620" s="38">
        <f t="shared" si="118"/>
        <v>369.39831185200239</v>
      </c>
      <c r="U620" s="38">
        <v>569.64038300467575</v>
      </c>
      <c r="V620" s="458">
        <f t="shared" si="119"/>
        <v>200.24207115267336</v>
      </c>
      <c r="W620" s="458">
        <f t="shared" si="121"/>
        <v>303.38427973165273</v>
      </c>
      <c r="X620" s="458">
        <v>0</v>
      </c>
      <c r="Y620" s="459">
        <v>0</v>
      </c>
      <c r="Z620" s="459">
        <v>0</v>
      </c>
      <c r="AA620" s="459">
        <v>0</v>
      </c>
      <c r="AB620" s="459">
        <v>0</v>
      </c>
      <c r="AC620" s="459">
        <v>0</v>
      </c>
      <c r="AD620" s="459">
        <v>0</v>
      </c>
      <c r="AE620" s="459">
        <v>598</v>
      </c>
      <c r="AF620" s="458">
        <f>6238.91*AE620/I620</f>
        <v>303.38427973165273</v>
      </c>
      <c r="AG620" s="459">
        <v>0</v>
      </c>
      <c r="AH620" s="458">
        <v>0</v>
      </c>
      <c r="AI620" s="459">
        <v>0</v>
      </c>
      <c r="AJ620" s="458">
        <v>0</v>
      </c>
      <c r="AK620" s="459">
        <v>0</v>
      </c>
      <c r="AL620" s="459">
        <v>0</v>
      </c>
      <c r="AM620" s="459">
        <v>0</v>
      </c>
      <c r="AN620" s="459"/>
      <c r="AO620" s="459">
        <v>0</v>
      </c>
      <c r="AP620" s="460"/>
      <c r="AQ620" s="460"/>
      <c r="AR620" s="460"/>
      <c r="AS620" s="460"/>
      <c r="AT620" s="460"/>
      <c r="AU620" s="460"/>
      <c r="AV620" s="460"/>
      <c r="AW620" s="460"/>
      <c r="AX620" s="460"/>
      <c r="AY620" s="460"/>
      <c r="AZ620" s="460"/>
      <c r="BA620" s="460"/>
      <c r="BB620" s="460"/>
      <c r="BC620" s="460"/>
      <c r="BD620" s="460"/>
      <c r="BE620" s="460"/>
      <c r="BF620" s="460"/>
      <c r="BG620" s="460"/>
      <c r="BH620" s="460"/>
      <c r="BI620" s="460"/>
      <c r="BJ620" s="460"/>
      <c r="BK620" s="460"/>
      <c r="BL620" s="460"/>
      <c r="BM620" s="460"/>
      <c r="BN620" s="460"/>
      <c r="BO620" s="460"/>
      <c r="BP620" s="460"/>
      <c r="BQ620" s="460"/>
      <c r="BR620" s="460"/>
      <c r="BS620" s="460"/>
      <c r="BT620" s="460"/>
      <c r="BU620" s="460"/>
      <c r="BV620" s="460"/>
      <c r="BW620" s="460"/>
      <c r="BX620" s="460"/>
      <c r="BY620" s="460"/>
      <c r="BZ620" s="460"/>
      <c r="CA620" s="460"/>
      <c r="CB620" s="460"/>
      <c r="CC620" s="460"/>
      <c r="CD620" s="460"/>
      <c r="CE620" s="460"/>
      <c r="CF620" s="460"/>
      <c r="CG620" s="460"/>
      <c r="CH620" s="460"/>
      <c r="CI620" s="460"/>
      <c r="CJ620" s="460"/>
      <c r="CK620" s="460"/>
    </row>
    <row r="621" spans="1:89" s="329" customFormat="1" ht="36" customHeight="1" x14ac:dyDescent="0.25">
      <c r="A621" s="329">
        <v>1</v>
      </c>
      <c r="B621" s="39">
        <f>SUBTOTAL(103,$A$552:A621)</f>
        <v>70</v>
      </c>
      <c r="C621" s="33" t="s">
        <v>1486</v>
      </c>
      <c r="D621" s="335">
        <v>1987</v>
      </c>
      <c r="E621" s="330"/>
      <c r="F621" s="331" t="s">
        <v>63</v>
      </c>
      <c r="G621" s="330" t="s">
        <v>75</v>
      </c>
      <c r="H621" s="330" t="s">
        <v>59</v>
      </c>
      <c r="I621" s="334">
        <v>3579.9</v>
      </c>
      <c r="J621" s="334">
        <v>3187.3</v>
      </c>
      <c r="K621" s="334">
        <v>3187.3</v>
      </c>
      <c r="L621" s="332">
        <v>157</v>
      </c>
      <c r="M621" s="330" t="s">
        <v>46</v>
      </c>
      <c r="N621" s="330" t="s">
        <v>50</v>
      </c>
      <c r="O621" s="333" t="s">
        <v>2134</v>
      </c>
      <c r="P621" s="38">
        <v>1966231.38</v>
      </c>
      <c r="Q621" s="38">
        <v>0</v>
      </c>
      <c r="R621" s="38">
        <v>0</v>
      </c>
      <c r="S621" s="38">
        <f t="shared" si="122"/>
        <v>1966231.38</v>
      </c>
      <c r="T621" s="38">
        <f t="shared" si="118"/>
        <v>549.24198441297233</v>
      </c>
      <c r="U621" s="38">
        <v>1604.7868272856783</v>
      </c>
      <c r="V621" s="458">
        <f t="shared" si="119"/>
        <v>1055.5448428727059</v>
      </c>
      <c r="W621" s="458">
        <f t="shared" ref="W621:W640" si="123">T621</f>
        <v>549.24198441297233</v>
      </c>
      <c r="X621" s="458">
        <v>0</v>
      </c>
      <c r="Y621" s="459">
        <v>0</v>
      </c>
      <c r="Z621" s="459">
        <v>0</v>
      </c>
      <c r="AA621" s="459">
        <v>0</v>
      </c>
      <c r="AB621" s="459">
        <v>0</v>
      </c>
      <c r="AC621" s="459">
        <v>0</v>
      </c>
      <c r="AD621" s="459">
        <v>0</v>
      </c>
      <c r="AE621" s="459">
        <v>0</v>
      </c>
      <c r="AF621" s="458">
        <v>0</v>
      </c>
      <c r="AG621" s="459">
        <v>0</v>
      </c>
      <c r="AH621" s="458">
        <v>0</v>
      </c>
      <c r="AI621" s="459">
        <v>0</v>
      </c>
      <c r="AJ621" s="458">
        <v>0</v>
      </c>
      <c r="AK621" s="459">
        <v>0</v>
      </c>
      <c r="AL621" s="459">
        <v>0</v>
      </c>
      <c r="AM621" s="459">
        <v>0</v>
      </c>
      <c r="AN621" s="459"/>
      <c r="AO621" s="459">
        <v>0</v>
      </c>
      <c r="AP621" s="460"/>
      <c r="AQ621" s="460"/>
      <c r="AR621" s="460"/>
      <c r="AS621" s="460"/>
      <c r="AT621" s="460"/>
      <c r="AU621" s="460"/>
      <c r="AV621" s="460"/>
      <c r="AW621" s="460"/>
      <c r="AX621" s="460"/>
      <c r="AY621" s="460"/>
      <c r="AZ621" s="460"/>
      <c r="BA621" s="460"/>
      <c r="BB621" s="460"/>
      <c r="BC621" s="460"/>
      <c r="BD621" s="460"/>
      <c r="BE621" s="460"/>
      <c r="BF621" s="460"/>
      <c r="BG621" s="460"/>
      <c r="BH621" s="460"/>
      <c r="BI621" s="460"/>
      <c r="BJ621" s="460"/>
      <c r="BK621" s="460"/>
      <c r="BL621" s="460"/>
      <c r="BM621" s="460"/>
      <c r="BN621" s="460"/>
      <c r="BO621" s="460"/>
      <c r="BP621" s="460"/>
      <c r="BQ621" s="460"/>
      <c r="BR621" s="460"/>
      <c r="BS621" s="460"/>
      <c r="BT621" s="460"/>
      <c r="BU621" s="460"/>
      <c r="BV621" s="460"/>
      <c r="BW621" s="460"/>
      <c r="BX621" s="460"/>
      <c r="BY621" s="460"/>
      <c r="BZ621" s="460"/>
      <c r="CA621" s="460"/>
      <c r="CB621" s="460"/>
      <c r="CC621" s="460"/>
      <c r="CD621" s="460"/>
      <c r="CE621" s="460"/>
      <c r="CF621" s="460"/>
      <c r="CG621" s="460"/>
      <c r="CH621" s="460"/>
      <c r="CI621" s="460"/>
      <c r="CJ621" s="460"/>
      <c r="CK621" s="460"/>
    </row>
    <row r="622" spans="1:89" s="329" customFormat="1" ht="36" customHeight="1" x14ac:dyDescent="0.25">
      <c r="A622" s="329">
        <v>1</v>
      </c>
      <c r="B622" s="39">
        <f>SUBTOTAL(103,$A$552:A622)</f>
        <v>71</v>
      </c>
      <c r="C622" s="33" t="s">
        <v>1487</v>
      </c>
      <c r="D622" s="335">
        <v>1960</v>
      </c>
      <c r="E622" s="330"/>
      <c r="F622" s="331" t="s">
        <v>1981</v>
      </c>
      <c r="G622" s="330" t="s">
        <v>59</v>
      </c>
      <c r="H622" s="330" t="s">
        <v>56</v>
      </c>
      <c r="I622" s="334">
        <v>1706.1</v>
      </c>
      <c r="J622" s="334">
        <v>1266.5999999999999</v>
      </c>
      <c r="K622" s="334">
        <v>1266.5999999999999</v>
      </c>
      <c r="L622" s="332">
        <v>56</v>
      </c>
      <c r="M622" s="330" t="s">
        <v>46</v>
      </c>
      <c r="N622" s="330" t="s">
        <v>50</v>
      </c>
      <c r="O622" s="333" t="s">
        <v>240</v>
      </c>
      <c r="P622" s="38">
        <v>2739411.65</v>
      </c>
      <c r="Q622" s="38">
        <v>0</v>
      </c>
      <c r="R622" s="38">
        <v>0</v>
      </c>
      <c r="S622" s="38">
        <f t="shared" si="122"/>
        <v>2739411.65</v>
      </c>
      <c r="T622" s="38">
        <f t="shared" si="118"/>
        <v>1605.6571420198113</v>
      </c>
      <c r="U622" s="38">
        <v>5729.4281695094078</v>
      </c>
      <c r="V622" s="458">
        <f t="shared" si="119"/>
        <v>4123.7710274895962</v>
      </c>
      <c r="W622" s="458">
        <f t="shared" si="123"/>
        <v>1605.6571420198113</v>
      </c>
      <c r="X622" s="458">
        <v>0</v>
      </c>
      <c r="Y622" s="459">
        <v>0</v>
      </c>
      <c r="Z622" s="459">
        <v>0</v>
      </c>
      <c r="AA622" s="459">
        <v>0</v>
      </c>
      <c r="AB622" s="459">
        <v>0</v>
      </c>
      <c r="AC622" s="459">
        <v>0</v>
      </c>
      <c r="AD622" s="459">
        <v>0</v>
      </c>
      <c r="AE622" s="459">
        <v>0</v>
      </c>
      <c r="AF622" s="458">
        <v>0</v>
      </c>
      <c r="AG622" s="459">
        <v>0</v>
      </c>
      <c r="AH622" s="458">
        <v>0</v>
      </c>
      <c r="AI622" s="459">
        <v>0</v>
      </c>
      <c r="AJ622" s="458">
        <v>0</v>
      </c>
      <c r="AK622" s="459">
        <v>0</v>
      </c>
      <c r="AL622" s="459">
        <v>0</v>
      </c>
      <c r="AM622" s="459">
        <v>0</v>
      </c>
      <c r="AN622" s="459"/>
      <c r="AO622" s="459">
        <v>0</v>
      </c>
      <c r="AP622" s="460"/>
      <c r="AQ622" s="460"/>
      <c r="AR622" s="460"/>
      <c r="AS622" s="460"/>
      <c r="AT622" s="460"/>
      <c r="AU622" s="460"/>
      <c r="AV622" s="460"/>
      <c r="AW622" s="460"/>
      <c r="AX622" s="460"/>
      <c r="AY622" s="460"/>
      <c r="AZ622" s="460"/>
      <c r="BA622" s="460"/>
      <c r="BB622" s="460"/>
      <c r="BC622" s="460"/>
      <c r="BD622" s="460"/>
      <c r="BE622" s="460"/>
      <c r="BF622" s="460"/>
      <c r="BG622" s="460"/>
      <c r="BH622" s="460"/>
      <c r="BI622" s="460"/>
      <c r="BJ622" s="460"/>
      <c r="BK622" s="460"/>
      <c r="BL622" s="460"/>
      <c r="BM622" s="460"/>
      <c r="BN622" s="460"/>
      <c r="BO622" s="460"/>
      <c r="BP622" s="460"/>
      <c r="BQ622" s="460"/>
      <c r="BR622" s="460"/>
      <c r="BS622" s="460"/>
      <c r="BT622" s="460"/>
      <c r="BU622" s="460"/>
      <c r="BV622" s="460"/>
      <c r="BW622" s="460"/>
      <c r="BX622" s="460"/>
      <c r="BY622" s="460"/>
      <c r="BZ622" s="460"/>
      <c r="CA622" s="460"/>
      <c r="CB622" s="460"/>
      <c r="CC622" s="460"/>
      <c r="CD622" s="460"/>
      <c r="CE622" s="460"/>
      <c r="CF622" s="460"/>
      <c r="CG622" s="460"/>
      <c r="CH622" s="460"/>
      <c r="CI622" s="460"/>
      <c r="CJ622" s="460"/>
      <c r="CK622" s="460"/>
    </row>
    <row r="623" spans="1:89" s="329" customFormat="1" ht="36" customHeight="1" x14ac:dyDescent="0.25">
      <c r="A623" s="329">
        <v>1</v>
      </c>
      <c r="B623" s="39">
        <f>SUBTOTAL(103,$A$552:A623)</f>
        <v>72</v>
      </c>
      <c r="C623" s="33" t="s">
        <v>1488</v>
      </c>
      <c r="D623" s="330">
        <v>1980</v>
      </c>
      <c r="E623" s="330"/>
      <c r="F623" s="331" t="s">
        <v>63</v>
      </c>
      <c r="G623" s="330" t="s">
        <v>75</v>
      </c>
      <c r="H623" s="330" t="s">
        <v>59</v>
      </c>
      <c r="I623" s="334">
        <v>3319.7</v>
      </c>
      <c r="J623" s="334">
        <v>3048.7</v>
      </c>
      <c r="K623" s="334">
        <v>3048.7</v>
      </c>
      <c r="L623" s="332">
        <v>147</v>
      </c>
      <c r="M623" s="330" t="s">
        <v>46</v>
      </c>
      <c r="N623" s="330" t="s">
        <v>50</v>
      </c>
      <c r="O623" s="333" t="s">
        <v>394</v>
      </c>
      <c r="P623" s="38">
        <v>4074712.4</v>
      </c>
      <c r="Q623" s="38">
        <v>0</v>
      </c>
      <c r="R623" s="38">
        <v>0</v>
      </c>
      <c r="S623" s="38">
        <f t="shared" si="122"/>
        <v>4074712.4</v>
      </c>
      <c r="T623" s="38">
        <f t="shared" si="118"/>
        <v>1227.4339247522366</v>
      </c>
      <c r="U623" s="38">
        <v>1508.6158387806129</v>
      </c>
      <c r="V623" s="458">
        <f t="shared" si="119"/>
        <v>281.18191402837624</v>
      </c>
      <c r="W623" s="458">
        <f t="shared" si="123"/>
        <v>1227.4339247522366</v>
      </c>
      <c r="X623" s="458">
        <v>0</v>
      </c>
      <c r="Y623" s="459">
        <v>0</v>
      </c>
      <c r="Z623" s="459">
        <v>0</v>
      </c>
      <c r="AA623" s="459">
        <v>0</v>
      </c>
      <c r="AB623" s="459">
        <v>0</v>
      </c>
      <c r="AC623" s="459">
        <v>0</v>
      </c>
      <c r="AD623" s="459">
        <v>0</v>
      </c>
      <c r="AE623" s="459">
        <v>0</v>
      </c>
      <c r="AF623" s="458">
        <v>0</v>
      </c>
      <c r="AG623" s="459">
        <v>0</v>
      </c>
      <c r="AH623" s="458">
        <v>0</v>
      </c>
      <c r="AI623" s="459">
        <v>0</v>
      </c>
      <c r="AJ623" s="458">
        <v>0</v>
      </c>
      <c r="AK623" s="459">
        <v>0</v>
      </c>
      <c r="AL623" s="459">
        <v>0</v>
      </c>
      <c r="AM623" s="459">
        <v>0</v>
      </c>
      <c r="AN623" s="459"/>
      <c r="AO623" s="459">
        <v>0</v>
      </c>
      <c r="AP623" s="460"/>
      <c r="AQ623" s="460"/>
      <c r="AR623" s="460"/>
      <c r="AS623" s="460"/>
      <c r="AT623" s="460"/>
      <c r="AU623" s="460"/>
      <c r="AV623" s="460"/>
      <c r="AW623" s="460"/>
      <c r="AX623" s="460"/>
      <c r="AY623" s="460"/>
      <c r="AZ623" s="460"/>
      <c r="BA623" s="460"/>
      <c r="BB623" s="460"/>
      <c r="BC623" s="460"/>
      <c r="BD623" s="460"/>
      <c r="BE623" s="460"/>
      <c r="BF623" s="460"/>
      <c r="BG623" s="460"/>
      <c r="BH623" s="460"/>
      <c r="BI623" s="460"/>
      <c r="BJ623" s="460"/>
      <c r="BK623" s="460"/>
      <c r="BL623" s="460"/>
      <c r="BM623" s="460"/>
      <c r="BN623" s="460"/>
      <c r="BO623" s="460"/>
      <c r="BP623" s="460"/>
      <c r="BQ623" s="460"/>
      <c r="BR623" s="460"/>
      <c r="BS623" s="460"/>
      <c r="BT623" s="460"/>
      <c r="BU623" s="460"/>
      <c r="BV623" s="460"/>
      <c r="BW623" s="460"/>
      <c r="BX623" s="460"/>
      <c r="BY623" s="460"/>
      <c r="BZ623" s="460"/>
      <c r="CA623" s="460"/>
      <c r="CB623" s="460"/>
      <c r="CC623" s="460"/>
      <c r="CD623" s="460"/>
      <c r="CE623" s="460"/>
      <c r="CF623" s="460"/>
      <c r="CG623" s="460"/>
      <c r="CH623" s="460"/>
      <c r="CI623" s="460"/>
      <c r="CJ623" s="460"/>
      <c r="CK623" s="460"/>
    </row>
    <row r="624" spans="1:89" s="329" customFormat="1" ht="36" customHeight="1" x14ac:dyDescent="0.25">
      <c r="A624" s="329">
        <v>1</v>
      </c>
      <c r="B624" s="39">
        <f>SUBTOTAL(103,$A$552:A624)</f>
        <v>73</v>
      </c>
      <c r="C624" s="33" t="s">
        <v>1069</v>
      </c>
      <c r="D624" s="330">
        <v>1961</v>
      </c>
      <c r="E624" s="330"/>
      <c r="F624" s="331" t="s">
        <v>48</v>
      </c>
      <c r="G624" s="330">
        <v>4</v>
      </c>
      <c r="H624" s="330" t="s">
        <v>56</v>
      </c>
      <c r="I624" s="334">
        <v>1732.3</v>
      </c>
      <c r="J624" s="334">
        <v>1276.7</v>
      </c>
      <c r="K624" s="334">
        <v>1276.7</v>
      </c>
      <c r="L624" s="332">
        <v>59</v>
      </c>
      <c r="M624" s="330" t="s">
        <v>46</v>
      </c>
      <c r="N624" s="330" t="s">
        <v>50</v>
      </c>
      <c r="O624" s="333" t="s">
        <v>1979</v>
      </c>
      <c r="P624" s="38">
        <v>3000999.9</v>
      </c>
      <c r="Q624" s="38">
        <v>0</v>
      </c>
      <c r="R624" s="38">
        <v>0</v>
      </c>
      <c r="S624" s="38">
        <f t="shared" si="122"/>
        <v>3000999.9</v>
      </c>
      <c r="T624" s="38">
        <f t="shared" si="118"/>
        <v>1732.3788604745137</v>
      </c>
      <c r="U624" s="38">
        <v>2554.9583386249496</v>
      </c>
      <c r="V624" s="458">
        <f t="shared" si="119"/>
        <v>822.57947815043599</v>
      </c>
      <c r="W624" s="458">
        <f t="shared" si="123"/>
        <v>1732.3788604745137</v>
      </c>
      <c r="X624" s="458">
        <v>0</v>
      </c>
      <c r="Y624" s="459">
        <v>0</v>
      </c>
      <c r="Z624" s="459">
        <v>0</v>
      </c>
      <c r="AA624" s="459">
        <v>0</v>
      </c>
      <c r="AB624" s="459">
        <v>0</v>
      </c>
      <c r="AC624" s="459">
        <v>0</v>
      </c>
      <c r="AD624" s="459">
        <v>0</v>
      </c>
      <c r="AE624" s="459">
        <v>0</v>
      </c>
      <c r="AF624" s="458">
        <v>0</v>
      </c>
      <c r="AG624" s="459">
        <v>0</v>
      </c>
      <c r="AH624" s="458">
        <v>0</v>
      </c>
      <c r="AI624" s="459">
        <v>0</v>
      </c>
      <c r="AJ624" s="458">
        <v>0</v>
      </c>
      <c r="AK624" s="459">
        <v>0</v>
      </c>
      <c r="AL624" s="459">
        <v>0</v>
      </c>
      <c r="AM624" s="459">
        <v>0</v>
      </c>
      <c r="AN624" s="459"/>
      <c r="AO624" s="459">
        <v>0</v>
      </c>
      <c r="AP624" s="460"/>
      <c r="AQ624" s="460"/>
      <c r="AR624" s="460"/>
      <c r="AS624" s="460"/>
      <c r="AT624" s="460"/>
      <c r="AU624" s="460"/>
      <c r="AV624" s="460"/>
      <c r="AW624" s="460"/>
      <c r="AX624" s="460"/>
      <c r="AY624" s="460"/>
      <c r="AZ624" s="460"/>
      <c r="BA624" s="460"/>
      <c r="BB624" s="460"/>
      <c r="BC624" s="460"/>
      <c r="BD624" s="460"/>
      <c r="BE624" s="460"/>
      <c r="BF624" s="460"/>
      <c r="BG624" s="460"/>
      <c r="BH624" s="460"/>
      <c r="BI624" s="460"/>
      <c r="BJ624" s="460"/>
      <c r="BK624" s="460"/>
      <c r="BL624" s="460"/>
      <c r="BM624" s="460"/>
      <c r="BN624" s="460"/>
      <c r="BO624" s="460"/>
      <c r="BP624" s="460"/>
      <c r="BQ624" s="460"/>
      <c r="BR624" s="460"/>
      <c r="BS624" s="460"/>
      <c r="BT624" s="460"/>
      <c r="BU624" s="460"/>
      <c r="BV624" s="460"/>
      <c r="BW624" s="460"/>
      <c r="BX624" s="460"/>
      <c r="BY624" s="460"/>
      <c r="BZ624" s="460"/>
      <c r="CA624" s="460"/>
      <c r="CB624" s="460"/>
      <c r="CC624" s="460"/>
      <c r="CD624" s="460"/>
      <c r="CE624" s="460"/>
      <c r="CF624" s="460"/>
      <c r="CG624" s="460"/>
      <c r="CH624" s="460"/>
      <c r="CI624" s="460"/>
      <c r="CJ624" s="460"/>
      <c r="CK624" s="460"/>
    </row>
    <row r="625" spans="1:89" s="329" customFormat="1" ht="36" customHeight="1" x14ac:dyDescent="0.25">
      <c r="A625" s="329">
        <v>1</v>
      </c>
      <c r="B625" s="39">
        <f>SUBTOTAL(103,$A$552:A625)</f>
        <v>74</v>
      </c>
      <c r="C625" s="33" t="s">
        <v>1489</v>
      </c>
      <c r="D625" s="330">
        <v>1981</v>
      </c>
      <c r="E625" s="330"/>
      <c r="F625" s="331" t="s">
        <v>1981</v>
      </c>
      <c r="G625" s="330" t="s">
        <v>75</v>
      </c>
      <c r="H625" s="330" t="s">
        <v>57</v>
      </c>
      <c r="I625" s="334">
        <v>855.3</v>
      </c>
      <c r="J625" s="334">
        <v>794.8</v>
      </c>
      <c r="K625" s="334">
        <v>583.6</v>
      </c>
      <c r="L625" s="332">
        <v>24</v>
      </c>
      <c r="M625" s="330" t="s">
        <v>46</v>
      </c>
      <c r="N625" s="330" t="s">
        <v>50</v>
      </c>
      <c r="O625" s="333" t="s">
        <v>72</v>
      </c>
      <c r="P625" s="38">
        <v>709000</v>
      </c>
      <c r="Q625" s="38">
        <v>0</v>
      </c>
      <c r="R625" s="38">
        <v>0</v>
      </c>
      <c r="S625" s="38">
        <f t="shared" si="122"/>
        <v>709000</v>
      </c>
      <c r="T625" s="38">
        <f t="shared" si="118"/>
        <v>828.94890681632182</v>
      </c>
      <c r="U625" s="38">
        <v>3259.66</v>
      </c>
      <c r="V625" s="458">
        <f t="shared" si="119"/>
        <v>2430.7110931836778</v>
      </c>
      <c r="W625" s="458">
        <f t="shared" si="123"/>
        <v>828.94890681632182</v>
      </c>
      <c r="X625" s="458">
        <v>0</v>
      </c>
      <c r="Y625" s="459">
        <v>0</v>
      </c>
      <c r="Z625" s="459">
        <v>0</v>
      </c>
      <c r="AA625" s="459">
        <v>0</v>
      </c>
      <c r="AB625" s="459">
        <v>0</v>
      </c>
      <c r="AC625" s="459">
        <v>0</v>
      </c>
      <c r="AD625" s="459">
        <v>0</v>
      </c>
      <c r="AE625" s="459">
        <v>0</v>
      </c>
      <c r="AF625" s="458">
        <v>0</v>
      </c>
      <c r="AG625" s="459">
        <v>0</v>
      </c>
      <c r="AH625" s="458">
        <v>0</v>
      </c>
      <c r="AI625" s="459">
        <v>0</v>
      </c>
      <c r="AJ625" s="458">
        <v>0</v>
      </c>
      <c r="AK625" s="459">
        <v>0</v>
      </c>
      <c r="AL625" s="459">
        <v>0</v>
      </c>
      <c r="AM625" s="459">
        <v>0</v>
      </c>
      <c r="AN625" s="459"/>
      <c r="AO625" s="459">
        <v>0</v>
      </c>
      <c r="AP625" s="460"/>
      <c r="AQ625" s="460"/>
      <c r="AR625" s="460"/>
      <c r="AS625" s="460"/>
      <c r="AT625" s="460"/>
      <c r="AU625" s="460"/>
      <c r="AV625" s="460"/>
      <c r="AW625" s="460"/>
      <c r="AX625" s="460"/>
      <c r="AY625" s="460"/>
      <c r="AZ625" s="460"/>
      <c r="BA625" s="460"/>
      <c r="BB625" s="460"/>
      <c r="BC625" s="460"/>
      <c r="BD625" s="460"/>
      <c r="BE625" s="460"/>
      <c r="BF625" s="460"/>
      <c r="BG625" s="460"/>
      <c r="BH625" s="460"/>
      <c r="BI625" s="460"/>
      <c r="BJ625" s="460"/>
      <c r="BK625" s="460"/>
      <c r="BL625" s="460"/>
      <c r="BM625" s="460"/>
      <c r="BN625" s="460"/>
      <c r="BO625" s="460"/>
      <c r="BP625" s="460"/>
      <c r="BQ625" s="460"/>
      <c r="BR625" s="460"/>
      <c r="BS625" s="460"/>
      <c r="BT625" s="460"/>
      <c r="BU625" s="460"/>
      <c r="BV625" s="460"/>
      <c r="BW625" s="460"/>
      <c r="BX625" s="460"/>
      <c r="BY625" s="460"/>
      <c r="BZ625" s="460"/>
      <c r="CA625" s="460"/>
      <c r="CB625" s="460"/>
      <c r="CC625" s="460"/>
      <c r="CD625" s="460"/>
      <c r="CE625" s="460"/>
      <c r="CF625" s="460"/>
      <c r="CG625" s="460"/>
      <c r="CH625" s="460"/>
      <c r="CI625" s="460"/>
      <c r="CJ625" s="460"/>
      <c r="CK625" s="460"/>
    </row>
    <row r="626" spans="1:89" s="329" customFormat="1" ht="36" customHeight="1" x14ac:dyDescent="0.25">
      <c r="A626" s="329">
        <v>1</v>
      </c>
      <c r="B626" s="39">
        <f>SUBTOTAL(103,$A$552:A626)</f>
        <v>75</v>
      </c>
      <c r="C626" s="33" t="s">
        <v>959</v>
      </c>
      <c r="D626" s="330">
        <v>1967</v>
      </c>
      <c r="E626" s="330"/>
      <c r="F626" s="331" t="s">
        <v>48</v>
      </c>
      <c r="G626" s="330">
        <v>2</v>
      </c>
      <c r="H626" s="330" t="s">
        <v>56</v>
      </c>
      <c r="I626" s="334">
        <v>709.3</v>
      </c>
      <c r="J626" s="334">
        <v>653.29999999999995</v>
      </c>
      <c r="K626" s="334">
        <v>653.29999999999995</v>
      </c>
      <c r="L626" s="332">
        <v>36</v>
      </c>
      <c r="M626" s="330" t="s">
        <v>46</v>
      </c>
      <c r="N626" s="330" t="s">
        <v>50</v>
      </c>
      <c r="O626" s="333" t="s">
        <v>251</v>
      </c>
      <c r="P626" s="38">
        <v>2489210.85</v>
      </c>
      <c r="Q626" s="38">
        <v>0</v>
      </c>
      <c r="R626" s="38">
        <v>0</v>
      </c>
      <c r="S626" s="38">
        <f t="shared" si="122"/>
        <v>2489210.85</v>
      </c>
      <c r="T626" s="38">
        <f t="shared" si="118"/>
        <v>3509.39073734668</v>
      </c>
      <c r="U626" s="38">
        <v>5339.6516988580288</v>
      </c>
      <c r="V626" s="458">
        <f t="shared" si="119"/>
        <v>1830.2609615113488</v>
      </c>
      <c r="W626" s="458">
        <f t="shared" si="123"/>
        <v>3509.39073734668</v>
      </c>
      <c r="X626" s="458">
        <v>0</v>
      </c>
      <c r="Y626" s="459">
        <v>0</v>
      </c>
      <c r="Z626" s="459">
        <v>0</v>
      </c>
      <c r="AA626" s="459">
        <v>0</v>
      </c>
      <c r="AB626" s="459">
        <v>0</v>
      </c>
      <c r="AC626" s="459">
        <v>0</v>
      </c>
      <c r="AD626" s="459">
        <v>0</v>
      </c>
      <c r="AE626" s="459">
        <v>0</v>
      </c>
      <c r="AF626" s="458">
        <v>0</v>
      </c>
      <c r="AG626" s="459">
        <v>0</v>
      </c>
      <c r="AH626" s="458">
        <v>0</v>
      </c>
      <c r="AI626" s="459">
        <v>0</v>
      </c>
      <c r="AJ626" s="458">
        <v>0</v>
      </c>
      <c r="AK626" s="459">
        <v>0</v>
      </c>
      <c r="AL626" s="459">
        <v>0</v>
      </c>
      <c r="AM626" s="459">
        <v>0</v>
      </c>
      <c r="AN626" s="459"/>
      <c r="AO626" s="459">
        <v>0</v>
      </c>
      <c r="AP626" s="460"/>
      <c r="AQ626" s="460"/>
      <c r="AR626" s="460"/>
      <c r="AS626" s="460"/>
      <c r="AT626" s="460"/>
      <c r="AU626" s="460"/>
      <c r="AV626" s="460"/>
      <c r="AW626" s="460"/>
      <c r="AX626" s="460"/>
      <c r="AY626" s="460"/>
      <c r="AZ626" s="460"/>
      <c r="BA626" s="460"/>
      <c r="BB626" s="460"/>
      <c r="BC626" s="460"/>
      <c r="BD626" s="460"/>
      <c r="BE626" s="460"/>
      <c r="BF626" s="460"/>
      <c r="BG626" s="460"/>
      <c r="BH626" s="460"/>
      <c r="BI626" s="460"/>
      <c r="BJ626" s="460"/>
      <c r="BK626" s="460"/>
      <c r="BL626" s="460"/>
      <c r="BM626" s="460"/>
      <c r="BN626" s="460"/>
      <c r="BO626" s="460"/>
      <c r="BP626" s="460"/>
      <c r="BQ626" s="460"/>
      <c r="BR626" s="460"/>
      <c r="BS626" s="460"/>
      <c r="BT626" s="460"/>
      <c r="BU626" s="460"/>
      <c r="BV626" s="460"/>
      <c r="BW626" s="460"/>
      <c r="BX626" s="460"/>
      <c r="BY626" s="460"/>
      <c r="BZ626" s="460"/>
      <c r="CA626" s="460"/>
      <c r="CB626" s="460"/>
      <c r="CC626" s="460"/>
      <c r="CD626" s="460"/>
      <c r="CE626" s="460"/>
      <c r="CF626" s="460"/>
      <c r="CG626" s="460"/>
      <c r="CH626" s="460"/>
      <c r="CI626" s="460"/>
      <c r="CJ626" s="460"/>
      <c r="CK626" s="460"/>
    </row>
    <row r="627" spans="1:89" s="329" customFormat="1" ht="36" customHeight="1" x14ac:dyDescent="0.25">
      <c r="A627" s="329">
        <v>1</v>
      </c>
      <c r="B627" s="39">
        <f>SUBTOTAL(103,$A$552:A627)</f>
        <v>76</v>
      </c>
      <c r="C627" s="33" t="s">
        <v>998</v>
      </c>
      <c r="D627" s="330">
        <v>1988</v>
      </c>
      <c r="E627" s="330"/>
      <c r="F627" s="331" t="s">
        <v>48</v>
      </c>
      <c r="G627" s="330">
        <v>2</v>
      </c>
      <c r="H627" s="330" t="s">
        <v>56</v>
      </c>
      <c r="I627" s="334">
        <v>1063.8</v>
      </c>
      <c r="J627" s="334">
        <v>565.6</v>
      </c>
      <c r="K627" s="334">
        <v>565.6</v>
      </c>
      <c r="L627" s="332">
        <v>36</v>
      </c>
      <c r="M627" s="330" t="s">
        <v>46</v>
      </c>
      <c r="N627" s="330" t="s">
        <v>50</v>
      </c>
      <c r="O627" s="333" t="s">
        <v>1963</v>
      </c>
      <c r="P627" s="38">
        <v>2278490.67</v>
      </c>
      <c r="Q627" s="38">
        <v>0</v>
      </c>
      <c r="R627" s="38">
        <v>0</v>
      </c>
      <c r="S627" s="38">
        <f t="shared" si="122"/>
        <v>2278490.67</v>
      </c>
      <c r="T627" s="38">
        <f t="shared" si="118"/>
        <v>2141.8412013536381</v>
      </c>
      <c r="U627" s="38">
        <v>3324.8800056401578</v>
      </c>
      <c r="V627" s="458">
        <f t="shared" si="119"/>
        <v>1183.0388042865197</v>
      </c>
      <c r="W627" s="458">
        <f t="shared" si="123"/>
        <v>2141.8412013536381</v>
      </c>
      <c r="X627" s="458">
        <v>0</v>
      </c>
      <c r="Y627" s="459">
        <v>0</v>
      </c>
      <c r="Z627" s="459">
        <v>0</v>
      </c>
      <c r="AA627" s="459">
        <v>0</v>
      </c>
      <c r="AB627" s="459">
        <v>0</v>
      </c>
      <c r="AC627" s="459">
        <v>0</v>
      </c>
      <c r="AD627" s="459">
        <v>0</v>
      </c>
      <c r="AE627" s="459">
        <v>0</v>
      </c>
      <c r="AF627" s="458">
        <v>0</v>
      </c>
      <c r="AG627" s="459">
        <v>0</v>
      </c>
      <c r="AH627" s="458">
        <v>0</v>
      </c>
      <c r="AI627" s="459">
        <v>0</v>
      </c>
      <c r="AJ627" s="458">
        <v>0</v>
      </c>
      <c r="AK627" s="459">
        <v>0</v>
      </c>
      <c r="AL627" s="459">
        <v>0</v>
      </c>
      <c r="AM627" s="459">
        <v>0</v>
      </c>
      <c r="AN627" s="459"/>
      <c r="AO627" s="459">
        <v>0</v>
      </c>
      <c r="AP627" s="460"/>
      <c r="AQ627" s="460"/>
      <c r="AR627" s="460"/>
      <c r="AS627" s="460"/>
      <c r="AT627" s="460"/>
      <c r="AU627" s="460"/>
      <c r="AV627" s="460"/>
      <c r="AW627" s="460"/>
      <c r="AX627" s="460"/>
      <c r="AY627" s="460"/>
      <c r="AZ627" s="460"/>
      <c r="BA627" s="460"/>
      <c r="BB627" s="460"/>
      <c r="BC627" s="460"/>
      <c r="BD627" s="460"/>
      <c r="BE627" s="460"/>
      <c r="BF627" s="460"/>
      <c r="BG627" s="460"/>
      <c r="BH627" s="460"/>
      <c r="BI627" s="460"/>
      <c r="BJ627" s="460"/>
      <c r="BK627" s="460"/>
      <c r="BL627" s="460"/>
      <c r="BM627" s="460"/>
      <c r="BN627" s="460"/>
      <c r="BO627" s="460"/>
      <c r="BP627" s="460"/>
      <c r="BQ627" s="460"/>
      <c r="BR627" s="460"/>
      <c r="BS627" s="460"/>
      <c r="BT627" s="460"/>
      <c r="BU627" s="460"/>
      <c r="BV627" s="460"/>
      <c r="BW627" s="460"/>
      <c r="BX627" s="460"/>
      <c r="BY627" s="460"/>
      <c r="BZ627" s="460"/>
      <c r="CA627" s="460"/>
      <c r="CB627" s="460"/>
      <c r="CC627" s="460"/>
      <c r="CD627" s="460"/>
      <c r="CE627" s="460"/>
      <c r="CF627" s="460"/>
      <c r="CG627" s="460"/>
      <c r="CH627" s="460"/>
      <c r="CI627" s="460"/>
      <c r="CJ627" s="460"/>
      <c r="CK627" s="460"/>
    </row>
    <row r="628" spans="1:89" s="329" customFormat="1" ht="36" customHeight="1" x14ac:dyDescent="0.25">
      <c r="A628" s="329">
        <v>1</v>
      </c>
      <c r="B628" s="39">
        <f>SUBTOTAL(103,$A$552:A628)</f>
        <v>77</v>
      </c>
      <c r="C628" s="33" t="s">
        <v>1490</v>
      </c>
      <c r="D628" s="330">
        <v>1960</v>
      </c>
      <c r="E628" s="330"/>
      <c r="F628" s="331" t="s">
        <v>1981</v>
      </c>
      <c r="G628" s="330" t="s">
        <v>56</v>
      </c>
      <c r="H628" s="330" t="s">
        <v>56</v>
      </c>
      <c r="I628" s="334">
        <v>678.4</v>
      </c>
      <c r="J628" s="334">
        <v>622.9</v>
      </c>
      <c r="K628" s="334">
        <v>622.9</v>
      </c>
      <c r="L628" s="332">
        <v>21</v>
      </c>
      <c r="M628" s="330" t="s">
        <v>46</v>
      </c>
      <c r="N628" s="330" t="s">
        <v>50</v>
      </c>
      <c r="O628" s="333" t="s">
        <v>73</v>
      </c>
      <c r="P628" s="38">
        <v>2200503.0099999998</v>
      </c>
      <c r="Q628" s="38">
        <v>0</v>
      </c>
      <c r="R628" s="38">
        <v>0</v>
      </c>
      <c r="S628" s="38">
        <f t="shared" si="122"/>
        <v>2200503.0099999998</v>
      </c>
      <c r="T628" s="38">
        <f t="shared" si="118"/>
        <v>3243.6659935141506</v>
      </c>
      <c r="U628" s="38">
        <v>8070.7216981132087</v>
      </c>
      <c r="V628" s="458">
        <f t="shared" si="119"/>
        <v>4827.0557045990581</v>
      </c>
      <c r="W628" s="458">
        <f t="shared" si="123"/>
        <v>3243.6659935141506</v>
      </c>
      <c r="X628" s="458">
        <v>0</v>
      </c>
      <c r="Y628" s="459">
        <v>0</v>
      </c>
      <c r="Z628" s="459">
        <v>0</v>
      </c>
      <c r="AA628" s="459">
        <v>0</v>
      </c>
      <c r="AB628" s="459">
        <v>0</v>
      </c>
      <c r="AC628" s="459">
        <v>0</v>
      </c>
      <c r="AD628" s="459">
        <v>0</v>
      </c>
      <c r="AE628" s="459">
        <v>0</v>
      </c>
      <c r="AF628" s="458">
        <v>0</v>
      </c>
      <c r="AG628" s="459">
        <v>0</v>
      </c>
      <c r="AH628" s="458">
        <v>0</v>
      </c>
      <c r="AI628" s="459">
        <v>0</v>
      </c>
      <c r="AJ628" s="458">
        <v>0</v>
      </c>
      <c r="AK628" s="459">
        <v>0</v>
      </c>
      <c r="AL628" s="459">
        <v>0</v>
      </c>
      <c r="AM628" s="459">
        <v>0</v>
      </c>
      <c r="AN628" s="459"/>
      <c r="AO628" s="459">
        <v>0</v>
      </c>
      <c r="AP628" s="460"/>
      <c r="AQ628" s="460"/>
      <c r="AR628" s="460"/>
      <c r="AS628" s="460"/>
      <c r="AT628" s="460"/>
      <c r="AU628" s="460"/>
      <c r="AV628" s="460"/>
      <c r="AW628" s="460"/>
      <c r="AX628" s="460"/>
      <c r="AY628" s="460"/>
      <c r="AZ628" s="460"/>
      <c r="BA628" s="460"/>
      <c r="BB628" s="460"/>
      <c r="BC628" s="460"/>
      <c r="BD628" s="460"/>
      <c r="BE628" s="460"/>
      <c r="BF628" s="460"/>
      <c r="BG628" s="460"/>
      <c r="BH628" s="460"/>
      <c r="BI628" s="460"/>
      <c r="BJ628" s="460"/>
      <c r="BK628" s="460"/>
      <c r="BL628" s="460"/>
      <c r="BM628" s="460"/>
      <c r="BN628" s="460"/>
      <c r="BO628" s="460"/>
      <c r="BP628" s="460"/>
      <c r="BQ628" s="460"/>
      <c r="BR628" s="460"/>
      <c r="BS628" s="460"/>
      <c r="BT628" s="460"/>
      <c r="BU628" s="460"/>
      <c r="BV628" s="460"/>
      <c r="BW628" s="460"/>
      <c r="BX628" s="460"/>
      <c r="BY628" s="460"/>
      <c r="BZ628" s="460"/>
      <c r="CA628" s="460"/>
      <c r="CB628" s="460"/>
      <c r="CC628" s="460"/>
      <c r="CD628" s="460"/>
      <c r="CE628" s="460"/>
      <c r="CF628" s="460"/>
      <c r="CG628" s="460"/>
      <c r="CH628" s="460"/>
      <c r="CI628" s="460"/>
      <c r="CJ628" s="460"/>
      <c r="CK628" s="460"/>
    </row>
    <row r="629" spans="1:89" s="329" customFormat="1" ht="36" customHeight="1" x14ac:dyDescent="0.25">
      <c r="A629" s="329">
        <v>1</v>
      </c>
      <c r="B629" s="39">
        <f>SUBTOTAL(103,$A$552:A629)</f>
        <v>78</v>
      </c>
      <c r="C629" s="33" t="s">
        <v>1491</v>
      </c>
      <c r="D629" s="330">
        <v>1961</v>
      </c>
      <c r="E629" s="330"/>
      <c r="F629" s="331" t="s">
        <v>1981</v>
      </c>
      <c r="G629" s="330" t="s">
        <v>61</v>
      </c>
      <c r="H629" s="330" t="s">
        <v>61</v>
      </c>
      <c r="I629" s="334">
        <v>1516.8</v>
      </c>
      <c r="J629" s="334">
        <v>1516.8</v>
      </c>
      <c r="K629" s="334">
        <v>1516.8</v>
      </c>
      <c r="L629" s="332">
        <v>76</v>
      </c>
      <c r="M629" s="330" t="s">
        <v>46</v>
      </c>
      <c r="N629" s="330" t="s">
        <v>50</v>
      </c>
      <c r="O629" s="333" t="s">
        <v>1982</v>
      </c>
      <c r="P629" s="38">
        <v>3896205.56</v>
      </c>
      <c r="Q629" s="38">
        <v>0</v>
      </c>
      <c r="R629" s="38">
        <v>0</v>
      </c>
      <c r="S629" s="38">
        <f t="shared" si="122"/>
        <v>3896205.56</v>
      </c>
      <c r="T629" s="38">
        <f t="shared" si="118"/>
        <v>2568.7009229957807</v>
      </c>
      <c r="U629" s="38">
        <v>3623.7123022151895</v>
      </c>
      <c r="V629" s="458">
        <f t="shared" si="119"/>
        <v>1055.0113792194088</v>
      </c>
      <c r="W629" s="458">
        <f t="shared" si="123"/>
        <v>2568.7009229957807</v>
      </c>
      <c r="X629" s="458">
        <v>0</v>
      </c>
      <c r="Y629" s="459">
        <v>0</v>
      </c>
      <c r="Z629" s="459">
        <v>0</v>
      </c>
      <c r="AA629" s="459">
        <v>0</v>
      </c>
      <c r="AB629" s="459">
        <v>0</v>
      </c>
      <c r="AC629" s="459">
        <v>0</v>
      </c>
      <c r="AD629" s="459">
        <v>0</v>
      </c>
      <c r="AE629" s="459">
        <v>0</v>
      </c>
      <c r="AF629" s="458">
        <v>0</v>
      </c>
      <c r="AG629" s="459">
        <v>0</v>
      </c>
      <c r="AH629" s="458">
        <v>0</v>
      </c>
      <c r="AI629" s="459">
        <v>0</v>
      </c>
      <c r="AJ629" s="458">
        <v>0</v>
      </c>
      <c r="AK629" s="459">
        <v>0</v>
      </c>
      <c r="AL629" s="459">
        <v>0</v>
      </c>
      <c r="AM629" s="459">
        <v>0</v>
      </c>
      <c r="AN629" s="459"/>
      <c r="AO629" s="459">
        <v>0</v>
      </c>
      <c r="AP629" s="460"/>
      <c r="AQ629" s="460"/>
      <c r="AR629" s="460"/>
      <c r="AS629" s="460"/>
      <c r="AT629" s="460"/>
      <c r="AU629" s="460"/>
      <c r="AV629" s="460"/>
      <c r="AW629" s="460"/>
      <c r="AX629" s="460"/>
      <c r="AY629" s="460"/>
      <c r="AZ629" s="460"/>
      <c r="BA629" s="460"/>
      <c r="BB629" s="460"/>
      <c r="BC629" s="460"/>
      <c r="BD629" s="460"/>
      <c r="BE629" s="460"/>
      <c r="BF629" s="460"/>
      <c r="BG629" s="460"/>
      <c r="BH629" s="460"/>
      <c r="BI629" s="460"/>
      <c r="BJ629" s="460"/>
      <c r="BK629" s="460"/>
      <c r="BL629" s="460"/>
      <c r="BM629" s="460"/>
      <c r="BN629" s="460"/>
      <c r="BO629" s="460"/>
      <c r="BP629" s="460"/>
      <c r="BQ629" s="460"/>
      <c r="BR629" s="460"/>
      <c r="BS629" s="460"/>
      <c r="BT629" s="460"/>
      <c r="BU629" s="460"/>
      <c r="BV629" s="460"/>
      <c r="BW629" s="460"/>
      <c r="BX629" s="460"/>
      <c r="BY629" s="460"/>
      <c r="BZ629" s="460"/>
      <c r="CA629" s="460"/>
      <c r="CB629" s="460"/>
      <c r="CC629" s="460"/>
      <c r="CD629" s="460"/>
      <c r="CE629" s="460"/>
      <c r="CF629" s="460"/>
      <c r="CG629" s="460"/>
      <c r="CH629" s="460"/>
      <c r="CI629" s="460"/>
      <c r="CJ629" s="460"/>
      <c r="CK629" s="460"/>
    </row>
    <row r="630" spans="1:89" s="329" customFormat="1" ht="36" customHeight="1" x14ac:dyDescent="0.25">
      <c r="A630" s="329">
        <v>1</v>
      </c>
      <c r="B630" s="39">
        <f>SUBTOTAL(103,$A$552:A630)</f>
        <v>79</v>
      </c>
      <c r="C630" s="33" t="s">
        <v>1492</v>
      </c>
      <c r="D630" s="330" t="s">
        <v>2035</v>
      </c>
      <c r="E630" s="330"/>
      <c r="F630" s="331" t="s">
        <v>48</v>
      </c>
      <c r="G630" s="330" t="s">
        <v>75</v>
      </c>
      <c r="H630" s="330" t="s">
        <v>57</v>
      </c>
      <c r="I630" s="334">
        <v>658.3</v>
      </c>
      <c r="J630" s="334">
        <v>606.6</v>
      </c>
      <c r="K630" s="334">
        <v>606.6</v>
      </c>
      <c r="L630" s="332">
        <v>17</v>
      </c>
      <c r="M630" s="330" t="s">
        <v>46</v>
      </c>
      <c r="N630" s="330" t="s">
        <v>50</v>
      </c>
      <c r="O630" s="333" t="s">
        <v>2135</v>
      </c>
      <c r="P630" s="38">
        <v>1123224.57</v>
      </c>
      <c r="Q630" s="38">
        <v>0</v>
      </c>
      <c r="R630" s="38">
        <v>0</v>
      </c>
      <c r="S630" s="38">
        <f t="shared" si="122"/>
        <v>1123224.57</v>
      </c>
      <c r="T630" s="38">
        <f t="shared" si="118"/>
        <v>1706.2502962175301</v>
      </c>
      <c r="U630" s="38">
        <v>2187.2150994987087</v>
      </c>
      <c r="V630" s="458">
        <f t="shared" si="119"/>
        <v>480.96480328117855</v>
      </c>
      <c r="W630" s="458">
        <f t="shared" si="123"/>
        <v>1706.2502962175301</v>
      </c>
      <c r="X630" s="458">
        <v>0</v>
      </c>
      <c r="Y630" s="459">
        <v>0</v>
      </c>
      <c r="Z630" s="459">
        <v>0</v>
      </c>
      <c r="AA630" s="459">
        <v>0</v>
      </c>
      <c r="AB630" s="459">
        <v>0</v>
      </c>
      <c r="AC630" s="459">
        <v>0</v>
      </c>
      <c r="AD630" s="459">
        <v>0</v>
      </c>
      <c r="AE630" s="459">
        <v>0</v>
      </c>
      <c r="AF630" s="458">
        <v>0</v>
      </c>
      <c r="AG630" s="459">
        <v>0</v>
      </c>
      <c r="AH630" s="458">
        <v>0</v>
      </c>
      <c r="AI630" s="459">
        <v>0</v>
      </c>
      <c r="AJ630" s="458">
        <v>0</v>
      </c>
      <c r="AK630" s="459">
        <v>0</v>
      </c>
      <c r="AL630" s="459">
        <v>0</v>
      </c>
      <c r="AM630" s="459">
        <v>0</v>
      </c>
      <c r="AN630" s="459"/>
      <c r="AO630" s="459">
        <v>0</v>
      </c>
      <c r="AP630" s="460"/>
      <c r="AQ630" s="460"/>
      <c r="AR630" s="460"/>
      <c r="AS630" s="460"/>
      <c r="AT630" s="460"/>
      <c r="AU630" s="460"/>
      <c r="AV630" s="460"/>
      <c r="AW630" s="460"/>
      <c r="AX630" s="460"/>
      <c r="AY630" s="460"/>
      <c r="AZ630" s="460"/>
      <c r="BA630" s="460"/>
      <c r="BB630" s="460"/>
      <c r="BC630" s="460"/>
      <c r="BD630" s="460"/>
      <c r="BE630" s="460"/>
      <c r="BF630" s="460"/>
      <c r="BG630" s="460"/>
      <c r="BH630" s="460"/>
      <c r="BI630" s="460"/>
      <c r="BJ630" s="460"/>
      <c r="BK630" s="460"/>
      <c r="BL630" s="460"/>
      <c r="BM630" s="460"/>
      <c r="BN630" s="460"/>
      <c r="BO630" s="460"/>
      <c r="BP630" s="460"/>
      <c r="BQ630" s="460"/>
      <c r="BR630" s="460"/>
      <c r="BS630" s="460"/>
      <c r="BT630" s="460"/>
      <c r="BU630" s="460"/>
      <c r="BV630" s="460"/>
      <c r="BW630" s="460"/>
      <c r="BX630" s="460"/>
      <c r="BY630" s="460"/>
      <c r="BZ630" s="460"/>
      <c r="CA630" s="460"/>
      <c r="CB630" s="460"/>
      <c r="CC630" s="460"/>
      <c r="CD630" s="460"/>
      <c r="CE630" s="460"/>
      <c r="CF630" s="460"/>
      <c r="CG630" s="460"/>
      <c r="CH630" s="460"/>
      <c r="CI630" s="460"/>
      <c r="CJ630" s="460"/>
      <c r="CK630" s="460"/>
    </row>
    <row r="631" spans="1:89" s="329" customFormat="1" ht="36" customHeight="1" x14ac:dyDescent="0.25">
      <c r="A631" s="329">
        <v>1</v>
      </c>
      <c r="B631" s="39">
        <f>SUBTOTAL(103,$A$552:A631)</f>
        <v>80</v>
      </c>
      <c r="C631" s="33" t="s">
        <v>942</v>
      </c>
      <c r="D631" s="330">
        <v>1962</v>
      </c>
      <c r="E631" s="330"/>
      <c r="F631" s="331" t="s">
        <v>48</v>
      </c>
      <c r="G631" s="330">
        <v>3</v>
      </c>
      <c r="H631" s="330" t="s">
        <v>61</v>
      </c>
      <c r="I631" s="334">
        <v>2721.6</v>
      </c>
      <c r="J631" s="334">
        <v>1752.6</v>
      </c>
      <c r="K631" s="334">
        <v>1752.6</v>
      </c>
      <c r="L631" s="332">
        <v>82</v>
      </c>
      <c r="M631" s="330" t="s">
        <v>46</v>
      </c>
      <c r="N631" s="330" t="s">
        <v>50</v>
      </c>
      <c r="O631" s="333" t="s">
        <v>1957</v>
      </c>
      <c r="P631" s="38">
        <v>3888265.4</v>
      </c>
      <c r="Q631" s="38">
        <v>0</v>
      </c>
      <c r="R631" s="38">
        <v>0</v>
      </c>
      <c r="S631" s="38">
        <f t="shared" si="122"/>
        <v>3888265.4</v>
      </c>
      <c r="T631" s="38">
        <f t="shared" si="118"/>
        <v>1428.6689447383892</v>
      </c>
      <c r="U631" s="38">
        <v>2179.1975330687828</v>
      </c>
      <c r="V631" s="458">
        <f t="shared" si="119"/>
        <v>750.52858833039363</v>
      </c>
      <c r="W631" s="458">
        <f t="shared" si="123"/>
        <v>1428.6689447383892</v>
      </c>
      <c r="X631" s="458">
        <v>0</v>
      </c>
      <c r="Y631" s="459">
        <v>0</v>
      </c>
      <c r="Z631" s="459">
        <v>0</v>
      </c>
      <c r="AA631" s="459">
        <v>0</v>
      </c>
      <c r="AB631" s="459">
        <v>0</v>
      </c>
      <c r="AC631" s="459">
        <v>0</v>
      </c>
      <c r="AD631" s="459">
        <v>0</v>
      </c>
      <c r="AE631" s="459">
        <v>0</v>
      </c>
      <c r="AF631" s="458">
        <v>0</v>
      </c>
      <c r="AG631" s="459">
        <v>0</v>
      </c>
      <c r="AH631" s="458">
        <v>0</v>
      </c>
      <c r="AI631" s="459">
        <v>0</v>
      </c>
      <c r="AJ631" s="458">
        <v>0</v>
      </c>
      <c r="AK631" s="459">
        <v>0</v>
      </c>
      <c r="AL631" s="459">
        <v>0</v>
      </c>
      <c r="AM631" s="459">
        <v>0</v>
      </c>
      <c r="AN631" s="459"/>
      <c r="AO631" s="459">
        <v>0</v>
      </c>
      <c r="AP631" s="460"/>
      <c r="AQ631" s="460"/>
      <c r="AR631" s="460"/>
      <c r="AS631" s="460"/>
      <c r="AT631" s="460"/>
      <c r="AU631" s="460"/>
      <c r="AV631" s="460"/>
      <c r="AW631" s="460"/>
      <c r="AX631" s="460"/>
      <c r="AY631" s="460"/>
      <c r="AZ631" s="460"/>
      <c r="BA631" s="460"/>
      <c r="BB631" s="460"/>
      <c r="BC631" s="460"/>
      <c r="BD631" s="460"/>
      <c r="BE631" s="460"/>
      <c r="BF631" s="460"/>
      <c r="BG631" s="460"/>
      <c r="BH631" s="460"/>
      <c r="BI631" s="460"/>
      <c r="BJ631" s="460"/>
      <c r="BK631" s="460"/>
      <c r="BL631" s="460"/>
      <c r="BM631" s="460"/>
      <c r="BN631" s="460"/>
      <c r="BO631" s="460"/>
      <c r="BP631" s="460"/>
      <c r="BQ631" s="460"/>
      <c r="BR631" s="460"/>
      <c r="BS631" s="460"/>
      <c r="BT631" s="460"/>
      <c r="BU631" s="460"/>
      <c r="BV631" s="460"/>
      <c r="BW631" s="460"/>
      <c r="BX631" s="460"/>
      <c r="BY631" s="460"/>
      <c r="BZ631" s="460"/>
      <c r="CA631" s="460"/>
      <c r="CB631" s="460"/>
      <c r="CC631" s="460"/>
      <c r="CD631" s="460"/>
      <c r="CE631" s="460"/>
      <c r="CF631" s="460"/>
      <c r="CG631" s="460"/>
      <c r="CH631" s="460"/>
      <c r="CI631" s="460"/>
      <c r="CJ631" s="460"/>
      <c r="CK631" s="460"/>
    </row>
    <row r="632" spans="1:89" s="329" customFormat="1" ht="36" customHeight="1" x14ac:dyDescent="0.25">
      <c r="A632" s="329">
        <v>1</v>
      </c>
      <c r="B632" s="39">
        <f>SUBTOTAL(103,$A$552:A632)</f>
        <v>81</v>
      </c>
      <c r="C632" s="33" t="s">
        <v>1493</v>
      </c>
      <c r="D632" s="330">
        <v>1974</v>
      </c>
      <c r="E632" s="330"/>
      <c r="F632" s="331" t="s">
        <v>1981</v>
      </c>
      <c r="G632" s="330" t="s">
        <v>1969</v>
      </c>
      <c r="H632" s="330" t="s">
        <v>57</v>
      </c>
      <c r="I632" s="334">
        <v>865.7</v>
      </c>
      <c r="J632" s="334">
        <v>865.7</v>
      </c>
      <c r="K632" s="334">
        <v>602.4</v>
      </c>
      <c r="L632" s="332">
        <v>22</v>
      </c>
      <c r="M632" s="330" t="s">
        <v>46</v>
      </c>
      <c r="N632" s="330" t="s">
        <v>50</v>
      </c>
      <c r="O632" s="333" t="s">
        <v>72</v>
      </c>
      <c r="P632" s="38">
        <v>4301356.74</v>
      </c>
      <c r="Q632" s="38">
        <v>0</v>
      </c>
      <c r="R632" s="38">
        <v>0</v>
      </c>
      <c r="S632" s="38">
        <f t="shared" si="122"/>
        <v>4301356.74</v>
      </c>
      <c r="T632" s="38">
        <f t="shared" si="118"/>
        <v>4968.6458819452464</v>
      </c>
      <c r="U632" s="38">
        <v>9722.3030380039272</v>
      </c>
      <c r="V632" s="458">
        <f t="shared" si="119"/>
        <v>4753.6571560586808</v>
      </c>
      <c r="W632" s="458">
        <f t="shared" si="123"/>
        <v>4968.6458819452464</v>
      </c>
      <c r="X632" s="458">
        <v>0</v>
      </c>
      <c r="Y632" s="459">
        <v>0</v>
      </c>
      <c r="Z632" s="459">
        <v>0</v>
      </c>
      <c r="AA632" s="459">
        <v>0</v>
      </c>
      <c r="AB632" s="459">
        <v>0</v>
      </c>
      <c r="AC632" s="459">
        <v>0</v>
      </c>
      <c r="AD632" s="459">
        <v>0</v>
      </c>
      <c r="AE632" s="459">
        <v>0</v>
      </c>
      <c r="AF632" s="458">
        <v>0</v>
      </c>
      <c r="AG632" s="459">
        <v>0</v>
      </c>
      <c r="AH632" s="458">
        <v>0</v>
      </c>
      <c r="AI632" s="459">
        <v>0</v>
      </c>
      <c r="AJ632" s="458">
        <v>0</v>
      </c>
      <c r="AK632" s="459">
        <v>0</v>
      </c>
      <c r="AL632" s="459">
        <v>0</v>
      </c>
      <c r="AM632" s="459">
        <v>0</v>
      </c>
      <c r="AN632" s="459"/>
      <c r="AO632" s="459">
        <v>0</v>
      </c>
      <c r="AP632" s="460"/>
      <c r="AQ632" s="460"/>
      <c r="AR632" s="460"/>
      <c r="AS632" s="460"/>
      <c r="AT632" s="460"/>
      <c r="AU632" s="460"/>
      <c r="AV632" s="460"/>
      <c r="AW632" s="460"/>
      <c r="AX632" s="460"/>
      <c r="AY632" s="460"/>
      <c r="AZ632" s="460"/>
      <c r="BA632" s="460"/>
      <c r="BB632" s="460"/>
      <c r="BC632" s="460"/>
      <c r="BD632" s="460"/>
      <c r="BE632" s="460"/>
      <c r="BF632" s="460"/>
      <c r="BG632" s="460"/>
      <c r="BH632" s="460"/>
      <c r="BI632" s="460"/>
      <c r="BJ632" s="460"/>
      <c r="BK632" s="460"/>
      <c r="BL632" s="460"/>
      <c r="BM632" s="460"/>
      <c r="BN632" s="460"/>
      <c r="BO632" s="460"/>
      <c r="BP632" s="460"/>
      <c r="BQ632" s="460"/>
      <c r="BR632" s="460"/>
      <c r="BS632" s="460"/>
      <c r="BT632" s="460"/>
      <c r="BU632" s="460"/>
      <c r="BV632" s="460"/>
      <c r="BW632" s="460"/>
      <c r="BX632" s="460"/>
      <c r="BY632" s="460"/>
      <c r="BZ632" s="460"/>
      <c r="CA632" s="460"/>
      <c r="CB632" s="460"/>
      <c r="CC632" s="460"/>
      <c r="CD632" s="460"/>
      <c r="CE632" s="460"/>
      <c r="CF632" s="460"/>
      <c r="CG632" s="460"/>
      <c r="CH632" s="460"/>
      <c r="CI632" s="460"/>
      <c r="CJ632" s="460"/>
      <c r="CK632" s="460"/>
    </row>
    <row r="633" spans="1:89" s="329" customFormat="1" ht="36" customHeight="1" x14ac:dyDescent="0.25">
      <c r="A633" s="329">
        <v>1</v>
      </c>
      <c r="B633" s="39">
        <f>SUBTOTAL(103,$A$552:A633)</f>
        <v>82</v>
      </c>
      <c r="C633" s="33" t="s">
        <v>1494</v>
      </c>
      <c r="D633" s="330">
        <v>1968</v>
      </c>
      <c r="E633" s="330"/>
      <c r="F633" s="331" t="s">
        <v>1981</v>
      </c>
      <c r="G633" s="330" t="s">
        <v>75</v>
      </c>
      <c r="H633" s="330" t="s">
        <v>59</v>
      </c>
      <c r="I633" s="334">
        <v>3176.3</v>
      </c>
      <c r="J633" s="334">
        <v>3176.3</v>
      </c>
      <c r="K633" s="334">
        <v>3093.8</v>
      </c>
      <c r="L633" s="332">
        <v>143</v>
      </c>
      <c r="M633" s="330" t="s">
        <v>46</v>
      </c>
      <c r="N633" s="330" t="s">
        <v>50</v>
      </c>
      <c r="O633" s="333" t="s">
        <v>1982</v>
      </c>
      <c r="P633" s="38">
        <v>1057247.3700000001</v>
      </c>
      <c r="Q633" s="38">
        <v>0</v>
      </c>
      <c r="R633" s="38">
        <v>0</v>
      </c>
      <c r="S633" s="38">
        <f t="shared" si="122"/>
        <v>1057247.3700000001</v>
      </c>
      <c r="T633" s="38">
        <f t="shared" si="118"/>
        <v>332.85501054686273</v>
      </c>
      <c r="U633" s="38">
        <v>2178.2831596511664</v>
      </c>
      <c r="V633" s="458">
        <f t="shared" si="119"/>
        <v>1845.4281491043037</v>
      </c>
      <c r="W633" s="458">
        <f t="shared" si="123"/>
        <v>332.85501054686273</v>
      </c>
      <c r="X633" s="458">
        <v>0</v>
      </c>
      <c r="Y633" s="459">
        <v>0</v>
      </c>
      <c r="Z633" s="459">
        <v>0</v>
      </c>
      <c r="AA633" s="459">
        <v>0</v>
      </c>
      <c r="AB633" s="459">
        <v>0</v>
      </c>
      <c r="AC633" s="459">
        <v>0</v>
      </c>
      <c r="AD633" s="459">
        <v>0</v>
      </c>
      <c r="AE633" s="459">
        <v>0</v>
      </c>
      <c r="AF633" s="458">
        <v>0</v>
      </c>
      <c r="AG633" s="459">
        <v>0</v>
      </c>
      <c r="AH633" s="458">
        <v>0</v>
      </c>
      <c r="AI633" s="459">
        <v>0</v>
      </c>
      <c r="AJ633" s="458">
        <v>0</v>
      </c>
      <c r="AK633" s="459">
        <v>0</v>
      </c>
      <c r="AL633" s="459">
        <v>0</v>
      </c>
      <c r="AM633" s="459">
        <v>0</v>
      </c>
      <c r="AN633" s="459"/>
      <c r="AO633" s="459">
        <v>0</v>
      </c>
      <c r="AP633" s="460"/>
      <c r="AQ633" s="460"/>
      <c r="AR633" s="460"/>
      <c r="AS633" s="460"/>
      <c r="AT633" s="460"/>
      <c r="AU633" s="460"/>
      <c r="AV633" s="460"/>
      <c r="AW633" s="460"/>
      <c r="AX633" s="460"/>
      <c r="AY633" s="460"/>
      <c r="AZ633" s="460"/>
      <c r="BA633" s="460"/>
      <c r="BB633" s="460"/>
      <c r="BC633" s="460"/>
      <c r="BD633" s="460"/>
      <c r="BE633" s="460"/>
      <c r="BF633" s="460"/>
      <c r="BG633" s="460"/>
      <c r="BH633" s="460"/>
      <c r="BI633" s="460"/>
      <c r="BJ633" s="460"/>
      <c r="BK633" s="460"/>
      <c r="BL633" s="460"/>
      <c r="BM633" s="460"/>
      <c r="BN633" s="460"/>
      <c r="BO633" s="460"/>
      <c r="BP633" s="460"/>
      <c r="BQ633" s="460"/>
      <c r="BR633" s="460"/>
      <c r="BS633" s="460"/>
      <c r="BT633" s="460"/>
      <c r="BU633" s="460"/>
      <c r="BV633" s="460"/>
      <c r="BW633" s="460"/>
      <c r="BX633" s="460"/>
      <c r="BY633" s="460"/>
      <c r="BZ633" s="460"/>
      <c r="CA633" s="460"/>
      <c r="CB633" s="460"/>
      <c r="CC633" s="460"/>
      <c r="CD633" s="460"/>
      <c r="CE633" s="460"/>
      <c r="CF633" s="460"/>
      <c r="CG633" s="460"/>
      <c r="CH633" s="460"/>
      <c r="CI633" s="460"/>
      <c r="CJ633" s="460"/>
      <c r="CK633" s="460"/>
    </row>
    <row r="634" spans="1:89" s="329" customFormat="1" ht="36" customHeight="1" x14ac:dyDescent="0.25">
      <c r="A634" s="329">
        <v>1</v>
      </c>
      <c r="B634" s="39">
        <f>SUBTOTAL(103,$A$552:A634)</f>
        <v>83</v>
      </c>
      <c r="C634" s="33" t="s">
        <v>1495</v>
      </c>
      <c r="D634" s="330">
        <v>1963</v>
      </c>
      <c r="E634" s="330"/>
      <c r="F634" s="331" t="s">
        <v>1981</v>
      </c>
      <c r="G634" s="330" t="s">
        <v>56</v>
      </c>
      <c r="H634" s="330" t="s">
        <v>57</v>
      </c>
      <c r="I634" s="334">
        <v>316.5</v>
      </c>
      <c r="J634" s="334">
        <v>207.1</v>
      </c>
      <c r="K634" s="334">
        <v>207.1</v>
      </c>
      <c r="L634" s="332">
        <v>24</v>
      </c>
      <c r="M634" s="330" t="s">
        <v>46</v>
      </c>
      <c r="N634" s="330" t="s">
        <v>50</v>
      </c>
      <c r="O634" s="333" t="s">
        <v>1982</v>
      </c>
      <c r="P634" s="38">
        <v>1584967.92</v>
      </c>
      <c r="Q634" s="38">
        <v>0</v>
      </c>
      <c r="R634" s="38">
        <v>0</v>
      </c>
      <c r="S634" s="38">
        <f t="shared" si="122"/>
        <v>1584967.92</v>
      </c>
      <c r="T634" s="38">
        <f t="shared" si="118"/>
        <v>5007.7975355450235</v>
      </c>
      <c r="U634" s="38">
        <v>6072.2854028436013</v>
      </c>
      <c r="V634" s="458">
        <f t="shared" si="119"/>
        <v>1064.4878672985778</v>
      </c>
      <c r="W634" s="458">
        <f t="shared" si="123"/>
        <v>5007.7975355450235</v>
      </c>
      <c r="X634" s="458">
        <v>0</v>
      </c>
      <c r="Y634" s="459">
        <v>0</v>
      </c>
      <c r="Z634" s="459">
        <v>0</v>
      </c>
      <c r="AA634" s="459">
        <v>0</v>
      </c>
      <c r="AB634" s="459">
        <v>0</v>
      </c>
      <c r="AC634" s="459">
        <v>0</v>
      </c>
      <c r="AD634" s="459">
        <v>0</v>
      </c>
      <c r="AE634" s="459">
        <v>0</v>
      </c>
      <c r="AF634" s="458">
        <v>0</v>
      </c>
      <c r="AG634" s="459">
        <v>0</v>
      </c>
      <c r="AH634" s="458">
        <v>0</v>
      </c>
      <c r="AI634" s="459">
        <v>0</v>
      </c>
      <c r="AJ634" s="458">
        <v>0</v>
      </c>
      <c r="AK634" s="459">
        <v>0</v>
      </c>
      <c r="AL634" s="459">
        <v>0</v>
      </c>
      <c r="AM634" s="459">
        <v>0</v>
      </c>
      <c r="AN634" s="459"/>
      <c r="AO634" s="459">
        <v>0</v>
      </c>
      <c r="AP634" s="460"/>
      <c r="AQ634" s="460"/>
      <c r="AR634" s="460"/>
      <c r="AS634" s="460"/>
      <c r="AT634" s="460"/>
      <c r="AU634" s="460"/>
      <c r="AV634" s="460"/>
      <c r="AW634" s="460"/>
      <c r="AX634" s="460"/>
      <c r="AY634" s="460"/>
      <c r="AZ634" s="460"/>
      <c r="BA634" s="460"/>
      <c r="BB634" s="460"/>
      <c r="BC634" s="460"/>
      <c r="BD634" s="460"/>
      <c r="BE634" s="460"/>
      <c r="BF634" s="460"/>
      <c r="BG634" s="460"/>
      <c r="BH634" s="460"/>
      <c r="BI634" s="460"/>
      <c r="BJ634" s="460"/>
      <c r="BK634" s="460"/>
      <c r="BL634" s="460"/>
      <c r="BM634" s="460"/>
      <c r="BN634" s="460"/>
      <c r="BO634" s="460"/>
      <c r="BP634" s="460"/>
      <c r="BQ634" s="460"/>
      <c r="BR634" s="460"/>
      <c r="BS634" s="460"/>
      <c r="BT634" s="460"/>
      <c r="BU634" s="460"/>
      <c r="BV634" s="460"/>
      <c r="BW634" s="460"/>
      <c r="BX634" s="460"/>
      <c r="BY634" s="460"/>
      <c r="BZ634" s="460"/>
      <c r="CA634" s="460"/>
      <c r="CB634" s="460"/>
      <c r="CC634" s="460"/>
      <c r="CD634" s="460"/>
      <c r="CE634" s="460"/>
      <c r="CF634" s="460"/>
      <c r="CG634" s="460"/>
      <c r="CH634" s="460"/>
      <c r="CI634" s="460"/>
      <c r="CJ634" s="460"/>
      <c r="CK634" s="460"/>
    </row>
    <row r="635" spans="1:89" s="329" customFormat="1" ht="36" customHeight="1" x14ac:dyDescent="0.25">
      <c r="A635" s="329">
        <v>1</v>
      </c>
      <c r="B635" s="39">
        <f>SUBTOTAL(103,$A$552:A635)</f>
        <v>84</v>
      </c>
      <c r="C635" s="33" t="s">
        <v>995</v>
      </c>
      <c r="D635" s="330">
        <v>1997</v>
      </c>
      <c r="E635" s="330"/>
      <c r="F635" s="331" t="s">
        <v>48</v>
      </c>
      <c r="G635" s="330">
        <v>4</v>
      </c>
      <c r="H635" s="330" t="s">
        <v>61</v>
      </c>
      <c r="I635" s="334">
        <v>2862.3</v>
      </c>
      <c r="J635" s="334">
        <v>2046.7</v>
      </c>
      <c r="K635" s="334">
        <v>2046.7</v>
      </c>
      <c r="L635" s="332">
        <v>95</v>
      </c>
      <c r="M635" s="330" t="s">
        <v>46</v>
      </c>
      <c r="N635" s="330" t="s">
        <v>50</v>
      </c>
      <c r="O635" s="333" t="s">
        <v>1963</v>
      </c>
      <c r="P635" s="38">
        <v>3949680.45</v>
      </c>
      <c r="Q635" s="38">
        <v>0</v>
      </c>
      <c r="R635" s="38">
        <v>0</v>
      </c>
      <c r="S635" s="38">
        <f t="shared" si="122"/>
        <v>3949680.45</v>
      </c>
      <c r="T635" s="38">
        <f t="shared" si="118"/>
        <v>1379.897442616078</v>
      </c>
      <c r="U635" s="38">
        <v>1977.1553505921809</v>
      </c>
      <c r="V635" s="458">
        <f t="shared" si="119"/>
        <v>597.25790797610284</v>
      </c>
      <c r="W635" s="458">
        <f t="shared" si="123"/>
        <v>1379.897442616078</v>
      </c>
      <c r="X635" s="458">
        <v>0</v>
      </c>
      <c r="Y635" s="459">
        <v>0</v>
      </c>
      <c r="Z635" s="459">
        <v>0</v>
      </c>
      <c r="AA635" s="459">
        <v>0</v>
      </c>
      <c r="AB635" s="459">
        <v>0</v>
      </c>
      <c r="AC635" s="459">
        <v>0</v>
      </c>
      <c r="AD635" s="459">
        <v>0</v>
      </c>
      <c r="AE635" s="459">
        <v>0</v>
      </c>
      <c r="AF635" s="458">
        <v>0</v>
      </c>
      <c r="AG635" s="459">
        <v>0</v>
      </c>
      <c r="AH635" s="458">
        <v>0</v>
      </c>
      <c r="AI635" s="459">
        <v>0</v>
      </c>
      <c r="AJ635" s="458">
        <v>0</v>
      </c>
      <c r="AK635" s="459">
        <v>0</v>
      </c>
      <c r="AL635" s="459">
        <v>0</v>
      </c>
      <c r="AM635" s="459">
        <v>0</v>
      </c>
      <c r="AN635" s="459"/>
      <c r="AO635" s="459">
        <v>0</v>
      </c>
      <c r="AP635" s="460"/>
      <c r="AQ635" s="460"/>
      <c r="AR635" s="460"/>
      <c r="AS635" s="460"/>
      <c r="AT635" s="460"/>
      <c r="AU635" s="460"/>
      <c r="AV635" s="460"/>
      <c r="AW635" s="460"/>
      <c r="AX635" s="460"/>
      <c r="AY635" s="460"/>
      <c r="AZ635" s="460"/>
      <c r="BA635" s="460"/>
      <c r="BB635" s="460"/>
      <c r="BC635" s="460"/>
      <c r="BD635" s="460"/>
      <c r="BE635" s="460"/>
      <c r="BF635" s="460"/>
      <c r="BG635" s="460"/>
      <c r="BH635" s="460"/>
      <c r="BI635" s="460"/>
      <c r="BJ635" s="460"/>
      <c r="BK635" s="460"/>
      <c r="BL635" s="460"/>
      <c r="BM635" s="460"/>
      <c r="BN635" s="460"/>
      <c r="BO635" s="460"/>
      <c r="BP635" s="460"/>
      <c r="BQ635" s="460"/>
      <c r="BR635" s="460"/>
      <c r="BS635" s="460"/>
      <c r="BT635" s="460"/>
      <c r="BU635" s="460"/>
      <c r="BV635" s="460"/>
      <c r="BW635" s="460"/>
      <c r="BX635" s="460"/>
      <c r="BY635" s="460"/>
      <c r="BZ635" s="460"/>
      <c r="CA635" s="460"/>
      <c r="CB635" s="460"/>
      <c r="CC635" s="460"/>
      <c r="CD635" s="460"/>
      <c r="CE635" s="460"/>
      <c r="CF635" s="460"/>
      <c r="CG635" s="460"/>
      <c r="CH635" s="460"/>
      <c r="CI635" s="460"/>
      <c r="CJ635" s="460"/>
      <c r="CK635" s="460"/>
    </row>
    <row r="636" spans="1:89" s="329" customFormat="1" ht="36" customHeight="1" x14ac:dyDescent="0.25">
      <c r="A636" s="329">
        <v>1</v>
      </c>
      <c r="B636" s="39">
        <f>SUBTOTAL(103,$A$552:A636)</f>
        <v>85</v>
      </c>
      <c r="C636" s="33" t="s">
        <v>1496</v>
      </c>
      <c r="D636" s="330" t="s">
        <v>2117</v>
      </c>
      <c r="E636" s="330"/>
      <c r="F636" s="331" t="s">
        <v>60</v>
      </c>
      <c r="G636" s="330" t="s">
        <v>75</v>
      </c>
      <c r="H636" s="330" t="s">
        <v>61</v>
      </c>
      <c r="I636" s="334">
        <v>2249.1</v>
      </c>
      <c r="J636" s="334">
        <v>2046.7</v>
      </c>
      <c r="K636" s="334">
        <v>2046.7</v>
      </c>
      <c r="L636" s="332">
        <v>100</v>
      </c>
      <c r="M636" s="330" t="s">
        <v>46</v>
      </c>
      <c r="N636" s="330" t="s">
        <v>50</v>
      </c>
      <c r="O636" s="333" t="s">
        <v>1962</v>
      </c>
      <c r="P636" s="38">
        <v>2647497.35</v>
      </c>
      <c r="Q636" s="38">
        <v>0</v>
      </c>
      <c r="R636" s="38">
        <v>0</v>
      </c>
      <c r="S636" s="38">
        <f t="shared" si="122"/>
        <v>2647497.35</v>
      </c>
      <c r="T636" s="38">
        <f t="shared" si="118"/>
        <v>1177.1363434262594</v>
      </c>
      <c r="U636" s="38">
        <v>1550.3649593170601</v>
      </c>
      <c r="V636" s="458">
        <f t="shared" si="119"/>
        <v>373.22861589080071</v>
      </c>
      <c r="W636" s="458">
        <f t="shared" si="123"/>
        <v>1177.1363434262594</v>
      </c>
      <c r="X636" s="458">
        <v>0</v>
      </c>
      <c r="Y636" s="459">
        <v>0</v>
      </c>
      <c r="Z636" s="459">
        <v>0</v>
      </c>
      <c r="AA636" s="459">
        <v>0</v>
      </c>
      <c r="AB636" s="459">
        <v>0</v>
      </c>
      <c r="AC636" s="459">
        <v>0</v>
      </c>
      <c r="AD636" s="459">
        <v>0</v>
      </c>
      <c r="AE636" s="459">
        <v>0</v>
      </c>
      <c r="AF636" s="458">
        <v>0</v>
      </c>
      <c r="AG636" s="459">
        <v>0</v>
      </c>
      <c r="AH636" s="458">
        <v>0</v>
      </c>
      <c r="AI636" s="459">
        <v>0</v>
      </c>
      <c r="AJ636" s="458">
        <v>0</v>
      </c>
      <c r="AK636" s="459">
        <v>0</v>
      </c>
      <c r="AL636" s="459">
        <v>0</v>
      </c>
      <c r="AM636" s="459">
        <v>0</v>
      </c>
      <c r="AN636" s="459"/>
      <c r="AO636" s="459">
        <v>0</v>
      </c>
      <c r="AP636" s="460"/>
      <c r="AQ636" s="460"/>
      <c r="AR636" s="460"/>
      <c r="AS636" s="460"/>
      <c r="AT636" s="460"/>
      <c r="AU636" s="460"/>
      <c r="AV636" s="460"/>
      <c r="AW636" s="460"/>
      <c r="AX636" s="460"/>
      <c r="AY636" s="460"/>
      <c r="AZ636" s="460"/>
      <c r="BA636" s="460"/>
      <c r="BB636" s="460"/>
      <c r="BC636" s="460"/>
      <c r="BD636" s="460"/>
      <c r="BE636" s="460"/>
      <c r="BF636" s="460"/>
      <c r="BG636" s="460"/>
      <c r="BH636" s="460"/>
      <c r="BI636" s="460"/>
      <c r="BJ636" s="460"/>
      <c r="BK636" s="460"/>
      <c r="BL636" s="460"/>
      <c r="BM636" s="460"/>
      <c r="BN636" s="460"/>
      <c r="BO636" s="460"/>
      <c r="BP636" s="460"/>
      <c r="BQ636" s="460"/>
      <c r="BR636" s="460"/>
      <c r="BS636" s="460"/>
      <c r="BT636" s="460"/>
      <c r="BU636" s="460"/>
      <c r="BV636" s="460"/>
      <c r="BW636" s="460"/>
      <c r="BX636" s="460"/>
      <c r="BY636" s="460"/>
      <c r="BZ636" s="460"/>
      <c r="CA636" s="460"/>
      <c r="CB636" s="460"/>
      <c r="CC636" s="460"/>
      <c r="CD636" s="460"/>
      <c r="CE636" s="460"/>
      <c r="CF636" s="460"/>
      <c r="CG636" s="460"/>
      <c r="CH636" s="460"/>
      <c r="CI636" s="460"/>
      <c r="CJ636" s="460"/>
      <c r="CK636" s="460"/>
    </row>
    <row r="637" spans="1:89" s="329" customFormat="1" ht="36" customHeight="1" x14ac:dyDescent="0.25">
      <c r="A637" s="329">
        <v>1</v>
      </c>
      <c r="B637" s="39">
        <f>SUBTOTAL(103,$A$552:A637)</f>
        <v>86</v>
      </c>
      <c r="C637" s="33" t="s">
        <v>1497</v>
      </c>
      <c r="D637" s="330" t="s">
        <v>2136</v>
      </c>
      <c r="E637" s="330"/>
      <c r="F637" s="331" t="s">
        <v>60</v>
      </c>
      <c r="G637" s="330" t="s">
        <v>75</v>
      </c>
      <c r="H637" s="330" t="s">
        <v>61</v>
      </c>
      <c r="I637" s="334">
        <v>2899.7</v>
      </c>
      <c r="J637" s="334">
        <v>2899.7</v>
      </c>
      <c r="K637" s="334">
        <v>2899.7</v>
      </c>
      <c r="L637" s="332">
        <v>83</v>
      </c>
      <c r="M637" s="330" t="s">
        <v>46</v>
      </c>
      <c r="N637" s="330" t="s">
        <v>50</v>
      </c>
      <c r="O637" s="333" t="s">
        <v>1956</v>
      </c>
      <c r="P637" s="38">
        <v>2934067.58</v>
      </c>
      <c r="Q637" s="38">
        <v>0</v>
      </c>
      <c r="R637" s="38">
        <v>0</v>
      </c>
      <c r="S637" s="38">
        <f t="shared" si="122"/>
        <v>2934067.58</v>
      </c>
      <c r="T637" s="38">
        <f t="shared" si="118"/>
        <v>1011.8521157361107</v>
      </c>
      <c r="U637" s="38">
        <v>1341.7622805807498</v>
      </c>
      <c r="V637" s="458">
        <f t="shared" si="119"/>
        <v>329.9101648446391</v>
      </c>
      <c r="W637" s="458">
        <f t="shared" si="123"/>
        <v>1011.8521157361107</v>
      </c>
      <c r="X637" s="458">
        <v>0</v>
      </c>
      <c r="Y637" s="459">
        <v>0</v>
      </c>
      <c r="Z637" s="459">
        <v>0</v>
      </c>
      <c r="AA637" s="459">
        <v>0</v>
      </c>
      <c r="AB637" s="459">
        <v>0</v>
      </c>
      <c r="AC637" s="459">
        <v>0</v>
      </c>
      <c r="AD637" s="459">
        <v>0</v>
      </c>
      <c r="AE637" s="459">
        <v>0</v>
      </c>
      <c r="AF637" s="458">
        <v>0</v>
      </c>
      <c r="AG637" s="459">
        <v>0</v>
      </c>
      <c r="AH637" s="458">
        <v>0</v>
      </c>
      <c r="AI637" s="459">
        <v>0</v>
      </c>
      <c r="AJ637" s="458">
        <v>0</v>
      </c>
      <c r="AK637" s="459">
        <v>0</v>
      </c>
      <c r="AL637" s="459">
        <v>0</v>
      </c>
      <c r="AM637" s="459">
        <v>0</v>
      </c>
      <c r="AN637" s="459"/>
      <c r="AO637" s="459">
        <v>0</v>
      </c>
      <c r="AP637" s="460"/>
      <c r="AQ637" s="460"/>
      <c r="AR637" s="460"/>
      <c r="AS637" s="460"/>
      <c r="AT637" s="460"/>
      <c r="AU637" s="460"/>
      <c r="AV637" s="460"/>
      <c r="AW637" s="460"/>
      <c r="AX637" s="460"/>
      <c r="AY637" s="460"/>
      <c r="AZ637" s="460"/>
      <c r="BA637" s="460"/>
      <c r="BB637" s="460"/>
      <c r="BC637" s="460"/>
      <c r="BD637" s="460"/>
      <c r="BE637" s="460"/>
      <c r="BF637" s="460"/>
      <c r="BG637" s="460"/>
      <c r="BH637" s="460"/>
      <c r="BI637" s="460"/>
      <c r="BJ637" s="460"/>
      <c r="BK637" s="460"/>
      <c r="BL637" s="460"/>
      <c r="BM637" s="460"/>
      <c r="BN637" s="460"/>
      <c r="BO637" s="460"/>
      <c r="BP637" s="460"/>
      <c r="BQ637" s="460"/>
      <c r="BR637" s="460"/>
      <c r="BS637" s="460"/>
      <c r="BT637" s="460"/>
      <c r="BU637" s="460"/>
      <c r="BV637" s="460"/>
      <c r="BW637" s="460"/>
      <c r="BX637" s="460"/>
      <c r="BY637" s="460"/>
      <c r="BZ637" s="460"/>
      <c r="CA637" s="460"/>
      <c r="CB637" s="460"/>
      <c r="CC637" s="460"/>
      <c r="CD637" s="460"/>
      <c r="CE637" s="460"/>
      <c r="CF637" s="460"/>
      <c r="CG637" s="460"/>
      <c r="CH637" s="460"/>
      <c r="CI637" s="460"/>
      <c r="CJ637" s="460"/>
      <c r="CK637" s="460"/>
    </row>
    <row r="638" spans="1:89" s="329" customFormat="1" ht="36" customHeight="1" x14ac:dyDescent="0.25">
      <c r="A638" s="329">
        <v>1</v>
      </c>
      <c r="B638" s="39">
        <f>SUBTOTAL(103,$A$552:A638)</f>
        <v>87</v>
      </c>
      <c r="C638" s="33" t="s">
        <v>1498</v>
      </c>
      <c r="D638" s="330" t="s">
        <v>2054</v>
      </c>
      <c r="E638" s="330"/>
      <c r="F638" s="331" t="s">
        <v>60</v>
      </c>
      <c r="G638" s="330" t="s">
        <v>75</v>
      </c>
      <c r="H638" s="330" t="s">
        <v>61</v>
      </c>
      <c r="I638" s="334">
        <v>2812.6</v>
      </c>
      <c r="J638" s="334">
        <v>2039.4</v>
      </c>
      <c r="K638" s="334">
        <v>2039.4</v>
      </c>
      <c r="L638" s="332">
        <v>98</v>
      </c>
      <c r="M638" s="330" t="s">
        <v>46</v>
      </c>
      <c r="N638" s="330" t="s">
        <v>50</v>
      </c>
      <c r="O638" s="333" t="s">
        <v>2125</v>
      </c>
      <c r="P638" s="38">
        <v>2671262.73</v>
      </c>
      <c r="Q638" s="38">
        <v>0</v>
      </c>
      <c r="R638" s="38">
        <v>0</v>
      </c>
      <c r="S638" s="38">
        <f t="shared" si="122"/>
        <v>2671262.73</v>
      </c>
      <c r="T638" s="38">
        <f t="shared" si="118"/>
        <v>949.74853516319422</v>
      </c>
      <c r="U638" s="38">
        <v>1250.8806015786106</v>
      </c>
      <c r="V638" s="458">
        <f t="shared" si="119"/>
        <v>301.13206641541638</v>
      </c>
      <c r="W638" s="458">
        <f t="shared" si="123"/>
        <v>949.74853516319422</v>
      </c>
      <c r="X638" s="458">
        <v>0</v>
      </c>
      <c r="Y638" s="459">
        <v>0</v>
      </c>
      <c r="Z638" s="459">
        <v>0</v>
      </c>
      <c r="AA638" s="459">
        <v>0</v>
      </c>
      <c r="AB638" s="459">
        <v>0</v>
      </c>
      <c r="AC638" s="459">
        <v>0</v>
      </c>
      <c r="AD638" s="459">
        <v>0</v>
      </c>
      <c r="AE638" s="459">
        <v>0</v>
      </c>
      <c r="AF638" s="458">
        <v>0</v>
      </c>
      <c r="AG638" s="459">
        <v>0</v>
      </c>
      <c r="AH638" s="458">
        <v>0</v>
      </c>
      <c r="AI638" s="459">
        <v>0</v>
      </c>
      <c r="AJ638" s="458">
        <v>0</v>
      </c>
      <c r="AK638" s="459">
        <v>0</v>
      </c>
      <c r="AL638" s="459">
        <v>0</v>
      </c>
      <c r="AM638" s="459">
        <v>0</v>
      </c>
      <c r="AN638" s="459"/>
      <c r="AO638" s="459">
        <v>0</v>
      </c>
      <c r="AP638" s="460"/>
      <c r="AQ638" s="460"/>
      <c r="AR638" s="460"/>
      <c r="AS638" s="460"/>
      <c r="AT638" s="460"/>
      <c r="AU638" s="460"/>
      <c r="AV638" s="460"/>
      <c r="AW638" s="460"/>
      <c r="AX638" s="460"/>
      <c r="AY638" s="460"/>
      <c r="AZ638" s="460"/>
      <c r="BA638" s="460"/>
      <c r="BB638" s="460"/>
      <c r="BC638" s="460"/>
      <c r="BD638" s="460"/>
      <c r="BE638" s="460"/>
      <c r="BF638" s="460"/>
      <c r="BG638" s="460"/>
      <c r="BH638" s="460"/>
      <c r="BI638" s="460"/>
      <c r="BJ638" s="460"/>
      <c r="BK638" s="460"/>
      <c r="BL638" s="460"/>
      <c r="BM638" s="460"/>
      <c r="BN638" s="460"/>
      <c r="BO638" s="460"/>
      <c r="BP638" s="460"/>
      <c r="BQ638" s="460"/>
      <c r="BR638" s="460"/>
      <c r="BS638" s="460"/>
      <c r="BT638" s="460"/>
      <c r="BU638" s="460"/>
      <c r="BV638" s="460"/>
      <c r="BW638" s="460"/>
      <c r="BX638" s="460"/>
      <c r="BY638" s="460"/>
      <c r="BZ638" s="460"/>
      <c r="CA638" s="460"/>
      <c r="CB638" s="460"/>
      <c r="CC638" s="460"/>
      <c r="CD638" s="460"/>
      <c r="CE638" s="460"/>
      <c r="CF638" s="460"/>
      <c r="CG638" s="460"/>
      <c r="CH638" s="460"/>
      <c r="CI638" s="460"/>
      <c r="CJ638" s="460"/>
      <c r="CK638" s="460"/>
    </row>
    <row r="639" spans="1:89" s="329" customFormat="1" ht="36" customHeight="1" x14ac:dyDescent="0.25">
      <c r="A639" s="329">
        <v>1</v>
      </c>
      <c r="B639" s="39">
        <f>SUBTOTAL(103,$A$552:A639)</f>
        <v>88</v>
      </c>
      <c r="C639" s="33" t="s">
        <v>1499</v>
      </c>
      <c r="D639" s="330">
        <v>1988</v>
      </c>
      <c r="E639" s="330"/>
      <c r="F639" s="331" t="s">
        <v>60</v>
      </c>
      <c r="G639" s="330">
        <v>5</v>
      </c>
      <c r="H639" s="330" t="s">
        <v>61</v>
      </c>
      <c r="I639" s="334">
        <v>3210.8</v>
      </c>
      <c r="J639" s="334">
        <v>2318.1999999999998</v>
      </c>
      <c r="K639" s="334">
        <v>2318.1999999999998</v>
      </c>
      <c r="L639" s="332">
        <v>95</v>
      </c>
      <c r="M639" s="330" t="s">
        <v>46</v>
      </c>
      <c r="N639" s="330" t="s">
        <v>50</v>
      </c>
      <c r="O639" s="333" t="s">
        <v>1958</v>
      </c>
      <c r="P639" s="38">
        <v>2940502.02</v>
      </c>
      <c r="Q639" s="38">
        <v>0</v>
      </c>
      <c r="R639" s="38">
        <v>0</v>
      </c>
      <c r="S639" s="38">
        <f t="shared" si="122"/>
        <v>2940502.02</v>
      </c>
      <c r="T639" s="38">
        <f t="shared" si="118"/>
        <v>915.81600224243175</v>
      </c>
      <c r="U639" s="38">
        <v>1144.4909461816369</v>
      </c>
      <c r="V639" s="458">
        <f t="shared" si="119"/>
        <v>228.67494393920515</v>
      </c>
      <c r="W639" s="458">
        <f t="shared" si="123"/>
        <v>915.81600224243175</v>
      </c>
      <c r="X639" s="458">
        <v>0</v>
      </c>
      <c r="Y639" s="459">
        <v>0</v>
      </c>
      <c r="Z639" s="459">
        <v>0</v>
      </c>
      <c r="AA639" s="459">
        <v>0</v>
      </c>
      <c r="AB639" s="459">
        <v>0</v>
      </c>
      <c r="AC639" s="459">
        <v>0</v>
      </c>
      <c r="AD639" s="459">
        <v>0</v>
      </c>
      <c r="AE639" s="459">
        <v>0</v>
      </c>
      <c r="AF639" s="458">
        <v>0</v>
      </c>
      <c r="AG639" s="459">
        <v>0</v>
      </c>
      <c r="AH639" s="458">
        <v>0</v>
      </c>
      <c r="AI639" s="459">
        <v>0</v>
      </c>
      <c r="AJ639" s="458">
        <v>0</v>
      </c>
      <c r="AK639" s="459">
        <v>0</v>
      </c>
      <c r="AL639" s="459">
        <v>0</v>
      </c>
      <c r="AM639" s="459">
        <v>0</v>
      </c>
      <c r="AN639" s="459"/>
      <c r="AO639" s="459">
        <v>0</v>
      </c>
      <c r="AP639" s="460"/>
      <c r="AQ639" s="460"/>
      <c r="AR639" s="460"/>
      <c r="AS639" s="460"/>
      <c r="AT639" s="460"/>
      <c r="AU639" s="460"/>
      <c r="AV639" s="460"/>
      <c r="AW639" s="460"/>
      <c r="AX639" s="460"/>
      <c r="AY639" s="460"/>
      <c r="AZ639" s="460"/>
      <c r="BA639" s="460"/>
      <c r="BB639" s="460"/>
      <c r="BC639" s="460"/>
      <c r="BD639" s="460"/>
      <c r="BE639" s="460"/>
      <c r="BF639" s="460"/>
      <c r="BG639" s="460"/>
      <c r="BH639" s="460"/>
      <c r="BI639" s="460"/>
      <c r="BJ639" s="460"/>
      <c r="BK639" s="460"/>
      <c r="BL639" s="460"/>
      <c r="BM639" s="460"/>
      <c r="BN639" s="460"/>
      <c r="BO639" s="460"/>
      <c r="BP639" s="460"/>
      <c r="BQ639" s="460"/>
      <c r="BR639" s="460"/>
      <c r="BS639" s="460"/>
      <c r="BT639" s="460"/>
      <c r="BU639" s="460"/>
      <c r="BV639" s="460"/>
      <c r="BW639" s="460"/>
      <c r="BX639" s="460"/>
      <c r="BY639" s="460"/>
      <c r="BZ639" s="460"/>
      <c r="CA639" s="460"/>
      <c r="CB639" s="460"/>
      <c r="CC639" s="460"/>
      <c r="CD639" s="460"/>
      <c r="CE639" s="460"/>
      <c r="CF639" s="460"/>
      <c r="CG639" s="460"/>
      <c r="CH639" s="460"/>
      <c r="CI639" s="460"/>
      <c r="CJ639" s="460"/>
      <c r="CK639" s="460"/>
    </row>
    <row r="640" spans="1:89" s="329" customFormat="1" ht="36" customHeight="1" x14ac:dyDescent="0.25">
      <c r="A640" s="329">
        <v>1</v>
      </c>
      <c r="B640" s="39">
        <f>SUBTOTAL(103,$A$552:A640)</f>
        <v>89</v>
      </c>
      <c r="C640" s="33" t="s">
        <v>1500</v>
      </c>
      <c r="D640" s="330" t="s">
        <v>1998</v>
      </c>
      <c r="E640" s="330"/>
      <c r="F640" s="331" t="s">
        <v>60</v>
      </c>
      <c r="G640" s="330" t="s">
        <v>75</v>
      </c>
      <c r="H640" s="330" t="s">
        <v>59</v>
      </c>
      <c r="I640" s="334">
        <v>4424.1000000000004</v>
      </c>
      <c r="J640" s="334">
        <v>3136.3</v>
      </c>
      <c r="K640" s="334">
        <v>3136.3</v>
      </c>
      <c r="L640" s="332">
        <v>144</v>
      </c>
      <c r="M640" s="330" t="s">
        <v>46</v>
      </c>
      <c r="N640" s="330" t="s">
        <v>50</v>
      </c>
      <c r="O640" s="333" t="s">
        <v>2137</v>
      </c>
      <c r="P640" s="38">
        <v>4504985.5199999996</v>
      </c>
      <c r="Q640" s="38">
        <v>0</v>
      </c>
      <c r="R640" s="38">
        <v>0</v>
      </c>
      <c r="S640" s="38">
        <f t="shared" si="122"/>
        <v>4504985.5199999996</v>
      </c>
      <c r="T640" s="38">
        <f t="shared" si="118"/>
        <v>1018.2829321217873</v>
      </c>
      <c r="U640" s="38">
        <v>1347.0990438733299</v>
      </c>
      <c r="V640" s="458">
        <f t="shared" si="119"/>
        <v>328.81611175154262</v>
      </c>
      <c r="W640" s="458">
        <f t="shared" si="123"/>
        <v>1018.2829321217873</v>
      </c>
      <c r="X640" s="458">
        <v>0</v>
      </c>
      <c r="Y640" s="459">
        <v>0</v>
      </c>
      <c r="Z640" s="459">
        <v>0</v>
      </c>
      <c r="AA640" s="459">
        <v>0</v>
      </c>
      <c r="AB640" s="459">
        <v>0</v>
      </c>
      <c r="AC640" s="459">
        <v>0</v>
      </c>
      <c r="AD640" s="459">
        <v>0</v>
      </c>
      <c r="AE640" s="459">
        <v>0</v>
      </c>
      <c r="AF640" s="458">
        <v>0</v>
      </c>
      <c r="AG640" s="459">
        <v>0</v>
      </c>
      <c r="AH640" s="458">
        <v>0</v>
      </c>
      <c r="AI640" s="459">
        <v>0</v>
      </c>
      <c r="AJ640" s="458">
        <v>0</v>
      </c>
      <c r="AK640" s="459">
        <v>0</v>
      </c>
      <c r="AL640" s="459">
        <v>0</v>
      </c>
      <c r="AM640" s="459">
        <v>0</v>
      </c>
      <c r="AN640" s="459"/>
      <c r="AO640" s="459">
        <v>0</v>
      </c>
      <c r="AP640" s="460"/>
      <c r="AQ640" s="460"/>
      <c r="AR640" s="460"/>
      <c r="AS640" s="460"/>
      <c r="AT640" s="460"/>
      <c r="AU640" s="460"/>
      <c r="AV640" s="460"/>
      <c r="AW640" s="460"/>
      <c r="AX640" s="460"/>
      <c r="AY640" s="460"/>
      <c r="AZ640" s="460"/>
      <c r="BA640" s="460"/>
      <c r="BB640" s="460"/>
      <c r="BC640" s="460"/>
      <c r="BD640" s="460"/>
      <c r="BE640" s="460"/>
      <c r="BF640" s="460"/>
      <c r="BG640" s="460"/>
      <c r="BH640" s="460"/>
      <c r="BI640" s="460"/>
      <c r="BJ640" s="460"/>
      <c r="BK640" s="460"/>
      <c r="BL640" s="460"/>
      <c r="BM640" s="460"/>
      <c r="BN640" s="460"/>
      <c r="BO640" s="460"/>
      <c r="BP640" s="460"/>
      <c r="BQ640" s="460"/>
      <c r="BR640" s="460"/>
      <c r="BS640" s="460"/>
      <c r="BT640" s="460"/>
      <c r="BU640" s="460"/>
      <c r="BV640" s="460"/>
      <c r="BW640" s="460"/>
      <c r="BX640" s="460"/>
      <c r="BY640" s="460"/>
      <c r="BZ640" s="460"/>
      <c r="CA640" s="460"/>
      <c r="CB640" s="460"/>
      <c r="CC640" s="460"/>
      <c r="CD640" s="460"/>
      <c r="CE640" s="460"/>
      <c r="CF640" s="460"/>
      <c r="CG640" s="460"/>
      <c r="CH640" s="460"/>
      <c r="CI640" s="460"/>
      <c r="CJ640" s="460"/>
      <c r="CK640" s="460"/>
    </row>
    <row r="641" spans="1:89" s="329" customFormat="1" ht="36" customHeight="1" x14ac:dyDescent="0.25">
      <c r="B641" s="33" t="s">
        <v>1092</v>
      </c>
      <c r="C641" s="462"/>
      <c r="D641" s="330" t="s">
        <v>131</v>
      </c>
      <c r="E641" s="330" t="s">
        <v>131</v>
      </c>
      <c r="F641" s="330" t="s">
        <v>131</v>
      </c>
      <c r="G641" s="330" t="s">
        <v>131</v>
      </c>
      <c r="H641" s="330" t="s">
        <v>131</v>
      </c>
      <c r="I641" s="334">
        <f>SUM(I642:I671)</f>
        <v>46310.21</v>
      </c>
      <c r="J641" s="334">
        <f>SUM(J642:J671)</f>
        <v>43341.8</v>
      </c>
      <c r="K641" s="334">
        <f>SUM(K642:K671)</f>
        <v>40619.5</v>
      </c>
      <c r="L641" s="332">
        <f>SUM(L642:L671)</f>
        <v>1927</v>
      </c>
      <c r="M641" s="330" t="s">
        <v>131</v>
      </c>
      <c r="N641" s="330" t="s">
        <v>131</v>
      </c>
      <c r="O641" s="333" t="s">
        <v>131</v>
      </c>
      <c r="P641" s="334">
        <v>98119026.38000001</v>
      </c>
      <c r="Q641" s="334">
        <f>SUM(Q642:Q671)</f>
        <v>0</v>
      </c>
      <c r="R641" s="334">
        <f>SUM(R642:R671)</f>
        <v>0</v>
      </c>
      <c r="S641" s="334">
        <f>SUM(S642:S671)</f>
        <v>98119026.38000001</v>
      </c>
      <c r="T641" s="38">
        <f t="shared" si="118"/>
        <v>2118.7342139022908</v>
      </c>
      <c r="U641" s="38">
        <f>MAX(U642:U671)</f>
        <v>10033.85808</v>
      </c>
      <c r="V641" s="458">
        <f t="shared" si="119"/>
        <v>7915.1238660977087</v>
      </c>
      <c r="W641" s="458"/>
      <c r="X641" s="458"/>
      <c r="Y641" s="459"/>
      <c r="Z641" s="459"/>
      <c r="AA641" s="459"/>
      <c r="AB641" s="459"/>
      <c r="AC641" s="459"/>
      <c r="AD641" s="459"/>
      <c r="AE641" s="459"/>
      <c r="AF641" s="459"/>
      <c r="AG641" s="459"/>
      <c r="AH641" s="459"/>
      <c r="AI641" s="459"/>
      <c r="AJ641" s="459"/>
      <c r="AK641" s="459"/>
      <c r="AL641" s="459"/>
      <c r="AM641" s="459"/>
      <c r="AN641" s="459"/>
      <c r="AO641" s="459"/>
      <c r="AP641" s="460"/>
      <c r="AQ641" s="460"/>
      <c r="AR641" s="460"/>
      <c r="AS641" s="460"/>
      <c r="AT641" s="460"/>
      <c r="AU641" s="460"/>
      <c r="AV641" s="460"/>
      <c r="AW641" s="460"/>
      <c r="AX641" s="460"/>
      <c r="AY641" s="460"/>
      <c r="AZ641" s="460"/>
      <c r="BA641" s="460"/>
      <c r="BB641" s="460"/>
      <c r="BC641" s="460"/>
      <c r="BD641" s="460"/>
      <c r="BE641" s="460"/>
      <c r="BF641" s="460"/>
      <c r="BG641" s="460"/>
      <c r="BH641" s="460"/>
      <c r="BI641" s="460"/>
      <c r="BJ641" s="460"/>
      <c r="BK641" s="460"/>
      <c r="BL641" s="460"/>
      <c r="BM641" s="460"/>
      <c r="BN641" s="460"/>
      <c r="BO641" s="460"/>
      <c r="BP641" s="460"/>
      <c r="BQ641" s="460"/>
      <c r="BR641" s="460"/>
      <c r="BS641" s="460"/>
      <c r="BT641" s="460"/>
      <c r="BU641" s="460"/>
      <c r="BV641" s="460"/>
      <c r="BW641" s="460"/>
      <c r="BX641" s="460"/>
      <c r="BY641" s="460"/>
      <c r="BZ641" s="460"/>
      <c r="CA641" s="460"/>
      <c r="CB641" s="460"/>
      <c r="CC641" s="460"/>
      <c r="CD641" s="460"/>
      <c r="CE641" s="460"/>
      <c r="CF641" s="460"/>
      <c r="CG641" s="460"/>
      <c r="CH641" s="460"/>
      <c r="CI641" s="460"/>
      <c r="CJ641" s="460"/>
      <c r="CK641" s="460"/>
    </row>
    <row r="642" spans="1:89" s="329" customFormat="1" ht="36" customHeight="1" x14ac:dyDescent="0.25">
      <c r="A642" s="329">
        <v>1</v>
      </c>
      <c r="B642" s="39">
        <f>SUBTOTAL(103,$A$552:A642)</f>
        <v>90</v>
      </c>
      <c r="C642" s="33" t="s">
        <v>1501</v>
      </c>
      <c r="D642" s="330">
        <v>1960</v>
      </c>
      <c r="E642" s="330"/>
      <c r="F642" s="331" t="s">
        <v>48</v>
      </c>
      <c r="G642" s="330">
        <v>2</v>
      </c>
      <c r="H642" s="330" t="s">
        <v>56</v>
      </c>
      <c r="I642" s="334">
        <v>634.6</v>
      </c>
      <c r="J642" s="334">
        <v>634.6</v>
      </c>
      <c r="K642" s="334">
        <v>634.6</v>
      </c>
      <c r="L642" s="332">
        <v>26</v>
      </c>
      <c r="M642" s="330" t="s">
        <v>46</v>
      </c>
      <c r="N642" s="330" t="s">
        <v>47</v>
      </c>
      <c r="O642" s="333" t="s">
        <v>49</v>
      </c>
      <c r="P642" s="38">
        <v>3616357.54</v>
      </c>
      <c r="Q642" s="38">
        <v>0</v>
      </c>
      <c r="R642" s="38">
        <v>0</v>
      </c>
      <c r="S642" s="38">
        <f t="shared" ref="S642:S671" si="124">P642-Q642-R642</f>
        <v>3616357.54</v>
      </c>
      <c r="T642" s="38">
        <f t="shared" si="118"/>
        <v>5698.6409391742827</v>
      </c>
      <c r="U642" s="38">
        <v>6125.0425007878966</v>
      </c>
      <c r="V642" s="458">
        <f t="shared" si="119"/>
        <v>426.40156161361392</v>
      </c>
      <c r="W642" s="458">
        <f t="shared" ref="W642:W670" si="125">X642+Y642+Z642+AA642+AB642+AD642+AF642+AH642+AJ642+AL642+AN642+AO642</f>
        <v>6104.221901985502</v>
      </c>
      <c r="X642" s="458">
        <v>0</v>
      </c>
      <c r="Y642" s="459">
        <v>0</v>
      </c>
      <c r="Z642" s="459">
        <v>0</v>
      </c>
      <c r="AA642" s="459">
        <v>0</v>
      </c>
      <c r="AB642" s="459">
        <v>0</v>
      </c>
      <c r="AC642" s="459">
        <v>0</v>
      </c>
      <c r="AD642" s="459">
        <v>0</v>
      </c>
      <c r="AE642" s="459">
        <v>620.9</v>
      </c>
      <c r="AF642" s="458">
        <f>6238.91*AE642/I642</f>
        <v>6104.221901985502</v>
      </c>
      <c r="AG642" s="459">
        <v>0</v>
      </c>
      <c r="AH642" s="458">
        <v>0</v>
      </c>
      <c r="AI642" s="459">
        <v>0</v>
      </c>
      <c r="AJ642" s="458">
        <v>0</v>
      </c>
      <c r="AK642" s="459">
        <v>0</v>
      </c>
      <c r="AL642" s="459">
        <v>0</v>
      </c>
      <c r="AM642" s="459">
        <v>0</v>
      </c>
      <c r="AN642" s="459"/>
      <c r="AO642" s="459">
        <v>0</v>
      </c>
      <c r="AP642" s="460"/>
      <c r="AQ642" s="460"/>
      <c r="AR642" s="460"/>
      <c r="AS642" s="460"/>
      <c r="AT642" s="460"/>
      <c r="AU642" s="460"/>
      <c r="AV642" s="460"/>
      <c r="AW642" s="460"/>
      <c r="AX642" s="460"/>
      <c r="AY642" s="460"/>
      <c r="AZ642" s="460"/>
      <c r="BA642" s="460"/>
      <c r="BB642" s="460"/>
      <c r="BC642" s="460"/>
      <c r="BD642" s="460"/>
      <c r="BE642" s="460"/>
      <c r="BF642" s="460"/>
      <c r="BG642" s="460"/>
      <c r="BH642" s="460"/>
      <c r="BI642" s="460"/>
      <c r="BJ642" s="460"/>
      <c r="BK642" s="460"/>
      <c r="BL642" s="460"/>
      <c r="BM642" s="460"/>
      <c r="BN642" s="460"/>
      <c r="BO642" s="460"/>
      <c r="BP642" s="460"/>
      <c r="BQ642" s="460"/>
      <c r="BR642" s="460"/>
      <c r="BS642" s="460"/>
      <c r="BT642" s="460"/>
      <c r="BU642" s="460"/>
      <c r="BV642" s="460"/>
      <c r="BW642" s="460"/>
      <c r="BX642" s="460"/>
      <c r="BY642" s="460"/>
      <c r="BZ642" s="460"/>
      <c r="CA642" s="460"/>
      <c r="CB642" s="460"/>
      <c r="CC642" s="460"/>
      <c r="CD642" s="460"/>
      <c r="CE642" s="460"/>
      <c r="CF642" s="460"/>
      <c r="CG642" s="460"/>
      <c r="CH642" s="460"/>
      <c r="CI642" s="460"/>
      <c r="CJ642" s="460"/>
      <c r="CK642" s="460"/>
    </row>
    <row r="643" spans="1:89" s="329" customFormat="1" ht="61.5" x14ac:dyDescent="0.25">
      <c r="A643" s="329">
        <v>1</v>
      </c>
      <c r="B643" s="39">
        <f>SUBTOTAL(103,$A$552:A643)</f>
        <v>91</v>
      </c>
      <c r="C643" s="33" t="s">
        <v>1502</v>
      </c>
      <c r="D643" s="330">
        <v>1952</v>
      </c>
      <c r="E643" s="330">
        <v>2008</v>
      </c>
      <c r="F643" s="331" t="s">
        <v>48</v>
      </c>
      <c r="G643" s="330">
        <v>2</v>
      </c>
      <c r="H643" s="330" t="s">
        <v>57</v>
      </c>
      <c r="I643" s="334">
        <v>427.8</v>
      </c>
      <c r="J643" s="334">
        <v>392.1</v>
      </c>
      <c r="K643" s="334">
        <v>392.1</v>
      </c>
      <c r="L643" s="332">
        <v>21</v>
      </c>
      <c r="M643" s="330" t="s">
        <v>46</v>
      </c>
      <c r="N643" s="330" t="s">
        <v>50</v>
      </c>
      <c r="O643" s="333" t="s">
        <v>1985</v>
      </c>
      <c r="P643" s="38">
        <v>1638422.64</v>
      </c>
      <c r="Q643" s="38">
        <v>0</v>
      </c>
      <c r="R643" s="38">
        <v>0</v>
      </c>
      <c r="S643" s="38">
        <f t="shared" si="124"/>
        <v>1638422.64</v>
      </c>
      <c r="T643" s="38">
        <f t="shared" si="118"/>
        <v>3829.8799438990177</v>
      </c>
      <c r="U643" s="38">
        <v>7634.5546143057509</v>
      </c>
      <c r="V643" s="458">
        <f t="shared" si="119"/>
        <v>3804.6746704067332</v>
      </c>
      <c r="W643" s="458">
        <f t="shared" si="125"/>
        <v>7634.5546143057509</v>
      </c>
      <c r="X643" s="458">
        <v>0</v>
      </c>
      <c r="Y643" s="459">
        <v>0</v>
      </c>
      <c r="Z643" s="459">
        <v>0</v>
      </c>
      <c r="AA643" s="459">
        <v>0</v>
      </c>
      <c r="AB643" s="459">
        <v>0</v>
      </c>
      <c r="AC643" s="459">
        <v>0</v>
      </c>
      <c r="AD643" s="459">
        <v>0</v>
      </c>
      <c r="AE643" s="459">
        <v>0</v>
      </c>
      <c r="AF643" s="458">
        <v>0</v>
      </c>
      <c r="AG643" s="459">
        <v>0</v>
      </c>
      <c r="AH643" s="458">
        <v>0</v>
      </c>
      <c r="AI643" s="459">
        <v>439.04</v>
      </c>
      <c r="AJ643" s="458">
        <f>7439.1*AI643/I643</f>
        <v>7634.5546143057509</v>
      </c>
      <c r="AK643" s="459">
        <v>0</v>
      </c>
      <c r="AL643" s="459">
        <v>0</v>
      </c>
      <c r="AM643" s="459">
        <v>0</v>
      </c>
      <c r="AN643" s="459"/>
      <c r="AO643" s="459">
        <v>0</v>
      </c>
      <c r="AP643" s="460"/>
      <c r="AQ643" s="460"/>
      <c r="AR643" s="460"/>
      <c r="AS643" s="460"/>
      <c r="AT643" s="460"/>
      <c r="AU643" s="460"/>
      <c r="AV643" s="460"/>
      <c r="AW643" s="460"/>
      <c r="AX643" s="460"/>
      <c r="AY643" s="460"/>
      <c r="AZ643" s="460"/>
      <c r="BA643" s="460"/>
      <c r="BB643" s="460"/>
      <c r="BC643" s="460"/>
      <c r="BD643" s="460"/>
      <c r="BE643" s="460"/>
      <c r="BF643" s="460"/>
      <c r="BG643" s="460"/>
      <c r="BH643" s="460"/>
      <c r="BI643" s="460"/>
      <c r="BJ643" s="460"/>
      <c r="BK643" s="460"/>
      <c r="BL643" s="460"/>
      <c r="BM643" s="460"/>
      <c r="BN643" s="460"/>
      <c r="BO643" s="460"/>
      <c r="BP643" s="460"/>
      <c r="BQ643" s="460"/>
      <c r="BR643" s="460"/>
      <c r="BS643" s="460"/>
      <c r="BT643" s="460"/>
      <c r="BU643" s="460"/>
      <c r="BV643" s="460"/>
      <c r="BW643" s="460"/>
      <c r="BX643" s="460"/>
      <c r="BY643" s="460"/>
      <c r="BZ643" s="460"/>
      <c r="CA643" s="460"/>
      <c r="CB643" s="460"/>
      <c r="CC643" s="460"/>
      <c r="CD643" s="460"/>
      <c r="CE643" s="460"/>
      <c r="CF643" s="460"/>
      <c r="CG643" s="460"/>
      <c r="CH643" s="460"/>
      <c r="CI643" s="460"/>
      <c r="CJ643" s="460"/>
      <c r="CK643" s="460"/>
    </row>
    <row r="644" spans="1:89" s="329" customFormat="1" ht="36" customHeight="1" x14ac:dyDescent="0.25">
      <c r="A644" s="329">
        <v>1</v>
      </c>
      <c r="B644" s="39">
        <f>SUBTOTAL(103,$A$552:A644)</f>
        <v>92</v>
      </c>
      <c r="C644" s="33" t="s">
        <v>1503</v>
      </c>
      <c r="D644" s="330">
        <v>1963</v>
      </c>
      <c r="E644" s="330"/>
      <c r="F644" s="331" t="s">
        <v>48</v>
      </c>
      <c r="G644" s="330">
        <v>4</v>
      </c>
      <c r="H644" s="330" t="s">
        <v>61</v>
      </c>
      <c r="I644" s="334">
        <v>2171.1999999999998</v>
      </c>
      <c r="J644" s="334">
        <v>2025.5</v>
      </c>
      <c r="K644" s="334">
        <v>2025.5</v>
      </c>
      <c r="L644" s="332">
        <v>84</v>
      </c>
      <c r="M644" s="330" t="s">
        <v>46</v>
      </c>
      <c r="N644" s="330" t="s">
        <v>47</v>
      </c>
      <c r="O644" s="333" t="s">
        <v>49</v>
      </c>
      <c r="P644" s="38">
        <v>4857938</v>
      </c>
      <c r="Q644" s="38">
        <v>0</v>
      </c>
      <c r="R644" s="38">
        <v>0</v>
      </c>
      <c r="S644" s="38">
        <f t="shared" si="124"/>
        <v>4857938</v>
      </c>
      <c r="T644" s="38">
        <f t="shared" si="118"/>
        <v>2237.4438098747237</v>
      </c>
      <c r="U644" s="38">
        <v>2554.5911661753871</v>
      </c>
      <c r="V644" s="458">
        <f t="shared" si="119"/>
        <v>317.14735630066343</v>
      </c>
      <c r="W644" s="458">
        <f t="shared" si="125"/>
        <v>2545.9074521002212</v>
      </c>
      <c r="X644" s="458">
        <v>0</v>
      </c>
      <c r="Y644" s="459">
        <v>0</v>
      </c>
      <c r="Z644" s="459">
        <v>0</v>
      </c>
      <c r="AA644" s="459">
        <v>0</v>
      </c>
      <c r="AB644" s="459">
        <v>0</v>
      </c>
      <c r="AC644" s="459">
        <v>0</v>
      </c>
      <c r="AD644" s="459">
        <v>0</v>
      </c>
      <c r="AE644" s="459">
        <v>886</v>
      </c>
      <c r="AF644" s="458">
        <f>6238.91*AE644/I644</f>
        <v>2545.9074521002212</v>
      </c>
      <c r="AG644" s="459">
        <v>0</v>
      </c>
      <c r="AH644" s="458">
        <v>0</v>
      </c>
      <c r="AI644" s="459">
        <v>0</v>
      </c>
      <c r="AJ644" s="458">
        <v>0</v>
      </c>
      <c r="AK644" s="459">
        <v>0</v>
      </c>
      <c r="AL644" s="459">
        <v>0</v>
      </c>
      <c r="AM644" s="459">
        <v>0</v>
      </c>
      <c r="AN644" s="459"/>
      <c r="AO644" s="459">
        <v>0</v>
      </c>
      <c r="AP644" s="460"/>
      <c r="AQ644" s="460"/>
      <c r="AR644" s="460"/>
      <c r="AS644" s="460"/>
      <c r="AT644" s="460"/>
      <c r="AU644" s="460"/>
      <c r="AV644" s="460"/>
      <c r="AW644" s="460"/>
      <c r="AX644" s="460"/>
      <c r="AY644" s="460"/>
      <c r="AZ644" s="460"/>
      <c r="BA644" s="460"/>
      <c r="BB644" s="460"/>
      <c r="BC644" s="460"/>
      <c r="BD644" s="460"/>
      <c r="BE644" s="460"/>
      <c r="BF644" s="460"/>
      <c r="BG644" s="460"/>
      <c r="BH644" s="460"/>
      <c r="BI644" s="460"/>
      <c r="BJ644" s="460"/>
      <c r="BK644" s="460"/>
      <c r="BL644" s="460"/>
      <c r="BM644" s="460"/>
      <c r="BN644" s="460"/>
      <c r="BO644" s="460"/>
      <c r="BP644" s="460"/>
      <c r="BQ644" s="460"/>
      <c r="BR644" s="460"/>
      <c r="BS644" s="460"/>
      <c r="BT644" s="460"/>
      <c r="BU644" s="460"/>
      <c r="BV644" s="460"/>
      <c r="BW644" s="460"/>
      <c r="BX644" s="460"/>
      <c r="BY644" s="460"/>
      <c r="BZ644" s="460"/>
      <c r="CA644" s="460"/>
      <c r="CB644" s="460"/>
      <c r="CC644" s="460"/>
      <c r="CD644" s="460"/>
      <c r="CE644" s="460"/>
      <c r="CF644" s="460"/>
      <c r="CG644" s="460"/>
      <c r="CH644" s="460"/>
      <c r="CI644" s="460"/>
      <c r="CJ644" s="460"/>
      <c r="CK644" s="460"/>
    </row>
    <row r="645" spans="1:89" s="329" customFormat="1" ht="36" customHeight="1" x14ac:dyDescent="0.25">
      <c r="A645" s="329">
        <v>1</v>
      </c>
      <c r="B645" s="39">
        <f>SUBTOTAL(103,$A$552:A645)</f>
        <v>93</v>
      </c>
      <c r="C645" s="33" t="s">
        <v>1504</v>
      </c>
      <c r="D645" s="330">
        <v>1959</v>
      </c>
      <c r="E645" s="330"/>
      <c r="F645" s="331" t="s">
        <v>48</v>
      </c>
      <c r="G645" s="330">
        <v>2</v>
      </c>
      <c r="H645" s="330" t="s">
        <v>56</v>
      </c>
      <c r="I645" s="334">
        <v>679.1</v>
      </c>
      <c r="J645" s="334">
        <v>632.4</v>
      </c>
      <c r="K645" s="334">
        <v>632.4</v>
      </c>
      <c r="L645" s="332">
        <v>43</v>
      </c>
      <c r="M645" s="330" t="s">
        <v>46</v>
      </c>
      <c r="N645" s="330" t="s">
        <v>47</v>
      </c>
      <c r="O645" s="333" t="s">
        <v>49</v>
      </c>
      <c r="P645" s="38">
        <v>3345121.12</v>
      </c>
      <c r="Q645" s="38">
        <v>0</v>
      </c>
      <c r="R645" s="38">
        <v>0</v>
      </c>
      <c r="S645" s="38">
        <f t="shared" si="124"/>
        <v>3345121.12</v>
      </c>
      <c r="T645" s="38">
        <f t="shared" si="118"/>
        <v>4925.8152260344577</v>
      </c>
      <c r="U645" s="38">
        <v>5567.8909733470764</v>
      </c>
      <c r="V645" s="458">
        <f t="shared" si="119"/>
        <v>642.07574731261866</v>
      </c>
      <c r="W645" s="458">
        <f t="shared" si="125"/>
        <v>5548.9642762479752</v>
      </c>
      <c r="X645" s="458">
        <v>0</v>
      </c>
      <c r="Y645" s="459">
        <v>0</v>
      </c>
      <c r="Z645" s="459">
        <v>0</v>
      </c>
      <c r="AA645" s="459">
        <v>0</v>
      </c>
      <c r="AB645" s="459">
        <v>0</v>
      </c>
      <c r="AC645" s="459">
        <v>0</v>
      </c>
      <c r="AD645" s="459">
        <v>0</v>
      </c>
      <c r="AE645" s="459">
        <v>604</v>
      </c>
      <c r="AF645" s="458">
        <f>6238.91*AE645/I645</f>
        <v>5548.9642762479752</v>
      </c>
      <c r="AG645" s="459">
        <v>0</v>
      </c>
      <c r="AH645" s="458">
        <v>0</v>
      </c>
      <c r="AI645" s="459">
        <v>0</v>
      </c>
      <c r="AJ645" s="458">
        <v>0</v>
      </c>
      <c r="AK645" s="459">
        <v>0</v>
      </c>
      <c r="AL645" s="459">
        <v>0</v>
      </c>
      <c r="AM645" s="459">
        <v>0</v>
      </c>
      <c r="AN645" s="459"/>
      <c r="AO645" s="459">
        <v>0</v>
      </c>
      <c r="AP645" s="460"/>
      <c r="AQ645" s="460"/>
      <c r="AR645" s="460"/>
      <c r="AS645" s="460"/>
      <c r="AT645" s="460"/>
      <c r="AU645" s="460"/>
      <c r="AV645" s="460"/>
      <c r="AW645" s="460"/>
      <c r="AX645" s="460"/>
      <c r="AY645" s="460"/>
      <c r="AZ645" s="460"/>
      <c r="BA645" s="460"/>
      <c r="BB645" s="460"/>
      <c r="BC645" s="460"/>
      <c r="BD645" s="460"/>
      <c r="BE645" s="460"/>
      <c r="BF645" s="460"/>
      <c r="BG645" s="460"/>
      <c r="BH645" s="460"/>
      <c r="BI645" s="460"/>
      <c r="BJ645" s="460"/>
      <c r="BK645" s="460"/>
      <c r="BL645" s="460"/>
      <c r="BM645" s="460"/>
      <c r="BN645" s="460"/>
      <c r="BO645" s="460"/>
      <c r="BP645" s="460"/>
      <c r="BQ645" s="460"/>
      <c r="BR645" s="460"/>
      <c r="BS645" s="460"/>
      <c r="BT645" s="460"/>
      <c r="BU645" s="460"/>
      <c r="BV645" s="460"/>
      <c r="BW645" s="460"/>
      <c r="BX645" s="460"/>
      <c r="BY645" s="460"/>
      <c r="BZ645" s="460"/>
      <c r="CA645" s="460"/>
      <c r="CB645" s="460"/>
      <c r="CC645" s="460"/>
      <c r="CD645" s="460"/>
      <c r="CE645" s="460"/>
      <c r="CF645" s="460"/>
      <c r="CG645" s="460"/>
      <c r="CH645" s="460"/>
      <c r="CI645" s="460"/>
      <c r="CJ645" s="460"/>
      <c r="CK645" s="460"/>
    </row>
    <row r="646" spans="1:89" s="329" customFormat="1" ht="36" customHeight="1" x14ac:dyDescent="0.25">
      <c r="A646" s="329">
        <v>1</v>
      </c>
      <c r="B646" s="39">
        <f>SUBTOTAL(103,$A$552:A646)</f>
        <v>94</v>
      </c>
      <c r="C646" s="33" t="s">
        <v>1505</v>
      </c>
      <c r="D646" s="330">
        <v>1959</v>
      </c>
      <c r="E646" s="330"/>
      <c r="F646" s="331" t="s">
        <v>48</v>
      </c>
      <c r="G646" s="330">
        <v>2</v>
      </c>
      <c r="H646" s="330" t="s">
        <v>56</v>
      </c>
      <c r="I646" s="334">
        <v>692.3</v>
      </c>
      <c r="J646" s="334">
        <v>645.9</v>
      </c>
      <c r="K646" s="334">
        <v>615.29999999999995</v>
      </c>
      <c r="L646" s="332">
        <v>28</v>
      </c>
      <c r="M646" s="330" t="s">
        <v>46</v>
      </c>
      <c r="N646" s="330" t="s">
        <v>47</v>
      </c>
      <c r="O646" s="333" t="s">
        <v>49</v>
      </c>
      <c r="P646" s="38">
        <v>3345121.12</v>
      </c>
      <c r="Q646" s="38">
        <v>0</v>
      </c>
      <c r="R646" s="38">
        <v>0</v>
      </c>
      <c r="S646" s="38">
        <f t="shared" si="124"/>
        <v>3345121.12</v>
      </c>
      <c r="T646" s="38">
        <f t="shared" si="118"/>
        <v>4831.8953055033953</v>
      </c>
      <c r="U646" s="38">
        <v>5461.7286725408057</v>
      </c>
      <c r="V646" s="458">
        <f t="shared" si="119"/>
        <v>629.83336703741043</v>
      </c>
      <c r="W646" s="458">
        <f t="shared" si="125"/>
        <v>5443.162848476095</v>
      </c>
      <c r="X646" s="458">
        <v>0</v>
      </c>
      <c r="Y646" s="459">
        <v>0</v>
      </c>
      <c r="Z646" s="459">
        <v>0</v>
      </c>
      <c r="AA646" s="459">
        <v>0</v>
      </c>
      <c r="AB646" s="459">
        <v>0</v>
      </c>
      <c r="AC646" s="459">
        <v>0</v>
      </c>
      <c r="AD646" s="459">
        <v>0</v>
      </c>
      <c r="AE646" s="459">
        <v>604</v>
      </c>
      <c r="AF646" s="458">
        <f>6238.91*AE646/I646</f>
        <v>5443.162848476095</v>
      </c>
      <c r="AG646" s="459">
        <v>0</v>
      </c>
      <c r="AH646" s="458">
        <v>0</v>
      </c>
      <c r="AI646" s="459">
        <v>0</v>
      </c>
      <c r="AJ646" s="458">
        <v>0</v>
      </c>
      <c r="AK646" s="459">
        <v>0</v>
      </c>
      <c r="AL646" s="459">
        <v>0</v>
      </c>
      <c r="AM646" s="459">
        <v>0</v>
      </c>
      <c r="AN646" s="459"/>
      <c r="AO646" s="459">
        <v>0</v>
      </c>
      <c r="AP646" s="460"/>
      <c r="AQ646" s="460"/>
      <c r="AR646" s="460"/>
      <c r="AS646" s="460"/>
      <c r="AT646" s="460"/>
      <c r="AU646" s="460"/>
      <c r="AV646" s="460"/>
      <c r="AW646" s="460"/>
      <c r="AX646" s="460"/>
      <c r="AY646" s="460"/>
      <c r="AZ646" s="460"/>
      <c r="BA646" s="460"/>
      <c r="BB646" s="460"/>
      <c r="BC646" s="460"/>
      <c r="BD646" s="460"/>
      <c r="BE646" s="460"/>
      <c r="BF646" s="460"/>
      <c r="BG646" s="460"/>
      <c r="BH646" s="460"/>
      <c r="BI646" s="460"/>
      <c r="BJ646" s="460"/>
      <c r="BK646" s="460"/>
      <c r="BL646" s="460"/>
      <c r="BM646" s="460"/>
      <c r="BN646" s="460"/>
      <c r="BO646" s="460"/>
      <c r="BP646" s="460"/>
      <c r="BQ646" s="460"/>
      <c r="BR646" s="460"/>
      <c r="BS646" s="460"/>
      <c r="BT646" s="460"/>
      <c r="BU646" s="460"/>
      <c r="BV646" s="460"/>
      <c r="BW646" s="460"/>
      <c r="BX646" s="460"/>
      <c r="BY646" s="460"/>
      <c r="BZ646" s="460"/>
      <c r="CA646" s="460"/>
      <c r="CB646" s="460"/>
      <c r="CC646" s="460"/>
      <c r="CD646" s="460"/>
      <c r="CE646" s="460"/>
      <c r="CF646" s="460"/>
      <c r="CG646" s="460"/>
      <c r="CH646" s="460"/>
      <c r="CI646" s="460"/>
      <c r="CJ646" s="460"/>
      <c r="CK646" s="460"/>
    </row>
    <row r="647" spans="1:89" s="329" customFormat="1" ht="36" customHeight="1" x14ac:dyDescent="0.25">
      <c r="A647" s="329">
        <v>1</v>
      </c>
      <c r="B647" s="39">
        <f>SUBTOTAL(103,$A$552:A647)</f>
        <v>95</v>
      </c>
      <c r="C647" s="33" t="s">
        <v>1506</v>
      </c>
      <c r="D647" s="330">
        <v>1972</v>
      </c>
      <c r="E647" s="330"/>
      <c r="F647" s="331" t="s">
        <v>48</v>
      </c>
      <c r="G647" s="330">
        <v>2</v>
      </c>
      <c r="H647" s="330" t="s">
        <v>56</v>
      </c>
      <c r="I647" s="334">
        <v>800.8</v>
      </c>
      <c r="J647" s="334">
        <v>734.3</v>
      </c>
      <c r="K647" s="334">
        <v>734.3</v>
      </c>
      <c r="L647" s="332">
        <v>35</v>
      </c>
      <c r="M647" s="330" t="s">
        <v>46</v>
      </c>
      <c r="N647" s="330" t="s">
        <v>47</v>
      </c>
      <c r="O647" s="333" t="s">
        <v>49</v>
      </c>
      <c r="P647" s="38">
        <v>3589208.68</v>
      </c>
      <c r="Q647" s="38">
        <v>0</v>
      </c>
      <c r="R647" s="38">
        <v>0</v>
      </c>
      <c r="S647" s="38">
        <f t="shared" si="124"/>
        <v>3589208.68</v>
      </c>
      <c r="T647" s="38">
        <f t="shared" si="118"/>
        <v>4482.028821178822</v>
      </c>
      <c r="U647" s="38">
        <v>5653.870898601398</v>
      </c>
      <c r="V647" s="458">
        <f t="shared" si="119"/>
        <v>1171.842077422576</v>
      </c>
      <c r="W647" s="458">
        <f t="shared" si="125"/>
        <v>5634.6519335664343</v>
      </c>
      <c r="X647" s="458">
        <v>0</v>
      </c>
      <c r="Y647" s="459">
        <v>0</v>
      </c>
      <c r="Z647" s="459">
        <v>0</v>
      </c>
      <c r="AA647" s="459">
        <v>0</v>
      </c>
      <c r="AB647" s="459">
        <v>0</v>
      </c>
      <c r="AC647" s="459">
        <v>0</v>
      </c>
      <c r="AD647" s="459">
        <v>0</v>
      </c>
      <c r="AE647" s="459">
        <v>723.24</v>
      </c>
      <c r="AF647" s="458">
        <f>6238.91*AE647/I647</f>
        <v>5634.6519335664343</v>
      </c>
      <c r="AG647" s="459">
        <v>0</v>
      </c>
      <c r="AH647" s="458">
        <v>0</v>
      </c>
      <c r="AI647" s="459">
        <v>0</v>
      </c>
      <c r="AJ647" s="458">
        <v>0</v>
      </c>
      <c r="AK647" s="459">
        <v>0</v>
      </c>
      <c r="AL647" s="459">
        <v>0</v>
      </c>
      <c r="AM647" s="459">
        <v>0</v>
      </c>
      <c r="AN647" s="459"/>
      <c r="AO647" s="459">
        <v>0</v>
      </c>
      <c r="AP647" s="460"/>
      <c r="AQ647" s="460"/>
      <c r="AR647" s="460"/>
      <c r="AS647" s="460"/>
      <c r="AT647" s="460"/>
      <c r="AU647" s="460"/>
      <c r="AV647" s="460"/>
      <c r="AW647" s="460"/>
      <c r="AX647" s="460"/>
      <c r="AY647" s="460"/>
      <c r="AZ647" s="460"/>
      <c r="BA647" s="460"/>
      <c r="BB647" s="460"/>
      <c r="BC647" s="460"/>
      <c r="BD647" s="460"/>
      <c r="BE647" s="460"/>
      <c r="BF647" s="460"/>
      <c r="BG647" s="460"/>
      <c r="BH647" s="460"/>
      <c r="BI647" s="460"/>
      <c r="BJ647" s="460"/>
      <c r="BK647" s="460"/>
      <c r="BL647" s="460"/>
      <c r="BM647" s="460"/>
      <c r="BN647" s="460"/>
      <c r="BO647" s="460"/>
      <c r="BP647" s="460"/>
      <c r="BQ647" s="460"/>
      <c r="BR647" s="460"/>
      <c r="BS647" s="460"/>
      <c r="BT647" s="460"/>
      <c r="BU647" s="460"/>
      <c r="BV647" s="460"/>
      <c r="BW647" s="460"/>
      <c r="BX647" s="460"/>
      <c r="BY647" s="460"/>
      <c r="BZ647" s="460"/>
      <c r="CA647" s="460"/>
      <c r="CB647" s="460"/>
      <c r="CC647" s="460"/>
      <c r="CD647" s="460"/>
      <c r="CE647" s="460"/>
      <c r="CF647" s="460"/>
      <c r="CG647" s="460"/>
      <c r="CH647" s="460"/>
      <c r="CI647" s="460"/>
      <c r="CJ647" s="460"/>
      <c r="CK647" s="460"/>
    </row>
    <row r="648" spans="1:89" s="329" customFormat="1" ht="36" customHeight="1" x14ac:dyDescent="0.25">
      <c r="A648" s="329">
        <v>1</v>
      </c>
      <c r="B648" s="39">
        <f>SUBTOTAL(103,$A$552:A648)</f>
        <v>96</v>
      </c>
      <c r="C648" s="33" t="s">
        <v>1507</v>
      </c>
      <c r="D648" s="330">
        <v>1954</v>
      </c>
      <c r="E648" s="330"/>
      <c r="F648" s="331" t="s">
        <v>1990</v>
      </c>
      <c r="G648" s="330">
        <v>2</v>
      </c>
      <c r="H648" s="330" t="s">
        <v>56</v>
      </c>
      <c r="I648" s="334">
        <v>391.3</v>
      </c>
      <c r="J648" s="334">
        <v>360.5</v>
      </c>
      <c r="K648" s="334">
        <v>360.5</v>
      </c>
      <c r="L648" s="332">
        <v>15</v>
      </c>
      <c r="M648" s="330" t="s">
        <v>46</v>
      </c>
      <c r="N648" s="330" t="s">
        <v>47</v>
      </c>
      <c r="O648" s="333" t="s">
        <v>49</v>
      </c>
      <c r="P648" s="38">
        <v>998954.77999999991</v>
      </c>
      <c r="Q648" s="38">
        <v>0</v>
      </c>
      <c r="R648" s="38">
        <v>0</v>
      </c>
      <c r="S648" s="38">
        <f t="shared" si="124"/>
        <v>998954.77999999991</v>
      </c>
      <c r="T648" s="38">
        <f t="shared" si="118"/>
        <v>2552.912803475594</v>
      </c>
      <c r="U648" s="38">
        <v>7785.104651162791</v>
      </c>
      <c r="V648" s="458">
        <f t="shared" si="119"/>
        <v>5232.191847687197</v>
      </c>
      <c r="W648" s="458">
        <f t="shared" si="125"/>
        <v>8165.5220930232554</v>
      </c>
      <c r="X648" s="458">
        <v>0</v>
      </c>
      <c r="Y648" s="459">
        <v>0</v>
      </c>
      <c r="Z648" s="459">
        <v>0</v>
      </c>
      <c r="AA648" s="459">
        <v>0</v>
      </c>
      <c r="AB648" s="459">
        <v>0</v>
      </c>
      <c r="AC648" s="459">
        <v>0</v>
      </c>
      <c r="AD648" s="459">
        <v>0</v>
      </c>
      <c r="AE648" s="459">
        <v>0</v>
      </c>
      <c r="AF648" s="458">
        <v>0</v>
      </c>
      <c r="AG648" s="459">
        <v>0</v>
      </c>
      <c r="AH648" s="458">
        <v>0</v>
      </c>
      <c r="AI648" s="459">
        <v>409.5</v>
      </c>
      <c r="AJ648" s="458">
        <f>7802.61*AI648/I648</f>
        <v>8165.5220930232554</v>
      </c>
      <c r="AK648" s="459">
        <v>0</v>
      </c>
      <c r="AL648" s="459">
        <v>0</v>
      </c>
      <c r="AM648" s="459">
        <v>0</v>
      </c>
      <c r="AN648" s="459"/>
      <c r="AO648" s="459">
        <v>0</v>
      </c>
      <c r="AP648" s="460"/>
      <c r="AQ648" s="460"/>
      <c r="AR648" s="460"/>
      <c r="AS648" s="460"/>
      <c r="AT648" s="460"/>
      <c r="AU648" s="460"/>
      <c r="AV648" s="460"/>
      <c r="AW648" s="460"/>
      <c r="AX648" s="460"/>
      <c r="AY648" s="460"/>
      <c r="AZ648" s="460"/>
      <c r="BA648" s="460"/>
      <c r="BB648" s="460"/>
      <c r="BC648" s="460"/>
      <c r="BD648" s="460"/>
      <c r="BE648" s="460"/>
      <c r="BF648" s="460"/>
      <c r="BG648" s="460"/>
      <c r="BH648" s="460"/>
      <c r="BI648" s="460"/>
      <c r="BJ648" s="460"/>
      <c r="BK648" s="460"/>
      <c r="BL648" s="460"/>
      <c r="BM648" s="460"/>
      <c r="BN648" s="460"/>
      <c r="BO648" s="460"/>
      <c r="BP648" s="460"/>
      <c r="BQ648" s="460"/>
      <c r="BR648" s="460"/>
      <c r="BS648" s="460"/>
      <c r="BT648" s="460"/>
      <c r="BU648" s="460"/>
      <c r="BV648" s="460"/>
      <c r="BW648" s="460"/>
      <c r="BX648" s="460"/>
      <c r="BY648" s="460"/>
      <c r="BZ648" s="460"/>
      <c r="CA648" s="460"/>
      <c r="CB648" s="460"/>
      <c r="CC648" s="460"/>
      <c r="CD648" s="460"/>
      <c r="CE648" s="460"/>
      <c r="CF648" s="460"/>
      <c r="CG648" s="460"/>
      <c r="CH648" s="460"/>
      <c r="CI648" s="460"/>
      <c r="CJ648" s="460"/>
      <c r="CK648" s="460"/>
    </row>
    <row r="649" spans="1:89" s="329" customFormat="1" ht="36" customHeight="1" x14ac:dyDescent="0.25">
      <c r="A649" s="329">
        <v>1</v>
      </c>
      <c r="B649" s="39">
        <f>SUBTOTAL(103,$A$552:A649)</f>
        <v>97</v>
      </c>
      <c r="C649" s="33" t="s">
        <v>1508</v>
      </c>
      <c r="D649" s="330">
        <v>1957</v>
      </c>
      <c r="E649" s="330">
        <v>2010</v>
      </c>
      <c r="F649" s="331" t="s">
        <v>48</v>
      </c>
      <c r="G649" s="330">
        <v>2</v>
      </c>
      <c r="H649" s="330" t="s">
        <v>56</v>
      </c>
      <c r="I649" s="334">
        <v>728.8</v>
      </c>
      <c r="J649" s="334">
        <v>720.3</v>
      </c>
      <c r="K649" s="334">
        <v>720.3</v>
      </c>
      <c r="L649" s="332">
        <v>14</v>
      </c>
      <c r="M649" s="330" t="s">
        <v>46</v>
      </c>
      <c r="N649" s="330" t="s">
        <v>71</v>
      </c>
      <c r="O649" s="333" t="s">
        <v>2138</v>
      </c>
      <c r="P649" s="38">
        <v>3504528.03</v>
      </c>
      <c r="Q649" s="38">
        <v>0</v>
      </c>
      <c r="R649" s="38">
        <v>0</v>
      </c>
      <c r="S649" s="38">
        <f t="shared" si="124"/>
        <v>3504528.03</v>
      </c>
      <c r="T649" s="38">
        <f t="shared" si="118"/>
        <v>4808.6279226125134</v>
      </c>
      <c r="U649" s="38">
        <v>4808.6279226125134</v>
      </c>
      <c r="V649" s="458">
        <f t="shared" si="119"/>
        <v>0</v>
      </c>
      <c r="W649" s="458">
        <f t="shared" si="125"/>
        <v>4523.83</v>
      </c>
      <c r="X649" s="458">
        <v>101.55</v>
      </c>
      <c r="Y649" s="459">
        <v>0</v>
      </c>
      <c r="Z649" s="459">
        <v>3626.97</v>
      </c>
      <c r="AA649" s="459">
        <v>0</v>
      </c>
      <c r="AB649" s="459">
        <v>795.31</v>
      </c>
      <c r="AC649" s="459">
        <v>0</v>
      </c>
      <c r="AD649" s="459">
        <v>0</v>
      </c>
      <c r="AE649" s="459">
        <v>0</v>
      </c>
      <c r="AF649" s="458">
        <v>0</v>
      </c>
      <c r="AG649" s="459">
        <v>0</v>
      </c>
      <c r="AH649" s="458">
        <v>0</v>
      </c>
      <c r="AI649" s="459">
        <v>0</v>
      </c>
      <c r="AJ649" s="458">
        <v>0</v>
      </c>
      <c r="AK649" s="459">
        <v>0</v>
      </c>
      <c r="AL649" s="459">
        <v>0</v>
      </c>
      <c r="AM649" s="459">
        <v>0</v>
      </c>
      <c r="AN649" s="459"/>
      <c r="AO649" s="459">
        <v>0</v>
      </c>
      <c r="AP649" s="460"/>
      <c r="AQ649" s="460"/>
      <c r="AR649" s="460"/>
      <c r="AS649" s="460"/>
      <c r="AT649" s="460"/>
      <c r="AU649" s="460"/>
      <c r="AV649" s="460"/>
      <c r="AW649" s="460"/>
      <c r="AX649" s="460"/>
      <c r="AY649" s="460"/>
      <c r="AZ649" s="460"/>
      <c r="BA649" s="460"/>
      <c r="BB649" s="460"/>
      <c r="BC649" s="460"/>
      <c r="BD649" s="460"/>
      <c r="BE649" s="460"/>
      <c r="BF649" s="460"/>
      <c r="BG649" s="460"/>
      <c r="BH649" s="460"/>
      <c r="BI649" s="460"/>
      <c r="BJ649" s="460"/>
      <c r="BK649" s="460"/>
      <c r="BL649" s="460"/>
      <c r="BM649" s="460"/>
      <c r="BN649" s="460"/>
      <c r="BO649" s="460"/>
      <c r="BP649" s="460"/>
      <c r="BQ649" s="460"/>
      <c r="BR649" s="460"/>
      <c r="BS649" s="460"/>
      <c r="BT649" s="460"/>
      <c r="BU649" s="460"/>
      <c r="BV649" s="460"/>
      <c r="BW649" s="460"/>
      <c r="BX649" s="460"/>
      <c r="BY649" s="460"/>
      <c r="BZ649" s="460"/>
      <c r="CA649" s="460"/>
      <c r="CB649" s="460"/>
      <c r="CC649" s="460"/>
      <c r="CD649" s="460"/>
      <c r="CE649" s="460"/>
      <c r="CF649" s="460"/>
      <c r="CG649" s="460"/>
      <c r="CH649" s="460"/>
      <c r="CI649" s="460"/>
      <c r="CJ649" s="460"/>
      <c r="CK649" s="460"/>
    </row>
    <row r="650" spans="1:89" s="329" customFormat="1" ht="36" customHeight="1" x14ac:dyDescent="0.25">
      <c r="A650" s="329">
        <v>1</v>
      </c>
      <c r="B650" s="39">
        <f>SUBTOTAL(103,$A$552:A650)</f>
        <v>98</v>
      </c>
      <c r="C650" s="33" t="s">
        <v>1509</v>
      </c>
      <c r="D650" s="330">
        <v>1976</v>
      </c>
      <c r="E650" s="330">
        <v>2008</v>
      </c>
      <c r="F650" s="331" t="s">
        <v>60</v>
      </c>
      <c r="G650" s="330">
        <v>5</v>
      </c>
      <c r="H650" s="330" t="s">
        <v>1980</v>
      </c>
      <c r="I650" s="334">
        <v>7722.2</v>
      </c>
      <c r="J650" s="334">
        <v>7705.8</v>
      </c>
      <c r="K650" s="334">
        <v>7705.8</v>
      </c>
      <c r="L650" s="332">
        <v>351</v>
      </c>
      <c r="M650" s="330" t="s">
        <v>46</v>
      </c>
      <c r="N650" s="330" t="s">
        <v>50</v>
      </c>
      <c r="O650" s="333" t="s">
        <v>2139</v>
      </c>
      <c r="P650" s="38">
        <v>7806669.5300000003</v>
      </c>
      <c r="Q650" s="38">
        <v>0</v>
      </c>
      <c r="R650" s="38">
        <v>0</v>
      </c>
      <c r="S650" s="38">
        <f t="shared" si="124"/>
        <v>7806669.5300000003</v>
      </c>
      <c r="T650" s="38">
        <f t="shared" si="118"/>
        <v>1010.9385317655591</v>
      </c>
      <c r="U650" s="38">
        <v>2491.5672937116365</v>
      </c>
      <c r="V650" s="458">
        <f t="shared" si="119"/>
        <v>1480.6287619460772</v>
      </c>
      <c r="W650" s="458">
        <f t="shared" si="125"/>
        <v>2483.0978140296802</v>
      </c>
      <c r="X650" s="458">
        <v>0</v>
      </c>
      <c r="Y650" s="459">
        <v>0</v>
      </c>
      <c r="Z650" s="459">
        <v>0</v>
      </c>
      <c r="AA650" s="459">
        <v>0</v>
      </c>
      <c r="AB650" s="459">
        <v>0</v>
      </c>
      <c r="AC650" s="459">
        <v>0</v>
      </c>
      <c r="AD650" s="459">
        <v>0</v>
      </c>
      <c r="AE650" s="459">
        <v>3073.45</v>
      </c>
      <c r="AF650" s="458">
        <f t="shared" ref="AF650:AF657" si="126">6238.91*AE650/I650</f>
        <v>2483.0978140296802</v>
      </c>
      <c r="AG650" s="459">
        <v>0</v>
      </c>
      <c r="AH650" s="458">
        <v>0</v>
      </c>
      <c r="AI650" s="459">
        <v>0</v>
      </c>
      <c r="AJ650" s="458">
        <v>0</v>
      </c>
      <c r="AK650" s="459">
        <v>0</v>
      </c>
      <c r="AL650" s="459">
        <v>0</v>
      </c>
      <c r="AM650" s="459">
        <v>0</v>
      </c>
      <c r="AN650" s="459"/>
      <c r="AO650" s="459">
        <v>0</v>
      </c>
      <c r="AP650" s="460"/>
      <c r="AQ650" s="460"/>
      <c r="AR650" s="460"/>
      <c r="AS650" s="460"/>
      <c r="AT650" s="460"/>
      <c r="AU650" s="460"/>
      <c r="AV650" s="460"/>
      <c r="AW650" s="460"/>
      <c r="AX650" s="460"/>
      <c r="AY650" s="460"/>
      <c r="AZ650" s="460"/>
      <c r="BA650" s="460"/>
      <c r="BB650" s="460"/>
      <c r="BC650" s="460"/>
      <c r="BD650" s="460"/>
      <c r="BE650" s="460"/>
      <c r="BF650" s="460"/>
      <c r="BG650" s="460"/>
      <c r="BH650" s="460"/>
      <c r="BI650" s="460"/>
      <c r="BJ650" s="460"/>
      <c r="BK650" s="460"/>
      <c r="BL650" s="460"/>
      <c r="BM650" s="460"/>
      <c r="BN650" s="460"/>
      <c r="BO650" s="460"/>
      <c r="BP650" s="460"/>
      <c r="BQ650" s="460"/>
      <c r="BR650" s="460"/>
      <c r="BS650" s="460"/>
      <c r="BT650" s="460"/>
      <c r="BU650" s="460"/>
      <c r="BV650" s="460"/>
      <c r="BW650" s="460"/>
      <c r="BX650" s="460"/>
      <c r="BY650" s="460"/>
      <c r="BZ650" s="460"/>
      <c r="CA650" s="460"/>
      <c r="CB650" s="460"/>
      <c r="CC650" s="460"/>
      <c r="CD650" s="460"/>
      <c r="CE650" s="460"/>
      <c r="CF650" s="460"/>
      <c r="CG650" s="460"/>
      <c r="CH650" s="460"/>
      <c r="CI650" s="460"/>
      <c r="CJ650" s="460"/>
      <c r="CK650" s="460"/>
    </row>
    <row r="651" spans="1:89" s="329" customFormat="1" ht="36" customHeight="1" x14ac:dyDescent="0.25">
      <c r="A651" s="329">
        <v>1</v>
      </c>
      <c r="B651" s="39">
        <f>SUBTOTAL(103,$A$552:A651)</f>
        <v>99</v>
      </c>
      <c r="C651" s="33" t="s">
        <v>1100</v>
      </c>
      <c r="D651" s="330">
        <v>1969</v>
      </c>
      <c r="E651" s="330"/>
      <c r="F651" s="331" t="s">
        <v>48</v>
      </c>
      <c r="G651" s="330">
        <v>2</v>
      </c>
      <c r="H651" s="330" t="s">
        <v>56</v>
      </c>
      <c r="I651" s="38">
        <v>725.2</v>
      </c>
      <c r="J651" s="38">
        <v>674.9</v>
      </c>
      <c r="K651" s="38">
        <v>674.9</v>
      </c>
      <c r="L651" s="332">
        <v>25</v>
      </c>
      <c r="M651" s="330" t="s">
        <v>46</v>
      </c>
      <c r="N651" s="330" t="s">
        <v>47</v>
      </c>
      <c r="O651" s="333" t="s">
        <v>49</v>
      </c>
      <c r="P651" s="38">
        <v>4800723</v>
      </c>
      <c r="Q651" s="38">
        <v>0</v>
      </c>
      <c r="R651" s="38">
        <v>0</v>
      </c>
      <c r="S651" s="38">
        <f t="shared" si="124"/>
        <v>4800723</v>
      </c>
      <c r="T651" s="38">
        <f t="shared" si="118"/>
        <v>6619.860728075013</v>
      </c>
      <c r="U651" s="38">
        <v>7337.5089630446764</v>
      </c>
      <c r="V651" s="458">
        <f t="shared" si="119"/>
        <v>717.64823496966346</v>
      </c>
      <c r="W651" s="458">
        <f t="shared" si="125"/>
        <v>7312.5668781025915</v>
      </c>
      <c r="X651" s="458">
        <v>0</v>
      </c>
      <c r="Y651" s="459">
        <v>0</v>
      </c>
      <c r="Z651" s="459">
        <v>0</v>
      </c>
      <c r="AA651" s="459">
        <v>0</v>
      </c>
      <c r="AB651" s="459">
        <v>0</v>
      </c>
      <c r="AC651" s="459">
        <v>0</v>
      </c>
      <c r="AD651" s="459">
        <v>0</v>
      </c>
      <c r="AE651" s="459">
        <v>850</v>
      </c>
      <c r="AF651" s="458">
        <f t="shared" si="126"/>
        <v>7312.5668781025915</v>
      </c>
      <c r="AG651" s="459">
        <v>0</v>
      </c>
      <c r="AH651" s="458">
        <v>0</v>
      </c>
      <c r="AI651" s="459">
        <v>0</v>
      </c>
      <c r="AJ651" s="458">
        <v>0</v>
      </c>
      <c r="AK651" s="459">
        <v>0</v>
      </c>
      <c r="AL651" s="459">
        <v>0</v>
      </c>
      <c r="AM651" s="459">
        <v>0</v>
      </c>
      <c r="AN651" s="459"/>
      <c r="AO651" s="459">
        <v>0</v>
      </c>
      <c r="AP651" s="460"/>
      <c r="AQ651" s="460"/>
      <c r="AR651" s="460"/>
      <c r="AS651" s="460"/>
      <c r="AT651" s="460"/>
      <c r="AU651" s="460"/>
      <c r="AV651" s="460"/>
      <c r="AW651" s="460"/>
      <c r="AX651" s="460"/>
      <c r="AY651" s="460"/>
      <c r="AZ651" s="460"/>
      <c r="BA651" s="460"/>
      <c r="BB651" s="460"/>
      <c r="BC651" s="460"/>
      <c r="BD651" s="460"/>
      <c r="BE651" s="460"/>
      <c r="BF651" s="460"/>
      <c r="BG651" s="460"/>
      <c r="BH651" s="460"/>
      <c r="BI651" s="460"/>
      <c r="BJ651" s="460"/>
      <c r="BK651" s="460"/>
      <c r="BL651" s="460"/>
      <c r="BM651" s="460"/>
      <c r="BN651" s="460"/>
      <c r="BO651" s="460"/>
      <c r="BP651" s="460"/>
      <c r="BQ651" s="460"/>
      <c r="BR651" s="460"/>
      <c r="BS651" s="460"/>
      <c r="BT651" s="460"/>
      <c r="BU651" s="460"/>
      <c r="BV651" s="460"/>
      <c r="BW651" s="460"/>
      <c r="BX651" s="460"/>
      <c r="BY651" s="460"/>
      <c r="BZ651" s="460"/>
      <c r="CA651" s="460"/>
      <c r="CB651" s="460"/>
      <c r="CC651" s="460"/>
      <c r="CD651" s="460"/>
      <c r="CE651" s="460"/>
      <c r="CF651" s="460"/>
      <c r="CG651" s="460"/>
      <c r="CH651" s="460"/>
      <c r="CI651" s="460"/>
      <c r="CJ651" s="460"/>
      <c r="CK651" s="460"/>
    </row>
    <row r="652" spans="1:89" s="329" customFormat="1" ht="36" customHeight="1" x14ac:dyDescent="0.25">
      <c r="A652" s="329">
        <v>1</v>
      </c>
      <c r="B652" s="39">
        <f>SUBTOTAL(103,$A$552:A652)</f>
        <v>100</v>
      </c>
      <c r="C652" s="33" t="s">
        <v>1510</v>
      </c>
      <c r="D652" s="330">
        <v>1970</v>
      </c>
      <c r="E652" s="330"/>
      <c r="F652" s="331" t="s">
        <v>48</v>
      </c>
      <c r="G652" s="330">
        <v>2</v>
      </c>
      <c r="H652" s="330" t="s">
        <v>56</v>
      </c>
      <c r="I652" s="334">
        <v>781.5</v>
      </c>
      <c r="J652" s="334">
        <v>722.4</v>
      </c>
      <c r="K652" s="334">
        <v>722.4</v>
      </c>
      <c r="L652" s="332">
        <v>29</v>
      </c>
      <c r="M652" s="330" t="s">
        <v>46</v>
      </c>
      <c r="N652" s="330" t="s">
        <v>47</v>
      </c>
      <c r="O652" s="333" t="s">
        <v>49</v>
      </c>
      <c r="P652" s="38">
        <v>3973949.34</v>
      </c>
      <c r="Q652" s="38">
        <v>0</v>
      </c>
      <c r="R652" s="38">
        <v>0</v>
      </c>
      <c r="S652" s="38">
        <f t="shared" si="124"/>
        <v>3973949.34</v>
      </c>
      <c r="T652" s="38">
        <f t="shared" si="118"/>
        <v>5085.0279462571971</v>
      </c>
      <c r="U652" s="38">
        <v>5740.9506963531658</v>
      </c>
      <c r="V652" s="458">
        <f t="shared" si="119"/>
        <v>655.92275009596869</v>
      </c>
      <c r="W652" s="458">
        <f t="shared" si="125"/>
        <v>5721.4357246321169</v>
      </c>
      <c r="X652" s="458">
        <v>0</v>
      </c>
      <c r="Y652" s="459">
        <v>0</v>
      </c>
      <c r="Z652" s="459">
        <v>0</v>
      </c>
      <c r="AA652" s="459">
        <v>0</v>
      </c>
      <c r="AB652" s="459">
        <v>0</v>
      </c>
      <c r="AC652" s="459">
        <v>0</v>
      </c>
      <c r="AD652" s="459">
        <v>0</v>
      </c>
      <c r="AE652" s="459">
        <v>716.68</v>
      </c>
      <c r="AF652" s="458">
        <f t="shared" si="126"/>
        <v>5721.4357246321169</v>
      </c>
      <c r="AG652" s="459">
        <v>0</v>
      </c>
      <c r="AH652" s="458">
        <v>0</v>
      </c>
      <c r="AI652" s="459">
        <v>0</v>
      </c>
      <c r="AJ652" s="458">
        <v>0</v>
      </c>
      <c r="AK652" s="459">
        <v>0</v>
      </c>
      <c r="AL652" s="459">
        <v>0</v>
      </c>
      <c r="AM652" s="459">
        <v>0</v>
      </c>
      <c r="AN652" s="459"/>
      <c r="AO652" s="459">
        <v>0</v>
      </c>
      <c r="AP652" s="460"/>
      <c r="AQ652" s="460"/>
      <c r="AR652" s="460"/>
      <c r="AS652" s="460"/>
      <c r="AT652" s="460"/>
      <c r="AU652" s="460"/>
      <c r="AV652" s="460"/>
      <c r="AW652" s="460"/>
      <c r="AX652" s="460"/>
      <c r="AY652" s="460"/>
      <c r="AZ652" s="460"/>
      <c r="BA652" s="460"/>
      <c r="BB652" s="460"/>
      <c r="BC652" s="460"/>
      <c r="BD652" s="460"/>
      <c r="BE652" s="460"/>
      <c r="BF652" s="460"/>
      <c r="BG652" s="460"/>
      <c r="BH652" s="460"/>
      <c r="BI652" s="460"/>
      <c r="BJ652" s="460"/>
      <c r="BK652" s="460"/>
      <c r="BL652" s="460"/>
      <c r="BM652" s="460"/>
      <c r="BN652" s="460"/>
      <c r="BO652" s="460"/>
      <c r="BP652" s="460"/>
      <c r="BQ652" s="460"/>
      <c r="BR652" s="460"/>
      <c r="BS652" s="460"/>
      <c r="BT652" s="460"/>
      <c r="BU652" s="460"/>
      <c r="BV652" s="460"/>
      <c r="BW652" s="460"/>
      <c r="BX652" s="460"/>
      <c r="BY652" s="460"/>
      <c r="BZ652" s="460"/>
      <c r="CA652" s="460"/>
      <c r="CB652" s="460"/>
      <c r="CC652" s="460"/>
      <c r="CD652" s="460"/>
      <c r="CE652" s="460"/>
      <c r="CF652" s="460"/>
      <c r="CG652" s="460"/>
      <c r="CH652" s="460"/>
      <c r="CI652" s="460"/>
      <c r="CJ652" s="460"/>
      <c r="CK652" s="460"/>
    </row>
    <row r="653" spans="1:89" s="329" customFormat="1" ht="36" customHeight="1" x14ac:dyDescent="0.25">
      <c r="A653" s="329">
        <v>1</v>
      </c>
      <c r="B653" s="39">
        <f>SUBTOTAL(103,$A$552:A653)</f>
        <v>101</v>
      </c>
      <c r="C653" s="33" t="s">
        <v>1511</v>
      </c>
      <c r="D653" s="330">
        <v>1971</v>
      </c>
      <c r="E653" s="330"/>
      <c r="F653" s="331" t="s">
        <v>48</v>
      </c>
      <c r="G653" s="330">
        <v>2</v>
      </c>
      <c r="H653" s="330" t="s">
        <v>56</v>
      </c>
      <c r="I653" s="334">
        <v>775.3</v>
      </c>
      <c r="J653" s="334">
        <v>716.1</v>
      </c>
      <c r="K653" s="334">
        <v>716.1</v>
      </c>
      <c r="L653" s="332">
        <v>35</v>
      </c>
      <c r="M653" s="330" t="s">
        <v>46</v>
      </c>
      <c r="N653" s="330" t="s">
        <v>47</v>
      </c>
      <c r="O653" s="333" t="s">
        <v>49</v>
      </c>
      <c r="P653" s="38">
        <v>3793636.92</v>
      </c>
      <c r="Q653" s="38">
        <v>0</v>
      </c>
      <c r="R653" s="38">
        <v>0</v>
      </c>
      <c r="S653" s="38">
        <f t="shared" si="124"/>
        <v>3793636.92</v>
      </c>
      <c r="T653" s="38">
        <f t="shared" si="118"/>
        <v>4893.1212691861219</v>
      </c>
      <c r="U653" s="38">
        <v>5845.96615503676</v>
      </c>
      <c r="V653" s="458">
        <f t="shared" si="119"/>
        <v>952.84488585063809</v>
      </c>
      <c r="W653" s="458">
        <f t="shared" si="125"/>
        <v>5826.0942086934092</v>
      </c>
      <c r="X653" s="458">
        <v>0</v>
      </c>
      <c r="Y653" s="459">
        <v>0</v>
      </c>
      <c r="Z653" s="459">
        <v>0</v>
      </c>
      <c r="AA653" s="459">
        <v>0</v>
      </c>
      <c r="AB653" s="459">
        <v>0</v>
      </c>
      <c r="AC653" s="459">
        <v>0</v>
      </c>
      <c r="AD653" s="459">
        <v>0</v>
      </c>
      <c r="AE653" s="459">
        <v>724</v>
      </c>
      <c r="AF653" s="458">
        <f t="shared" si="126"/>
        <v>5826.0942086934092</v>
      </c>
      <c r="AG653" s="459">
        <v>0</v>
      </c>
      <c r="AH653" s="458">
        <v>0</v>
      </c>
      <c r="AI653" s="459">
        <v>0</v>
      </c>
      <c r="AJ653" s="458">
        <v>0</v>
      </c>
      <c r="AK653" s="459">
        <v>0</v>
      </c>
      <c r="AL653" s="459">
        <v>0</v>
      </c>
      <c r="AM653" s="459">
        <v>0</v>
      </c>
      <c r="AN653" s="459"/>
      <c r="AO653" s="459">
        <v>0</v>
      </c>
      <c r="AP653" s="460"/>
      <c r="AQ653" s="460"/>
      <c r="AR653" s="460"/>
      <c r="AS653" s="460"/>
      <c r="AT653" s="460"/>
      <c r="AU653" s="460"/>
      <c r="AV653" s="460"/>
      <c r="AW653" s="460"/>
      <c r="AX653" s="460"/>
      <c r="AY653" s="460"/>
      <c r="AZ653" s="460"/>
      <c r="BA653" s="460"/>
      <c r="BB653" s="460"/>
      <c r="BC653" s="460"/>
      <c r="BD653" s="460"/>
      <c r="BE653" s="460"/>
      <c r="BF653" s="460"/>
      <c r="BG653" s="460"/>
      <c r="BH653" s="460"/>
      <c r="BI653" s="460"/>
      <c r="BJ653" s="460"/>
      <c r="BK653" s="460"/>
      <c r="BL653" s="460"/>
      <c r="BM653" s="460"/>
      <c r="BN653" s="460"/>
      <c r="BO653" s="460"/>
      <c r="BP653" s="460"/>
      <c r="BQ653" s="460"/>
      <c r="BR653" s="460"/>
      <c r="BS653" s="460"/>
      <c r="BT653" s="460"/>
      <c r="BU653" s="460"/>
      <c r="BV653" s="460"/>
      <c r="BW653" s="460"/>
      <c r="BX653" s="460"/>
      <c r="BY653" s="460"/>
      <c r="BZ653" s="460"/>
      <c r="CA653" s="460"/>
      <c r="CB653" s="460"/>
      <c r="CC653" s="460"/>
      <c r="CD653" s="460"/>
      <c r="CE653" s="460"/>
      <c r="CF653" s="460"/>
      <c r="CG653" s="460"/>
      <c r="CH653" s="460"/>
      <c r="CI653" s="460"/>
      <c r="CJ653" s="460"/>
      <c r="CK653" s="460"/>
    </row>
    <row r="654" spans="1:89" s="329" customFormat="1" ht="36" customHeight="1" x14ac:dyDescent="0.25">
      <c r="A654" s="329">
        <v>1</v>
      </c>
      <c r="B654" s="39">
        <f>SUBTOTAL(103,$A$552:A654)</f>
        <v>102</v>
      </c>
      <c r="C654" s="33" t="s">
        <v>1512</v>
      </c>
      <c r="D654" s="330">
        <v>1959</v>
      </c>
      <c r="E654" s="330"/>
      <c r="F654" s="331" t="s">
        <v>2004</v>
      </c>
      <c r="G654" s="330">
        <v>2</v>
      </c>
      <c r="H654" s="330" t="s">
        <v>56</v>
      </c>
      <c r="I654" s="334">
        <v>693.8</v>
      </c>
      <c r="J654" s="334">
        <v>645.20000000000005</v>
      </c>
      <c r="K654" s="334">
        <v>573.4</v>
      </c>
      <c r="L654" s="332">
        <v>22</v>
      </c>
      <c r="M654" s="330" t="s">
        <v>46</v>
      </c>
      <c r="N654" s="330" t="s">
        <v>47</v>
      </c>
      <c r="O654" s="333" t="s">
        <v>49</v>
      </c>
      <c r="P654" s="38">
        <v>3607695.84</v>
      </c>
      <c r="Q654" s="38">
        <v>0</v>
      </c>
      <c r="R654" s="38">
        <v>0</v>
      </c>
      <c r="S654" s="38">
        <f t="shared" si="124"/>
        <v>3607695.84</v>
      </c>
      <c r="T654" s="38">
        <f t="shared" si="118"/>
        <v>5199.9075237820698</v>
      </c>
      <c r="U654" s="38">
        <v>5662.8642894205823</v>
      </c>
      <c r="V654" s="458">
        <f t="shared" si="119"/>
        <v>462.95676563851248</v>
      </c>
      <c r="W654" s="458">
        <f t="shared" si="125"/>
        <v>5643.6147535312775</v>
      </c>
      <c r="X654" s="458">
        <v>0</v>
      </c>
      <c r="Y654" s="459">
        <v>0</v>
      </c>
      <c r="Z654" s="459">
        <v>0</v>
      </c>
      <c r="AA654" s="459">
        <v>0</v>
      </c>
      <c r="AB654" s="459">
        <v>0</v>
      </c>
      <c r="AC654" s="459">
        <v>0</v>
      </c>
      <c r="AD654" s="459">
        <v>0</v>
      </c>
      <c r="AE654" s="459">
        <v>627.6</v>
      </c>
      <c r="AF654" s="458">
        <f t="shared" si="126"/>
        <v>5643.6147535312775</v>
      </c>
      <c r="AG654" s="459">
        <v>0</v>
      </c>
      <c r="AH654" s="458">
        <v>0</v>
      </c>
      <c r="AI654" s="459">
        <v>0</v>
      </c>
      <c r="AJ654" s="458">
        <v>0</v>
      </c>
      <c r="AK654" s="459">
        <v>0</v>
      </c>
      <c r="AL654" s="459">
        <v>0</v>
      </c>
      <c r="AM654" s="459">
        <v>0</v>
      </c>
      <c r="AN654" s="459"/>
      <c r="AO654" s="459">
        <v>0</v>
      </c>
      <c r="AP654" s="460"/>
      <c r="AQ654" s="460"/>
      <c r="AR654" s="460"/>
      <c r="AS654" s="460"/>
      <c r="AT654" s="460"/>
      <c r="AU654" s="460"/>
      <c r="AV654" s="460"/>
      <c r="AW654" s="460"/>
      <c r="AX654" s="460"/>
      <c r="AY654" s="460"/>
      <c r="AZ654" s="460"/>
      <c r="BA654" s="460"/>
      <c r="BB654" s="460"/>
      <c r="BC654" s="460"/>
      <c r="BD654" s="460"/>
      <c r="BE654" s="460"/>
      <c r="BF654" s="460"/>
      <c r="BG654" s="460"/>
      <c r="BH654" s="460"/>
      <c r="BI654" s="460"/>
      <c r="BJ654" s="460"/>
      <c r="BK654" s="460"/>
      <c r="BL654" s="460"/>
      <c r="BM654" s="460"/>
      <c r="BN654" s="460"/>
      <c r="BO654" s="460"/>
      <c r="BP654" s="460"/>
      <c r="BQ654" s="460"/>
      <c r="BR654" s="460"/>
      <c r="BS654" s="460"/>
      <c r="BT654" s="460"/>
      <c r="BU654" s="460"/>
      <c r="BV654" s="460"/>
      <c r="BW654" s="460"/>
      <c r="BX654" s="460"/>
      <c r="BY654" s="460"/>
      <c r="BZ654" s="460"/>
      <c r="CA654" s="460"/>
      <c r="CB654" s="460"/>
      <c r="CC654" s="460"/>
      <c r="CD654" s="460"/>
      <c r="CE654" s="460"/>
      <c r="CF654" s="460"/>
      <c r="CG654" s="460"/>
      <c r="CH654" s="460"/>
      <c r="CI654" s="460"/>
      <c r="CJ654" s="460"/>
      <c r="CK654" s="460"/>
    </row>
    <row r="655" spans="1:89" s="329" customFormat="1" ht="36" customHeight="1" x14ac:dyDescent="0.25">
      <c r="A655" s="329">
        <v>1</v>
      </c>
      <c r="B655" s="39">
        <f>SUBTOTAL(103,$A$552:A655)</f>
        <v>103</v>
      </c>
      <c r="C655" s="33" t="s">
        <v>1513</v>
      </c>
      <c r="D655" s="330">
        <v>1959</v>
      </c>
      <c r="E655" s="330"/>
      <c r="F655" s="331" t="s">
        <v>2004</v>
      </c>
      <c r="G655" s="330">
        <v>2</v>
      </c>
      <c r="H655" s="330" t="s">
        <v>57</v>
      </c>
      <c r="I655" s="334">
        <v>301.39999999999998</v>
      </c>
      <c r="J655" s="334">
        <v>280.39999999999998</v>
      </c>
      <c r="K655" s="334">
        <v>280.39999999999998</v>
      </c>
      <c r="L655" s="332">
        <v>17</v>
      </c>
      <c r="M655" s="330" t="s">
        <v>46</v>
      </c>
      <c r="N655" s="330" t="s">
        <v>47</v>
      </c>
      <c r="O655" s="333" t="s">
        <v>49</v>
      </c>
      <c r="P655" s="38">
        <v>1597480.36</v>
      </c>
      <c r="Q655" s="38">
        <v>0</v>
      </c>
      <c r="R655" s="38">
        <v>0</v>
      </c>
      <c r="S655" s="38">
        <f t="shared" si="124"/>
        <v>1597480.36</v>
      </c>
      <c r="T655" s="38">
        <f t="shared" ref="T655:T719" si="127">P655/I655</f>
        <v>5300.2002654280031</v>
      </c>
      <c r="U655" s="38">
        <v>5772.0862674187119</v>
      </c>
      <c r="V655" s="458">
        <f t="shared" si="119"/>
        <v>471.88600199070879</v>
      </c>
      <c r="W655" s="458">
        <f t="shared" si="125"/>
        <v>5752.4654578633044</v>
      </c>
      <c r="X655" s="458">
        <v>0</v>
      </c>
      <c r="Y655" s="459">
        <v>0</v>
      </c>
      <c r="Z655" s="459">
        <v>0</v>
      </c>
      <c r="AA655" s="459">
        <v>0</v>
      </c>
      <c r="AB655" s="459">
        <v>0</v>
      </c>
      <c r="AC655" s="459">
        <v>0</v>
      </c>
      <c r="AD655" s="459">
        <v>0</v>
      </c>
      <c r="AE655" s="459">
        <v>277.89999999999998</v>
      </c>
      <c r="AF655" s="458">
        <f t="shared" si="126"/>
        <v>5752.4654578633044</v>
      </c>
      <c r="AG655" s="459">
        <v>0</v>
      </c>
      <c r="AH655" s="458">
        <v>0</v>
      </c>
      <c r="AI655" s="459">
        <v>0</v>
      </c>
      <c r="AJ655" s="458">
        <v>0</v>
      </c>
      <c r="AK655" s="459">
        <v>0</v>
      </c>
      <c r="AL655" s="459">
        <v>0</v>
      </c>
      <c r="AM655" s="459">
        <v>0</v>
      </c>
      <c r="AN655" s="459"/>
      <c r="AO655" s="459">
        <v>0</v>
      </c>
      <c r="AP655" s="460"/>
      <c r="AQ655" s="460"/>
      <c r="AR655" s="460"/>
      <c r="AS655" s="460"/>
      <c r="AT655" s="460"/>
      <c r="AU655" s="460"/>
      <c r="AV655" s="460"/>
      <c r="AW655" s="460"/>
      <c r="AX655" s="460"/>
      <c r="AY655" s="460"/>
      <c r="AZ655" s="460"/>
      <c r="BA655" s="460"/>
      <c r="BB655" s="460"/>
      <c r="BC655" s="460"/>
      <c r="BD655" s="460"/>
      <c r="BE655" s="460"/>
      <c r="BF655" s="460"/>
      <c r="BG655" s="460"/>
      <c r="BH655" s="460"/>
      <c r="BI655" s="460"/>
      <c r="BJ655" s="460"/>
      <c r="BK655" s="460"/>
      <c r="BL655" s="460"/>
      <c r="BM655" s="460"/>
      <c r="BN655" s="460"/>
      <c r="BO655" s="460"/>
      <c r="BP655" s="460"/>
      <c r="BQ655" s="460"/>
      <c r="BR655" s="460"/>
      <c r="BS655" s="460"/>
      <c r="BT655" s="460"/>
      <c r="BU655" s="460"/>
      <c r="BV655" s="460"/>
      <c r="BW655" s="460"/>
      <c r="BX655" s="460"/>
      <c r="BY655" s="460"/>
      <c r="BZ655" s="460"/>
      <c r="CA655" s="460"/>
      <c r="CB655" s="460"/>
      <c r="CC655" s="460"/>
      <c r="CD655" s="460"/>
      <c r="CE655" s="460"/>
      <c r="CF655" s="460"/>
      <c r="CG655" s="460"/>
      <c r="CH655" s="460"/>
      <c r="CI655" s="460"/>
      <c r="CJ655" s="460"/>
      <c r="CK655" s="460"/>
    </row>
    <row r="656" spans="1:89" s="329" customFormat="1" ht="36" customHeight="1" x14ac:dyDescent="0.25">
      <c r="A656" s="329">
        <v>1</v>
      </c>
      <c r="B656" s="39">
        <f>SUBTOTAL(103,$A$552:A656)</f>
        <v>104</v>
      </c>
      <c r="C656" s="33" t="s">
        <v>1514</v>
      </c>
      <c r="D656" s="330">
        <v>1962</v>
      </c>
      <c r="E656" s="330"/>
      <c r="F656" s="331" t="s">
        <v>2004</v>
      </c>
      <c r="G656" s="330">
        <v>2</v>
      </c>
      <c r="H656" s="330" t="s">
        <v>56</v>
      </c>
      <c r="I656" s="334">
        <v>585.91</v>
      </c>
      <c r="J656" s="334">
        <v>546.5</v>
      </c>
      <c r="K656" s="334">
        <v>546.5</v>
      </c>
      <c r="L656" s="332">
        <v>38</v>
      </c>
      <c r="M656" s="330" t="s">
        <v>46</v>
      </c>
      <c r="N656" s="330" t="s">
        <v>47</v>
      </c>
      <c r="O656" s="333" t="s">
        <v>49</v>
      </c>
      <c r="P656" s="38">
        <v>3132303.1599999997</v>
      </c>
      <c r="Q656" s="38">
        <v>0</v>
      </c>
      <c r="R656" s="38">
        <v>0</v>
      </c>
      <c r="S656" s="38">
        <f t="shared" si="124"/>
        <v>3132303.1599999997</v>
      </c>
      <c r="T656" s="38">
        <f t="shared" si="127"/>
        <v>5346.0483009335903</v>
      </c>
      <c r="U656" s="38">
        <v>5822.0162328685292</v>
      </c>
      <c r="V656" s="458">
        <f t="shared" si="119"/>
        <v>475.96793193493886</v>
      </c>
      <c r="W656" s="458">
        <f t="shared" si="125"/>
        <v>5802.225698486116</v>
      </c>
      <c r="X656" s="458">
        <v>0</v>
      </c>
      <c r="Y656" s="459">
        <v>0</v>
      </c>
      <c r="Z656" s="459">
        <v>0</v>
      </c>
      <c r="AA656" s="459">
        <v>0</v>
      </c>
      <c r="AB656" s="459">
        <v>0</v>
      </c>
      <c r="AC656" s="459">
        <v>0</v>
      </c>
      <c r="AD656" s="459">
        <v>0</v>
      </c>
      <c r="AE656" s="459">
        <v>544.9</v>
      </c>
      <c r="AF656" s="458">
        <f t="shared" si="126"/>
        <v>5802.225698486116</v>
      </c>
      <c r="AG656" s="459">
        <v>0</v>
      </c>
      <c r="AH656" s="458">
        <v>0</v>
      </c>
      <c r="AI656" s="459">
        <v>0</v>
      </c>
      <c r="AJ656" s="458">
        <v>0</v>
      </c>
      <c r="AK656" s="459">
        <v>0</v>
      </c>
      <c r="AL656" s="459">
        <v>0</v>
      </c>
      <c r="AM656" s="459">
        <v>0</v>
      </c>
      <c r="AN656" s="459"/>
      <c r="AO656" s="459">
        <v>0</v>
      </c>
      <c r="AP656" s="460"/>
      <c r="AQ656" s="460"/>
      <c r="AR656" s="460"/>
      <c r="AS656" s="460"/>
      <c r="AT656" s="460"/>
      <c r="AU656" s="460"/>
      <c r="AV656" s="460"/>
      <c r="AW656" s="460"/>
      <c r="AX656" s="460"/>
      <c r="AY656" s="460"/>
      <c r="AZ656" s="460"/>
      <c r="BA656" s="460"/>
      <c r="BB656" s="460"/>
      <c r="BC656" s="460"/>
      <c r="BD656" s="460"/>
      <c r="BE656" s="460"/>
      <c r="BF656" s="460"/>
      <c r="BG656" s="460"/>
      <c r="BH656" s="460"/>
      <c r="BI656" s="460"/>
      <c r="BJ656" s="460"/>
      <c r="BK656" s="460"/>
      <c r="BL656" s="460"/>
      <c r="BM656" s="460"/>
      <c r="BN656" s="460"/>
      <c r="BO656" s="460"/>
      <c r="BP656" s="460"/>
      <c r="BQ656" s="460"/>
      <c r="BR656" s="460"/>
      <c r="BS656" s="460"/>
      <c r="BT656" s="460"/>
      <c r="BU656" s="460"/>
      <c r="BV656" s="460"/>
      <c r="BW656" s="460"/>
      <c r="BX656" s="460"/>
      <c r="BY656" s="460"/>
      <c r="BZ656" s="460"/>
      <c r="CA656" s="460"/>
      <c r="CB656" s="460"/>
      <c r="CC656" s="460"/>
      <c r="CD656" s="460"/>
      <c r="CE656" s="460"/>
      <c r="CF656" s="460"/>
      <c r="CG656" s="460"/>
      <c r="CH656" s="460"/>
      <c r="CI656" s="460"/>
      <c r="CJ656" s="460"/>
      <c r="CK656" s="460"/>
    </row>
    <row r="657" spans="1:89" s="329" customFormat="1" ht="36" customHeight="1" x14ac:dyDescent="0.25">
      <c r="A657" s="329">
        <v>1</v>
      </c>
      <c r="B657" s="39">
        <f>SUBTOTAL(103,$A$552:A657)</f>
        <v>105</v>
      </c>
      <c r="C657" s="33" t="s">
        <v>1515</v>
      </c>
      <c r="D657" s="330">
        <v>1966</v>
      </c>
      <c r="E657" s="330"/>
      <c r="F657" s="331" t="s">
        <v>2004</v>
      </c>
      <c r="G657" s="330">
        <v>2</v>
      </c>
      <c r="H657" s="330" t="s">
        <v>56</v>
      </c>
      <c r="I657" s="334">
        <v>462.3</v>
      </c>
      <c r="J657" s="334">
        <v>462.3</v>
      </c>
      <c r="K657" s="334">
        <v>462.3</v>
      </c>
      <c r="L657" s="332">
        <v>32</v>
      </c>
      <c r="M657" s="330" t="s">
        <v>46</v>
      </c>
      <c r="N657" s="330" t="s">
        <v>47</v>
      </c>
      <c r="O657" s="333" t="s">
        <v>49</v>
      </c>
      <c r="P657" s="38">
        <v>1937212.2999999998</v>
      </c>
      <c r="Q657" s="38">
        <v>0</v>
      </c>
      <c r="R657" s="38">
        <v>0</v>
      </c>
      <c r="S657" s="38">
        <f t="shared" si="124"/>
        <v>1937212.2999999998</v>
      </c>
      <c r="T657" s="38">
        <f t="shared" si="127"/>
        <v>4190.3791910015134</v>
      </c>
      <c r="U657" s="38">
        <v>4563.452368591823</v>
      </c>
      <c r="V657" s="458">
        <f t="shared" ref="V657:V720" si="128">U657-T657</f>
        <v>373.07317759030957</v>
      </c>
      <c r="W657" s="458">
        <f t="shared" si="125"/>
        <v>4547.9400173047798</v>
      </c>
      <c r="X657" s="458">
        <v>0</v>
      </c>
      <c r="Y657" s="459">
        <v>0</v>
      </c>
      <c r="Z657" s="459">
        <v>0</v>
      </c>
      <c r="AA657" s="459">
        <v>0</v>
      </c>
      <c r="AB657" s="459">
        <v>0</v>
      </c>
      <c r="AC657" s="459">
        <v>0</v>
      </c>
      <c r="AD657" s="459">
        <v>0</v>
      </c>
      <c r="AE657" s="459">
        <v>337</v>
      </c>
      <c r="AF657" s="458">
        <f t="shared" si="126"/>
        <v>4547.9400173047798</v>
      </c>
      <c r="AG657" s="459">
        <v>0</v>
      </c>
      <c r="AH657" s="458">
        <v>0</v>
      </c>
      <c r="AI657" s="459">
        <v>0</v>
      </c>
      <c r="AJ657" s="458">
        <v>0</v>
      </c>
      <c r="AK657" s="459">
        <v>0</v>
      </c>
      <c r="AL657" s="459">
        <v>0</v>
      </c>
      <c r="AM657" s="459">
        <v>0</v>
      </c>
      <c r="AN657" s="459"/>
      <c r="AO657" s="459">
        <v>0</v>
      </c>
      <c r="AP657" s="460"/>
      <c r="AQ657" s="460"/>
      <c r="AR657" s="460"/>
      <c r="AS657" s="460"/>
      <c r="AT657" s="460"/>
      <c r="AU657" s="460"/>
      <c r="AV657" s="460"/>
      <c r="AW657" s="460"/>
      <c r="AX657" s="460"/>
      <c r="AY657" s="460"/>
      <c r="AZ657" s="460"/>
      <c r="BA657" s="460"/>
      <c r="BB657" s="460"/>
      <c r="BC657" s="460"/>
      <c r="BD657" s="460"/>
      <c r="BE657" s="460"/>
      <c r="BF657" s="460"/>
      <c r="BG657" s="460"/>
      <c r="BH657" s="460"/>
      <c r="BI657" s="460"/>
      <c r="BJ657" s="460"/>
      <c r="BK657" s="460"/>
      <c r="BL657" s="460"/>
      <c r="BM657" s="460"/>
      <c r="BN657" s="460"/>
      <c r="BO657" s="460"/>
      <c r="BP657" s="460"/>
      <c r="BQ657" s="460"/>
      <c r="BR657" s="460"/>
      <c r="BS657" s="460"/>
      <c r="BT657" s="460"/>
      <c r="BU657" s="460"/>
      <c r="BV657" s="460"/>
      <c r="BW657" s="460"/>
      <c r="BX657" s="460"/>
      <c r="BY657" s="460"/>
      <c r="BZ657" s="460"/>
      <c r="CA657" s="460"/>
      <c r="CB657" s="460"/>
      <c r="CC657" s="460"/>
      <c r="CD657" s="460"/>
      <c r="CE657" s="460"/>
      <c r="CF657" s="460"/>
      <c r="CG657" s="460"/>
      <c r="CH657" s="460"/>
      <c r="CI657" s="460"/>
      <c r="CJ657" s="460"/>
      <c r="CK657" s="460"/>
    </row>
    <row r="658" spans="1:89" s="329" customFormat="1" ht="36" customHeight="1" x14ac:dyDescent="0.25">
      <c r="A658" s="329">
        <v>1</v>
      </c>
      <c r="B658" s="39">
        <f>SUBTOTAL(103,$A$552:A658)</f>
        <v>106</v>
      </c>
      <c r="C658" s="33" t="s">
        <v>1516</v>
      </c>
      <c r="D658" s="330">
        <v>1958</v>
      </c>
      <c r="E658" s="330"/>
      <c r="F658" s="331" t="s">
        <v>48</v>
      </c>
      <c r="G658" s="330">
        <v>2</v>
      </c>
      <c r="H658" s="330" t="s">
        <v>57</v>
      </c>
      <c r="I658" s="38">
        <v>660.3</v>
      </c>
      <c r="J658" s="38">
        <v>660.3</v>
      </c>
      <c r="K658" s="38">
        <v>660.3</v>
      </c>
      <c r="L658" s="332">
        <v>17</v>
      </c>
      <c r="M658" s="330" t="s">
        <v>46</v>
      </c>
      <c r="N658" s="330" t="s">
        <v>71</v>
      </c>
      <c r="O658" s="333" t="s">
        <v>2138</v>
      </c>
      <c r="P658" s="38">
        <v>2847699.39</v>
      </c>
      <c r="Q658" s="38">
        <v>0</v>
      </c>
      <c r="R658" s="38">
        <v>0</v>
      </c>
      <c r="S658" s="38">
        <f t="shared" si="124"/>
        <v>2847699.39</v>
      </c>
      <c r="T658" s="38">
        <f t="shared" si="127"/>
        <v>4312.7357110404364</v>
      </c>
      <c r="U658" s="38">
        <v>4835.2217174011812</v>
      </c>
      <c r="V658" s="458">
        <f t="shared" si="128"/>
        <v>522.4860063607448</v>
      </c>
      <c r="W658" s="458">
        <f t="shared" si="125"/>
        <v>3259.66</v>
      </c>
      <c r="X658" s="458">
        <v>0</v>
      </c>
      <c r="Y658" s="459">
        <v>0</v>
      </c>
      <c r="Z658" s="459">
        <v>3259.66</v>
      </c>
      <c r="AA658" s="459">
        <v>0</v>
      </c>
      <c r="AB658" s="459">
        <v>0</v>
      </c>
      <c r="AC658" s="459">
        <v>0</v>
      </c>
      <c r="AD658" s="459">
        <v>0</v>
      </c>
      <c r="AE658" s="459">
        <v>0</v>
      </c>
      <c r="AF658" s="458">
        <v>0</v>
      </c>
      <c r="AG658" s="459">
        <v>0</v>
      </c>
      <c r="AH658" s="458">
        <v>0</v>
      </c>
      <c r="AI658" s="459">
        <v>0</v>
      </c>
      <c r="AJ658" s="458">
        <v>0</v>
      </c>
      <c r="AK658" s="459">
        <v>0</v>
      </c>
      <c r="AL658" s="459">
        <v>0</v>
      </c>
      <c r="AM658" s="459">
        <v>0</v>
      </c>
      <c r="AN658" s="459"/>
      <c r="AO658" s="459">
        <v>0</v>
      </c>
      <c r="AP658" s="460"/>
      <c r="AQ658" s="460"/>
      <c r="AR658" s="460"/>
      <c r="AS658" s="460"/>
      <c r="AT658" s="460"/>
      <c r="AU658" s="460"/>
      <c r="AV658" s="460"/>
      <c r="AW658" s="460"/>
      <c r="AX658" s="460"/>
      <c r="AY658" s="460"/>
      <c r="AZ658" s="460"/>
      <c r="BA658" s="460"/>
      <c r="BB658" s="460"/>
      <c r="BC658" s="460"/>
      <c r="BD658" s="460"/>
      <c r="BE658" s="460"/>
      <c r="BF658" s="460"/>
      <c r="BG658" s="460"/>
      <c r="BH658" s="460"/>
      <c r="BI658" s="460"/>
      <c r="BJ658" s="460"/>
      <c r="BK658" s="460"/>
      <c r="BL658" s="460"/>
      <c r="BM658" s="460"/>
      <c r="BN658" s="460"/>
      <c r="BO658" s="460"/>
      <c r="BP658" s="460"/>
      <c r="BQ658" s="460"/>
      <c r="BR658" s="460"/>
      <c r="BS658" s="460"/>
      <c r="BT658" s="460"/>
      <c r="BU658" s="460"/>
      <c r="BV658" s="460"/>
      <c r="BW658" s="460"/>
      <c r="BX658" s="460"/>
      <c r="BY658" s="460"/>
      <c r="BZ658" s="460"/>
      <c r="CA658" s="460"/>
      <c r="CB658" s="460"/>
      <c r="CC658" s="460"/>
      <c r="CD658" s="460"/>
      <c r="CE658" s="460"/>
      <c r="CF658" s="460"/>
      <c r="CG658" s="460"/>
      <c r="CH658" s="460"/>
      <c r="CI658" s="460"/>
      <c r="CJ658" s="460"/>
      <c r="CK658" s="460"/>
    </row>
    <row r="659" spans="1:89" s="329" customFormat="1" ht="36" customHeight="1" x14ac:dyDescent="0.25">
      <c r="A659" s="329">
        <v>1</v>
      </c>
      <c r="B659" s="39">
        <f>SUBTOTAL(103,$A$552:A659)</f>
        <v>107</v>
      </c>
      <c r="C659" s="33" t="s">
        <v>1116</v>
      </c>
      <c r="D659" s="330">
        <v>1933</v>
      </c>
      <c r="E659" s="330">
        <v>2008</v>
      </c>
      <c r="F659" s="331" t="s">
        <v>48</v>
      </c>
      <c r="G659" s="330">
        <v>3</v>
      </c>
      <c r="H659" s="330" t="s">
        <v>59</v>
      </c>
      <c r="I659" s="38">
        <v>1863.4</v>
      </c>
      <c r="J659" s="38">
        <v>1677.4</v>
      </c>
      <c r="K659" s="38">
        <v>1677.4</v>
      </c>
      <c r="L659" s="332">
        <v>86</v>
      </c>
      <c r="M659" s="330" t="s">
        <v>46</v>
      </c>
      <c r="N659" s="330" t="s">
        <v>50</v>
      </c>
      <c r="O659" s="333" t="s">
        <v>1986</v>
      </c>
      <c r="P659" s="38">
        <v>2152387.4200000004</v>
      </c>
      <c r="Q659" s="38">
        <v>0</v>
      </c>
      <c r="R659" s="38">
        <v>0</v>
      </c>
      <c r="S659" s="38">
        <f t="shared" si="124"/>
        <v>2152387.4200000004</v>
      </c>
      <c r="T659" s="38">
        <f t="shared" si="127"/>
        <v>1155.086089943115</v>
      </c>
      <c r="U659" s="38">
        <v>3259.66</v>
      </c>
      <c r="V659" s="458">
        <f t="shared" si="128"/>
        <v>2104.5739100568849</v>
      </c>
      <c r="W659" s="458">
        <f t="shared" si="125"/>
        <v>3259.66</v>
      </c>
      <c r="X659" s="458">
        <v>0</v>
      </c>
      <c r="Y659" s="459">
        <v>0</v>
      </c>
      <c r="Z659" s="459">
        <v>3259.66</v>
      </c>
      <c r="AA659" s="459">
        <v>0</v>
      </c>
      <c r="AB659" s="459">
        <v>0</v>
      </c>
      <c r="AC659" s="459">
        <v>0</v>
      </c>
      <c r="AD659" s="459">
        <v>0</v>
      </c>
      <c r="AE659" s="459">
        <v>0</v>
      </c>
      <c r="AF659" s="458">
        <v>0</v>
      </c>
      <c r="AG659" s="459">
        <v>0</v>
      </c>
      <c r="AH659" s="458">
        <v>0</v>
      </c>
      <c r="AI659" s="459">
        <v>0</v>
      </c>
      <c r="AJ659" s="458">
        <v>0</v>
      </c>
      <c r="AK659" s="459">
        <v>0</v>
      </c>
      <c r="AL659" s="459">
        <v>0</v>
      </c>
      <c r="AM659" s="459">
        <v>0</v>
      </c>
      <c r="AN659" s="459"/>
      <c r="AO659" s="459">
        <v>0</v>
      </c>
      <c r="AP659" s="460"/>
      <c r="AQ659" s="460"/>
      <c r="AR659" s="460"/>
      <c r="AS659" s="460"/>
      <c r="AT659" s="460"/>
      <c r="AU659" s="460"/>
      <c r="AV659" s="460"/>
      <c r="AW659" s="460"/>
      <c r="AX659" s="460"/>
      <c r="AY659" s="460"/>
      <c r="AZ659" s="460"/>
      <c r="BA659" s="460"/>
      <c r="BB659" s="460"/>
      <c r="BC659" s="460"/>
      <c r="BD659" s="460"/>
      <c r="BE659" s="460"/>
      <c r="BF659" s="460"/>
      <c r="BG659" s="460"/>
      <c r="BH659" s="460"/>
      <c r="BI659" s="460"/>
      <c r="BJ659" s="460"/>
      <c r="BK659" s="460"/>
      <c r="BL659" s="460"/>
      <c r="BM659" s="460"/>
      <c r="BN659" s="460"/>
      <c r="BO659" s="460"/>
      <c r="BP659" s="460"/>
      <c r="BQ659" s="460"/>
      <c r="BR659" s="460"/>
      <c r="BS659" s="460"/>
      <c r="BT659" s="460"/>
      <c r="BU659" s="460"/>
      <c r="BV659" s="460"/>
      <c r="BW659" s="460"/>
      <c r="BX659" s="460"/>
      <c r="BY659" s="460"/>
      <c r="BZ659" s="460"/>
      <c r="CA659" s="460"/>
      <c r="CB659" s="460"/>
      <c r="CC659" s="460"/>
      <c r="CD659" s="460"/>
      <c r="CE659" s="460"/>
      <c r="CF659" s="460"/>
      <c r="CG659" s="460"/>
      <c r="CH659" s="460"/>
      <c r="CI659" s="460"/>
      <c r="CJ659" s="460"/>
      <c r="CK659" s="460"/>
    </row>
    <row r="660" spans="1:89" s="329" customFormat="1" ht="36" customHeight="1" x14ac:dyDescent="0.25">
      <c r="A660" s="329">
        <v>1</v>
      </c>
      <c r="B660" s="39">
        <f>SUBTOTAL(103,$A$552:A660)</f>
        <v>108</v>
      </c>
      <c r="C660" s="33" t="s">
        <v>1124</v>
      </c>
      <c r="D660" s="330">
        <v>1964</v>
      </c>
      <c r="E660" s="330"/>
      <c r="F660" s="331" t="s">
        <v>48</v>
      </c>
      <c r="G660" s="330">
        <v>2</v>
      </c>
      <c r="H660" s="330" t="s">
        <v>57</v>
      </c>
      <c r="I660" s="38">
        <v>380.8</v>
      </c>
      <c r="J660" s="38">
        <v>380.8</v>
      </c>
      <c r="K660" s="38">
        <v>380.8</v>
      </c>
      <c r="L660" s="332">
        <v>13</v>
      </c>
      <c r="M660" s="330" t="s">
        <v>46</v>
      </c>
      <c r="N660" s="330" t="s">
        <v>47</v>
      </c>
      <c r="O660" s="333" t="s">
        <v>49</v>
      </c>
      <c r="P660" s="38">
        <v>534516.64</v>
      </c>
      <c r="Q660" s="38">
        <v>0</v>
      </c>
      <c r="R660" s="38">
        <v>0</v>
      </c>
      <c r="S660" s="38">
        <f t="shared" si="124"/>
        <v>534516.64</v>
      </c>
      <c r="T660" s="38">
        <f t="shared" si="127"/>
        <v>1403.6676470588236</v>
      </c>
      <c r="U660" s="38">
        <v>3259.66</v>
      </c>
      <c r="V660" s="458">
        <f t="shared" si="128"/>
        <v>1855.9923529411763</v>
      </c>
      <c r="W660" s="458">
        <f t="shared" si="125"/>
        <v>3259.66</v>
      </c>
      <c r="X660" s="458">
        <v>0</v>
      </c>
      <c r="Y660" s="459">
        <v>0</v>
      </c>
      <c r="Z660" s="459">
        <v>3259.66</v>
      </c>
      <c r="AA660" s="459">
        <v>0</v>
      </c>
      <c r="AB660" s="459">
        <v>0</v>
      </c>
      <c r="AC660" s="459">
        <v>0</v>
      </c>
      <c r="AD660" s="459">
        <v>0</v>
      </c>
      <c r="AE660" s="459">
        <v>0</v>
      </c>
      <c r="AF660" s="458">
        <v>0</v>
      </c>
      <c r="AG660" s="459">
        <v>0</v>
      </c>
      <c r="AH660" s="458">
        <v>0</v>
      </c>
      <c r="AI660" s="459">
        <v>0</v>
      </c>
      <c r="AJ660" s="458">
        <v>0</v>
      </c>
      <c r="AK660" s="459">
        <v>0</v>
      </c>
      <c r="AL660" s="459">
        <v>0</v>
      </c>
      <c r="AM660" s="459">
        <v>0</v>
      </c>
      <c r="AN660" s="459"/>
      <c r="AO660" s="459">
        <v>0</v>
      </c>
      <c r="AP660" s="460"/>
      <c r="AQ660" s="460"/>
      <c r="AR660" s="460"/>
      <c r="AS660" s="460"/>
      <c r="AT660" s="460"/>
      <c r="AU660" s="460"/>
      <c r="AV660" s="460"/>
      <c r="AW660" s="460"/>
      <c r="AX660" s="460"/>
      <c r="AY660" s="460"/>
      <c r="AZ660" s="460"/>
      <c r="BA660" s="460"/>
      <c r="BB660" s="460"/>
      <c r="BC660" s="460"/>
      <c r="BD660" s="460"/>
      <c r="BE660" s="460"/>
      <c r="BF660" s="460"/>
      <c r="BG660" s="460"/>
      <c r="BH660" s="460"/>
      <c r="BI660" s="460"/>
      <c r="BJ660" s="460"/>
      <c r="BK660" s="460"/>
      <c r="BL660" s="460"/>
      <c r="BM660" s="460"/>
      <c r="BN660" s="460"/>
      <c r="BO660" s="460"/>
      <c r="BP660" s="460"/>
      <c r="BQ660" s="460"/>
      <c r="BR660" s="460"/>
      <c r="BS660" s="460"/>
      <c r="BT660" s="460"/>
      <c r="BU660" s="460"/>
      <c r="BV660" s="460"/>
      <c r="BW660" s="460"/>
      <c r="BX660" s="460"/>
      <c r="BY660" s="460"/>
      <c r="BZ660" s="460"/>
      <c r="CA660" s="460"/>
      <c r="CB660" s="460"/>
      <c r="CC660" s="460"/>
      <c r="CD660" s="460"/>
      <c r="CE660" s="460"/>
      <c r="CF660" s="460"/>
      <c r="CG660" s="460"/>
      <c r="CH660" s="460"/>
      <c r="CI660" s="460"/>
      <c r="CJ660" s="460"/>
      <c r="CK660" s="460"/>
    </row>
    <row r="661" spans="1:89" s="329" customFormat="1" ht="36" customHeight="1" x14ac:dyDescent="0.25">
      <c r="A661" s="329">
        <v>1</v>
      </c>
      <c r="B661" s="39">
        <f>SUBTOTAL(103,$A$552:A661)</f>
        <v>109</v>
      </c>
      <c r="C661" s="33" t="s">
        <v>1130</v>
      </c>
      <c r="D661" s="330">
        <v>1977</v>
      </c>
      <c r="E661" s="330">
        <v>2014</v>
      </c>
      <c r="F661" s="331" t="s">
        <v>48</v>
      </c>
      <c r="G661" s="330">
        <v>5</v>
      </c>
      <c r="H661" s="330" t="s">
        <v>59</v>
      </c>
      <c r="I661" s="38">
        <v>3912.3</v>
      </c>
      <c r="J661" s="38">
        <v>3639.1</v>
      </c>
      <c r="K661" s="38">
        <v>2732.3</v>
      </c>
      <c r="L661" s="332">
        <v>140</v>
      </c>
      <c r="M661" s="330" t="s">
        <v>46</v>
      </c>
      <c r="N661" s="330" t="s">
        <v>50</v>
      </c>
      <c r="O661" s="333" t="s">
        <v>1988</v>
      </c>
      <c r="P661" s="38">
        <v>1370144.55</v>
      </c>
      <c r="Q661" s="38">
        <v>0</v>
      </c>
      <c r="R661" s="38">
        <v>0</v>
      </c>
      <c r="S661" s="38">
        <f t="shared" si="124"/>
        <v>1370144.55</v>
      </c>
      <c r="T661" s="38">
        <f t="shared" si="127"/>
        <v>350.2145924392301</v>
      </c>
      <c r="U661" s="38">
        <v>3259.66</v>
      </c>
      <c r="V661" s="458">
        <f t="shared" si="128"/>
        <v>2909.4454075607696</v>
      </c>
      <c r="W661" s="458">
        <f t="shared" si="125"/>
        <v>4054.97</v>
      </c>
      <c r="X661" s="458">
        <v>0</v>
      </c>
      <c r="Y661" s="459">
        <v>0</v>
      </c>
      <c r="Z661" s="459">
        <v>3259.66</v>
      </c>
      <c r="AA661" s="459">
        <v>0</v>
      </c>
      <c r="AB661" s="459">
        <v>795.31</v>
      </c>
      <c r="AC661" s="459">
        <v>0</v>
      </c>
      <c r="AD661" s="459">
        <v>0</v>
      </c>
      <c r="AE661" s="459">
        <v>0</v>
      </c>
      <c r="AF661" s="458">
        <v>0</v>
      </c>
      <c r="AG661" s="459">
        <v>0</v>
      </c>
      <c r="AH661" s="458">
        <v>0</v>
      </c>
      <c r="AI661" s="459">
        <v>0</v>
      </c>
      <c r="AJ661" s="458">
        <v>0</v>
      </c>
      <c r="AK661" s="459">
        <v>0</v>
      </c>
      <c r="AL661" s="459">
        <v>0</v>
      </c>
      <c r="AM661" s="459">
        <v>0</v>
      </c>
      <c r="AN661" s="459"/>
      <c r="AO661" s="459">
        <v>0</v>
      </c>
      <c r="AP661" s="460"/>
      <c r="AQ661" s="460"/>
      <c r="AR661" s="460"/>
      <c r="AS661" s="460"/>
      <c r="AT661" s="460"/>
      <c r="AU661" s="460"/>
      <c r="AV661" s="460"/>
      <c r="AW661" s="460"/>
      <c r="AX661" s="460"/>
      <c r="AY661" s="460"/>
      <c r="AZ661" s="460"/>
      <c r="BA661" s="460"/>
      <c r="BB661" s="460"/>
      <c r="BC661" s="460"/>
      <c r="BD661" s="460"/>
      <c r="BE661" s="460"/>
      <c r="BF661" s="460"/>
      <c r="BG661" s="460"/>
      <c r="BH661" s="460"/>
      <c r="BI661" s="460"/>
      <c r="BJ661" s="460"/>
      <c r="BK661" s="460"/>
      <c r="BL661" s="460"/>
      <c r="BM661" s="460"/>
      <c r="BN661" s="460"/>
      <c r="BO661" s="460"/>
      <c r="BP661" s="460"/>
      <c r="BQ661" s="460"/>
      <c r="BR661" s="460"/>
      <c r="BS661" s="460"/>
      <c r="BT661" s="460"/>
      <c r="BU661" s="460"/>
      <c r="BV661" s="460"/>
      <c r="BW661" s="460"/>
      <c r="BX661" s="460"/>
      <c r="BY661" s="460"/>
      <c r="BZ661" s="460"/>
      <c r="CA661" s="460"/>
      <c r="CB661" s="460"/>
      <c r="CC661" s="460"/>
      <c r="CD661" s="460"/>
      <c r="CE661" s="460"/>
      <c r="CF661" s="460"/>
      <c r="CG661" s="460"/>
      <c r="CH661" s="460"/>
      <c r="CI661" s="460"/>
      <c r="CJ661" s="460"/>
      <c r="CK661" s="460"/>
    </row>
    <row r="662" spans="1:89" s="329" customFormat="1" ht="36" customHeight="1" x14ac:dyDescent="0.25">
      <c r="A662" s="329">
        <v>1</v>
      </c>
      <c r="B662" s="39">
        <f>SUBTOTAL(103,$A$552:A662)</f>
        <v>110</v>
      </c>
      <c r="C662" s="33" t="s">
        <v>1134</v>
      </c>
      <c r="D662" s="330">
        <v>1985</v>
      </c>
      <c r="E662" s="330">
        <v>2014</v>
      </c>
      <c r="F662" s="331" t="s">
        <v>48</v>
      </c>
      <c r="G662" s="330">
        <v>9</v>
      </c>
      <c r="H662" s="330" t="s">
        <v>61</v>
      </c>
      <c r="I662" s="38">
        <v>7073.4</v>
      </c>
      <c r="J662" s="38">
        <v>6236.1</v>
      </c>
      <c r="K662" s="38">
        <v>5330.6</v>
      </c>
      <c r="L662" s="332">
        <v>229</v>
      </c>
      <c r="M662" s="330" t="s">
        <v>46</v>
      </c>
      <c r="N662" s="330" t="s">
        <v>50</v>
      </c>
      <c r="O662" s="333" t="s">
        <v>1993</v>
      </c>
      <c r="P662" s="38">
        <v>4854047.7300000004</v>
      </c>
      <c r="Q662" s="38">
        <v>0</v>
      </c>
      <c r="R662" s="38">
        <v>0</v>
      </c>
      <c r="S662" s="38">
        <f t="shared" si="124"/>
        <v>4854047.7300000004</v>
      </c>
      <c r="T662" s="38">
        <f t="shared" si="127"/>
        <v>686.23967681737224</v>
      </c>
      <c r="U662" s="38">
        <v>4070.12</v>
      </c>
      <c r="V662" s="458">
        <f t="shared" si="128"/>
        <v>3383.8803231826278</v>
      </c>
      <c r="W662" s="458">
        <f t="shared" si="125"/>
        <v>473.37050216303339</v>
      </c>
      <c r="X662" s="458">
        <v>0</v>
      </c>
      <c r="Y662" s="459">
        <v>0</v>
      </c>
      <c r="Z662" s="459">
        <v>0</v>
      </c>
      <c r="AA662" s="459">
        <v>0</v>
      </c>
      <c r="AB662" s="459">
        <v>0</v>
      </c>
      <c r="AC662" s="459">
        <v>0</v>
      </c>
      <c r="AD662" s="459">
        <v>0</v>
      </c>
      <c r="AE662" s="459">
        <v>0</v>
      </c>
      <c r="AF662" s="458">
        <v>0</v>
      </c>
      <c r="AG662" s="459">
        <v>0</v>
      </c>
      <c r="AH662" s="458">
        <v>0</v>
      </c>
      <c r="AI662" s="459">
        <v>450.1</v>
      </c>
      <c r="AJ662" s="458">
        <f>7439.1*AI662/I662</f>
        <v>473.37050216303339</v>
      </c>
      <c r="AK662" s="459">
        <v>0</v>
      </c>
      <c r="AL662" s="459">
        <v>0</v>
      </c>
      <c r="AM662" s="459">
        <v>0</v>
      </c>
      <c r="AN662" s="459"/>
      <c r="AO662" s="459">
        <v>0</v>
      </c>
      <c r="AP662" s="460"/>
      <c r="AQ662" s="460"/>
      <c r="AR662" s="460"/>
      <c r="AS662" s="460"/>
      <c r="AT662" s="460"/>
      <c r="AU662" s="460"/>
      <c r="AV662" s="460"/>
      <c r="AW662" s="460"/>
      <c r="AX662" s="460"/>
      <c r="AY662" s="460"/>
      <c r="AZ662" s="460"/>
      <c r="BA662" s="460"/>
      <c r="BB662" s="460"/>
      <c r="BC662" s="460"/>
      <c r="BD662" s="460"/>
      <c r="BE662" s="460"/>
      <c r="BF662" s="460"/>
      <c r="BG662" s="460"/>
      <c r="BH662" s="460"/>
      <c r="BI662" s="460"/>
      <c r="BJ662" s="460"/>
      <c r="BK662" s="460"/>
      <c r="BL662" s="460"/>
      <c r="BM662" s="460"/>
      <c r="BN662" s="460"/>
      <c r="BO662" s="460"/>
      <c r="BP662" s="460"/>
      <c r="BQ662" s="460"/>
      <c r="BR662" s="460"/>
      <c r="BS662" s="460"/>
      <c r="BT662" s="460"/>
      <c r="BU662" s="460"/>
      <c r="BV662" s="460"/>
      <c r="BW662" s="460"/>
      <c r="BX662" s="460"/>
      <c r="BY662" s="460"/>
      <c r="BZ662" s="460"/>
      <c r="CA662" s="460"/>
      <c r="CB662" s="460"/>
      <c r="CC662" s="460"/>
      <c r="CD662" s="460"/>
      <c r="CE662" s="460"/>
      <c r="CF662" s="460"/>
      <c r="CG662" s="460"/>
      <c r="CH662" s="460"/>
      <c r="CI662" s="460"/>
      <c r="CJ662" s="460"/>
      <c r="CK662" s="460"/>
    </row>
    <row r="663" spans="1:89" s="329" customFormat="1" ht="36" customHeight="1" x14ac:dyDescent="0.25">
      <c r="A663" s="329">
        <v>1</v>
      </c>
      <c r="B663" s="39">
        <f>SUBTOTAL(103,$A$552:A663)</f>
        <v>111</v>
      </c>
      <c r="C663" s="33" t="s">
        <v>1517</v>
      </c>
      <c r="D663" s="330">
        <v>1955</v>
      </c>
      <c r="E663" s="330"/>
      <c r="F663" s="331" t="s">
        <v>48</v>
      </c>
      <c r="G663" s="330">
        <v>2</v>
      </c>
      <c r="H663" s="330" t="s">
        <v>57</v>
      </c>
      <c r="I663" s="38">
        <v>388.3</v>
      </c>
      <c r="J663" s="38">
        <v>388.3</v>
      </c>
      <c r="K663" s="38">
        <v>388.3</v>
      </c>
      <c r="L663" s="332">
        <v>24</v>
      </c>
      <c r="M663" s="330" t="s">
        <v>46</v>
      </c>
      <c r="N663" s="330" t="s">
        <v>47</v>
      </c>
      <c r="O663" s="333" t="s">
        <v>49</v>
      </c>
      <c r="P663" s="38">
        <v>1971369.43</v>
      </c>
      <c r="Q663" s="38">
        <v>0</v>
      </c>
      <c r="R663" s="38">
        <v>0</v>
      </c>
      <c r="S663" s="38">
        <f t="shared" si="124"/>
        <v>1971369.43</v>
      </c>
      <c r="T663" s="38">
        <f t="shared" si="127"/>
        <v>5076.9235900077256</v>
      </c>
      <c r="U663" s="38">
        <v>8623.072134947206</v>
      </c>
      <c r="V663" s="458">
        <f t="shared" si="128"/>
        <v>3546.1485449394804</v>
      </c>
      <c r="W663" s="458">
        <f>T663</f>
        <v>5076.9235900077256</v>
      </c>
      <c r="X663" s="458">
        <v>0</v>
      </c>
      <c r="Y663" s="459">
        <v>0</v>
      </c>
      <c r="Z663" s="459">
        <v>0</v>
      </c>
      <c r="AA663" s="459">
        <v>0</v>
      </c>
      <c r="AB663" s="459">
        <v>0</v>
      </c>
      <c r="AC663" s="459">
        <v>0</v>
      </c>
      <c r="AD663" s="459">
        <v>0</v>
      </c>
      <c r="AE663" s="459">
        <v>0</v>
      </c>
      <c r="AF663" s="458">
        <v>0</v>
      </c>
      <c r="AG663" s="459">
        <v>0</v>
      </c>
      <c r="AH663" s="458">
        <v>0</v>
      </c>
      <c r="AI663" s="459">
        <v>538.6</v>
      </c>
      <c r="AJ663" s="458">
        <f>3979.46*AI663/I663</f>
        <v>5519.7969508112283</v>
      </c>
      <c r="AK663" s="459">
        <v>0</v>
      </c>
      <c r="AL663" s="459">
        <v>0</v>
      </c>
      <c r="AM663" s="459">
        <v>0</v>
      </c>
      <c r="AN663" s="459"/>
      <c r="AO663" s="459">
        <v>0</v>
      </c>
      <c r="AP663" s="460"/>
      <c r="AQ663" s="460"/>
      <c r="AR663" s="460"/>
      <c r="AS663" s="460"/>
      <c r="AT663" s="460"/>
      <c r="AU663" s="460"/>
      <c r="AV663" s="460"/>
      <c r="AW663" s="460"/>
      <c r="AX663" s="460"/>
      <c r="AY663" s="460"/>
      <c r="AZ663" s="460"/>
      <c r="BA663" s="460"/>
      <c r="BB663" s="460"/>
      <c r="BC663" s="460"/>
      <c r="BD663" s="460"/>
      <c r="BE663" s="460"/>
      <c r="BF663" s="460"/>
      <c r="BG663" s="460"/>
      <c r="BH663" s="460"/>
      <c r="BI663" s="460"/>
      <c r="BJ663" s="460"/>
      <c r="BK663" s="460"/>
      <c r="BL663" s="460"/>
      <c r="BM663" s="460"/>
      <c r="BN663" s="460"/>
      <c r="BO663" s="460"/>
      <c r="BP663" s="460"/>
      <c r="BQ663" s="460"/>
      <c r="BR663" s="460"/>
      <c r="BS663" s="460"/>
      <c r="BT663" s="460"/>
      <c r="BU663" s="460"/>
      <c r="BV663" s="460"/>
      <c r="BW663" s="460"/>
      <c r="BX663" s="460"/>
      <c r="BY663" s="460"/>
      <c r="BZ663" s="460"/>
      <c r="CA663" s="460"/>
      <c r="CB663" s="460"/>
      <c r="CC663" s="460"/>
      <c r="CD663" s="460"/>
      <c r="CE663" s="460"/>
      <c r="CF663" s="460"/>
      <c r="CG663" s="460"/>
      <c r="CH663" s="460"/>
      <c r="CI663" s="460"/>
      <c r="CJ663" s="460"/>
      <c r="CK663" s="460"/>
    </row>
    <row r="664" spans="1:89" s="329" customFormat="1" ht="36" customHeight="1" x14ac:dyDescent="0.25">
      <c r="A664" s="329">
        <v>1</v>
      </c>
      <c r="B664" s="39">
        <f>SUBTOTAL(103,$A$552:A664)</f>
        <v>112</v>
      </c>
      <c r="C664" s="33" t="s">
        <v>1112</v>
      </c>
      <c r="D664" s="330">
        <v>1937</v>
      </c>
      <c r="E664" s="330">
        <v>2010</v>
      </c>
      <c r="F664" s="331" t="s">
        <v>68</v>
      </c>
      <c r="G664" s="330">
        <v>2</v>
      </c>
      <c r="H664" s="330" t="s">
        <v>56</v>
      </c>
      <c r="I664" s="334">
        <v>522</v>
      </c>
      <c r="J664" s="334">
        <v>471.4</v>
      </c>
      <c r="K664" s="334">
        <v>471.4</v>
      </c>
      <c r="L664" s="332">
        <v>22</v>
      </c>
      <c r="M664" s="330" t="s">
        <v>46</v>
      </c>
      <c r="N664" s="330" t="s">
        <v>47</v>
      </c>
      <c r="O664" s="333" t="s">
        <v>49</v>
      </c>
      <c r="P664" s="38">
        <v>2358287.8899999997</v>
      </c>
      <c r="Q664" s="38">
        <v>0</v>
      </c>
      <c r="R664" s="38">
        <v>0</v>
      </c>
      <c r="S664" s="38">
        <f t="shared" si="124"/>
        <v>2358287.8899999997</v>
      </c>
      <c r="T664" s="38">
        <f t="shared" si="127"/>
        <v>4517.7928927203056</v>
      </c>
      <c r="U664" s="38">
        <v>4517.7928927203056</v>
      </c>
      <c r="V664" s="458">
        <f t="shared" si="128"/>
        <v>0</v>
      </c>
      <c r="W664" s="458">
        <f t="shared" si="125"/>
        <v>6095.4867816091955</v>
      </c>
      <c r="X664" s="458">
        <v>0</v>
      </c>
      <c r="Y664" s="459">
        <v>0</v>
      </c>
      <c r="Z664" s="459">
        <v>0</v>
      </c>
      <c r="AA664" s="459">
        <v>0</v>
      </c>
      <c r="AB664" s="459">
        <v>0</v>
      </c>
      <c r="AC664" s="459">
        <v>0</v>
      </c>
      <c r="AD664" s="459">
        <v>0</v>
      </c>
      <c r="AE664" s="459">
        <v>510</v>
      </c>
      <c r="AF664" s="458">
        <f>6238.91*AE664/I664</f>
        <v>6095.4867816091955</v>
      </c>
      <c r="AG664" s="459">
        <v>0</v>
      </c>
      <c r="AH664" s="458">
        <v>0</v>
      </c>
      <c r="AI664" s="459">
        <v>0</v>
      </c>
      <c r="AJ664" s="458">
        <v>0</v>
      </c>
      <c r="AK664" s="459">
        <v>0</v>
      </c>
      <c r="AL664" s="459">
        <v>0</v>
      </c>
      <c r="AM664" s="459">
        <v>0</v>
      </c>
      <c r="AN664" s="459"/>
      <c r="AO664" s="459">
        <v>0</v>
      </c>
      <c r="AP664" s="460"/>
      <c r="AQ664" s="460"/>
      <c r="AR664" s="460"/>
      <c r="AS664" s="460"/>
      <c r="AT664" s="460"/>
      <c r="AU664" s="460"/>
      <c r="AV664" s="460"/>
      <c r="AW664" s="460"/>
      <c r="AX664" s="460"/>
      <c r="AY664" s="460"/>
      <c r="AZ664" s="460"/>
      <c r="BA664" s="460"/>
      <c r="BB664" s="460"/>
      <c r="BC664" s="460"/>
      <c r="BD664" s="460"/>
      <c r="BE664" s="460"/>
      <c r="BF664" s="460"/>
      <c r="BG664" s="460"/>
      <c r="BH664" s="460"/>
      <c r="BI664" s="460"/>
      <c r="BJ664" s="460"/>
      <c r="BK664" s="460"/>
      <c r="BL664" s="460"/>
      <c r="BM664" s="460"/>
      <c r="BN664" s="460"/>
      <c r="BO664" s="460"/>
      <c r="BP664" s="460"/>
      <c r="BQ664" s="460"/>
      <c r="BR664" s="460"/>
      <c r="BS664" s="460"/>
      <c r="BT664" s="460"/>
      <c r="BU664" s="460"/>
      <c r="BV664" s="460"/>
      <c r="BW664" s="460"/>
      <c r="BX664" s="460"/>
      <c r="BY664" s="460"/>
      <c r="BZ664" s="460"/>
      <c r="CA664" s="460"/>
      <c r="CB664" s="460"/>
      <c r="CC664" s="460"/>
      <c r="CD664" s="460"/>
      <c r="CE664" s="460"/>
      <c r="CF664" s="460"/>
      <c r="CG664" s="460"/>
      <c r="CH664" s="460"/>
      <c r="CI664" s="460"/>
      <c r="CJ664" s="460"/>
      <c r="CK664" s="460"/>
    </row>
    <row r="665" spans="1:89" s="329" customFormat="1" ht="36" customHeight="1" x14ac:dyDescent="0.25">
      <c r="A665" s="329">
        <v>1</v>
      </c>
      <c r="B665" s="39">
        <f>SUBTOTAL(103,$A$552:A665)</f>
        <v>113</v>
      </c>
      <c r="C665" s="33" t="s">
        <v>1518</v>
      </c>
      <c r="D665" s="330">
        <v>1928</v>
      </c>
      <c r="E665" s="330"/>
      <c r="F665" s="331" t="s">
        <v>1981</v>
      </c>
      <c r="G665" s="330" t="s">
        <v>56</v>
      </c>
      <c r="H665" s="330" t="s">
        <v>56</v>
      </c>
      <c r="I665" s="38">
        <v>550</v>
      </c>
      <c r="J665" s="38">
        <v>498.3</v>
      </c>
      <c r="K665" s="38">
        <v>498.3</v>
      </c>
      <c r="L665" s="332">
        <v>28</v>
      </c>
      <c r="M665" s="330" t="s">
        <v>46</v>
      </c>
      <c r="N665" s="330" t="s">
        <v>47</v>
      </c>
      <c r="O665" s="333" t="s">
        <v>49</v>
      </c>
      <c r="P665" s="38">
        <v>2333192.16</v>
      </c>
      <c r="Q665" s="38">
        <v>0</v>
      </c>
      <c r="R665" s="38">
        <v>0</v>
      </c>
      <c r="S665" s="38">
        <f t="shared" si="124"/>
        <v>2333192.16</v>
      </c>
      <c r="T665" s="38">
        <f t="shared" si="127"/>
        <v>4242.1675636363643</v>
      </c>
      <c r="U665" s="38">
        <v>10033.85808</v>
      </c>
      <c r="V665" s="458">
        <f t="shared" si="128"/>
        <v>5791.6905163636357</v>
      </c>
      <c r="W665" s="458">
        <f t="shared" si="125"/>
        <v>3259.66</v>
      </c>
      <c r="X665" s="458">
        <v>0</v>
      </c>
      <c r="Y665" s="459">
        <v>0</v>
      </c>
      <c r="Z665" s="459">
        <v>3259.66</v>
      </c>
      <c r="AA665" s="459">
        <v>0</v>
      </c>
      <c r="AB665" s="459">
        <v>0</v>
      </c>
      <c r="AC665" s="459">
        <v>0</v>
      </c>
      <c r="AD665" s="459">
        <v>0</v>
      </c>
      <c r="AE665" s="459">
        <v>0</v>
      </c>
      <c r="AF665" s="458">
        <v>0</v>
      </c>
      <c r="AG665" s="459">
        <v>0</v>
      </c>
      <c r="AH665" s="458">
        <v>0</v>
      </c>
      <c r="AI665" s="459">
        <v>0</v>
      </c>
      <c r="AJ665" s="458">
        <v>0</v>
      </c>
      <c r="AK665" s="459">
        <v>0</v>
      </c>
      <c r="AL665" s="459">
        <v>0</v>
      </c>
      <c r="AM665" s="459">
        <v>0</v>
      </c>
      <c r="AN665" s="459"/>
      <c r="AO665" s="459">
        <v>0</v>
      </c>
      <c r="AP665" s="460"/>
      <c r="AQ665" s="460"/>
      <c r="AR665" s="460"/>
      <c r="AS665" s="460"/>
      <c r="AT665" s="460"/>
      <c r="AU665" s="460"/>
      <c r="AV665" s="460"/>
      <c r="AW665" s="460"/>
      <c r="AX665" s="460"/>
      <c r="AY665" s="460"/>
      <c r="AZ665" s="460"/>
      <c r="BA665" s="460"/>
      <c r="BB665" s="460"/>
      <c r="BC665" s="460"/>
      <c r="BD665" s="460"/>
      <c r="BE665" s="460"/>
      <c r="BF665" s="460"/>
      <c r="BG665" s="460"/>
      <c r="BH665" s="460"/>
      <c r="BI665" s="460"/>
      <c r="BJ665" s="460"/>
      <c r="BK665" s="460"/>
      <c r="BL665" s="460"/>
      <c r="BM665" s="460"/>
      <c r="BN665" s="460"/>
      <c r="BO665" s="460"/>
      <c r="BP665" s="460"/>
      <c r="BQ665" s="460"/>
      <c r="BR665" s="460"/>
      <c r="BS665" s="460"/>
      <c r="BT665" s="460"/>
      <c r="BU665" s="460"/>
      <c r="BV665" s="460"/>
      <c r="BW665" s="460"/>
      <c r="BX665" s="460"/>
      <c r="BY665" s="460"/>
      <c r="BZ665" s="460"/>
      <c r="CA665" s="460"/>
      <c r="CB665" s="460"/>
      <c r="CC665" s="460"/>
      <c r="CD665" s="460"/>
      <c r="CE665" s="460"/>
      <c r="CF665" s="460"/>
      <c r="CG665" s="460"/>
      <c r="CH665" s="460"/>
      <c r="CI665" s="460"/>
      <c r="CJ665" s="460"/>
      <c r="CK665" s="460"/>
    </row>
    <row r="666" spans="1:89" s="329" customFormat="1" ht="36" customHeight="1" x14ac:dyDescent="0.25">
      <c r="A666" s="329">
        <v>1</v>
      </c>
      <c r="B666" s="39">
        <f>SUBTOTAL(103,$A$552:A666)</f>
        <v>114</v>
      </c>
      <c r="C666" s="33" t="s">
        <v>1132</v>
      </c>
      <c r="D666" s="330">
        <v>1970</v>
      </c>
      <c r="E666" s="330"/>
      <c r="F666" s="331" t="s">
        <v>48</v>
      </c>
      <c r="G666" s="330">
        <v>5</v>
      </c>
      <c r="H666" s="330" t="s">
        <v>59</v>
      </c>
      <c r="I666" s="38">
        <v>3635.4</v>
      </c>
      <c r="J666" s="38">
        <v>3360</v>
      </c>
      <c r="K666" s="38">
        <v>3247.2</v>
      </c>
      <c r="L666" s="332">
        <v>167</v>
      </c>
      <c r="M666" s="330" t="s">
        <v>46</v>
      </c>
      <c r="N666" s="330" t="s">
        <v>50</v>
      </c>
      <c r="O666" s="333" t="s">
        <v>1993</v>
      </c>
      <c r="P666" s="38">
        <v>1540784.43</v>
      </c>
      <c r="Q666" s="38">
        <v>0</v>
      </c>
      <c r="R666" s="38">
        <v>0</v>
      </c>
      <c r="S666" s="38">
        <f t="shared" si="124"/>
        <v>1540784.43</v>
      </c>
      <c r="T666" s="38">
        <f t="shared" si="127"/>
        <v>423.82803267865984</v>
      </c>
      <c r="U666" s="38">
        <v>3259.66</v>
      </c>
      <c r="V666" s="458">
        <f t="shared" si="128"/>
        <v>2835.83196732134</v>
      </c>
      <c r="W666" s="458">
        <f t="shared" si="125"/>
        <v>3259.66</v>
      </c>
      <c r="X666" s="458">
        <v>0</v>
      </c>
      <c r="Y666" s="459">
        <v>0</v>
      </c>
      <c r="Z666" s="459">
        <v>3259.66</v>
      </c>
      <c r="AA666" s="459">
        <v>0</v>
      </c>
      <c r="AB666" s="459">
        <v>0</v>
      </c>
      <c r="AC666" s="459">
        <v>0</v>
      </c>
      <c r="AD666" s="459">
        <v>0</v>
      </c>
      <c r="AE666" s="459">
        <v>0</v>
      </c>
      <c r="AF666" s="458">
        <v>0</v>
      </c>
      <c r="AG666" s="459">
        <v>0</v>
      </c>
      <c r="AH666" s="458">
        <v>0</v>
      </c>
      <c r="AI666" s="459">
        <v>0</v>
      </c>
      <c r="AJ666" s="458">
        <v>0</v>
      </c>
      <c r="AK666" s="459">
        <v>0</v>
      </c>
      <c r="AL666" s="459">
        <v>0</v>
      </c>
      <c r="AM666" s="459">
        <v>0</v>
      </c>
      <c r="AN666" s="459"/>
      <c r="AO666" s="459">
        <v>0</v>
      </c>
      <c r="AP666" s="460"/>
      <c r="AQ666" s="460"/>
      <c r="AR666" s="460"/>
      <c r="AS666" s="460"/>
      <c r="AT666" s="460"/>
      <c r="AU666" s="460"/>
      <c r="AV666" s="460"/>
      <c r="AW666" s="460"/>
      <c r="AX666" s="460"/>
      <c r="AY666" s="460"/>
      <c r="AZ666" s="460"/>
      <c r="BA666" s="460"/>
      <c r="BB666" s="460"/>
      <c r="BC666" s="460"/>
      <c r="BD666" s="460"/>
      <c r="BE666" s="460"/>
      <c r="BF666" s="460"/>
      <c r="BG666" s="460"/>
      <c r="BH666" s="460"/>
      <c r="BI666" s="460"/>
      <c r="BJ666" s="460"/>
      <c r="BK666" s="460"/>
      <c r="BL666" s="460"/>
      <c r="BM666" s="460"/>
      <c r="BN666" s="460"/>
      <c r="BO666" s="460"/>
      <c r="BP666" s="460"/>
      <c r="BQ666" s="460"/>
      <c r="BR666" s="460"/>
      <c r="BS666" s="460"/>
      <c r="BT666" s="460"/>
      <c r="BU666" s="460"/>
      <c r="BV666" s="460"/>
      <c r="BW666" s="460"/>
      <c r="BX666" s="460"/>
      <c r="BY666" s="460"/>
      <c r="BZ666" s="460"/>
      <c r="CA666" s="460"/>
      <c r="CB666" s="460"/>
      <c r="CC666" s="460"/>
      <c r="CD666" s="460"/>
      <c r="CE666" s="460"/>
      <c r="CF666" s="460"/>
      <c r="CG666" s="460"/>
      <c r="CH666" s="460"/>
      <c r="CI666" s="460"/>
      <c r="CJ666" s="460"/>
      <c r="CK666" s="460"/>
    </row>
    <row r="667" spans="1:89" s="329" customFormat="1" ht="36" customHeight="1" x14ac:dyDescent="0.25">
      <c r="A667" s="329">
        <v>1</v>
      </c>
      <c r="B667" s="39">
        <f>SUBTOTAL(103,$A$552:A667)</f>
        <v>115</v>
      </c>
      <c r="C667" s="33" t="s">
        <v>1135</v>
      </c>
      <c r="D667" s="330">
        <v>1970</v>
      </c>
      <c r="E667" s="330"/>
      <c r="F667" s="331" t="s">
        <v>48</v>
      </c>
      <c r="G667" s="330">
        <v>2</v>
      </c>
      <c r="H667" s="330" t="s">
        <v>56</v>
      </c>
      <c r="I667" s="38">
        <v>794.7</v>
      </c>
      <c r="J667" s="38">
        <v>737.8</v>
      </c>
      <c r="K667" s="38">
        <v>737.8</v>
      </c>
      <c r="L667" s="332">
        <v>38</v>
      </c>
      <c r="M667" s="330" t="s">
        <v>46</v>
      </c>
      <c r="N667" s="330" t="s">
        <v>47</v>
      </c>
      <c r="O667" s="333" t="s">
        <v>49</v>
      </c>
      <c r="P667" s="38">
        <v>4238701.74</v>
      </c>
      <c r="Q667" s="38">
        <v>0</v>
      </c>
      <c r="R667" s="38">
        <v>0</v>
      </c>
      <c r="S667" s="38">
        <f t="shared" si="124"/>
        <v>4238701.74</v>
      </c>
      <c r="T667" s="38">
        <f t="shared" si="127"/>
        <v>5333.7130237825595</v>
      </c>
      <c r="U667" s="38">
        <v>5333.7130237825595</v>
      </c>
      <c r="V667" s="458">
        <f t="shared" si="128"/>
        <v>0</v>
      </c>
      <c r="W667" s="458">
        <f t="shared" si="125"/>
        <v>3259.66</v>
      </c>
      <c r="X667" s="458">
        <v>0</v>
      </c>
      <c r="Y667" s="459">
        <v>0</v>
      </c>
      <c r="Z667" s="459">
        <v>3259.66</v>
      </c>
      <c r="AA667" s="459">
        <v>0</v>
      </c>
      <c r="AB667" s="459">
        <v>0</v>
      </c>
      <c r="AC667" s="459">
        <v>0</v>
      </c>
      <c r="AD667" s="459">
        <v>0</v>
      </c>
      <c r="AE667" s="459">
        <v>0</v>
      </c>
      <c r="AF667" s="458">
        <v>0</v>
      </c>
      <c r="AG667" s="459">
        <v>0</v>
      </c>
      <c r="AH667" s="458">
        <v>0</v>
      </c>
      <c r="AI667" s="459">
        <v>0</v>
      </c>
      <c r="AJ667" s="458">
        <v>0</v>
      </c>
      <c r="AK667" s="459">
        <v>0</v>
      </c>
      <c r="AL667" s="459">
        <v>0</v>
      </c>
      <c r="AM667" s="459">
        <v>0</v>
      </c>
      <c r="AN667" s="459"/>
      <c r="AO667" s="459">
        <v>0</v>
      </c>
      <c r="AP667" s="460"/>
      <c r="AQ667" s="460"/>
      <c r="AR667" s="460"/>
      <c r="AS667" s="460"/>
      <c r="AT667" s="460"/>
      <c r="AU667" s="460"/>
      <c r="AV667" s="460"/>
      <c r="AW667" s="460"/>
      <c r="AX667" s="460"/>
      <c r="AY667" s="460"/>
      <c r="AZ667" s="460"/>
      <c r="BA667" s="460"/>
      <c r="BB667" s="460"/>
      <c r="BC667" s="460"/>
      <c r="BD667" s="460"/>
      <c r="BE667" s="460"/>
      <c r="BF667" s="460"/>
      <c r="BG667" s="460"/>
      <c r="BH667" s="460"/>
      <c r="BI667" s="460"/>
      <c r="BJ667" s="460"/>
      <c r="BK667" s="460"/>
      <c r="BL667" s="460"/>
      <c r="BM667" s="460"/>
      <c r="BN667" s="460"/>
      <c r="BO667" s="460"/>
      <c r="BP667" s="460"/>
      <c r="BQ667" s="460"/>
      <c r="BR667" s="460"/>
      <c r="BS667" s="460"/>
      <c r="BT667" s="460"/>
      <c r="BU667" s="460"/>
      <c r="BV667" s="460"/>
      <c r="BW667" s="460"/>
      <c r="BX667" s="460"/>
      <c r="BY667" s="460"/>
      <c r="BZ667" s="460"/>
      <c r="CA667" s="460"/>
      <c r="CB667" s="460"/>
      <c r="CC667" s="460"/>
      <c r="CD667" s="460"/>
      <c r="CE667" s="460"/>
      <c r="CF667" s="460"/>
      <c r="CG667" s="460"/>
      <c r="CH667" s="460"/>
      <c r="CI667" s="460"/>
      <c r="CJ667" s="460"/>
      <c r="CK667" s="460"/>
    </row>
    <row r="668" spans="1:89" s="329" customFormat="1" ht="36" customHeight="1" x14ac:dyDescent="0.25">
      <c r="A668" s="329">
        <v>1</v>
      </c>
      <c r="B668" s="39">
        <f>SUBTOTAL(103,$A$552:A668)</f>
        <v>116</v>
      </c>
      <c r="C668" s="33" t="s">
        <v>1136</v>
      </c>
      <c r="D668" s="330">
        <v>1978</v>
      </c>
      <c r="E668" s="330"/>
      <c r="F668" s="331" t="s">
        <v>68</v>
      </c>
      <c r="G668" s="330" t="s">
        <v>56</v>
      </c>
      <c r="H668" s="330" t="s">
        <v>61</v>
      </c>
      <c r="I668" s="38">
        <v>873.7</v>
      </c>
      <c r="J668" s="38">
        <v>873.7</v>
      </c>
      <c r="K668" s="38">
        <v>873.7</v>
      </c>
      <c r="L668" s="332">
        <v>31</v>
      </c>
      <c r="M668" s="330" t="s">
        <v>46</v>
      </c>
      <c r="N668" s="330" t="s">
        <v>47</v>
      </c>
      <c r="O668" s="333" t="s">
        <v>49</v>
      </c>
      <c r="P668" s="38">
        <v>2922293.2399999998</v>
      </c>
      <c r="Q668" s="38">
        <v>0</v>
      </c>
      <c r="R668" s="38">
        <v>0</v>
      </c>
      <c r="S668" s="38">
        <f t="shared" si="124"/>
        <v>2922293.2399999998</v>
      </c>
      <c r="T668" s="38">
        <f t="shared" si="127"/>
        <v>3344.7330204875811</v>
      </c>
      <c r="U668" s="38">
        <v>3344.7330204875811</v>
      </c>
      <c r="V668" s="458">
        <f t="shared" si="128"/>
        <v>0</v>
      </c>
      <c r="W668" s="458">
        <f t="shared" si="125"/>
        <v>4054.97</v>
      </c>
      <c r="X668" s="458">
        <v>0</v>
      </c>
      <c r="Y668" s="459">
        <v>0</v>
      </c>
      <c r="Z668" s="459">
        <v>3259.66</v>
      </c>
      <c r="AA668" s="459">
        <v>0</v>
      </c>
      <c r="AB668" s="459">
        <v>795.31</v>
      </c>
      <c r="AC668" s="459">
        <v>0</v>
      </c>
      <c r="AD668" s="459">
        <v>0</v>
      </c>
      <c r="AE668" s="459">
        <v>0</v>
      </c>
      <c r="AF668" s="458">
        <v>0</v>
      </c>
      <c r="AG668" s="459">
        <v>0</v>
      </c>
      <c r="AH668" s="458">
        <v>0</v>
      </c>
      <c r="AI668" s="459">
        <v>0</v>
      </c>
      <c r="AJ668" s="458">
        <v>0</v>
      </c>
      <c r="AK668" s="459">
        <v>0</v>
      </c>
      <c r="AL668" s="459">
        <v>0</v>
      </c>
      <c r="AM668" s="459">
        <v>0</v>
      </c>
      <c r="AN668" s="459"/>
      <c r="AO668" s="459">
        <v>0</v>
      </c>
      <c r="AP668" s="460"/>
      <c r="AQ668" s="460"/>
      <c r="AR668" s="460"/>
      <c r="AS668" s="460"/>
      <c r="AT668" s="460"/>
      <c r="AU668" s="460"/>
      <c r="AV668" s="460"/>
      <c r="AW668" s="460"/>
      <c r="AX668" s="460"/>
      <c r="AY668" s="460"/>
      <c r="AZ668" s="460"/>
      <c r="BA668" s="460"/>
      <c r="BB668" s="460"/>
      <c r="BC668" s="460"/>
      <c r="BD668" s="460"/>
      <c r="BE668" s="460"/>
      <c r="BF668" s="460"/>
      <c r="BG668" s="460"/>
      <c r="BH668" s="460"/>
      <c r="BI668" s="460"/>
      <c r="BJ668" s="460"/>
      <c r="BK668" s="460"/>
      <c r="BL668" s="460"/>
      <c r="BM668" s="460"/>
      <c r="BN668" s="460"/>
      <c r="BO668" s="460"/>
      <c r="BP668" s="460"/>
      <c r="BQ668" s="460"/>
      <c r="BR668" s="460"/>
      <c r="BS668" s="460"/>
      <c r="BT668" s="460"/>
      <c r="BU668" s="460"/>
      <c r="BV668" s="460"/>
      <c r="BW668" s="460"/>
      <c r="BX668" s="460"/>
      <c r="BY668" s="460"/>
      <c r="BZ668" s="460"/>
      <c r="CA668" s="460"/>
      <c r="CB668" s="460"/>
      <c r="CC668" s="460"/>
      <c r="CD668" s="460"/>
      <c r="CE668" s="460"/>
      <c r="CF668" s="460"/>
      <c r="CG668" s="460"/>
      <c r="CH668" s="460"/>
      <c r="CI668" s="460"/>
      <c r="CJ668" s="460"/>
      <c r="CK668" s="460"/>
    </row>
    <row r="669" spans="1:89" s="329" customFormat="1" ht="61.5" x14ac:dyDescent="0.25">
      <c r="A669" s="329">
        <v>1</v>
      </c>
      <c r="B669" s="39">
        <f>SUBTOTAL(103,$A$552:A669)</f>
        <v>117</v>
      </c>
      <c r="C669" s="33" t="s">
        <v>1138</v>
      </c>
      <c r="D669" s="330">
        <v>1927</v>
      </c>
      <c r="E669" s="330"/>
      <c r="F669" s="331" t="s">
        <v>1981</v>
      </c>
      <c r="G669" s="330">
        <v>2</v>
      </c>
      <c r="H669" s="330" t="s">
        <v>56</v>
      </c>
      <c r="I669" s="38">
        <v>522.4</v>
      </c>
      <c r="J669" s="38">
        <v>474.6</v>
      </c>
      <c r="K669" s="38">
        <v>239.9</v>
      </c>
      <c r="L669" s="332">
        <v>7</v>
      </c>
      <c r="M669" s="330" t="s">
        <v>46</v>
      </c>
      <c r="N669" s="330" t="s">
        <v>50</v>
      </c>
      <c r="O669" s="333" t="s">
        <v>1995</v>
      </c>
      <c r="P669" s="38">
        <v>3021062.87</v>
      </c>
      <c r="Q669" s="38">
        <v>0</v>
      </c>
      <c r="R669" s="38">
        <v>0</v>
      </c>
      <c r="S669" s="38">
        <f t="shared" si="124"/>
        <v>3021062.87</v>
      </c>
      <c r="T669" s="38">
        <f t="shared" si="127"/>
        <v>5783.045310107198</v>
      </c>
      <c r="U669" s="38">
        <v>9036.8546324655454</v>
      </c>
      <c r="V669" s="458">
        <f t="shared" si="128"/>
        <v>3253.8093223583473</v>
      </c>
      <c r="W669" s="458">
        <f t="shared" si="125"/>
        <v>6409.5308384379787</v>
      </c>
      <c r="X669" s="458">
        <v>0</v>
      </c>
      <c r="Y669" s="459">
        <v>0</v>
      </c>
      <c r="Z669" s="459">
        <v>0</v>
      </c>
      <c r="AA669" s="459">
        <v>0</v>
      </c>
      <c r="AB669" s="459">
        <v>0</v>
      </c>
      <c r="AC669" s="459">
        <v>0</v>
      </c>
      <c r="AD669" s="459">
        <v>0</v>
      </c>
      <c r="AE669" s="459">
        <v>0</v>
      </c>
      <c r="AF669" s="458">
        <v>0</v>
      </c>
      <c r="AG669" s="459">
        <v>0</v>
      </c>
      <c r="AH669" s="458">
        <v>0</v>
      </c>
      <c r="AI669" s="459">
        <v>450.1</v>
      </c>
      <c r="AJ669" s="458">
        <f>7439.1*AI669/I669</f>
        <v>6409.5308384379787</v>
      </c>
      <c r="AK669" s="459">
        <v>0</v>
      </c>
      <c r="AL669" s="459">
        <v>0</v>
      </c>
      <c r="AM669" s="459">
        <v>0</v>
      </c>
      <c r="AN669" s="459"/>
      <c r="AO669" s="459">
        <v>0</v>
      </c>
      <c r="AP669" s="460"/>
      <c r="AQ669" s="460"/>
      <c r="AR669" s="460"/>
      <c r="AS669" s="460"/>
      <c r="AT669" s="460"/>
      <c r="AU669" s="460"/>
      <c r="AV669" s="460"/>
      <c r="AW669" s="460"/>
      <c r="AX669" s="460"/>
      <c r="AY669" s="460"/>
      <c r="AZ669" s="460"/>
      <c r="BA669" s="460"/>
      <c r="BB669" s="460"/>
      <c r="BC669" s="460"/>
      <c r="BD669" s="460"/>
      <c r="BE669" s="460"/>
      <c r="BF669" s="460"/>
      <c r="BG669" s="460"/>
      <c r="BH669" s="460"/>
      <c r="BI669" s="460"/>
      <c r="BJ669" s="460"/>
      <c r="BK669" s="460"/>
      <c r="BL669" s="460"/>
      <c r="BM669" s="460"/>
      <c r="BN669" s="460"/>
      <c r="BO669" s="460"/>
      <c r="BP669" s="460"/>
      <c r="BQ669" s="460"/>
      <c r="BR669" s="460"/>
      <c r="BS669" s="460"/>
      <c r="BT669" s="460"/>
      <c r="BU669" s="460"/>
      <c r="BV669" s="460"/>
      <c r="BW669" s="460"/>
      <c r="BX669" s="460"/>
      <c r="BY669" s="460"/>
      <c r="BZ669" s="460"/>
      <c r="CA669" s="460"/>
      <c r="CB669" s="460"/>
      <c r="CC669" s="460"/>
      <c r="CD669" s="460"/>
      <c r="CE669" s="460"/>
      <c r="CF669" s="460"/>
      <c r="CG669" s="460"/>
      <c r="CH669" s="460"/>
      <c r="CI669" s="460"/>
      <c r="CJ669" s="460"/>
      <c r="CK669" s="460"/>
    </row>
    <row r="670" spans="1:89" s="329" customFormat="1" ht="36" customHeight="1" x14ac:dyDescent="0.25">
      <c r="A670" s="329">
        <v>1</v>
      </c>
      <c r="B670" s="39">
        <f>SUBTOTAL(103,$A$552:A670)</f>
        <v>118</v>
      </c>
      <c r="C670" s="33" t="s">
        <v>941</v>
      </c>
      <c r="D670" s="330">
        <v>1962</v>
      </c>
      <c r="E670" s="330"/>
      <c r="F670" s="331" t="s">
        <v>48</v>
      </c>
      <c r="G670" s="330" t="s">
        <v>61</v>
      </c>
      <c r="H670" s="330" t="s">
        <v>61</v>
      </c>
      <c r="I670" s="38">
        <v>1651.8</v>
      </c>
      <c r="J670" s="38">
        <v>1537.5</v>
      </c>
      <c r="K670" s="38">
        <v>1462.9</v>
      </c>
      <c r="L670" s="332">
        <v>58</v>
      </c>
      <c r="M670" s="330" t="s">
        <v>46</v>
      </c>
      <c r="N670" s="330" t="s">
        <v>71</v>
      </c>
      <c r="O670" s="333" t="s">
        <v>1987</v>
      </c>
      <c r="P670" s="38">
        <v>4406829.16</v>
      </c>
      <c r="Q670" s="38">
        <v>0</v>
      </c>
      <c r="R670" s="38">
        <v>0</v>
      </c>
      <c r="S670" s="38">
        <f t="shared" si="124"/>
        <v>4406829.16</v>
      </c>
      <c r="T670" s="38">
        <f t="shared" si="127"/>
        <v>2667.895120474634</v>
      </c>
      <c r="U670" s="38">
        <v>3262.7801022520885</v>
      </c>
      <c r="V670" s="458">
        <f t="shared" si="128"/>
        <v>594.88498177745441</v>
      </c>
      <c r="W670" s="458">
        <f t="shared" si="125"/>
        <v>3251.6890713766797</v>
      </c>
      <c r="X670" s="458">
        <v>0</v>
      </c>
      <c r="Y670" s="459">
        <v>0</v>
      </c>
      <c r="Z670" s="459">
        <v>0</v>
      </c>
      <c r="AA670" s="459">
        <v>0</v>
      </c>
      <c r="AB670" s="459">
        <v>0</v>
      </c>
      <c r="AC670" s="459">
        <v>0</v>
      </c>
      <c r="AD670" s="459">
        <v>0</v>
      </c>
      <c r="AE670" s="459">
        <v>860.91</v>
      </c>
      <c r="AF670" s="458">
        <f t="shared" ref="AF670" si="129">6238.91*AE670/I670</f>
        <v>3251.6890713766797</v>
      </c>
      <c r="AG670" s="459">
        <v>0</v>
      </c>
      <c r="AH670" s="458">
        <v>0</v>
      </c>
      <c r="AI670" s="459">
        <v>0</v>
      </c>
      <c r="AJ670" s="458">
        <v>0</v>
      </c>
      <c r="AK670" s="459">
        <v>0</v>
      </c>
      <c r="AL670" s="459">
        <v>0</v>
      </c>
      <c r="AM670" s="459">
        <v>0</v>
      </c>
      <c r="AN670" s="459"/>
      <c r="AO670" s="459">
        <v>0</v>
      </c>
      <c r="AP670" s="460"/>
      <c r="AQ670" s="460"/>
      <c r="AR670" s="460"/>
      <c r="AS670" s="460"/>
      <c r="AT670" s="460"/>
      <c r="AU670" s="460"/>
      <c r="AV670" s="460"/>
      <c r="AW670" s="460"/>
      <c r="AX670" s="460"/>
      <c r="AY670" s="460"/>
      <c r="AZ670" s="460"/>
      <c r="BA670" s="460"/>
      <c r="BB670" s="460"/>
      <c r="BC670" s="460"/>
      <c r="BD670" s="460"/>
      <c r="BE670" s="460"/>
      <c r="BF670" s="460"/>
      <c r="BG670" s="460"/>
      <c r="BH670" s="460"/>
      <c r="BI670" s="460"/>
      <c r="BJ670" s="460"/>
      <c r="BK670" s="460"/>
      <c r="BL670" s="460"/>
      <c r="BM670" s="460"/>
      <c r="BN670" s="460"/>
      <c r="BO670" s="460"/>
      <c r="BP670" s="460"/>
      <c r="BQ670" s="460"/>
      <c r="BR670" s="460"/>
      <c r="BS670" s="460"/>
      <c r="BT670" s="460"/>
      <c r="BU670" s="460"/>
      <c r="BV670" s="460"/>
      <c r="BW670" s="460"/>
      <c r="BX670" s="460"/>
      <c r="BY670" s="460"/>
      <c r="BZ670" s="460"/>
      <c r="CA670" s="460"/>
      <c r="CB670" s="460"/>
      <c r="CC670" s="460"/>
      <c r="CD670" s="460"/>
      <c r="CE670" s="460"/>
      <c r="CF670" s="460"/>
      <c r="CG670" s="460"/>
      <c r="CH670" s="460"/>
      <c r="CI670" s="460"/>
      <c r="CJ670" s="460"/>
      <c r="CK670" s="460"/>
    </row>
    <row r="671" spans="1:89" s="329" customFormat="1" ht="61.5" x14ac:dyDescent="0.25">
      <c r="A671" s="329">
        <v>1</v>
      </c>
      <c r="B671" s="39">
        <f>SUBTOTAL(103,$A$552:A671)</f>
        <v>119</v>
      </c>
      <c r="C671" s="33" t="s">
        <v>1519</v>
      </c>
      <c r="D671" s="330">
        <v>1976</v>
      </c>
      <c r="E671" s="330"/>
      <c r="F671" s="331" t="s">
        <v>1981</v>
      </c>
      <c r="G671" s="330" t="s">
        <v>75</v>
      </c>
      <c r="H671" s="330" t="s">
        <v>1969</v>
      </c>
      <c r="I671" s="38">
        <v>4908.2</v>
      </c>
      <c r="J671" s="38">
        <v>4507.3</v>
      </c>
      <c r="K671" s="38">
        <v>4121.8</v>
      </c>
      <c r="L671" s="332">
        <v>252</v>
      </c>
      <c r="M671" s="330" t="s">
        <v>46</v>
      </c>
      <c r="N671" s="330" t="s">
        <v>47</v>
      </c>
      <c r="O671" s="333" t="s">
        <v>49</v>
      </c>
      <c r="P671" s="38">
        <v>8022387.3700000001</v>
      </c>
      <c r="Q671" s="38">
        <v>0</v>
      </c>
      <c r="R671" s="38">
        <v>0</v>
      </c>
      <c r="S671" s="38">
        <f t="shared" si="124"/>
        <v>8022387.3700000001</v>
      </c>
      <c r="T671" s="38">
        <f t="shared" si="127"/>
        <v>1634.4866488733142</v>
      </c>
      <c r="U671" s="38">
        <v>1755.5994769782912</v>
      </c>
      <c r="V671" s="458">
        <f t="shared" si="128"/>
        <v>121.1128281049771</v>
      </c>
      <c r="W671" s="458">
        <f>T671</f>
        <v>1634.4866488733142</v>
      </c>
      <c r="X671" s="458">
        <v>0</v>
      </c>
      <c r="Y671" s="459">
        <v>0</v>
      </c>
      <c r="Z671" s="459">
        <v>0</v>
      </c>
      <c r="AA671" s="459">
        <v>0</v>
      </c>
      <c r="AB671" s="459">
        <v>0</v>
      </c>
      <c r="AC671" s="459">
        <v>0</v>
      </c>
      <c r="AD671" s="459">
        <v>0</v>
      </c>
      <c r="AE671" s="459">
        <v>0</v>
      </c>
      <c r="AF671" s="458">
        <v>0</v>
      </c>
      <c r="AG671" s="459">
        <v>0</v>
      </c>
      <c r="AH671" s="458">
        <v>0</v>
      </c>
      <c r="AI671" s="459">
        <v>538.6</v>
      </c>
      <c r="AJ671" s="458">
        <f>3979.46*AI671/I671</f>
        <v>436.68496719775072</v>
      </c>
      <c r="AK671" s="459">
        <v>0</v>
      </c>
      <c r="AL671" s="459">
        <v>0</v>
      </c>
      <c r="AM671" s="459">
        <v>0</v>
      </c>
      <c r="AN671" s="459"/>
      <c r="AO671" s="459">
        <v>0</v>
      </c>
      <c r="AP671" s="460"/>
      <c r="AQ671" s="460"/>
      <c r="AR671" s="460"/>
      <c r="AS671" s="460"/>
      <c r="AT671" s="460"/>
      <c r="AU671" s="460"/>
      <c r="AV671" s="460"/>
      <c r="AW671" s="460"/>
      <c r="AX671" s="460"/>
      <c r="AY671" s="460"/>
      <c r="AZ671" s="460"/>
      <c r="BA671" s="460"/>
      <c r="BB671" s="460"/>
      <c r="BC671" s="460"/>
      <c r="BD671" s="460"/>
      <c r="BE671" s="460"/>
      <c r="BF671" s="460"/>
      <c r="BG671" s="460"/>
      <c r="BH671" s="460"/>
      <c r="BI671" s="460"/>
      <c r="BJ671" s="460"/>
      <c r="BK671" s="460"/>
      <c r="BL671" s="460"/>
      <c r="BM671" s="460"/>
      <c r="BN671" s="460"/>
      <c r="BO671" s="460"/>
      <c r="BP671" s="460"/>
      <c r="BQ671" s="460"/>
      <c r="BR671" s="460"/>
      <c r="BS671" s="460"/>
      <c r="BT671" s="460"/>
      <c r="BU671" s="460"/>
      <c r="BV671" s="460"/>
      <c r="BW671" s="460"/>
      <c r="BX671" s="460"/>
      <c r="BY671" s="460"/>
      <c r="BZ671" s="460"/>
      <c r="CA671" s="460"/>
      <c r="CB671" s="460"/>
      <c r="CC671" s="460"/>
      <c r="CD671" s="460"/>
      <c r="CE671" s="460"/>
      <c r="CF671" s="460"/>
      <c r="CG671" s="460"/>
      <c r="CH671" s="460"/>
      <c r="CI671" s="460"/>
      <c r="CJ671" s="460"/>
      <c r="CK671" s="460"/>
    </row>
    <row r="672" spans="1:89" s="329" customFormat="1" ht="36" customHeight="1" x14ac:dyDescent="0.25">
      <c r="B672" s="33" t="s">
        <v>1140</v>
      </c>
      <c r="C672" s="462"/>
      <c r="D672" s="330" t="s">
        <v>131</v>
      </c>
      <c r="E672" s="330" t="s">
        <v>131</v>
      </c>
      <c r="F672" s="330" t="s">
        <v>131</v>
      </c>
      <c r="G672" s="330" t="s">
        <v>131</v>
      </c>
      <c r="H672" s="330" t="s">
        <v>131</v>
      </c>
      <c r="I672" s="334">
        <f>SUM(I673:I711)</f>
        <v>72545.37000000001</v>
      </c>
      <c r="J672" s="334">
        <f>SUM(J673:J711)</f>
        <v>60668.02</v>
      </c>
      <c r="K672" s="334">
        <f>SUM(K673:K711)</f>
        <v>55258.720000000001</v>
      </c>
      <c r="L672" s="332">
        <f>SUM(L673:L711)</f>
        <v>2673</v>
      </c>
      <c r="M672" s="330" t="s">
        <v>131</v>
      </c>
      <c r="N672" s="330" t="s">
        <v>131</v>
      </c>
      <c r="O672" s="333" t="s">
        <v>131</v>
      </c>
      <c r="P672" s="334">
        <v>138702295.03999999</v>
      </c>
      <c r="Q672" s="334">
        <f>SUM(Q673:Q711)</f>
        <v>0</v>
      </c>
      <c r="R672" s="334">
        <f>SUM(R673:R711)</f>
        <v>0</v>
      </c>
      <c r="S672" s="334">
        <f>SUM(S673:S711)</f>
        <v>138702295.03999999</v>
      </c>
      <c r="T672" s="38">
        <f t="shared" si="127"/>
        <v>1911.9386259936364</v>
      </c>
      <c r="U672" s="38">
        <f>MAX(U673:U711)</f>
        <v>8343.4424447922102</v>
      </c>
      <c r="V672" s="458">
        <f t="shared" si="128"/>
        <v>6431.5038187985738</v>
      </c>
      <c r="W672" s="458"/>
      <c r="X672" s="458"/>
      <c r="Y672" s="459"/>
      <c r="Z672" s="459"/>
      <c r="AA672" s="459"/>
      <c r="AB672" s="459"/>
      <c r="AC672" s="459"/>
      <c r="AD672" s="459"/>
      <c r="AE672" s="459"/>
      <c r="AF672" s="459"/>
      <c r="AG672" s="459"/>
      <c r="AH672" s="459"/>
      <c r="AI672" s="459"/>
      <c r="AJ672" s="459"/>
      <c r="AK672" s="459"/>
      <c r="AL672" s="459"/>
      <c r="AM672" s="459"/>
      <c r="AN672" s="459"/>
      <c r="AO672" s="459"/>
      <c r="AP672" s="460"/>
      <c r="AQ672" s="460"/>
      <c r="AR672" s="460"/>
      <c r="AS672" s="460"/>
      <c r="AT672" s="460"/>
      <c r="AU672" s="460"/>
      <c r="AV672" s="460"/>
      <c r="AW672" s="460"/>
      <c r="AX672" s="460"/>
      <c r="AY672" s="460"/>
      <c r="AZ672" s="460"/>
      <c r="BA672" s="460"/>
      <c r="BB672" s="460"/>
      <c r="BC672" s="460"/>
      <c r="BD672" s="460"/>
      <c r="BE672" s="460"/>
      <c r="BF672" s="460"/>
      <c r="BG672" s="460"/>
      <c r="BH672" s="460"/>
      <c r="BI672" s="460"/>
      <c r="BJ672" s="460"/>
      <c r="BK672" s="460"/>
      <c r="BL672" s="460"/>
      <c r="BM672" s="460"/>
      <c r="BN672" s="460"/>
      <c r="BO672" s="460"/>
      <c r="BP672" s="460"/>
      <c r="BQ672" s="460"/>
      <c r="BR672" s="460"/>
      <c r="BS672" s="460"/>
      <c r="BT672" s="460"/>
      <c r="BU672" s="460"/>
      <c r="BV672" s="460"/>
      <c r="BW672" s="460"/>
      <c r="BX672" s="460"/>
      <c r="BY672" s="460"/>
      <c r="BZ672" s="460"/>
      <c r="CA672" s="460"/>
      <c r="CB672" s="460"/>
      <c r="CC672" s="460"/>
      <c r="CD672" s="460"/>
      <c r="CE672" s="460"/>
      <c r="CF672" s="460"/>
      <c r="CG672" s="460"/>
      <c r="CH672" s="460"/>
      <c r="CI672" s="460"/>
      <c r="CJ672" s="460"/>
      <c r="CK672" s="460"/>
    </row>
    <row r="673" spans="1:89" s="329" customFormat="1" ht="36" customHeight="1" x14ac:dyDescent="0.25">
      <c r="A673" s="329">
        <v>1</v>
      </c>
      <c r="B673" s="39">
        <f>SUBTOTAL(103,$A$552:A673)</f>
        <v>120</v>
      </c>
      <c r="C673" s="33" t="s">
        <v>1520</v>
      </c>
      <c r="D673" s="330">
        <v>1985</v>
      </c>
      <c r="E673" s="330"/>
      <c r="F673" s="331" t="s">
        <v>48</v>
      </c>
      <c r="G673" s="330">
        <v>5</v>
      </c>
      <c r="H673" s="330" t="s">
        <v>1969</v>
      </c>
      <c r="I673" s="334">
        <v>4537.2</v>
      </c>
      <c r="J673" s="334">
        <v>4163</v>
      </c>
      <c r="K673" s="334">
        <v>4163</v>
      </c>
      <c r="L673" s="332">
        <v>198</v>
      </c>
      <c r="M673" s="330" t="s">
        <v>46</v>
      </c>
      <c r="N673" s="330" t="s">
        <v>50</v>
      </c>
      <c r="O673" s="333" t="s">
        <v>1996</v>
      </c>
      <c r="P673" s="38">
        <v>6231804.3600000003</v>
      </c>
      <c r="Q673" s="38">
        <v>0</v>
      </c>
      <c r="R673" s="38">
        <v>0</v>
      </c>
      <c r="S673" s="38">
        <f t="shared" ref="S673:S711" si="130">P673-Q673-R673</f>
        <v>6231804.3600000003</v>
      </c>
      <c r="T673" s="38">
        <f t="shared" si="127"/>
        <v>1373.4912192541658</v>
      </c>
      <c r="U673" s="38">
        <v>1614.304482941021</v>
      </c>
      <c r="V673" s="458">
        <f t="shared" si="128"/>
        <v>240.81326368685518</v>
      </c>
      <c r="W673" s="458">
        <f t="shared" ref="W673:W709" si="131">X673+Y673+Z673+AA673+AB673+AD673+AF673+AH673+AJ673+AL673+AN673+AO673</f>
        <v>1608.8170457550914</v>
      </c>
      <c r="X673" s="458">
        <v>0</v>
      </c>
      <c r="Y673" s="459">
        <v>0</v>
      </c>
      <c r="Z673" s="459">
        <v>0</v>
      </c>
      <c r="AA673" s="459">
        <v>0</v>
      </c>
      <c r="AB673" s="459">
        <v>0</v>
      </c>
      <c r="AC673" s="459">
        <v>0</v>
      </c>
      <c r="AD673" s="459">
        <v>0</v>
      </c>
      <c r="AE673" s="459">
        <v>1170</v>
      </c>
      <c r="AF673" s="458">
        <f>6238.91*AE673/I673</f>
        <v>1608.8170457550914</v>
      </c>
      <c r="AG673" s="459">
        <v>0</v>
      </c>
      <c r="AH673" s="458">
        <v>0</v>
      </c>
      <c r="AI673" s="459">
        <v>0</v>
      </c>
      <c r="AJ673" s="458">
        <v>0</v>
      </c>
      <c r="AK673" s="459">
        <v>0</v>
      </c>
      <c r="AL673" s="459">
        <v>0</v>
      </c>
      <c r="AM673" s="459">
        <v>0</v>
      </c>
      <c r="AN673" s="459"/>
      <c r="AO673" s="459">
        <v>0</v>
      </c>
      <c r="AP673" s="460"/>
      <c r="AQ673" s="460"/>
      <c r="AR673" s="460"/>
      <c r="AS673" s="460"/>
      <c r="AT673" s="460"/>
      <c r="AU673" s="460"/>
      <c r="AV673" s="460"/>
      <c r="AW673" s="460"/>
      <c r="AX673" s="460"/>
      <c r="AY673" s="460"/>
      <c r="AZ673" s="460"/>
      <c r="BA673" s="460"/>
      <c r="BB673" s="460"/>
      <c r="BC673" s="460"/>
      <c r="BD673" s="460"/>
      <c r="BE673" s="460"/>
      <c r="BF673" s="460"/>
      <c r="BG673" s="460"/>
      <c r="BH673" s="460"/>
      <c r="BI673" s="460"/>
      <c r="BJ673" s="460"/>
      <c r="BK673" s="460"/>
      <c r="BL673" s="460"/>
      <c r="BM673" s="460"/>
      <c r="BN673" s="460"/>
      <c r="BO673" s="460"/>
      <c r="BP673" s="460"/>
      <c r="BQ673" s="460"/>
      <c r="BR673" s="460"/>
      <c r="BS673" s="460"/>
      <c r="BT673" s="460"/>
      <c r="BU673" s="460"/>
      <c r="BV673" s="460"/>
      <c r="BW673" s="460"/>
      <c r="BX673" s="460"/>
      <c r="BY673" s="460"/>
      <c r="BZ673" s="460"/>
      <c r="CA673" s="460"/>
      <c r="CB673" s="460"/>
      <c r="CC673" s="460"/>
      <c r="CD673" s="460"/>
      <c r="CE673" s="460"/>
      <c r="CF673" s="460"/>
      <c r="CG673" s="460"/>
      <c r="CH673" s="460"/>
      <c r="CI673" s="460"/>
      <c r="CJ673" s="460"/>
      <c r="CK673" s="460"/>
    </row>
    <row r="674" spans="1:89" s="329" customFormat="1" ht="36" customHeight="1" x14ac:dyDescent="0.25">
      <c r="A674" s="329">
        <v>1</v>
      </c>
      <c r="B674" s="39">
        <f>SUBTOTAL(103,$A$552:A674)</f>
        <v>121</v>
      </c>
      <c r="C674" s="33" t="s">
        <v>1521</v>
      </c>
      <c r="D674" s="330">
        <v>1987</v>
      </c>
      <c r="E674" s="330"/>
      <c r="F674" s="331" t="s">
        <v>48</v>
      </c>
      <c r="G674" s="330">
        <v>9</v>
      </c>
      <c r="H674" s="330" t="s">
        <v>57</v>
      </c>
      <c r="I674" s="334">
        <v>6006.9</v>
      </c>
      <c r="J674" s="334">
        <v>4691.3999999999996</v>
      </c>
      <c r="K674" s="334">
        <v>3628.4</v>
      </c>
      <c r="L674" s="332">
        <v>297</v>
      </c>
      <c r="M674" s="330" t="s">
        <v>46</v>
      </c>
      <c r="N674" s="330" t="s">
        <v>50</v>
      </c>
      <c r="O674" s="333" t="s">
        <v>65</v>
      </c>
      <c r="P674" s="38">
        <v>4914920.1100000003</v>
      </c>
      <c r="Q674" s="38">
        <v>0</v>
      </c>
      <c r="R674" s="38">
        <v>0</v>
      </c>
      <c r="S674" s="38">
        <f t="shared" si="130"/>
        <v>4914920.1100000003</v>
      </c>
      <c r="T674" s="38">
        <f t="shared" si="127"/>
        <v>818.21240739815892</v>
      </c>
      <c r="U674" s="38">
        <v>917.10652749338249</v>
      </c>
      <c r="V674" s="458">
        <f t="shared" si="128"/>
        <v>98.89412009522357</v>
      </c>
      <c r="W674" s="458">
        <f t="shared" si="131"/>
        <v>913.98904593051327</v>
      </c>
      <c r="X674" s="458">
        <v>0</v>
      </c>
      <c r="Y674" s="459">
        <v>0</v>
      </c>
      <c r="Z674" s="459">
        <v>0</v>
      </c>
      <c r="AA674" s="459">
        <v>0</v>
      </c>
      <c r="AB674" s="459">
        <v>0</v>
      </c>
      <c r="AC674" s="459">
        <v>0</v>
      </c>
      <c r="AD674" s="459">
        <v>0</v>
      </c>
      <c r="AE674" s="459">
        <v>880</v>
      </c>
      <c r="AF674" s="458">
        <f>6238.91*AE674/I674</f>
        <v>913.98904593051327</v>
      </c>
      <c r="AG674" s="459">
        <v>0</v>
      </c>
      <c r="AH674" s="458">
        <v>0</v>
      </c>
      <c r="AI674" s="459">
        <v>0</v>
      </c>
      <c r="AJ674" s="458">
        <v>0</v>
      </c>
      <c r="AK674" s="459">
        <v>0</v>
      </c>
      <c r="AL674" s="459">
        <v>0</v>
      </c>
      <c r="AM674" s="459">
        <v>0</v>
      </c>
      <c r="AN674" s="459"/>
      <c r="AO674" s="459">
        <v>0</v>
      </c>
      <c r="AP674" s="460"/>
      <c r="AQ674" s="460"/>
      <c r="AR674" s="460"/>
      <c r="AS674" s="460"/>
      <c r="AT674" s="460"/>
      <c r="AU674" s="460"/>
      <c r="AV674" s="460"/>
      <c r="AW674" s="460"/>
      <c r="AX674" s="460"/>
      <c r="AY674" s="460"/>
      <c r="AZ674" s="460"/>
      <c r="BA674" s="460"/>
      <c r="BB674" s="460"/>
      <c r="BC674" s="460"/>
      <c r="BD674" s="460"/>
      <c r="BE674" s="460"/>
      <c r="BF674" s="460"/>
      <c r="BG674" s="460"/>
      <c r="BH674" s="460"/>
      <c r="BI674" s="460"/>
      <c r="BJ674" s="460"/>
      <c r="BK674" s="460"/>
      <c r="BL674" s="460"/>
      <c r="BM674" s="460"/>
      <c r="BN674" s="460"/>
      <c r="BO674" s="460"/>
      <c r="BP674" s="460"/>
      <c r="BQ674" s="460"/>
      <c r="BR674" s="460"/>
      <c r="BS674" s="460"/>
      <c r="BT674" s="460"/>
      <c r="BU674" s="460"/>
      <c r="BV674" s="460"/>
      <c r="BW674" s="460"/>
      <c r="BX674" s="460"/>
      <c r="BY674" s="460"/>
      <c r="BZ674" s="460"/>
      <c r="CA674" s="460"/>
      <c r="CB674" s="460"/>
      <c r="CC674" s="460"/>
      <c r="CD674" s="460"/>
      <c r="CE674" s="460"/>
      <c r="CF674" s="460"/>
      <c r="CG674" s="460"/>
      <c r="CH674" s="460"/>
      <c r="CI674" s="460"/>
      <c r="CJ674" s="460"/>
      <c r="CK674" s="460"/>
    </row>
    <row r="675" spans="1:89" s="329" customFormat="1" ht="36" customHeight="1" x14ac:dyDescent="0.25">
      <c r="A675" s="329">
        <v>1</v>
      </c>
      <c r="B675" s="39">
        <f>SUBTOTAL(103,$A$552:A675)</f>
        <v>122</v>
      </c>
      <c r="C675" s="33" t="s">
        <v>1522</v>
      </c>
      <c r="D675" s="330">
        <v>1992</v>
      </c>
      <c r="E675" s="330"/>
      <c r="F675" s="331" t="s">
        <v>48</v>
      </c>
      <c r="G675" s="330">
        <v>4</v>
      </c>
      <c r="H675" s="330" t="s">
        <v>57</v>
      </c>
      <c r="I675" s="334">
        <v>1756.3</v>
      </c>
      <c r="J675" s="334">
        <v>1356.3</v>
      </c>
      <c r="K675" s="334">
        <v>1356.3</v>
      </c>
      <c r="L675" s="332">
        <v>65</v>
      </c>
      <c r="M675" s="330" t="s">
        <v>46</v>
      </c>
      <c r="N675" s="330" t="s">
        <v>47</v>
      </c>
      <c r="O675" s="333" t="s">
        <v>49</v>
      </c>
      <c r="P675" s="38">
        <v>3567125.84</v>
      </c>
      <c r="Q675" s="38">
        <v>0</v>
      </c>
      <c r="R675" s="38">
        <v>0</v>
      </c>
      <c r="S675" s="38">
        <f t="shared" si="130"/>
        <v>3567125.84</v>
      </c>
      <c r="T675" s="38">
        <f t="shared" si="127"/>
        <v>2031.0458577691738</v>
      </c>
      <c r="U675" s="38">
        <v>2316.8726868985937</v>
      </c>
      <c r="V675" s="458">
        <f t="shared" si="128"/>
        <v>285.82682912941982</v>
      </c>
      <c r="W675" s="458">
        <f t="shared" si="131"/>
        <v>2308.9970392301998</v>
      </c>
      <c r="X675" s="458">
        <v>0</v>
      </c>
      <c r="Y675" s="459">
        <v>0</v>
      </c>
      <c r="Z675" s="459">
        <v>0</v>
      </c>
      <c r="AA675" s="459">
        <v>0</v>
      </c>
      <c r="AB675" s="459">
        <v>0</v>
      </c>
      <c r="AC675" s="459">
        <v>0</v>
      </c>
      <c r="AD675" s="459">
        <v>0</v>
      </c>
      <c r="AE675" s="459">
        <v>650</v>
      </c>
      <c r="AF675" s="458">
        <f>6238.91*AE675/I675</f>
        <v>2308.9970392301998</v>
      </c>
      <c r="AG675" s="459">
        <v>0</v>
      </c>
      <c r="AH675" s="458">
        <v>0</v>
      </c>
      <c r="AI675" s="459">
        <v>0</v>
      </c>
      <c r="AJ675" s="458">
        <v>0</v>
      </c>
      <c r="AK675" s="459">
        <v>0</v>
      </c>
      <c r="AL675" s="459">
        <v>0</v>
      </c>
      <c r="AM675" s="459">
        <v>0</v>
      </c>
      <c r="AN675" s="459"/>
      <c r="AO675" s="459">
        <v>0</v>
      </c>
      <c r="AP675" s="460"/>
      <c r="AQ675" s="460"/>
      <c r="AR675" s="460"/>
      <c r="AS675" s="460"/>
      <c r="AT675" s="460"/>
      <c r="AU675" s="460"/>
      <c r="AV675" s="460"/>
      <c r="AW675" s="460"/>
      <c r="AX675" s="460"/>
      <c r="AY675" s="460"/>
      <c r="AZ675" s="460"/>
      <c r="BA675" s="460"/>
      <c r="BB675" s="460"/>
      <c r="BC675" s="460"/>
      <c r="BD675" s="460"/>
      <c r="BE675" s="460"/>
      <c r="BF675" s="460"/>
      <c r="BG675" s="460"/>
      <c r="BH675" s="460"/>
      <c r="BI675" s="460"/>
      <c r="BJ675" s="460"/>
      <c r="BK675" s="460"/>
      <c r="BL675" s="460"/>
      <c r="BM675" s="460"/>
      <c r="BN675" s="460"/>
      <c r="BO675" s="460"/>
      <c r="BP675" s="460"/>
      <c r="BQ675" s="460"/>
      <c r="BR675" s="460"/>
      <c r="BS675" s="460"/>
      <c r="BT675" s="460"/>
      <c r="BU675" s="460"/>
      <c r="BV675" s="460"/>
      <c r="BW675" s="460"/>
      <c r="BX675" s="460"/>
      <c r="BY675" s="460"/>
      <c r="BZ675" s="460"/>
      <c r="CA675" s="460"/>
      <c r="CB675" s="460"/>
      <c r="CC675" s="460"/>
      <c r="CD675" s="460"/>
      <c r="CE675" s="460"/>
      <c r="CF675" s="460"/>
      <c r="CG675" s="460"/>
      <c r="CH675" s="460"/>
      <c r="CI675" s="460"/>
      <c r="CJ675" s="460"/>
      <c r="CK675" s="460"/>
    </row>
    <row r="676" spans="1:89" s="329" customFormat="1" ht="36" customHeight="1" x14ac:dyDescent="0.25">
      <c r="A676" s="329">
        <v>1</v>
      </c>
      <c r="B676" s="39">
        <f>SUBTOTAL(103,$A$552:A676)</f>
        <v>123</v>
      </c>
      <c r="C676" s="33" t="s">
        <v>1523</v>
      </c>
      <c r="D676" s="330">
        <v>1941</v>
      </c>
      <c r="E676" s="330"/>
      <c r="F676" s="331" t="s">
        <v>1990</v>
      </c>
      <c r="G676" s="330">
        <v>2</v>
      </c>
      <c r="H676" s="330" t="s">
        <v>56</v>
      </c>
      <c r="I676" s="334">
        <v>743.7</v>
      </c>
      <c r="J676" s="334">
        <v>670.6</v>
      </c>
      <c r="K676" s="334">
        <v>553.1</v>
      </c>
      <c r="L676" s="332">
        <v>23</v>
      </c>
      <c r="M676" s="330" t="s">
        <v>46</v>
      </c>
      <c r="N676" s="330" t="s">
        <v>50</v>
      </c>
      <c r="O676" s="333" t="s">
        <v>66</v>
      </c>
      <c r="P676" s="38">
        <v>3399322.55</v>
      </c>
      <c r="Q676" s="38">
        <v>0</v>
      </c>
      <c r="R676" s="38">
        <v>0</v>
      </c>
      <c r="S676" s="38">
        <f t="shared" si="130"/>
        <v>3399322.55</v>
      </c>
      <c r="T676" s="38">
        <f t="shared" si="127"/>
        <v>4570.8249966384292</v>
      </c>
      <c r="U676" s="38">
        <v>5218.929407018959</v>
      </c>
      <c r="V676" s="458">
        <f t="shared" si="128"/>
        <v>648.10441038052977</v>
      </c>
      <c r="W676" s="458">
        <f t="shared" si="131"/>
        <v>5201.1889202635466</v>
      </c>
      <c r="X676" s="458">
        <v>0</v>
      </c>
      <c r="Y676" s="459">
        <v>0</v>
      </c>
      <c r="Z676" s="459">
        <v>0</v>
      </c>
      <c r="AA676" s="459">
        <v>0</v>
      </c>
      <c r="AB676" s="459">
        <v>0</v>
      </c>
      <c r="AC676" s="459">
        <v>0</v>
      </c>
      <c r="AD676" s="459">
        <v>0</v>
      </c>
      <c r="AE676" s="459">
        <v>620</v>
      </c>
      <c r="AF676" s="458">
        <f>6238.91*AE676/I676</f>
        <v>5201.1889202635466</v>
      </c>
      <c r="AG676" s="459">
        <v>0</v>
      </c>
      <c r="AH676" s="458">
        <v>0</v>
      </c>
      <c r="AI676" s="459">
        <v>0</v>
      </c>
      <c r="AJ676" s="458">
        <v>0</v>
      </c>
      <c r="AK676" s="459">
        <v>0</v>
      </c>
      <c r="AL676" s="459">
        <v>0</v>
      </c>
      <c r="AM676" s="459">
        <v>0</v>
      </c>
      <c r="AN676" s="459"/>
      <c r="AO676" s="459">
        <v>0</v>
      </c>
      <c r="AP676" s="460"/>
      <c r="AQ676" s="460"/>
      <c r="AR676" s="460"/>
      <c r="AS676" s="460"/>
      <c r="AT676" s="460"/>
      <c r="AU676" s="460"/>
      <c r="AV676" s="460"/>
      <c r="AW676" s="460"/>
      <c r="AX676" s="460"/>
      <c r="AY676" s="460"/>
      <c r="AZ676" s="460"/>
      <c r="BA676" s="460"/>
      <c r="BB676" s="460"/>
      <c r="BC676" s="460"/>
      <c r="BD676" s="460"/>
      <c r="BE676" s="460"/>
      <c r="BF676" s="460"/>
      <c r="BG676" s="460"/>
      <c r="BH676" s="460"/>
      <c r="BI676" s="460"/>
      <c r="BJ676" s="460"/>
      <c r="BK676" s="460"/>
      <c r="BL676" s="460"/>
      <c r="BM676" s="460"/>
      <c r="BN676" s="460"/>
      <c r="BO676" s="460"/>
      <c r="BP676" s="460"/>
      <c r="BQ676" s="460"/>
      <c r="BR676" s="460"/>
      <c r="BS676" s="460"/>
      <c r="BT676" s="460"/>
      <c r="BU676" s="460"/>
      <c r="BV676" s="460"/>
      <c r="BW676" s="460"/>
      <c r="BX676" s="460"/>
      <c r="BY676" s="460"/>
      <c r="BZ676" s="460"/>
      <c r="CA676" s="460"/>
      <c r="CB676" s="460"/>
      <c r="CC676" s="460"/>
      <c r="CD676" s="460"/>
      <c r="CE676" s="460"/>
      <c r="CF676" s="460"/>
      <c r="CG676" s="460"/>
      <c r="CH676" s="460"/>
      <c r="CI676" s="460"/>
      <c r="CJ676" s="460"/>
      <c r="CK676" s="460"/>
    </row>
    <row r="677" spans="1:89" s="329" customFormat="1" ht="36" customHeight="1" x14ac:dyDescent="0.25">
      <c r="A677" s="329">
        <v>1</v>
      </c>
      <c r="B677" s="39">
        <f>SUBTOTAL(103,$A$552:A677)</f>
        <v>124</v>
      </c>
      <c r="C677" s="33" t="s">
        <v>1192</v>
      </c>
      <c r="D677" s="330">
        <v>1957</v>
      </c>
      <c r="E677" s="330"/>
      <c r="F677" s="331" t="s">
        <v>48</v>
      </c>
      <c r="G677" s="330">
        <v>2</v>
      </c>
      <c r="H677" s="330" t="s">
        <v>56</v>
      </c>
      <c r="I677" s="334">
        <v>706.7</v>
      </c>
      <c r="J677" s="334">
        <v>646.1</v>
      </c>
      <c r="K677" s="334">
        <v>646.1</v>
      </c>
      <c r="L677" s="332">
        <v>18</v>
      </c>
      <c r="M677" s="330" t="s">
        <v>46</v>
      </c>
      <c r="N677" s="330" t="s">
        <v>47</v>
      </c>
      <c r="O677" s="333" t="s">
        <v>49</v>
      </c>
      <c r="P677" s="38">
        <v>3460627.9299999997</v>
      </c>
      <c r="Q677" s="38">
        <v>0</v>
      </c>
      <c r="R677" s="38">
        <v>0</v>
      </c>
      <c r="S677" s="38">
        <f t="shared" si="130"/>
        <v>3460627.9299999997</v>
      </c>
      <c r="T677" s="38">
        <f t="shared" si="127"/>
        <v>4896.8840101881979</v>
      </c>
      <c r="U677" s="38">
        <v>5669.338616103013</v>
      </c>
      <c r="V677" s="458">
        <f t="shared" si="128"/>
        <v>772.45460591481515</v>
      </c>
      <c r="W677" s="458">
        <f t="shared" si="131"/>
        <v>5650.0670723079093</v>
      </c>
      <c r="X677" s="458">
        <v>0</v>
      </c>
      <c r="Y677" s="459">
        <v>0</v>
      </c>
      <c r="Z677" s="459">
        <v>0</v>
      </c>
      <c r="AA677" s="459">
        <v>0</v>
      </c>
      <c r="AB677" s="459">
        <v>0</v>
      </c>
      <c r="AC677" s="459">
        <v>0</v>
      </c>
      <c r="AD677" s="459">
        <v>0</v>
      </c>
      <c r="AE677" s="459">
        <v>640</v>
      </c>
      <c r="AF677" s="458">
        <f>6238.91*AE677/I677</f>
        <v>5650.0670723079093</v>
      </c>
      <c r="AG677" s="459">
        <v>0</v>
      </c>
      <c r="AH677" s="458">
        <v>0</v>
      </c>
      <c r="AI677" s="459">
        <v>0</v>
      </c>
      <c r="AJ677" s="458">
        <v>0</v>
      </c>
      <c r="AK677" s="459">
        <v>0</v>
      </c>
      <c r="AL677" s="459">
        <v>0</v>
      </c>
      <c r="AM677" s="459">
        <v>0</v>
      </c>
      <c r="AN677" s="459"/>
      <c r="AO677" s="459">
        <v>0</v>
      </c>
      <c r="AP677" s="460"/>
      <c r="AQ677" s="460"/>
      <c r="AR677" s="460"/>
      <c r="AS677" s="460"/>
      <c r="AT677" s="460"/>
      <c r="AU677" s="460"/>
      <c r="AV677" s="460"/>
      <c r="AW677" s="460"/>
      <c r="AX677" s="460"/>
      <c r="AY677" s="460"/>
      <c r="AZ677" s="460"/>
      <c r="BA677" s="460"/>
      <c r="BB677" s="460"/>
      <c r="BC677" s="460"/>
      <c r="BD677" s="460"/>
      <c r="BE677" s="460"/>
      <c r="BF677" s="460"/>
      <c r="BG677" s="460"/>
      <c r="BH677" s="460"/>
      <c r="BI677" s="460"/>
      <c r="BJ677" s="460"/>
      <c r="BK677" s="460"/>
      <c r="BL677" s="460"/>
      <c r="BM677" s="460"/>
      <c r="BN677" s="460"/>
      <c r="BO677" s="460"/>
      <c r="BP677" s="460"/>
      <c r="BQ677" s="460"/>
      <c r="BR677" s="460"/>
      <c r="BS677" s="460"/>
      <c r="BT677" s="460"/>
      <c r="BU677" s="460"/>
      <c r="BV677" s="460"/>
      <c r="BW677" s="460"/>
      <c r="BX677" s="460"/>
      <c r="BY677" s="460"/>
      <c r="BZ677" s="460"/>
      <c r="CA677" s="460"/>
      <c r="CB677" s="460"/>
      <c r="CC677" s="460"/>
      <c r="CD677" s="460"/>
      <c r="CE677" s="460"/>
      <c r="CF677" s="460"/>
      <c r="CG677" s="460"/>
      <c r="CH677" s="460"/>
      <c r="CI677" s="460"/>
      <c r="CJ677" s="460"/>
      <c r="CK677" s="460"/>
    </row>
    <row r="678" spans="1:89" s="329" customFormat="1" ht="36" customHeight="1" x14ac:dyDescent="0.25">
      <c r="A678" s="329">
        <v>1</v>
      </c>
      <c r="B678" s="39">
        <f>SUBTOTAL(103,$A$552:A678)</f>
        <v>125</v>
      </c>
      <c r="C678" s="33" t="s">
        <v>1524</v>
      </c>
      <c r="D678" s="335">
        <v>1967</v>
      </c>
      <c r="E678" s="330"/>
      <c r="F678" s="331" t="s">
        <v>48</v>
      </c>
      <c r="G678" s="330">
        <v>2</v>
      </c>
      <c r="H678" s="330" t="s">
        <v>56</v>
      </c>
      <c r="I678" s="334">
        <v>1003.5</v>
      </c>
      <c r="J678" s="334">
        <v>634.5</v>
      </c>
      <c r="K678" s="334">
        <v>634.5</v>
      </c>
      <c r="L678" s="332">
        <v>28</v>
      </c>
      <c r="M678" s="330" t="s">
        <v>46</v>
      </c>
      <c r="N678" s="330" t="s">
        <v>50</v>
      </c>
      <c r="O678" s="333" t="s">
        <v>1999</v>
      </c>
      <c r="P678" s="38">
        <v>686139</v>
      </c>
      <c r="Q678" s="38">
        <v>0</v>
      </c>
      <c r="R678" s="38">
        <v>0</v>
      </c>
      <c r="S678" s="38">
        <f t="shared" si="130"/>
        <v>686139</v>
      </c>
      <c r="T678" s="38">
        <f t="shared" si="127"/>
        <v>683.74588938714498</v>
      </c>
      <c r="U678" s="38">
        <v>896.63</v>
      </c>
      <c r="V678" s="458">
        <f t="shared" si="128"/>
        <v>212.88411061285501</v>
      </c>
      <c r="W678" s="458">
        <f t="shared" ref="W678:W680" si="132">T678</f>
        <v>683.74588938714498</v>
      </c>
      <c r="X678" s="458">
        <v>0</v>
      </c>
      <c r="Y678" s="459">
        <v>0</v>
      </c>
      <c r="Z678" s="459">
        <v>0</v>
      </c>
      <c r="AA678" s="459">
        <v>184.98</v>
      </c>
      <c r="AB678" s="459">
        <v>810.46</v>
      </c>
      <c r="AC678" s="459">
        <v>0</v>
      </c>
      <c r="AD678" s="459">
        <v>0</v>
      </c>
      <c r="AE678" s="459">
        <v>0</v>
      </c>
      <c r="AF678" s="458">
        <v>0</v>
      </c>
      <c r="AG678" s="459">
        <v>0</v>
      </c>
      <c r="AH678" s="458">
        <v>0</v>
      </c>
      <c r="AI678" s="459">
        <v>0</v>
      </c>
      <c r="AJ678" s="458">
        <v>0</v>
      </c>
      <c r="AK678" s="459">
        <v>0</v>
      </c>
      <c r="AL678" s="459">
        <v>0</v>
      </c>
      <c r="AM678" s="459">
        <v>0</v>
      </c>
      <c r="AN678" s="459"/>
      <c r="AO678" s="459">
        <v>0</v>
      </c>
      <c r="AP678" s="460"/>
      <c r="AQ678" s="460"/>
      <c r="AR678" s="460"/>
      <c r="AS678" s="460"/>
      <c r="AT678" s="460"/>
      <c r="AU678" s="460"/>
      <c r="AV678" s="460"/>
      <c r="AW678" s="460"/>
      <c r="AX678" s="460"/>
      <c r="AY678" s="460"/>
      <c r="AZ678" s="460"/>
      <c r="BA678" s="460"/>
      <c r="BB678" s="460"/>
      <c r="BC678" s="460"/>
      <c r="BD678" s="460"/>
      <c r="BE678" s="460"/>
      <c r="BF678" s="460"/>
      <c r="BG678" s="460"/>
      <c r="BH678" s="460"/>
      <c r="BI678" s="460"/>
      <c r="BJ678" s="460"/>
      <c r="BK678" s="460"/>
      <c r="BL678" s="460"/>
      <c r="BM678" s="460"/>
      <c r="BN678" s="460"/>
      <c r="BO678" s="460"/>
      <c r="BP678" s="460"/>
      <c r="BQ678" s="460"/>
      <c r="BR678" s="460"/>
      <c r="BS678" s="460"/>
      <c r="BT678" s="460"/>
      <c r="BU678" s="460"/>
      <c r="BV678" s="460"/>
      <c r="BW678" s="460"/>
      <c r="BX678" s="460"/>
      <c r="BY678" s="460"/>
      <c r="BZ678" s="460"/>
      <c r="CA678" s="460"/>
      <c r="CB678" s="460"/>
      <c r="CC678" s="460"/>
      <c r="CD678" s="460"/>
      <c r="CE678" s="460"/>
      <c r="CF678" s="460"/>
      <c r="CG678" s="460"/>
      <c r="CH678" s="460"/>
      <c r="CI678" s="460"/>
      <c r="CJ678" s="460"/>
      <c r="CK678" s="460"/>
    </row>
    <row r="679" spans="1:89" s="329" customFormat="1" ht="36" customHeight="1" x14ac:dyDescent="0.25">
      <c r="A679" s="329">
        <v>1</v>
      </c>
      <c r="B679" s="39">
        <f>SUBTOTAL(103,$A$552:A679)</f>
        <v>126</v>
      </c>
      <c r="C679" s="33" t="s">
        <v>1525</v>
      </c>
      <c r="D679" s="335">
        <v>1974</v>
      </c>
      <c r="E679" s="330"/>
      <c r="F679" s="331" t="s">
        <v>48</v>
      </c>
      <c r="G679" s="330">
        <v>2</v>
      </c>
      <c r="H679" s="330" t="s">
        <v>56</v>
      </c>
      <c r="I679" s="334">
        <v>1163.5</v>
      </c>
      <c r="J679" s="334">
        <v>704.1</v>
      </c>
      <c r="K679" s="334">
        <v>704.1</v>
      </c>
      <c r="L679" s="332">
        <v>46</v>
      </c>
      <c r="M679" s="330" t="s">
        <v>46</v>
      </c>
      <c r="N679" s="330" t="s">
        <v>50</v>
      </c>
      <c r="O679" s="333" t="s">
        <v>1999</v>
      </c>
      <c r="P679" s="38">
        <v>783943</v>
      </c>
      <c r="Q679" s="38">
        <v>0</v>
      </c>
      <c r="R679" s="38">
        <v>0</v>
      </c>
      <c r="S679" s="38">
        <f t="shared" si="130"/>
        <v>783943</v>
      </c>
      <c r="T679" s="38">
        <f t="shared" si="127"/>
        <v>673.77997421572843</v>
      </c>
      <c r="U679" s="38">
        <v>810.46</v>
      </c>
      <c r="V679" s="458">
        <f t="shared" si="128"/>
        <v>136.68002578427161</v>
      </c>
      <c r="W679" s="458">
        <f t="shared" si="132"/>
        <v>673.77997421572843</v>
      </c>
      <c r="X679" s="458">
        <v>0</v>
      </c>
      <c r="Y679" s="459">
        <v>0</v>
      </c>
      <c r="Z679" s="459">
        <v>0</v>
      </c>
      <c r="AA679" s="459">
        <v>0</v>
      </c>
      <c r="AB679" s="459">
        <v>810.46</v>
      </c>
      <c r="AC679" s="459">
        <v>0</v>
      </c>
      <c r="AD679" s="459">
        <v>0</v>
      </c>
      <c r="AE679" s="459">
        <v>0</v>
      </c>
      <c r="AF679" s="458">
        <v>0</v>
      </c>
      <c r="AG679" s="459">
        <v>0</v>
      </c>
      <c r="AH679" s="458">
        <v>0</v>
      </c>
      <c r="AI679" s="459">
        <v>0</v>
      </c>
      <c r="AJ679" s="458">
        <v>0</v>
      </c>
      <c r="AK679" s="459">
        <v>0</v>
      </c>
      <c r="AL679" s="459">
        <v>0</v>
      </c>
      <c r="AM679" s="459">
        <v>0</v>
      </c>
      <c r="AN679" s="459"/>
      <c r="AO679" s="459">
        <v>0</v>
      </c>
      <c r="AP679" s="460"/>
      <c r="AQ679" s="460"/>
      <c r="AR679" s="460"/>
      <c r="AS679" s="460"/>
      <c r="AT679" s="460"/>
      <c r="AU679" s="460"/>
      <c r="AV679" s="460"/>
      <c r="AW679" s="460"/>
      <c r="AX679" s="460"/>
      <c r="AY679" s="460"/>
      <c r="AZ679" s="460"/>
      <c r="BA679" s="460"/>
      <c r="BB679" s="460"/>
      <c r="BC679" s="460"/>
      <c r="BD679" s="460"/>
      <c r="BE679" s="460"/>
      <c r="BF679" s="460"/>
      <c r="BG679" s="460"/>
      <c r="BH679" s="460"/>
      <c r="BI679" s="460"/>
      <c r="BJ679" s="460"/>
      <c r="BK679" s="460"/>
      <c r="BL679" s="460"/>
      <c r="BM679" s="460"/>
      <c r="BN679" s="460"/>
      <c r="BO679" s="460"/>
      <c r="BP679" s="460"/>
      <c r="BQ679" s="460"/>
      <c r="BR679" s="460"/>
      <c r="BS679" s="460"/>
      <c r="BT679" s="460"/>
      <c r="BU679" s="460"/>
      <c r="BV679" s="460"/>
      <c r="BW679" s="460"/>
      <c r="BX679" s="460"/>
      <c r="BY679" s="460"/>
      <c r="BZ679" s="460"/>
      <c r="CA679" s="460"/>
      <c r="CB679" s="460"/>
      <c r="CC679" s="460"/>
      <c r="CD679" s="460"/>
      <c r="CE679" s="460"/>
      <c r="CF679" s="460"/>
      <c r="CG679" s="460"/>
      <c r="CH679" s="460"/>
      <c r="CI679" s="460"/>
      <c r="CJ679" s="460"/>
      <c r="CK679" s="460"/>
    </row>
    <row r="680" spans="1:89" s="329" customFormat="1" ht="36" customHeight="1" x14ac:dyDescent="0.25">
      <c r="A680" s="329">
        <v>1</v>
      </c>
      <c r="B680" s="39">
        <f>SUBTOTAL(103,$A$552:A680)</f>
        <v>127</v>
      </c>
      <c r="C680" s="33" t="s">
        <v>1526</v>
      </c>
      <c r="D680" s="330">
        <v>1973</v>
      </c>
      <c r="E680" s="330"/>
      <c r="F680" s="331" t="s">
        <v>48</v>
      </c>
      <c r="G680" s="330">
        <v>2</v>
      </c>
      <c r="H680" s="330" t="s">
        <v>56</v>
      </c>
      <c r="I680" s="334">
        <v>692.9</v>
      </c>
      <c r="J680" s="334">
        <v>692.9</v>
      </c>
      <c r="K680" s="334">
        <v>692.9</v>
      </c>
      <c r="L680" s="332">
        <v>47</v>
      </c>
      <c r="M680" s="330" t="s">
        <v>46</v>
      </c>
      <c r="N680" s="330" t="s">
        <v>50</v>
      </c>
      <c r="O680" s="333" t="s">
        <v>1999</v>
      </c>
      <c r="P680" s="38">
        <v>776127.96</v>
      </c>
      <c r="Q680" s="38">
        <v>0</v>
      </c>
      <c r="R680" s="38">
        <v>0</v>
      </c>
      <c r="S680" s="38">
        <f t="shared" si="130"/>
        <v>776127.96</v>
      </c>
      <c r="T680" s="38">
        <f t="shared" si="127"/>
        <v>1120.1153990474816</v>
      </c>
      <c r="U680" s="38">
        <v>1120.1153990474816</v>
      </c>
      <c r="V680" s="458">
        <f t="shared" si="128"/>
        <v>0</v>
      </c>
      <c r="W680" s="458">
        <f t="shared" si="132"/>
        <v>1120.1153990474816</v>
      </c>
      <c r="X680" s="458">
        <v>0</v>
      </c>
      <c r="Y680" s="459">
        <v>0</v>
      </c>
      <c r="Z680" s="459">
        <v>0</v>
      </c>
      <c r="AA680" s="459">
        <v>0</v>
      </c>
      <c r="AB680" s="459">
        <v>810.46</v>
      </c>
      <c r="AC680" s="459">
        <v>0</v>
      </c>
      <c r="AD680" s="459">
        <v>0</v>
      </c>
      <c r="AE680" s="459">
        <v>0</v>
      </c>
      <c r="AF680" s="458">
        <v>0</v>
      </c>
      <c r="AG680" s="459">
        <v>0</v>
      </c>
      <c r="AH680" s="458">
        <v>0</v>
      </c>
      <c r="AI680" s="459">
        <v>0</v>
      </c>
      <c r="AJ680" s="458">
        <v>0</v>
      </c>
      <c r="AK680" s="459">
        <v>0</v>
      </c>
      <c r="AL680" s="459">
        <v>0</v>
      </c>
      <c r="AM680" s="459">
        <v>0</v>
      </c>
      <c r="AN680" s="459"/>
      <c r="AO680" s="459">
        <v>0</v>
      </c>
      <c r="AP680" s="460"/>
      <c r="AQ680" s="460"/>
      <c r="AR680" s="460"/>
      <c r="AS680" s="460"/>
      <c r="AT680" s="460"/>
      <c r="AU680" s="460"/>
      <c r="AV680" s="460"/>
      <c r="AW680" s="460"/>
      <c r="AX680" s="460"/>
      <c r="AY680" s="460"/>
      <c r="AZ680" s="460"/>
      <c r="BA680" s="460"/>
      <c r="BB680" s="460"/>
      <c r="BC680" s="460"/>
      <c r="BD680" s="460"/>
      <c r="BE680" s="460"/>
      <c r="BF680" s="460"/>
      <c r="BG680" s="460"/>
      <c r="BH680" s="460"/>
      <c r="BI680" s="460"/>
      <c r="BJ680" s="460"/>
      <c r="BK680" s="460"/>
      <c r="BL680" s="460"/>
      <c r="BM680" s="460"/>
      <c r="BN680" s="460"/>
      <c r="BO680" s="460"/>
      <c r="BP680" s="460"/>
      <c r="BQ680" s="460"/>
      <c r="BR680" s="460"/>
      <c r="BS680" s="460"/>
      <c r="BT680" s="460"/>
      <c r="BU680" s="460"/>
      <c r="BV680" s="460"/>
      <c r="BW680" s="460"/>
      <c r="BX680" s="460"/>
      <c r="BY680" s="460"/>
      <c r="BZ680" s="460"/>
      <c r="CA680" s="460"/>
      <c r="CB680" s="460"/>
      <c r="CC680" s="460"/>
      <c r="CD680" s="460"/>
      <c r="CE680" s="460"/>
      <c r="CF680" s="460"/>
      <c r="CG680" s="460"/>
      <c r="CH680" s="460"/>
      <c r="CI680" s="460"/>
      <c r="CJ680" s="460"/>
      <c r="CK680" s="460"/>
    </row>
    <row r="681" spans="1:89" s="329" customFormat="1" ht="36" customHeight="1" x14ac:dyDescent="0.25">
      <c r="A681" s="329">
        <v>1</v>
      </c>
      <c r="B681" s="39">
        <f>SUBTOTAL(103,$A$552:A681)</f>
        <v>128</v>
      </c>
      <c r="C681" s="33" t="s">
        <v>1193</v>
      </c>
      <c r="D681" s="330">
        <v>1960</v>
      </c>
      <c r="E681" s="330"/>
      <c r="F681" s="331" t="s">
        <v>48</v>
      </c>
      <c r="G681" s="330">
        <v>2</v>
      </c>
      <c r="H681" s="330" t="s">
        <v>56</v>
      </c>
      <c r="I681" s="334">
        <v>582.70000000000005</v>
      </c>
      <c r="J681" s="334">
        <v>576.70000000000005</v>
      </c>
      <c r="K681" s="334">
        <v>576.70000000000005</v>
      </c>
      <c r="L681" s="332">
        <v>31</v>
      </c>
      <c r="M681" s="330" t="s">
        <v>46</v>
      </c>
      <c r="N681" s="330" t="s">
        <v>50</v>
      </c>
      <c r="O681" s="333" t="s">
        <v>65</v>
      </c>
      <c r="P681" s="38">
        <v>2549917.2999999998</v>
      </c>
      <c r="Q681" s="38">
        <v>0</v>
      </c>
      <c r="R681" s="38">
        <v>0</v>
      </c>
      <c r="S681" s="38">
        <f t="shared" si="130"/>
        <v>2549917.2999999998</v>
      </c>
      <c r="T681" s="38">
        <f t="shared" si="127"/>
        <v>4376.0379268920533</v>
      </c>
      <c r="U681" s="38">
        <v>5124.6106572850522</v>
      </c>
      <c r="V681" s="458">
        <f t="shared" si="128"/>
        <v>748.57273039299889</v>
      </c>
      <c r="W681" s="458">
        <f t="shared" si="131"/>
        <v>5107.1907842800747</v>
      </c>
      <c r="X681" s="458">
        <v>0</v>
      </c>
      <c r="Y681" s="459">
        <v>0</v>
      </c>
      <c r="Z681" s="459">
        <v>0</v>
      </c>
      <c r="AA681" s="459">
        <v>0</v>
      </c>
      <c r="AB681" s="459">
        <v>0</v>
      </c>
      <c r="AC681" s="459">
        <v>0</v>
      </c>
      <c r="AD681" s="459">
        <v>0</v>
      </c>
      <c r="AE681" s="459">
        <v>477</v>
      </c>
      <c r="AF681" s="458">
        <f t="shared" ref="AF681:AF691" si="133">6238.91*AE681/I681</f>
        <v>5107.1907842800747</v>
      </c>
      <c r="AG681" s="459">
        <v>0</v>
      </c>
      <c r="AH681" s="458">
        <v>0</v>
      </c>
      <c r="AI681" s="459">
        <v>0</v>
      </c>
      <c r="AJ681" s="458">
        <v>0</v>
      </c>
      <c r="AK681" s="459">
        <v>0</v>
      </c>
      <c r="AL681" s="459">
        <v>0</v>
      </c>
      <c r="AM681" s="459">
        <v>0</v>
      </c>
      <c r="AN681" s="459"/>
      <c r="AO681" s="459">
        <v>0</v>
      </c>
      <c r="AP681" s="460"/>
      <c r="AQ681" s="460"/>
      <c r="AR681" s="460"/>
      <c r="AS681" s="460"/>
      <c r="AT681" s="460"/>
      <c r="AU681" s="460"/>
      <c r="AV681" s="460"/>
      <c r="AW681" s="460"/>
      <c r="AX681" s="460"/>
      <c r="AY681" s="460"/>
      <c r="AZ681" s="460"/>
      <c r="BA681" s="460"/>
      <c r="BB681" s="460"/>
      <c r="BC681" s="460"/>
      <c r="BD681" s="460"/>
      <c r="BE681" s="460"/>
      <c r="BF681" s="460"/>
      <c r="BG681" s="460"/>
      <c r="BH681" s="460"/>
      <c r="BI681" s="460"/>
      <c r="BJ681" s="460"/>
      <c r="BK681" s="460"/>
      <c r="BL681" s="460"/>
      <c r="BM681" s="460"/>
      <c r="BN681" s="460"/>
      <c r="BO681" s="460"/>
      <c r="BP681" s="460"/>
      <c r="BQ681" s="460"/>
      <c r="BR681" s="460"/>
      <c r="BS681" s="460"/>
      <c r="BT681" s="460"/>
      <c r="BU681" s="460"/>
      <c r="BV681" s="460"/>
      <c r="BW681" s="460"/>
      <c r="BX681" s="460"/>
      <c r="BY681" s="460"/>
      <c r="BZ681" s="460"/>
      <c r="CA681" s="460"/>
      <c r="CB681" s="460"/>
      <c r="CC681" s="460"/>
      <c r="CD681" s="460"/>
      <c r="CE681" s="460"/>
      <c r="CF681" s="460"/>
      <c r="CG681" s="460"/>
      <c r="CH681" s="460"/>
      <c r="CI681" s="460"/>
      <c r="CJ681" s="460"/>
      <c r="CK681" s="460"/>
    </row>
    <row r="682" spans="1:89" s="329" customFormat="1" ht="36" customHeight="1" x14ac:dyDescent="0.25">
      <c r="A682" s="329">
        <v>1</v>
      </c>
      <c r="B682" s="39">
        <f>SUBTOTAL(103,$A$552:A682)</f>
        <v>129</v>
      </c>
      <c r="C682" s="33" t="s">
        <v>1194</v>
      </c>
      <c r="D682" s="330">
        <v>1960</v>
      </c>
      <c r="E682" s="330"/>
      <c r="F682" s="331" t="s">
        <v>48</v>
      </c>
      <c r="G682" s="330">
        <v>2</v>
      </c>
      <c r="H682" s="330" t="s">
        <v>56</v>
      </c>
      <c r="I682" s="334">
        <v>592.20000000000005</v>
      </c>
      <c r="J682" s="334">
        <v>550.70000000000005</v>
      </c>
      <c r="K682" s="334">
        <v>550.70000000000005</v>
      </c>
      <c r="L682" s="332">
        <v>37</v>
      </c>
      <c r="M682" s="330" t="s">
        <v>46</v>
      </c>
      <c r="N682" s="330" t="s">
        <v>50</v>
      </c>
      <c r="O682" s="333" t="s">
        <v>2000</v>
      </c>
      <c r="P682" s="38">
        <v>2559962.94</v>
      </c>
      <c r="Q682" s="38">
        <v>0</v>
      </c>
      <c r="R682" s="38">
        <v>0</v>
      </c>
      <c r="S682" s="38">
        <f t="shared" si="130"/>
        <v>2559962.94</v>
      </c>
      <c r="T682" s="38">
        <f t="shared" si="127"/>
        <v>4322.801317122593</v>
      </c>
      <c r="U682" s="38">
        <v>4989.5469098277599</v>
      </c>
      <c r="V682" s="458">
        <f t="shared" si="128"/>
        <v>666.74559270516693</v>
      </c>
      <c r="W682" s="458">
        <f t="shared" si="131"/>
        <v>4972.5861533265788</v>
      </c>
      <c r="X682" s="458">
        <v>0</v>
      </c>
      <c r="Y682" s="459">
        <v>0</v>
      </c>
      <c r="Z682" s="459">
        <v>0</v>
      </c>
      <c r="AA682" s="459">
        <v>0</v>
      </c>
      <c r="AB682" s="459">
        <v>0</v>
      </c>
      <c r="AC682" s="459">
        <v>0</v>
      </c>
      <c r="AD682" s="459">
        <v>0</v>
      </c>
      <c r="AE682" s="459">
        <v>472</v>
      </c>
      <c r="AF682" s="458">
        <f t="shared" si="133"/>
        <v>4972.5861533265788</v>
      </c>
      <c r="AG682" s="459">
        <v>0</v>
      </c>
      <c r="AH682" s="458">
        <v>0</v>
      </c>
      <c r="AI682" s="459">
        <v>0</v>
      </c>
      <c r="AJ682" s="458">
        <v>0</v>
      </c>
      <c r="AK682" s="459">
        <v>0</v>
      </c>
      <c r="AL682" s="459">
        <v>0</v>
      </c>
      <c r="AM682" s="459">
        <v>0</v>
      </c>
      <c r="AN682" s="459"/>
      <c r="AO682" s="459">
        <v>0</v>
      </c>
      <c r="AP682" s="460"/>
      <c r="AQ682" s="460"/>
      <c r="AR682" s="460"/>
      <c r="AS682" s="460"/>
      <c r="AT682" s="460"/>
      <c r="AU682" s="460"/>
      <c r="AV682" s="460"/>
      <c r="AW682" s="460"/>
      <c r="AX682" s="460"/>
      <c r="AY682" s="460"/>
      <c r="AZ682" s="460"/>
      <c r="BA682" s="460"/>
      <c r="BB682" s="460"/>
      <c r="BC682" s="460"/>
      <c r="BD682" s="460"/>
      <c r="BE682" s="460"/>
      <c r="BF682" s="460"/>
      <c r="BG682" s="460"/>
      <c r="BH682" s="460"/>
      <c r="BI682" s="460"/>
      <c r="BJ682" s="460"/>
      <c r="BK682" s="460"/>
      <c r="BL682" s="460"/>
      <c r="BM682" s="460"/>
      <c r="BN682" s="460"/>
      <c r="BO682" s="460"/>
      <c r="BP682" s="460"/>
      <c r="BQ682" s="460"/>
      <c r="BR682" s="460"/>
      <c r="BS682" s="460"/>
      <c r="BT682" s="460"/>
      <c r="BU682" s="460"/>
      <c r="BV682" s="460"/>
      <c r="BW682" s="460"/>
      <c r="BX682" s="460"/>
      <c r="BY682" s="460"/>
      <c r="BZ682" s="460"/>
      <c r="CA682" s="460"/>
      <c r="CB682" s="460"/>
      <c r="CC682" s="460"/>
      <c r="CD682" s="460"/>
      <c r="CE682" s="460"/>
      <c r="CF682" s="460"/>
      <c r="CG682" s="460"/>
      <c r="CH682" s="460"/>
      <c r="CI682" s="460"/>
      <c r="CJ682" s="460"/>
      <c r="CK682" s="460"/>
    </row>
    <row r="683" spans="1:89" s="329" customFormat="1" ht="36" customHeight="1" x14ac:dyDescent="0.25">
      <c r="A683" s="329">
        <v>1</v>
      </c>
      <c r="B683" s="39">
        <f>SUBTOTAL(103,$A$552:A683)</f>
        <v>130</v>
      </c>
      <c r="C683" s="33" t="s">
        <v>1527</v>
      </c>
      <c r="D683" s="330">
        <v>1950</v>
      </c>
      <c r="E683" s="330"/>
      <c r="F683" s="331" t="s">
        <v>48</v>
      </c>
      <c r="G683" s="330">
        <v>3</v>
      </c>
      <c r="H683" s="330" t="s">
        <v>56</v>
      </c>
      <c r="I683" s="334">
        <v>786.1</v>
      </c>
      <c r="J683" s="334">
        <v>786.1</v>
      </c>
      <c r="K683" s="334">
        <v>527.79999999999995</v>
      </c>
      <c r="L683" s="332">
        <v>18</v>
      </c>
      <c r="M683" s="330" t="s">
        <v>46</v>
      </c>
      <c r="N683" s="330" t="s">
        <v>50</v>
      </c>
      <c r="O683" s="333" t="s">
        <v>1999</v>
      </c>
      <c r="P683" s="38">
        <v>2456912.8200000003</v>
      </c>
      <c r="Q683" s="38">
        <v>0</v>
      </c>
      <c r="R683" s="38">
        <v>0</v>
      </c>
      <c r="S683" s="38">
        <f t="shared" si="130"/>
        <v>2456912.8200000003</v>
      </c>
      <c r="T683" s="38">
        <f t="shared" si="127"/>
        <v>3125.4456430479586</v>
      </c>
      <c r="U683" s="38">
        <v>3503.9862612899115</v>
      </c>
      <c r="V683" s="458">
        <f t="shared" si="128"/>
        <v>378.54061824195287</v>
      </c>
      <c r="W683" s="458">
        <f t="shared" si="131"/>
        <v>3492.0753084849252</v>
      </c>
      <c r="X683" s="458">
        <v>0</v>
      </c>
      <c r="Y683" s="459">
        <v>0</v>
      </c>
      <c r="Z683" s="459">
        <v>0</v>
      </c>
      <c r="AA683" s="459">
        <v>0</v>
      </c>
      <c r="AB683" s="459">
        <v>0</v>
      </c>
      <c r="AC683" s="459">
        <v>0</v>
      </c>
      <c r="AD683" s="459">
        <v>0</v>
      </c>
      <c r="AE683" s="459">
        <v>440</v>
      </c>
      <c r="AF683" s="458">
        <f t="shared" si="133"/>
        <v>3492.0753084849252</v>
      </c>
      <c r="AG683" s="459">
        <v>0</v>
      </c>
      <c r="AH683" s="458">
        <v>0</v>
      </c>
      <c r="AI683" s="459">
        <v>0</v>
      </c>
      <c r="AJ683" s="458">
        <v>0</v>
      </c>
      <c r="AK683" s="459">
        <v>0</v>
      </c>
      <c r="AL683" s="459">
        <v>0</v>
      </c>
      <c r="AM683" s="459">
        <v>0</v>
      </c>
      <c r="AN683" s="459"/>
      <c r="AO683" s="459">
        <v>0</v>
      </c>
      <c r="AP683" s="460"/>
      <c r="AQ683" s="460"/>
      <c r="AR683" s="460"/>
      <c r="AS683" s="460"/>
      <c r="AT683" s="460"/>
      <c r="AU683" s="460"/>
      <c r="AV683" s="460"/>
      <c r="AW683" s="460"/>
      <c r="AX683" s="460"/>
      <c r="AY683" s="460"/>
      <c r="AZ683" s="460"/>
      <c r="BA683" s="460"/>
      <c r="BB683" s="460"/>
      <c r="BC683" s="460"/>
      <c r="BD683" s="460"/>
      <c r="BE683" s="460"/>
      <c r="BF683" s="460"/>
      <c r="BG683" s="460"/>
      <c r="BH683" s="460"/>
      <c r="BI683" s="460"/>
      <c r="BJ683" s="460"/>
      <c r="BK683" s="460"/>
      <c r="BL683" s="460"/>
      <c r="BM683" s="460"/>
      <c r="BN683" s="460"/>
      <c r="BO683" s="460"/>
      <c r="BP683" s="460"/>
      <c r="BQ683" s="460"/>
      <c r="BR683" s="460"/>
      <c r="BS683" s="460"/>
      <c r="BT683" s="460"/>
      <c r="BU683" s="460"/>
      <c r="BV683" s="460"/>
      <c r="BW683" s="460"/>
      <c r="BX683" s="460"/>
      <c r="BY683" s="460"/>
      <c r="BZ683" s="460"/>
      <c r="CA683" s="460"/>
      <c r="CB683" s="460"/>
      <c r="CC683" s="460"/>
      <c r="CD683" s="460"/>
      <c r="CE683" s="460"/>
      <c r="CF683" s="460"/>
      <c r="CG683" s="460"/>
      <c r="CH683" s="460"/>
      <c r="CI683" s="460"/>
      <c r="CJ683" s="460"/>
      <c r="CK683" s="460"/>
    </row>
    <row r="684" spans="1:89" s="329" customFormat="1" ht="36" customHeight="1" x14ac:dyDescent="0.25">
      <c r="A684" s="329">
        <v>1</v>
      </c>
      <c r="B684" s="39">
        <f>SUBTOTAL(103,$A$552:A684)</f>
        <v>131</v>
      </c>
      <c r="C684" s="33" t="s">
        <v>1528</v>
      </c>
      <c r="D684" s="330">
        <v>1977</v>
      </c>
      <c r="E684" s="330"/>
      <c r="F684" s="331" t="s">
        <v>48</v>
      </c>
      <c r="G684" s="330">
        <v>9</v>
      </c>
      <c r="H684" s="330" t="s">
        <v>56</v>
      </c>
      <c r="I684" s="334">
        <v>4984</v>
      </c>
      <c r="J684" s="334">
        <v>3767.5</v>
      </c>
      <c r="K684" s="334">
        <v>3767.5</v>
      </c>
      <c r="L684" s="332">
        <v>163</v>
      </c>
      <c r="M684" s="330" t="s">
        <v>46</v>
      </c>
      <c r="N684" s="330" t="s">
        <v>50</v>
      </c>
      <c r="O684" s="333" t="s">
        <v>1996</v>
      </c>
      <c r="P684" s="38">
        <v>3762569.57</v>
      </c>
      <c r="Q684" s="38">
        <v>0</v>
      </c>
      <c r="R684" s="38">
        <v>0</v>
      </c>
      <c r="S684" s="38">
        <f t="shared" si="130"/>
        <v>3762569.57</v>
      </c>
      <c r="T684" s="38">
        <f t="shared" si="127"/>
        <v>754.92968900481537</v>
      </c>
      <c r="U684" s="38">
        <v>826.48575842696619</v>
      </c>
      <c r="V684" s="458">
        <f t="shared" si="128"/>
        <v>71.556069422150813</v>
      </c>
      <c r="W684" s="458">
        <f t="shared" si="131"/>
        <v>823.67632022471901</v>
      </c>
      <c r="X684" s="458">
        <v>0</v>
      </c>
      <c r="Y684" s="459">
        <v>0</v>
      </c>
      <c r="Z684" s="459">
        <v>0</v>
      </c>
      <c r="AA684" s="459">
        <v>0</v>
      </c>
      <c r="AB684" s="459">
        <v>0</v>
      </c>
      <c r="AC684" s="459">
        <v>0</v>
      </c>
      <c r="AD684" s="459">
        <v>0</v>
      </c>
      <c r="AE684" s="459">
        <v>658</v>
      </c>
      <c r="AF684" s="458">
        <f t="shared" si="133"/>
        <v>823.67632022471901</v>
      </c>
      <c r="AG684" s="459">
        <v>0</v>
      </c>
      <c r="AH684" s="458">
        <v>0</v>
      </c>
      <c r="AI684" s="459">
        <v>0</v>
      </c>
      <c r="AJ684" s="458">
        <v>0</v>
      </c>
      <c r="AK684" s="459">
        <v>0</v>
      </c>
      <c r="AL684" s="459">
        <v>0</v>
      </c>
      <c r="AM684" s="459">
        <v>0</v>
      </c>
      <c r="AN684" s="459"/>
      <c r="AO684" s="459">
        <v>0</v>
      </c>
      <c r="AP684" s="460"/>
      <c r="AQ684" s="460"/>
      <c r="AR684" s="460"/>
      <c r="AS684" s="460"/>
      <c r="AT684" s="460"/>
      <c r="AU684" s="460"/>
      <c r="AV684" s="460"/>
      <c r="AW684" s="460"/>
      <c r="AX684" s="460"/>
      <c r="AY684" s="460"/>
      <c r="AZ684" s="460"/>
      <c r="BA684" s="460"/>
      <c r="BB684" s="460"/>
      <c r="BC684" s="460"/>
      <c r="BD684" s="460"/>
      <c r="BE684" s="460"/>
      <c r="BF684" s="460"/>
      <c r="BG684" s="460"/>
      <c r="BH684" s="460"/>
      <c r="BI684" s="460"/>
      <c r="BJ684" s="460"/>
      <c r="BK684" s="460"/>
      <c r="BL684" s="460"/>
      <c r="BM684" s="460"/>
      <c r="BN684" s="460"/>
      <c r="BO684" s="460"/>
      <c r="BP684" s="460"/>
      <c r="BQ684" s="460"/>
      <c r="BR684" s="460"/>
      <c r="BS684" s="460"/>
      <c r="BT684" s="460"/>
      <c r="BU684" s="460"/>
      <c r="BV684" s="460"/>
      <c r="BW684" s="460"/>
      <c r="BX684" s="460"/>
      <c r="BY684" s="460"/>
      <c r="BZ684" s="460"/>
      <c r="CA684" s="460"/>
      <c r="CB684" s="460"/>
      <c r="CC684" s="460"/>
      <c r="CD684" s="460"/>
      <c r="CE684" s="460"/>
      <c r="CF684" s="460"/>
      <c r="CG684" s="460"/>
      <c r="CH684" s="460"/>
      <c r="CI684" s="460"/>
      <c r="CJ684" s="460"/>
      <c r="CK684" s="460"/>
    </row>
    <row r="685" spans="1:89" s="329" customFormat="1" ht="36" customHeight="1" x14ac:dyDescent="0.25">
      <c r="A685" s="329">
        <v>1</v>
      </c>
      <c r="B685" s="39">
        <f>SUBTOTAL(103,$A$552:A685)</f>
        <v>132</v>
      </c>
      <c r="C685" s="33" t="s">
        <v>1529</v>
      </c>
      <c r="D685" s="330">
        <v>1961</v>
      </c>
      <c r="E685" s="330"/>
      <c r="F685" s="331" t="s">
        <v>48</v>
      </c>
      <c r="G685" s="330">
        <v>4</v>
      </c>
      <c r="H685" s="330" t="s">
        <v>59</v>
      </c>
      <c r="I685" s="334">
        <v>2700.93</v>
      </c>
      <c r="J685" s="334">
        <v>2461.3000000000002</v>
      </c>
      <c r="K685" s="334">
        <v>2280.6999999999998</v>
      </c>
      <c r="L685" s="332">
        <v>87</v>
      </c>
      <c r="M685" s="330" t="s">
        <v>46</v>
      </c>
      <c r="N685" s="330" t="s">
        <v>50</v>
      </c>
      <c r="O685" s="333" t="s">
        <v>65</v>
      </c>
      <c r="P685" s="38">
        <v>5669999.9900000002</v>
      </c>
      <c r="Q685" s="38">
        <v>0</v>
      </c>
      <c r="R685" s="38">
        <v>0</v>
      </c>
      <c r="S685" s="38">
        <f t="shared" si="130"/>
        <v>5669999.9900000002</v>
      </c>
      <c r="T685" s="38">
        <f t="shared" si="127"/>
        <v>2099.2769120265984</v>
      </c>
      <c r="U685" s="38">
        <v>2628.3744710155393</v>
      </c>
      <c r="V685" s="458">
        <f t="shared" si="128"/>
        <v>529.09755898894082</v>
      </c>
      <c r="W685" s="458">
        <f t="shared" si="131"/>
        <v>2619.4399484621963</v>
      </c>
      <c r="X685" s="458">
        <v>0</v>
      </c>
      <c r="Y685" s="459">
        <v>0</v>
      </c>
      <c r="Z685" s="459">
        <v>0</v>
      </c>
      <c r="AA685" s="459">
        <v>0</v>
      </c>
      <c r="AB685" s="459">
        <v>0</v>
      </c>
      <c r="AC685" s="459">
        <v>0</v>
      </c>
      <c r="AD685" s="459">
        <v>0</v>
      </c>
      <c r="AE685" s="459">
        <v>1134</v>
      </c>
      <c r="AF685" s="458">
        <f t="shared" si="133"/>
        <v>2619.4399484621963</v>
      </c>
      <c r="AG685" s="459">
        <v>0</v>
      </c>
      <c r="AH685" s="458">
        <v>0</v>
      </c>
      <c r="AI685" s="459">
        <v>0</v>
      </c>
      <c r="AJ685" s="458">
        <v>0</v>
      </c>
      <c r="AK685" s="459">
        <v>0</v>
      </c>
      <c r="AL685" s="459">
        <v>0</v>
      </c>
      <c r="AM685" s="459">
        <v>0</v>
      </c>
      <c r="AN685" s="459"/>
      <c r="AO685" s="459">
        <v>0</v>
      </c>
      <c r="AP685" s="460"/>
      <c r="AQ685" s="460"/>
      <c r="AR685" s="460"/>
      <c r="AS685" s="460"/>
      <c r="AT685" s="460"/>
      <c r="AU685" s="460"/>
      <c r="AV685" s="460"/>
      <c r="AW685" s="460"/>
      <c r="AX685" s="460"/>
      <c r="AY685" s="460"/>
      <c r="AZ685" s="460"/>
      <c r="BA685" s="460"/>
      <c r="BB685" s="460"/>
      <c r="BC685" s="460"/>
      <c r="BD685" s="460"/>
      <c r="BE685" s="460"/>
      <c r="BF685" s="460"/>
      <c r="BG685" s="460"/>
      <c r="BH685" s="460"/>
      <c r="BI685" s="460"/>
      <c r="BJ685" s="460"/>
      <c r="BK685" s="460"/>
      <c r="BL685" s="460"/>
      <c r="BM685" s="460"/>
      <c r="BN685" s="460"/>
      <c r="BO685" s="460"/>
      <c r="BP685" s="460"/>
      <c r="BQ685" s="460"/>
      <c r="BR685" s="460"/>
      <c r="BS685" s="460"/>
      <c r="BT685" s="460"/>
      <c r="BU685" s="460"/>
      <c r="BV685" s="460"/>
      <c r="BW685" s="460"/>
      <c r="BX685" s="460"/>
      <c r="BY685" s="460"/>
      <c r="BZ685" s="460"/>
      <c r="CA685" s="460"/>
      <c r="CB685" s="460"/>
      <c r="CC685" s="460"/>
      <c r="CD685" s="460"/>
      <c r="CE685" s="460"/>
      <c r="CF685" s="460"/>
      <c r="CG685" s="460"/>
      <c r="CH685" s="460"/>
      <c r="CI685" s="460"/>
      <c r="CJ685" s="460"/>
      <c r="CK685" s="460"/>
    </row>
    <row r="686" spans="1:89" s="329" customFormat="1" ht="36" customHeight="1" x14ac:dyDescent="0.25">
      <c r="A686" s="329">
        <v>1</v>
      </c>
      <c r="B686" s="39">
        <f>SUBTOTAL(103,$A$552:A686)</f>
        <v>133</v>
      </c>
      <c r="C686" s="33" t="s">
        <v>1530</v>
      </c>
      <c r="D686" s="330">
        <v>1960</v>
      </c>
      <c r="E686" s="330"/>
      <c r="F686" s="331" t="s">
        <v>48</v>
      </c>
      <c r="G686" s="330">
        <v>4</v>
      </c>
      <c r="H686" s="330" t="s">
        <v>56</v>
      </c>
      <c r="I686" s="334">
        <v>1374.8</v>
      </c>
      <c r="J686" s="334">
        <v>1203.9000000000001</v>
      </c>
      <c r="K686" s="334">
        <v>773.1</v>
      </c>
      <c r="L686" s="332">
        <v>43</v>
      </c>
      <c r="M686" s="330" t="s">
        <v>46</v>
      </c>
      <c r="N686" s="330" t="s">
        <v>50</v>
      </c>
      <c r="O686" s="333" t="s">
        <v>65</v>
      </c>
      <c r="P686" s="38">
        <v>2895000</v>
      </c>
      <c r="Q686" s="38">
        <v>0</v>
      </c>
      <c r="R686" s="38">
        <v>0</v>
      </c>
      <c r="S686" s="38">
        <f t="shared" si="130"/>
        <v>2895000</v>
      </c>
      <c r="T686" s="38">
        <f t="shared" si="127"/>
        <v>2105.760837940064</v>
      </c>
      <c r="U686" s="38">
        <v>2636.4925880128017</v>
      </c>
      <c r="V686" s="458">
        <f t="shared" si="128"/>
        <v>530.73175007273767</v>
      </c>
      <c r="W686" s="458">
        <f t="shared" si="131"/>
        <v>2627.5304698865293</v>
      </c>
      <c r="X686" s="458">
        <v>0</v>
      </c>
      <c r="Y686" s="459">
        <v>0</v>
      </c>
      <c r="Z686" s="459">
        <v>0</v>
      </c>
      <c r="AA686" s="459">
        <v>0</v>
      </c>
      <c r="AB686" s="459">
        <v>0</v>
      </c>
      <c r="AC686" s="459">
        <v>0</v>
      </c>
      <c r="AD686" s="459">
        <v>0</v>
      </c>
      <c r="AE686" s="459">
        <v>579</v>
      </c>
      <c r="AF686" s="458">
        <f t="shared" si="133"/>
        <v>2627.5304698865293</v>
      </c>
      <c r="AG686" s="459">
        <v>0</v>
      </c>
      <c r="AH686" s="458">
        <v>0</v>
      </c>
      <c r="AI686" s="459">
        <v>0</v>
      </c>
      <c r="AJ686" s="458">
        <v>0</v>
      </c>
      <c r="AK686" s="459">
        <v>0</v>
      </c>
      <c r="AL686" s="459">
        <v>0</v>
      </c>
      <c r="AM686" s="459">
        <v>0</v>
      </c>
      <c r="AN686" s="459"/>
      <c r="AO686" s="459">
        <v>0</v>
      </c>
      <c r="AP686" s="460"/>
      <c r="AQ686" s="460"/>
      <c r="AR686" s="460"/>
      <c r="AS686" s="460"/>
      <c r="AT686" s="460"/>
      <c r="AU686" s="460"/>
      <c r="AV686" s="460"/>
      <c r="AW686" s="460"/>
      <c r="AX686" s="460"/>
      <c r="AY686" s="460"/>
      <c r="AZ686" s="460"/>
      <c r="BA686" s="460"/>
      <c r="BB686" s="460"/>
      <c r="BC686" s="460"/>
      <c r="BD686" s="460"/>
      <c r="BE686" s="460"/>
      <c r="BF686" s="460"/>
      <c r="BG686" s="460"/>
      <c r="BH686" s="460"/>
      <c r="BI686" s="460"/>
      <c r="BJ686" s="460"/>
      <c r="BK686" s="460"/>
      <c r="BL686" s="460"/>
      <c r="BM686" s="460"/>
      <c r="BN686" s="460"/>
      <c r="BO686" s="460"/>
      <c r="BP686" s="460"/>
      <c r="BQ686" s="460"/>
      <c r="BR686" s="460"/>
      <c r="BS686" s="460"/>
      <c r="BT686" s="460"/>
      <c r="BU686" s="460"/>
      <c r="BV686" s="460"/>
      <c r="BW686" s="460"/>
      <c r="BX686" s="460"/>
      <c r="BY686" s="460"/>
      <c r="BZ686" s="460"/>
      <c r="CA686" s="460"/>
      <c r="CB686" s="460"/>
      <c r="CC686" s="460"/>
      <c r="CD686" s="460"/>
      <c r="CE686" s="460"/>
      <c r="CF686" s="460"/>
      <c r="CG686" s="460"/>
      <c r="CH686" s="460"/>
      <c r="CI686" s="460"/>
      <c r="CJ686" s="460"/>
      <c r="CK686" s="460"/>
    </row>
    <row r="687" spans="1:89" s="329" customFormat="1" ht="36" customHeight="1" x14ac:dyDescent="0.25">
      <c r="A687" s="329">
        <v>1</v>
      </c>
      <c r="B687" s="39">
        <f>SUBTOTAL(103,$A$552:A687)</f>
        <v>134</v>
      </c>
      <c r="C687" s="33" t="s">
        <v>1195</v>
      </c>
      <c r="D687" s="330">
        <v>1958</v>
      </c>
      <c r="E687" s="330"/>
      <c r="F687" s="331" t="s">
        <v>48</v>
      </c>
      <c r="G687" s="330">
        <v>2</v>
      </c>
      <c r="H687" s="330" t="s">
        <v>56</v>
      </c>
      <c r="I687" s="334">
        <v>653.29999999999995</v>
      </c>
      <c r="J687" s="334">
        <v>605.6</v>
      </c>
      <c r="K687" s="334">
        <v>605.6</v>
      </c>
      <c r="L687" s="332">
        <v>30</v>
      </c>
      <c r="M687" s="330" t="s">
        <v>46</v>
      </c>
      <c r="N687" s="330" t="s">
        <v>50</v>
      </c>
      <c r="O687" s="333" t="s">
        <v>66</v>
      </c>
      <c r="P687" s="38">
        <v>2988437.47</v>
      </c>
      <c r="Q687" s="38">
        <v>0</v>
      </c>
      <c r="R687" s="38">
        <v>0</v>
      </c>
      <c r="S687" s="38">
        <f t="shared" si="130"/>
        <v>2988437.47</v>
      </c>
      <c r="T687" s="38">
        <f t="shared" si="127"/>
        <v>4574.3723710393397</v>
      </c>
      <c r="U687" s="38">
        <v>5461.9750497474361</v>
      </c>
      <c r="V687" s="458">
        <f t="shared" si="128"/>
        <v>887.60267870809639</v>
      </c>
      <c r="W687" s="458">
        <f t="shared" si="131"/>
        <v>5443.4083881830702</v>
      </c>
      <c r="X687" s="458">
        <v>0</v>
      </c>
      <c r="Y687" s="459">
        <v>0</v>
      </c>
      <c r="Z687" s="459">
        <v>0</v>
      </c>
      <c r="AA687" s="459">
        <v>0</v>
      </c>
      <c r="AB687" s="459">
        <v>0</v>
      </c>
      <c r="AC687" s="459">
        <v>0</v>
      </c>
      <c r="AD687" s="459">
        <v>0</v>
      </c>
      <c r="AE687" s="459">
        <v>570</v>
      </c>
      <c r="AF687" s="458">
        <f t="shared" si="133"/>
        <v>5443.4083881830702</v>
      </c>
      <c r="AG687" s="459">
        <v>0</v>
      </c>
      <c r="AH687" s="458">
        <v>0</v>
      </c>
      <c r="AI687" s="459">
        <v>0</v>
      </c>
      <c r="AJ687" s="458">
        <v>0</v>
      </c>
      <c r="AK687" s="459">
        <v>0</v>
      </c>
      <c r="AL687" s="459">
        <v>0</v>
      </c>
      <c r="AM687" s="459">
        <v>0</v>
      </c>
      <c r="AN687" s="459"/>
      <c r="AO687" s="459">
        <v>0</v>
      </c>
      <c r="AP687" s="460"/>
      <c r="AQ687" s="460"/>
      <c r="AR687" s="460"/>
      <c r="AS687" s="460"/>
      <c r="AT687" s="460"/>
      <c r="AU687" s="460"/>
      <c r="AV687" s="460"/>
      <c r="AW687" s="460"/>
      <c r="AX687" s="460"/>
      <c r="AY687" s="460"/>
      <c r="AZ687" s="460"/>
      <c r="BA687" s="460"/>
      <c r="BB687" s="460"/>
      <c r="BC687" s="460"/>
      <c r="BD687" s="460"/>
      <c r="BE687" s="460"/>
      <c r="BF687" s="460"/>
      <c r="BG687" s="460"/>
      <c r="BH687" s="460"/>
      <c r="BI687" s="460"/>
      <c r="BJ687" s="460"/>
      <c r="BK687" s="460"/>
      <c r="BL687" s="460"/>
      <c r="BM687" s="460"/>
      <c r="BN687" s="460"/>
      <c r="BO687" s="460"/>
      <c r="BP687" s="460"/>
      <c r="BQ687" s="460"/>
      <c r="BR687" s="460"/>
      <c r="BS687" s="460"/>
      <c r="BT687" s="460"/>
      <c r="BU687" s="460"/>
      <c r="BV687" s="460"/>
      <c r="BW687" s="460"/>
      <c r="BX687" s="460"/>
      <c r="BY687" s="460"/>
      <c r="BZ687" s="460"/>
      <c r="CA687" s="460"/>
      <c r="CB687" s="460"/>
      <c r="CC687" s="460"/>
      <c r="CD687" s="460"/>
      <c r="CE687" s="460"/>
      <c r="CF687" s="460"/>
      <c r="CG687" s="460"/>
      <c r="CH687" s="460"/>
      <c r="CI687" s="460"/>
      <c r="CJ687" s="460"/>
      <c r="CK687" s="460"/>
    </row>
    <row r="688" spans="1:89" s="329" customFormat="1" ht="36" customHeight="1" x14ac:dyDescent="0.25">
      <c r="A688" s="329">
        <v>1</v>
      </c>
      <c r="B688" s="39">
        <f>SUBTOTAL(103,$A$552:A688)</f>
        <v>135</v>
      </c>
      <c r="C688" s="33" t="s">
        <v>1196</v>
      </c>
      <c r="D688" s="330">
        <v>1961</v>
      </c>
      <c r="E688" s="330"/>
      <c r="F688" s="331" t="s">
        <v>48</v>
      </c>
      <c r="G688" s="330">
        <v>2</v>
      </c>
      <c r="H688" s="330" t="s">
        <v>57</v>
      </c>
      <c r="I688" s="334">
        <v>291.64999999999998</v>
      </c>
      <c r="J688" s="334">
        <v>275.13</v>
      </c>
      <c r="K688" s="334">
        <v>275.13</v>
      </c>
      <c r="L688" s="332">
        <v>17</v>
      </c>
      <c r="M688" s="330" t="s">
        <v>46</v>
      </c>
      <c r="N688" s="330" t="s">
        <v>47</v>
      </c>
      <c r="O688" s="333" t="s">
        <v>49</v>
      </c>
      <c r="P688" s="38">
        <v>1433090.1199999999</v>
      </c>
      <c r="Q688" s="38">
        <v>0</v>
      </c>
      <c r="R688" s="38">
        <v>0</v>
      </c>
      <c r="S688" s="38">
        <f t="shared" si="130"/>
        <v>1433090.1199999999</v>
      </c>
      <c r="T688" s="38">
        <f t="shared" si="127"/>
        <v>4913.7326247214123</v>
      </c>
      <c r="U688" s="38">
        <v>5709.6195439739413</v>
      </c>
      <c r="V688" s="458">
        <f t="shared" si="128"/>
        <v>795.88691925252897</v>
      </c>
      <c r="W688" s="458">
        <f t="shared" si="131"/>
        <v>5690.2110749185676</v>
      </c>
      <c r="X688" s="458">
        <v>0</v>
      </c>
      <c r="Y688" s="459">
        <v>0</v>
      </c>
      <c r="Z688" s="459">
        <v>0</v>
      </c>
      <c r="AA688" s="459">
        <v>0</v>
      </c>
      <c r="AB688" s="459">
        <v>0</v>
      </c>
      <c r="AC688" s="459">
        <v>0</v>
      </c>
      <c r="AD688" s="459">
        <v>0</v>
      </c>
      <c r="AE688" s="459">
        <v>266</v>
      </c>
      <c r="AF688" s="458">
        <f t="shared" si="133"/>
        <v>5690.2110749185676</v>
      </c>
      <c r="AG688" s="459">
        <v>0</v>
      </c>
      <c r="AH688" s="458">
        <v>0</v>
      </c>
      <c r="AI688" s="459">
        <v>0</v>
      </c>
      <c r="AJ688" s="458">
        <v>0</v>
      </c>
      <c r="AK688" s="459">
        <v>0</v>
      </c>
      <c r="AL688" s="459">
        <v>0</v>
      </c>
      <c r="AM688" s="459">
        <v>0</v>
      </c>
      <c r="AN688" s="459"/>
      <c r="AO688" s="459">
        <v>0</v>
      </c>
      <c r="AP688" s="460"/>
      <c r="AQ688" s="460"/>
      <c r="AR688" s="460"/>
      <c r="AS688" s="460"/>
      <c r="AT688" s="460"/>
      <c r="AU688" s="460"/>
      <c r="AV688" s="460"/>
      <c r="AW688" s="460"/>
      <c r="AX688" s="460"/>
      <c r="AY688" s="460"/>
      <c r="AZ688" s="460"/>
      <c r="BA688" s="460"/>
      <c r="BB688" s="460"/>
      <c r="BC688" s="460"/>
      <c r="BD688" s="460"/>
      <c r="BE688" s="460"/>
      <c r="BF688" s="460"/>
      <c r="BG688" s="460"/>
      <c r="BH688" s="460"/>
      <c r="BI688" s="460"/>
      <c r="BJ688" s="460"/>
      <c r="BK688" s="460"/>
      <c r="BL688" s="460"/>
      <c r="BM688" s="460"/>
      <c r="BN688" s="460"/>
      <c r="BO688" s="460"/>
      <c r="BP688" s="460"/>
      <c r="BQ688" s="460"/>
      <c r="BR688" s="460"/>
      <c r="BS688" s="460"/>
      <c r="BT688" s="460"/>
      <c r="BU688" s="460"/>
      <c r="BV688" s="460"/>
      <c r="BW688" s="460"/>
      <c r="BX688" s="460"/>
      <c r="BY688" s="460"/>
      <c r="BZ688" s="460"/>
      <c r="CA688" s="460"/>
      <c r="CB688" s="460"/>
      <c r="CC688" s="460"/>
      <c r="CD688" s="460"/>
      <c r="CE688" s="460"/>
      <c r="CF688" s="460"/>
      <c r="CG688" s="460"/>
      <c r="CH688" s="460"/>
      <c r="CI688" s="460"/>
      <c r="CJ688" s="460"/>
      <c r="CK688" s="460"/>
    </row>
    <row r="689" spans="1:89" s="329" customFormat="1" ht="36" customHeight="1" x14ac:dyDescent="0.25">
      <c r="A689" s="329">
        <v>1</v>
      </c>
      <c r="B689" s="39">
        <f>SUBTOTAL(103,$A$552:A689)</f>
        <v>136</v>
      </c>
      <c r="C689" s="33" t="s">
        <v>1531</v>
      </c>
      <c r="D689" s="330">
        <v>1971</v>
      </c>
      <c r="E689" s="330"/>
      <c r="F689" s="331" t="s">
        <v>48</v>
      </c>
      <c r="G689" s="330">
        <v>5</v>
      </c>
      <c r="H689" s="330" t="s">
        <v>1969</v>
      </c>
      <c r="I689" s="334">
        <v>5077.5</v>
      </c>
      <c r="J689" s="334">
        <v>4703.1000000000004</v>
      </c>
      <c r="K689" s="334">
        <v>3712.4</v>
      </c>
      <c r="L689" s="332">
        <v>180</v>
      </c>
      <c r="M689" s="330" t="s">
        <v>46</v>
      </c>
      <c r="N689" s="330" t="s">
        <v>50</v>
      </c>
      <c r="O689" s="333" t="s">
        <v>2000</v>
      </c>
      <c r="P689" s="38">
        <v>8150000</v>
      </c>
      <c r="Q689" s="38">
        <v>0</v>
      </c>
      <c r="R689" s="38">
        <v>0</v>
      </c>
      <c r="S689" s="38">
        <f t="shared" si="130"/>
        <v>8150000</v>
      </c>
      <c r="T689" s="38">
        <f t="shared" si="127"/>
        <v>1605.1206302314131</v>
      </c>
      <c r="U689" s="38">
        <v>2009.6720236336778</v>
      </c>
      <c r="V689" s="458">
        <f t="shared" si="128"/>
        <v>404.55139340226469</v>
      </c>
      <c r="W689" s="458">
        <f t="shared" si="131"/>
        <v>2002.8406302314129</v>
      </c>
      <c r="X689" s="458">
        <v>0</v>
      </c>
      <c r="Y689" s="459">
        <v>0</v>
      </c>
      <c r="Z689" s="459">
        <v>0</v>
      </c>
      <c r="AA689" s="459">
        <v>0</v>
      </c>
      <c r="AB689" s="459">
        <v>0</v>
      </c>
      <c r="AC689" s="459">
        <v>0</v>
      </c>
      <c r="AD689" s="459">
        <v>0</v>
      </c>
      <c r="AE689" s="459">
        <v>1630</v>
      </c>
      <c r="AF689" s="458">
        <f t="shared" si="133"/>
        <v>2002.8406302314129</v>
      </c>
      <c r="AG689" s="459">
        <v>0</v>
      </c>
      <c r="AH689" s="458">
        <v>0</v>
      </c>
      <c r="AI689" s="459">
        <v>0</v>
      </c>
      <c r="AJ689" s="458">
        <v>0</v>
      </c>
      <c r="AK689" s="459">
        <v>0</v>
      </c>
      <c r="AL689" s="459">
        <v>0</v>
      </c>
      <c r="AM689" s="459">
        <v>0</v>
      </c>
      <c r="AN689" s="459"/>
      <c r="AO689" s="459">
        <v>0</v>
      </c>
      <c r="AP689" s="460"/>
      <c r="AQ689" s="460"/>
      <c r="AR689" s="460"/>
      <c r="AS689" s="460"/>
      <c r="AT689" s="460"/>
      <c r="AU689" s="460"/>
      <c r="AV689" s="460"/>
      <c r="AW689" s="460"/>
      <c r="AX689" s="460"/>
      <c r="AY689" s="460"/>
      <c r="AZ689" s="460"/>
      <c r="BA689" s="460"/>
      <c r="BB689" s="460"/>
      <c r="BC689" s="460"/>
      <c r="BD689" s="460"/>
      <c r="BE689" s="460"/>
      <c r="BF689" s="460"/>
      <c r="BG689" s="460"/>
      <c r="BH689" s="460"/>
      <c r="BI689" s="460"/>
      <c r="BJ689" s="460"/>
      <c r="BK689" s="460"/>
      <c r="BL689" s="460"/>
      <c r="BM689" s="460"/>
      <c r="BN689" s="460"/>
      <c r="BO689" s="460"/>
      <c r="BP689" s="460"/>
      <c r="BQ689" s="460"/>
      <c r="BR689" s="460"/>
      <c r="BS689" s="460"/>
      <c r="BT689" s="460"/>
      <c r="BU689" s="460"/>
      <c r="BV689" s="460"/>
      <c r="BW689" s="460"/>
      <c r="BX689" s="460"/>
      <c r="BY689" s="460"/>
      <c r="BZ689" s="460"/>
      <c r="CA689" s="460"/>
      <c r="CB689" s="460"/>
      <c r="CC689" s="460"/>
      <c r="CD689" s="460"/>
      <c r="CE689" s="460"/>
      <c r="CF689" s="460"/>
      <c r="CG689" s="460"/>
      <c r="CH689" s="460"/>
      <c r="CI689" s="460"/>
      <c r="CJ689" s="460"/>
      <c r="CK689" s="460"/>
    </row>
    <row r="690" spans="1:89" s="329" customFormat="1" ht="36" customHeight="1" x14ac:dyDescent="0.25">
      <c r="A690" s="329">
        <v>1</v>
      </c>
      <c r="B690" s="39">
        <f>SUBTOTAL(103,$A$552:A690)</f>
        <v>137</v>
      </c>
      <c r="C690" s="33" t="s">
        <v>1532</v>
      </c>
      <c r="D690" s="330">
        <v>1941</v>
      </c>
      <c r="E690" s="330"/>
      <c r="F690" s="331" t="s">
        <v>1990</v>
      </c>
      <c r="G690" s="330">
        <v>2</v>
      </c>
      <c r="H690" s="330" t="s">
        <v>56</v>
      </c>
      <c r="I690" s="334">
        <v>613.70000000000005</v>
      </c>
      <c r="J690" s="334">
        <v>345.1</v>
      </c>
      <c r="K690" s="334">
        <v>345.1</v>
      </c>
      <c r="L690" s="332">
        <v>22</v>
      </c>
      <c r="M690" s="330" t="s">
        <v>46</v>
      </c>
      <c r="N690" s="330" t="s">
        <v>50</v>
      </c>
      <c r="O690" s="333" t="s">
        <v>66</v>
      </c>
      <c r="P690" s="38">
        <v>2837751.8</v>
      </c>
      <c r="Q690" s="38">
        <v>0</v>
      </c>
      <c r="R690" s="38">
        <v>0</v>
      </c>
      <c r="S690" s="38">
        <f t="shared" si="130"/>
        <v>2837751.8</v>
      </c>
      <c r="T690" s="38">
        <f t="shared" si="127"/>
        <v>4624.0048883819445</v>
      </c>
      <c r="U690" s="38">
        <v>5100.3666286459174</v>
      </c>
      <c r="V690" s="458">
        <f t="shared" si="128"/>
        <v>476.36174026397293</v>
      </c>
      <c r="W690" s="458">
        <f t="shared" si="131"/>
        <v>5083.0291673456086</v>
      </c>
      <c r="X690" s="458">
        <v>0</v>
      </c>
      <c r="Y690" s="459">
        <v>0</v>
      </c>
      <c r="Z690" s="459">
        <v>0</v>
      </c>
      <c r="AA690" s="459">
        <v>0</v>
      </c>
      <c r="AB690" s="459">
        <v>0</v>
      </c>
      <c r="AC690" s="459">
        <v>0</v>
      </c>
      <c r="AD690" s="459">
        <v>0</v>
      </c>
      <c r="AE690" s="459">
        <v>500</v>
      </c>
      <c r="AF690" s="458">
        <f t="shared" si="133"/>
        <v>5083.0291673456086</v>
      </c>
      <c r="AG690" s="459">
        <v>0</v>
      </c>
      <c r="AH690" s="458">
        <v>0</v>
      </c>
      <c r="AI690" s="459">
        <v>0</v>
      </c>
      <c r="AJ690" s="458">
        <v>0</v>
      </c>
      <c r="AK690" s="459">
        <v>0</v>
      </c>
      <c r="AL690" s="459">
        <v>0</v>
      </c>
      <c r="AM690" s="459">
        <v>0</v>
      </c>
      <c r="AN690" s="459"/>
      <c r="AO690" s="459">
        <v>0</v>
      </c>
      <c r="AP690" s="460"/>
      <c r="AQ690" s="460"/>
      <c r="AR690" s="460"/>
      <c r="AS690" s="460"/>
      <c r="AT690" s="460"/>
      <c r="AU690" s="460"/>
      <c r="AV690" s="460"/>
      <c r="AW690" s="460"/>
      <c r="AX690" s="460"/>
      <c r="AY690" s="460"/>
      <c r="AZ690" s="460"/>
      <c r="BA690" s="460"/>
      <c r="BB690" s="460"/>
      <c r="BC690" s="460"/>
      <c r="BD690" s="460"/>
      <c r="BE690" s="460"/>
      <c r="BF690" s="460"/>
      <c r="BG690" s="460"/>
      <c r="BH690" s="460"/>
      <c r="BI690" s="460"/>
      <c r="BJ690" s="460"/>
      <c r="BK690" s="460"/>
      <c r="BL690" s="460"/>
      <c r="BM690" s="460"/>
      <c r="BN690" s="460"/>
      <c r="BO690" s="460"/>
      <c r="BP690" s="460"/>
      <c r="BQ690" s="460"/>
      <c r="BR690" s="460"/>
      <c r="BS690" s="460"/>
      <c r="BT690" s="460"/>
      <c r="BU690" s="460"/>
      <c r="BV690" s="460"/>
      <c r="BW690" s="460"/>
      <c r="BX690" s="460"/>
      <c r="BY690" s="460"/>
      <c r="BZ690" s="460"/>
      <c r="CA690" s="460"/>
      <c r="CB690" s="460"/>
      <c r="CC690" s="460"/>
      <c r="CD690" s="460"/>
      <c r="CE690" s="460"/>
      <c r="CF690" s="460"/>
      <c r="CG690" s="460"/>
      <c r="CH690" s="460"/>
      <c r="CI690" s="460"/>
      <c r="CJ690" s="460"/>
      <c r="CK690" s="460"/>
    </row>
    <row r="691" spans="1:89" s="329" customFormat="1" ht="36" customHeight="1" x14ac:dyDescent="0.25">
      <c r="A691" s="329">
        <v>1</v>
      </c>
      <c r="B691" s="39">
        <f>SUBTOTAL(103,$A$552:A691)</f>
        <v>138</v>
      </c>
      <c r="C691" s="33" t="s">
        <v>1533</v>
      </c>
      <c r="D691" s="330">
        <v>1954</v>
      </c>
      <c r="E691" s="330"/>
      <c r="F691" s="331" t="s">
        <v>1990</v>
      </c>
      <c r="G691" s="330">
        <v>2</v>
      </c>
      <c r="H691" s="330" t="s">
        <v>56</v>
      </c>
      <c r="I691" s="334">
        <v>441</v>
      </c>
      <c r="J691" s="334">
        <v>399.8</v>
      </c>
      <c r="K691" s="334">
        <v>399.8</v>
      </c>
      <c r="L691" s="332">
        <v>27</v>
      </c>
      <c r="M691" s="330" t="s">
        <v>46</v>
      </c>
      <c r="N691" s="330" t="s">
        <v>50</v>
      </c>
      <c r="O691" s="333" t="s">
        <v>66</v>
      </c>
      <c r="P691" s="38">
        <v>2479122.38</v>
      </c>
      <c r="Q691" s="38">
        <v>0</v>
      </c>
      <c r="R691" s="38">
        <v>0</v>
      </c>
      <c r="S691" s="38">
        <f t="shared" si="130"/>
        <v>2479122.38</v>
      </c>
      <c r="T691" s="38">
        <f t="shared" si="127"/>
        <v>5621.5926984126982</v>
      </c>
      <c r="U691" s="38">
        <v>5962.0857142857139</v>
      </c>
      <c r="V691" s="458">
        <f t="shared" si="128"/>
        <v>340.49301587301579</v>
      </c>
      <c r="W691" s="458">
        <f t="shared" si="131"/>
        <v>5941.8190476190466</v>
      </c>
      <c r="X691" s="458">
        <v>0</v>
      </c>
      <c r="Y691" s="459">
        <v>0</v>
      </c>
      <c r="Z691" s="459">
        <v>0</v>
      </c>
      <c r="AA691" s="459">
        <v>0</v>
      </c>
      <c r="AB691" s="459">
        <v>0</v>
      </c>
      <c r="AC691" s="459">
        <v>0</v>
      </c>
      <c r="AD691" s="459">
        <v>0</v>
      </c>
      <c r="AE691" s="459">
        <v>420</v>
      </c>
      <c r="AF691" s="458">
        <f t="shared" si="133"/>
        <v>5941.8190476190466</v>
      </c>
      <c r="AG691" s="459">
        <v>0</v>
      </c>
      <c r="AH691" s="458">
        <v>0</v>
      </c>
      <c r="AI691" s="459">
        <v>0</v>
      </c>
      <c r="AJ691" s="458">
        <v>0</v>
      </c>
      <c r="AK691" s="459">
        <v>0</v>
      </c>
      <c r="AL691" s="459">
        <v>0</v>
      </c>
      <c r="AM691" s="459">
        <v>0</v>
      </c>
      <c r="AN691" s="459"/>
      <c r="AO691" s="459">
        <v>0</v>
      </c>
      <c r="AP691" s="460"/>
      <c r="AQ691" s="460"/>
      <c r="AR691" s="460"/>
      <c r="AS691" s="460"/>
      <c r="AT691" s="460"/>
      <c r="AU691" s="460"/>
      <c r="AV691" s="460"/>
      <c r="AW691" s="460"/>
      <c r="AX691" s="460"/>
      <c r="AY691" s="460"/>
      <c r="AZ691" s="460"/>
      <c r="BA691" s="460"/>
      <c r="BB691" s="460"/>
      <c r="BC691" s="460"/>
      <c r="BD691" s="460"/>
      <c r="BE691" s="460"/>
      <c r="BF691" s="460"/>
      <c r="BG691" s="460"/>
      <c r="BH691" s="460"/>
      <c r="BI691" s="460"/>
      <c r="BJ691" s="460"/>
      <c r="BK691" s="460"/>
      <c r="BL691" s="460"/>
      <c r="BM691" s="460"/>
      <c r="BN691" s="460"/>
      <c r="BO691" s="460"/>
      <c r="BP691" s="460"/>
      <c r="BQ691" s="460"/>
      <c r="BR691" s="460"/>
      <c r="BS691" s="460"/>
      <c r="BT691" s="460"/>
      <c r="BU691" s="460"/>
      <c r="BV691" s="460"/>
      <c r="BW691" s="460"/>
      <c r="BX691" s="460"/>
      <c r="BY691" s="460"/>
      <c r="BZ691" s="460"/>
      <c r="CA691" s="460"/>
      <c r="CB691" s="460"/>
      <c r="CC691" s="460"/>
      <c r="CD691" s="460"/>
      <c r="CE691" s="460"/>
      <c r="CF691" s="460"/>
      <c r="CG691" s="460"/>
      <c r="CH691" s="460"/>
      <c r="CI691" s="460"/>
      <c r="CJ691" s="460"/>
      <c r="CK691" s="460"/>
    </row>
    <row r="692" spans="1:89" s="329" customFormat="1" ht="36" customHeight="1" x14ac:dyDescent="0.25">
      <c r="A692" s="329">
        <v>1</v>
      </c>
      <c r="B692" s="39">
        <f>SUBTOTAL(103,$A$552:A692)</f>
        <v>139</v>
      </c>
      <c r="C692" s="33" t="s">
        <v>1534</v>
      </c>
      <c r="D692" s="330">
        <v>1980</v>
      </c>
      <c r="E692" s="330"/>
      <c r="F692" s="331" t="s">
        <v>48</v>
      </c>
      <c r="G692" s="330">
        <v>2</v>
      </c>
      <c r="H692" s="330" t="s">
        <v>61</v>
      </c>
      <c r="I692" s="334">
        <v>962.22</v>
      </c>
      <c r="J692" s="334">
        <v>829.52</v>
      </c>
      <c r="K692" s="334">
        <v>829.52</v>
      </c>
      <c r="L692" s="332">
        <v>30</v>
      </c>
      <c r="M692" s="330" t="s">
        <v>46</v>
      </c>
      <c r="N692" s="330" t="s">
        <v>50</v>
      </c>
      <c r="O692" s="333" t="s">
        <v>67</v>
      </c>
      <c r="P692" s="38">
        <v>3697950</v>
      </c>
      <c r="Q692" s="38">
        <v>0</v>
      </c>
      <c r="R692" s="38">
        <v>0</v>
      </c>
      <c r="S692" s="38">
        <f t="shared" si="130"/>
        <v>3697950</v>
      </c>
      <c r="T692" s="38">
        <f t="shared" si="127"/>
        <v>3843.1439795472966</v>
      </c>
      <c r="U692" s="38">
        <v>4712.384261395523</v>
      </c>
      <c r="V692" s="458">
        <f t="shared" si="128"/>
        <v>869.24028184822646</v>
      </c>
      <c r="W692" s="458">
        <f t="shared" si="131"/>
        <v>4712.384261395523</v>
      </c>
      <c r="X692" s="458">
        <v>0</v>
      </c>
      <c r="Y692" s="459">
        <v>0</v>
      </c>
      <c r="Z692" s="459">
        <v>0</v>
      </c>
      <c r="AA692" s="459">
        <v>0</v>
      </c>
      <c r="AB692" s="459">
        <v>0</v>
      </c>
      <c r="AC692" s="459">
        <v>0</v>
      </c>
      <c r="AD692" s="459">
        <v>0</v>
      </c>
      <c r="AE692" s="459">
        <v>0</v>
      </c>
      <c r="AF692" s="458">
        <v>0</v>
      </c>
      <c r="AG692" s="459">
        <v>0</v>
      </c>
      <c r="AH692" s="458">
        <v>0</v>
      </c>
      <c r="AI692" s="459">
        <v>0</v>
      </c>
      <c r="AJ692" s="458">
        <v>0</v>
      </c>
      <c r="AK692" s="459">
        <v>0</v>
      </c>
      <c r="AL692" s="459">
        <v>0</v>
      </c>
      <c r="AM692" s="459">
        <v>649.20000000000005</v>
      </c>
      <c r="AN692" s="459">
        <f>6984.52*AM692/I692</f>
        <v>4712.384261395523</v>
      </c>
      <c r="AO692" s="459">
        <v>0</v>
      </c>
      <c r="AP692" s="460"/>
      <c r="AQ692" s="460"/>
      <c r="AR692" s="460"/>
      <c r="AS692" s="460"/>
      <c r="AT692" s="460"/>
      <c r="AU692" s="460"/>
      <c r="AV692" s="460"/>
      <c r="AW692" s="460"/>
      <c r="AX692" s="460"/>
      <c r="AY692" s="460"/>
      <c r="AZ692" s="460"/>
      <c r="BA692" s="460"/>
      <c r="BB692" s="460"/>
      <c r="BC692" s="460"/>
      <c r="BD692" s="460"/>
      <c r="BE692" s="460"/>
      <c r="BF692" s="460"/>
      <c r="BG692" s="460"/>
      <c r="BH692" s="460"/>
      <c r="BI692" s="460"/>
      <c r="BJ692" s="460"/>
      <c r="BK692" s="460"/>
      <c r="BL692" s="460"/>
      <c r="BM692" s="460"/>
      <c r="BN692" s="460"/>
      <c r="BO692" s="460"/>
      <c r="BP692" s="460"/>
      <c r="BQ692" s="460"/>
      <c r="BR692" s="460"/>
      <c r="BS692" s="460"/>
      <c r="BT692" s="460"/>
      <c r="BU692" s="460"/>
      <c r="BV692" s="460"/>
      <c r="BW692" s="460"/>
      <c r="BX692" s="460"/>
      <c r="BY692" s="460"/>
      <c r="BZ692" s="460"/>
      <c r="CA692" s="460"/>
      <c r="CB692" s="460"/>
      <c r="CC692" s="460"/>
      <c r="CD692" s="460"/>
      <c r="CE692" s="460"/>
      <c r="CF692" s="460"/>
      <c r="CG692" s="460"/>
      <c r="CH692" s="460"/>
      <c r="CI692" s="460"/>
      <c r="CJ692" s="460"/>
      <c r="CK692" s="460"/>
    </row>
    <row r="693" spans="1:89" s="329" customFormat="1" ht="36" customHeight="1" x14ac:dyDescent="0.25">
      <c r="A693" s="329">
        <v>1</v>
      </c>
      <c r="B693" s="39">
        <f>SUBTOTAL(103,$A$552:A693)</f>
        <v>140</v>
      </c>
      <c r="C693" s="33" t="s">
        <v>1535</v>
      </c>
      <c r="D693" s="330">
        <v>1981</v>
      </c>
      <c r="E693" s="330"/>
      <c r="F693" s="331" t="s">
        <v>48</v>
      </c>
      <c r="G693" s="330">
        <v>2</v>
      </c>
      <c r="H693" s="330" t="s">
        <v>61</v>
      </c>
      <c r="I693" s="334">
        <v>955.1</v>
      </c>
      <c r="J693" s="334">
        <v>865.5</v>
      </c>
      <c r="K693" s="334">
        <v>865.5</v>
      </c>
      <c r="L693" s="332">
        <v>44</v>
      </c>
      <c r="M693" s="330" t="s">
        <v>46</v>
      </c>
      <c r="N693" s="330" t="s">
        <v>50</v>
      </c>
      <c r="O693" s="333" t="s">
        <v>67</v>
      </c>
      <c r="P693" s="38">
        <v>3680000</v>
      </c>
      <c r="Q693" s="38">
        <v>0</v>
      </c>
      <c r="R693" s="38">
        <v>0</v>
      </c>
      <c r="S693" s="38">
        <f t="shared" si="130"/>
        <v>3680000</v>
      </c>
      <c r="T693" s="38">
        <f t="shared" si="127"/>
        <v>3852.9996858967647</v>
      </c>
      <c r="U693" s="38">
        <v>4674.385073814261</v>
      </c>
      <c r="V693" s="458">
        <f t="shared" si="128"/>
        <v>821.38538791749625</v>
      </c>
      <c r="W693" s="458">
        <f t="shared" si="131"/>
        <v>4674.385073814261</v>
      </c>
      <c r="X693" s="458">
        <v>0</v>
      </c>
      <c r="Y693" s="459">
        <v>0</v>
      </c>
      <c r="Z693" s="459">
        <v>0</v>
      </c>
      <c r="AA693" s="459">
        <v>0</v>
      </c>
      <c r="AB693" s="459">
        <v>0</v>
      </c>
      <c r="AC693" s="459">
        <v>0</v>
      </c>
      <c r="AD693" s="459">
        <v>0</v>
      </c>
      <c r="AE693" s="459">
        <v>0</v>
      </c>
      <c r="AF693" s="458">
        <v>0</v>
      </c>
      <c r="AG693" s="459">
        <v>0</v>
      </c>
      <c r="AH693" s="458">
        <v>0</v>
      </c>
      <c r="AI693" s="459">
        <v>0</v>
      </c>
      <c r="AJ693" s="458">
        <v>0</v>
      </c>
      <c r="AK693" s="459">
        <v>0</v>
      </c>
      <c r="AL693" s="459">
        <v>0</v>
      </c>
      <c r="AM693" s="459">
        <v>639.20000000000005</v>
      </c>
      <c r="AN693" s="459">
        <f>6984.52*AM693/I693</f>
        <v>4674.385073814261</v>
      </c>
      <c r="AO693" s="459">
        <v>0</v>
      </c>
      <c r="AP693" s="460"/>
      <c r="AQ693" s="460"/>
      <c r="AR693" s="460"/>
      <c r="AS693" s="460"/>
      <c r="AT693" s="460"/>
      <c r="AU693" s="460"/>
      <c r="AV693" s="460"/>
      <c r="AW693" s="460"/>
      <c r="AX693" s="460"/>
      <c r="AY693" s="460"/>
      <c r="AZ693" s="460"/>
      <c r="BA693" s="460"/>
      <c r="BB693" s="460"/>
      <c r="BC693" s="460"/>
      <c r="BD693" s="460"/>
      <c r="BE693" s="460"/>
      <c r="BF693" s="460"/>
      <c r="BG693" s="460"/>
      <c r="BH693" s="460"/>
      <c r="BI693" s="460"/>
      <c r="BJ693" s="460"/>
      <c r="BK693" s="460"/>
      <c r="BL693" s="460"/>
      <c r="BM693" s="460"/>
      <c r="BN693" s="460"/>
      <c r="BO693" s="460"/>
      <c r="BP693" s="460"/>
      <c r="BQ693" s="460"/>
      <c r="BR693" s="460"/>
      <c r="BS693" s="460"/>
      <c r="BT693" s="460"/>
      <c r="BU693" s="460"/>
      <c r="BV693" s="460"/>
      <c r="BW693" s="460"/>
      <c r="BX693" s="460"/>
      <c r="BY693" s="460"/>
      <c r="BZ693" s="460"/>
      <c r="CA693" s="460"/>
      <c r="CB693" s="460"/>
      <c r="CC693" s="460"/>
      <c r="CD693" s="460"/>
      <c r="CE693" s="460"/>
      <c r="CF693" s="460"/>
      <c r="CG693" s="460"/>
      <c r="CH693" s="460"/>
      <c r="CI693" s="460"/>
      <c r="CJ693" s="460"/>
      <c r="CK693" s="460"/>
    </row>
    <row r="694" spans="1:89" s="329" customFormat="1" ht="36" customHeight="1" x14ac:dyDescent="0.25">
      <c r="A694" s="329">
        <v>1</v>
      </c>
      <c r="B694" s="39">
        <f>SUBTOTAL(103,$A$552:A694)</f>
        <v>141</v>
      </c>
      <c r="C694" s="33" t="s">
        <v>1536</v>
      </c>
      <c r="D694" s="330">
        <v>1981</v>
      </c>
      <c r="E694" s="330"/>
      <c r="F694" s="331" t="s">
        <v>48</v>
      </c>
      <c r="G694" s="330">
        <v>2</v>
      </c>
      <c r="H694" s="330" t="s">
        <v>56</v>
      </c>
      <c r="I694" s="334">
        <v>946.6</v>
      </c>
      <c r="J694" s="334">
        <v>861.8</v>
      </c>
      <c r="K694" s="334">
        <v>861.8</v>
      </c>
      <c r="L694" s="332">
        <v>44</v>
      </c>
      <c r="M694" s="330" t="s">
        <v>46</v>
      </c>
      <c r="N694" s="330" t="s">
        <v>50</v>
      </c>
      <c r="O694" s="333" t="s">
        <v>67</v>
      </c>
      <c r="P694" s="38">
        <v>3519757</v>
      </c>
      <c r="Q694" s="38">
        <v>0</v>
      </c>
      <c r="R694" s="38">
        <v>0</v>
      </c>
      <c r="S694" s="38">
        <f t="shared" si="130"/>
        <v>3519757</v>
      </c>
      <c r="T694" s="38">
        <f t="shared" si="127"/>
        <v>3718.3150221846608</v>
      </c>
      <c r="U694" s="38">
        <v>4559.1959729558421</v>
      </c>
      <c r="V694" s="458">
        <f t="shared" si="128"/>
        <v>840.88095077118123</v>
      </c>
      <c r="W694" s="458">
        <f t="shared" si="131"/>
        <v>4559.1959729558421</v>
      </c>
      <c r="X694" s="458">
        <v>0</v>
      </c>
      <c r="Y694" s="459">
        <v>0</v>
      </c>
      <c r="Z694" s="459">
        <v>0</v>
      </c>
      <c r="AA694" s="459">
        <v>0</v>
      </c>
      <c r="AB694" s="459">
        <v>0</v>
      </c>
      <c r="AC694" s="459">
        <v>0</v>
      </c>
      <c r="AD694" s="459">
        <v>0</v>
      </c>
      <c r="AE694" s="459">
        <v>0</v>
      </c>
      <c r="AF694" s="458">
        <v>0</v>
      </c>
      <c r="AG694" s="459">
        <v>0</v>
      </c>
      <c r="AH694" s="458">
        <v>0</v>
      </c>
      <c r="AI694" s="459">
        <v>0</v>
      </c>
      <c r="AJ694" s="458">
        <v>0</v>
      </c>
      <c r="AK694" s="459">
        <v>0</v>
      </c>
      <c r="AL694" s="459">
        <v>0</v>
      </c>
      <c r="AM694" s="459">
        <v>617.9</v>
      </c>
      <c r="AN694" s="459">
        <f>6984.52*AM694/I694</f>
        <v>4559.1959729558421</v>
      </c>
      <c r="AO694" s="459">
        <v>0</v>
      </c>
      <c r="AP694" s="460"/>
      <c r="AQ694" s="460"/>
      <c r="AR694" s="460"/>
      <c r="AS694" s="460"/>
      <c r="AT694" s="460"/>
      <c r="AU694" s="460"/>
      <c r="AV694" s="460"/>
      <c r="AW694" s="460"/>
      <c r="AX694" s="460"/>
      <c r="AY694" s="460"/>
      <c r="AZ694" s="460"/>
      <c r="BA694" s="460"/>
      <c r="BB694" s="460"/>
      <c r="BC694" s="460"/>
      <c r="BD694" s="460"/>
      <c r="BE694" s="460"/>
      <c r="BF694" s="460"/>
      <c r="BG694" s="460"/>
      <c r="BH694" s="460"/>
      <c r="BI694" s="460"/>
      <c r="BJ694" s="460"/>
      <c r="BK694" s="460"/>
      <c r="BL694" s="460"/>
      <c r="BM694" s="460"/>
      <c r="BN694" s="460"/>
      <c r="BO694" s="460"/>
      <c r="BP694" s="460"/>
      <c r="BQ694" s="460"/>
      <c r="BR694" s="460"/>
      <c r="BS694" s="460"/>
      <c r="BT694" s="460"/>
      <c r="BU694" s="460"/>
      <c r="BV694" s="460"/>
      <c r="BW694" s="460"/>
      <c r="BX694" s="460"/>
      <c r="BY694" s="460"/>
      <c r="BZ694" s="460"/>
      <c r="CA694" s="460"/>
      <c r="CB694" s="460"/>
      <c r="CC694" s="460"/>
      <c r="CD694" s="460"/>
      <c r="CE694" s="460"/>
      <c r="CF694" s="460"/>
      <c r="CG694" s="460"/>
      <c r="CH694" s="460"/>
      <c r="CI694" s="460"/>
      <c r="CJ694" s="460"/>
      <c r="CK694" s="460"/>
    </row>
    <row r="695" spans="1:89" s="329" customFormat="1" ht="36" customHeight="1" x14ac:dyDescent="0.25">
      <c r="A695" s="329">
        <v>1</v>
      </c>
      <c r="B695" s="39">
        <f>SUBTOTAL(103,$A$552:A695)</f>
        <v>142</v>
      </c>
      <c r="C695" s="33" t="s">
        <v>1537</v>
      </c>
      <c r="D695" s="330">
        <v>1987</v>
      </c>
      <c r="E695" s="330"/>
      <c r="F695" s="331" t="s">
        <v>48</v>
      </c>
      <c r="G695" s="330">
        <v>5</v>
      </c>
      <c r="H695" s="330" t="s">
        <v>59</v>
      </c>
      <c r="I695" s="334">
        <v>4250.6000000000004</v>
      </c>
      <c r="J695" s="334">
        <v>2613.6</v>
      </c>
      <c r="K695" s="334">
        <v>2613.6</v>
      </c>
      <c r="L695" s="332">
        <v>107</v>
      </c>
      <c r="M695" s="330" t="s">
        <v>46</v>
      </c>
      <c r="N695" s="330" t="s">
        <v>50</v>
      </c>
      <c r="O695" s="333" t="s">
        <v>1999</v>
      </c>
      <c r="P695" s="38">
        <v>4335791.2699999996</v>
      </c>
      <c r="Q695" s="38">
        <v>0</v>
      </c>
      <c r="R695" s="38">
        <v>0</v>
      </c>
      <c r="S695" s="38">
        <f t="shared" si="130"/>
        <v>4335791.2699999996</v>
      </c>
      <c r="T695" s="38">
        <f t="shared" si="127"/>
        <v>1020.0421752223214</v>
      </c>
      <c r="U695" s="38">
        <v>1142.8756975485812</v>
      </c>
      <c r="V695" s="458">
        <f t="shared" si="128"/>
        <v>122.83352232625987</v>
      </c>
      <c r="W695" s="458">
        <f t="shared" si="131"/>
        <v>1138.9907683621136</v>
      </c>
      <c r="X695" s="458">
        <v>0</v>
      </c>
      <c r="Y695" s="459">
        <v>0</v>
      </c>
      <c r="Z695" s="459">
        <v>0</v>
      </c>
      <c r="AA695" s="459">
        <v>0</v>
      </c>
      <c r="AB695" s="459">
        <v>0</v>
      </c>
      <c r="AC695" s="459">
        <v>0</v>
      </c>
      <c r="AD695" s="459">
        <v>0</v>
      </c>
      <c r="AE695" s="459">
        <v>776</v>
      </c>
      <c r="AF695" s="458">
        <f>6238.91*AE695/I695</f>
        <v>1138.9907683621136</v>
      </c>
      <c r="AG695" s="459">
        <v>0</v>
      </c>
      <c r="AH695" s="458">
        <v>0</v>
      </c>
      <c r="AI695" s="459">
        <v>0</v>
      </c>
      <c r="AJ695" s="458">
        <v>0</v>
      </c>
      <c r="AK695" s="459">
        <v>0</v>
      </c>
      <c r="AL695" s="459">
        <v>0</v>
      </c>
      <c r="AM695" s="459">
        <v>0</v>
      </c>
      <c r="AN695" s="459"/>
      <c r="AO695" s="459">
        <v>0</v>
      </c>
      <c r="AP695" s="460"/>
      <c r="AQ695" s="460"/>
      <c r="AR695" s="460"/>
      <c r="AS695" s="460"/>
      <c r="AT695" s="460"/>
      <c r="AU695" s="460"/>
      <c r="AV695" s="460"/>
      <c r="AW695" s="460"/>
      <c r="AX695" s="460"/>
      <c r="AY695" s="460"/>
      <c r="AZ695" s="460"/>
      <c r="BA695" s="460"/>
      <c r="BB695" s="460"/>
      <c r="BC695" s="460"/>
      <c r="BD695" s="460"/>
      <c r="BE695" s="460"/>
      <c r="BF695" s="460"/>
      <c r="BG695" s="460"/>
      <c r="BH695" s="460"/>
      <c r="BI695" s="460"/>
      <c r="BJ695" s="460"/>
      <c r="BK695" s="460"/>
      <c r="BL695" s="460"/>
      <c r="BM695" s="460"/>
      <c r="BN695" s="460"/>
      <c r="BO695" s="460"/>
      <c r="BP695" s="460"/>
      <c r="BQ695" s="460"/>
      <c r="BR695" s="460"/>
      <c r="BS695" s="460"/>
      <c r="BT695" s="460"/>
      <c r="BU695" s="460"/>
      <c r="BV695" s="460"/>
      <c r="BW695" s="460"/>
      <c r="BX695" s="460"/>
      <c r="BY695" s="460"/>
      <c r="BZ695" s="460"/>
      <c r="CA695" s="460"/>
      <c r="CB695" s="460"/>
      <c r="CC695" s="460"/>
      <c r="CD695" s="460"/>
      <c r="CE695" s="460"/>
      <c r="CF695" s="460"/>
      <c r="CG695" s="460"/>
      <c r="CH695" s="460"/>
      <c r="CI695" s="460"/>
      <c r="CJ695" s="460"/>
      <c r="CK695" s="460"/>
    </row>
    <row r="696" spans="1:89" s="329" customFormat="1" ht="36" customHeight="1" x14ac:dyDescent="0.25">
      <c r="A696" s="329">
        <v>1</v>
      </c>
      <c r="B696" s="39">
        <f>SUBTOTAL(103,$A$552:A696)</f>
        <v>143</v>
      </c>
      <c r="C696" s="33" t="s">
        <v>1538</v>
      </c>
      <c r="D696" s="330">
        <v>1880</v>
      </c>
      <c r="E696" s="330"/>
      <c r="F696" s="331" t="s">
        <v>48</v>
      </c>
      <c r="G696" s="330">
        <v>2</v>
      </c>
      <c r="H696" s="330" t="s">
        <v>57</v>
      </c>
      <c r="I696" s="334">
        <v>646.49</v>
      </c>
      <c r="J696" s="334">
        <v>646.49</v>
      </c>
      <c r="K696" s="334">
        <v>646.49</v>
      </c>
      <c r="L696" s="332">
        <v>37</v>
      </c>
      <c r="M696" s="330" t="s">
        <v>46</v>
      </c>
      <c r="N696" s="330" t="s">
        <v>47</v>
      </c>
      <c r="O696" s="333" t="s">
        <v>49</v>
      </c>
      <c r="P696" s="38">
        <v>3541530.1000000006</v>
      </c>
      <c r="Q696" s="38">
        <v>0</v>
      </c>
      <c r="R696" s="38">
        <v>0</v>
      </c>
      <c r="S696" s="38">
        <f t="shared" si="130"/>
        <v>3541530.1000000006</v>
      </c>
      <c r="T696" s="38">
        <f t="shared" si="127"/>
        <v>5478.0895296137614</v>
      </c>
      <c r="U696" s="38">
        <v>7107.5801017803833</v>
      </c>
      <c r="V696" s="458">
        <f t="shared" si="128"/>
        <v>1629.4905721666219</v>
      </c>
      <c r="W696" s="458">
        <f t="shared" si="131"/>
        <v>3633.9826602112944</v>
      </c>
      <c r="X696" s="458">
        <v>0</v>
      </c>
      <c r="Y696" s="459">
        <v>0</v>
      </c>
      <c r="Z696" s="459">
        <v>0</v>
      </c>
      <c r="AA696" s="459">
        <v>0</v>
      </c>
      <c r="AB696" s="459">
        <v>0</v>
      </c>
      <c r="AC696" s="459">
        <v>0</v>
      </c>
      <c r="AD696" s="459">
        <v>0</v>
      </c>
      <c r="AE696" s="459">
        <v>365</v>
      </c>
      <c r="AF696" s="458">
        <f>6436.53*AE696/I696</f>
        <v>3633.9826602112944</v>
      </c>
      <c r="AG696" s="459">
        <v>0</v>
      </c>
      <c r="AH696" s="458">
        <v>0</v>
      </c>
      <c r="AI696" s="459">
        <v>0</v>
      </c>
      <c r="AJ696" s="458">
        <v>0</v>
      </c>
      <c r="AK696" s="459">
        <v>0</v>
      </c>
      <c r="AL696" s="459">
        <v>0</v>
      </c>
      <c r="AM696" s="459">
        <v>0</v>
      </c>
      <c r="AN696" s="459"/>
      <c r="AO696" s="459">
        <v>0</v>
      </c>
      <c r="AP696" s="460"/>
      <c r="AQ696" s="460"/>
      <c r="AR696" s="460"/>
      <c r="AS696" s="460"/>
      <c r="AT696" s="460"/>
      <c r="AU696" s="460"/>
      <c r="AV696" s="460"/>
      <c r="AW696" s="460"/>
      <c r="AX696" s="460"/>
      <c r="AY696" s="460"/>
      <c r="AZ696" s="460"/>
      <c r="BA696" s="460"/>
      <c r="BB696" s="460"/>
      <c r="BC696" s="460"/>
      <c r="BD696" s="460"/>
      <c r="BE696" s="460"/>
      <c r="BF696" s="460"/>
      <c r="BG696" s="460"/>
      <c r="BH696" s="460"/>
      <c r="BI696" s="460"/>
      <c r="BJ696" s="460"/>
      <c r="BK696" s="460"/>
      <c r="BL696" s="460"/>
      <c r="BM696" s="460"/>
      <c r="BN696" s="460"/>
      <c r="BO696" s="460"/>
      <c r="BP696" s="460"/>
      <c r="BQ696" s="460"/>
      <c r="BR696" s="460"/>
      <c r="BS696" s="460"/>
      <c r="BT696" s="460"/>
      <c r="BU696" s="460"/>
      <c r="BV696" s="460"/>
      <c r="BW696" s="460"/>
      <c r="BX696" s="460"/>
      <c r="BY696" s="460"/>
      <c r="BZ696" s="460"/>
      <c r="CA696" s="460"/>
      <c r="CB696" s="460"/>
      <c r="CC696" s="460"/>
      <c r="CD696" s="460"/>
      <c r="CE696" s="460"/>
      <c r="CF696" s="460"/>
      <c r="CG696" s="460"/>
      <c r="CH696" s="460"/>
      <c r="CI696" s="460"/>
      <c r="CJ696" s="460"/>
      <c r="CK696" s="460"/>
    </row>
    <row r="697" spans="1:89" s="329" customFormat="1" ht="36" customHeight="1" x14ac:dyDescent="0.25">
      <c r="A697" s="329">
        <v>1</v>
      </c>
      <c r="B697" s="39">
        <f>SUBTOTAL(103,$A$552:A697)</f>
        <v>144</v>
      </c>
      <c r="C697" s="33" t="s">
        <v>1539</v>
      </c>
      <c r="D697" s="330">
        <v>1964</v>
      </c>
      <c r="E697" s="330"/>
      <c r="F697" s="331" t="s">
        <v>48</v>
      </c>
      <c r="G697" s="330">
        <v>3</v>
      </c>
      <c r="H697" s="330" t="s">
        <v>56</v>
      </c>
      <c r="I697" s="334">
        <v>1192.79</v>
      </c>
      <c r="J697" s="334">
        <v>1192.79</v>
      </c>
      <c r="K697" s="334">
        <v>1192.79</v>
      </c>
      <c r="L697" s="332">
        <v>56</v>
      </c>
      <c r="M697" s="330" t="s">
        <v>46</v>
      </c>
      <c r="N697" s="330" t="s">
        <v>50</v>
      </c>
      <c r="O697" s="333" t="s">
        <v>1997</v>
      </c>
      <c r="P697" s="38">
        <v>4900000</v>
      </c>
      <c r="Q697" s="38">
        <v>0</v>
      </c>
      <c r="R697" s="38">
        <v>0</v>
      </c>
      <c r="S697" s="38">
        <f t="shared" si="130"/>
        <v>4900000</v>
      </c>
      <c r="T697" s="38">
        <f t="shared" si="127"/>
        <v>4108.0156607617437</v>
      </c>
      <c r="U697" s="38">
        <v>5906.1760242792116</v>
      </c>
      <c r="V697" s="458">
        <f t="shared" si="128"/>
        <v>1798.1603635174679</v>
      </c>
      <c r="W697" s="458">
        <f t="shared" si="131"/>
        <v>5906.1760242792116</v>
      </c>
      <c r="X697" s="458">
        <v>0</v>
      </c>
      <c r="Y697" s="459">
        <v>0</v>
      </c>
      <c r="Z697" s="459">
        <v>0</v>
      </c>
      <c r="AA697" s="459">
        <v>0</v>
      </c>
      <c r="AB697" s="459">
        <v>0</v>
      </c>
      <c r="AC697" s="459">
        <v>0</v>
      </c>
      <c r="AD697" s="459">
        <v>0</v>
      </c>
      <c r="AE697" s="459">
        <v>0</v>
      </c>
      <c r="AF697" s="458">
        <v>0</v>
      </c>
      <c r="AG697" s="459">
        <v>0</v>
      </c>
      <c r="AH697" s="458">
        <v>0</v>
      </c>
      <c r="AI697" s="459">
        <v>947</v>
      </c>
      <c r="AJ697" s="458">
        <f>7439.1*AI697/I697</f>
        <v>5906.1760242792116</v>
      </c>
      <c r="AK697" s="459">
        <v>0</v>
      </c>
      <c r="AL697" s="459">
        <v>0</v>
      </c>
      <c r="AM697" s="459">
        <v>0</v>
      </c>
      <c r="AN697" s="459"/>
      <c r="AO697" s="459">
        <v>0</v>
      </c>
      <c r="AP697" s="460"/>
      <c r="AQ697" s="460"/>
      <c r="AR697" s="460"/>
      <c r="AS697" s="460"/>
      <c r="AT697" s="460"/>
      <c r="AU697" s="460"/>
      <c r="AV697" s="460"/>
      <c r="AW697" s="460"/>
      <c r="AX697" s="460"/>
      <c r="AY697" s="460"/>
      <c r="AZ697" s="460"/>
      <c r="BA697" s="460"/>
      <c r="BB697" s="460"/>
      <c r="BC697" s="460"/>
      <c r="BD697" s="460"/>
      <c r="BE697" s="460"/>
      <c r="BF697" s="460"/>
      <c r="BG697" s="460"/>
      <c r="BH697" s="460"/>
      <c r="BI697" s="460"/>
      <c r="BJ697" s="460"/>
      <c r="BK697" s="460"/>
      <c r="BL697" s="460"/>
      <c r="BM697" s="460"/>
      <c r="BN697" s="460"/>
      <c r="BO697" s="460"/>
      <c r="BP697" s="460"/>
      <c r="BQ697" s="460"/>
      <c r="BR697" s="460"/>
      <c r="BS697" s="460"/>
      <c r="BT697" s="460"/>
      <c r="BU697" s="460"/>
      <c r="BV697" s="460"/>
      <c r="BW697" s="460"/>
      <c r="BX697" s="460"/>
      <c r="BY697" s="460"/>
      <c r="BZ697" s="460"/>
      <c r="CA697" s="460"/>
      <c r="CB697" s="460"/>
      <c r="CC697" s="460"/>
      <c r="CD697" s="460"/>
      <c r="CE697" s="460"/>
      <c r="CF697" s="460"/>
      <c r="CG697" s="460"/>
      <c r="CH697" s="460"/>
      <c r="CI697" s="460"/>
      <c r="CJ697" s="460"/>
      <c r="CK697" s="460"/>
    </row>
    <row r="698" spans="1:89" s="329" customFormat="1" ht="36" customHeight="1" x14ac:dyDescent="0.25">
      <c r="A698" s="329">
        <v>1</v>
      </c>
      <c r="B698" s="39">
        <f>SUBTOTAL(103,$A$552:A698)</f>
        <v>145</v>
      </c>
      <c r="C698" s="33" t="s">
        <v>1540</v>
      </c>
      <c r="D698" s="330">
        <v>1941</v>
      </c>
      <c r="E698" s="330"/>
      <c r="F698" s="331" t="s">
        <v>48</v>
      </c>
      <c r="G698" s="330">
        <v>2</v>
      </c>
      <c r="H698" s="330" t="s">
        <v>56</v>
      </c>
      <c r="I698" s="334">
        <v>858.3</v>
      </c>
      <c r="J698" s="334">
        <v>655.4</v>
      </c>
      <c r="K698" s="334">
        <v>655.4</v>
      </c>
      <c r="L698" s="332">
        <v>31</v>
      </c>
      <c r="M698" s="330" t="s">
        <v>46</v>
      </c>
      <c r="N698" s="330" t="s">
        <v>50</v>
      </c>
      <c r="O698" s="333" t="s">
        <v>66</v>
      </c>
      <c r="P698" s="38">
        <v>3393815.22</v>
      </c>
      <c r="Q698" s="38">
        <v>0</v>
      </c>
      <c r="R698" s="38">
        <v>0</v>
      </c>
      <c r="S698" s="38">
        <f t="shared" si="130"/>
        <v>3393815.22</v>
      </c>
      <c r="T698" s="38">
        <f t="shared" si="127"/>
        <v>3954.1130373995111</v>
      </c>
      <c r="U698" s="38">
        <v>4376.2250961202371</v>
      </c>
      <c r="V698" s="458">
        <f t="shared" si="128"/>
        <v>422.11205872072605</v>
      </c>
      <c r="W698" s="458">
        <f t="shared" si="131"/>
        <v>4361.349178608878</v>
      </c>
      <c r="X698" s="458">
        <v>0</v>
      </c>
      <c r="Y698" s="459">
        <v>0</v>
      </c>
      <c r="Z698" s="459">
        <v>0</v>
      </c>
      <c r="AA698" s="459">
        <v>0</v>
      </c>
      <c r="AB698" s="459">
        <v>0</v>
      </c>
      <c r="AC698" s="459">
        <v>0</v>
      </c>
      <c r="AD698" s="459">
        <v>0</v>
      </c>
      <c r="AE698" s="459">
        <v>600</v>
      </c>
      <c r="AF698" s="458">
        <f>6238.91*AE698/I698</f>
        <v>4361.349178608878</v>
      </c>
      <c r="AG698" s="459">
        <v>0</v>
      </c>
      <c r="AH698" s="458">
        <v>0</v>
      </c>
      <c r="AI698" s="459">
        <v>0</v>
      </c>
      <c r="AJ698" s="458">
        <v>0</v>
      </c>
      <c r="AK698" s="459">
        <v>0</v>
      </c>
      <c r="AL698" s="459">
        <v>0</v>
      </c>
      <c r="AM698" s="459">
        <v>0</v>
      </c>
      <c r="AN698" s="459"/>
      <c r="AO698" s="459">
        <v>0</v>
      </c>
      <c r="AP698" s="460"/>
      <c r="AQ698" s="460"/>
      <c r="AR698" s="460"/>
      <c r="AS698" s="460"/>
      <c r="AT698" s="460"/>
      <c r="AU698" s="460"/>
      <c r="AV698" s="460"/>
      <c r="AW698" s="460"/>
      <c r="AX698" s="460"/>
      <c r="AY698" s="460"/>
      <c r="AZ698" s="460"/>
      <c r="BA698" s="460"/>
      <c r="BB698" s="460"/>
      <c r="BC698" s="460"/>
      <c r="BD698" s="460"/>
      <c r="BE698" s="460"/>
      <c r="BF698" s="460"/>
      <c r="BG698" s="460"/>
      <c r="BH698" s="460"/>
      <c r="BI698" s="460"/>
      <c r="BJ698" s="460"/>
      <c r="BK698" s="460"/>
      <c r="BL698" s="460"/>
      <c r="BM698" s="460"/>
      <c r="BN698" s="460"/>
      <c r="BO698" s="460"/>
      <c r="BP698" s="460"/>
      <c r="BQ698" s="460"/>
      <c r="BR698" s="460"/>
      <c r="BS698" s="460"/>
      <c r="BT698" s="460"/>
      <c r="BU698" s="460"/>
      <c r="BV698" s="460"/>
      <c r="BW698" s="460"/>
      <c r="BX698" s="460"/>
      <c r="BY698" s="460"/>
      <c r="BZ698" s="460"/>
      <c r="CA698" s="460"/>
      <c r="CB698" s="460"/>
      <c r="CC698" s="460"/>
      <c r="CD698" s="460"/>
      <c r="CE698" s="460"/>
      <c r="CF698" s="460"/>
      <c r="CG698" s="460"/>
      <c r="CH698" s="460"/>
      <c r="CI698" s="460"/>
      <c r="CJ698" s="460"/>
      <c r="CK698" s="460"/>
    </row>
    <row r="699" spans="1:89" s="329" customFormat="1" ht="36" customHeight="1" x14ac:dyDescent="0.25">
      <c r="A699" s="329">
        <v>1</v>
      </c>
      <c r="B699" s="39">
        <f>SUBTOTAL(103,$A$552:A699)</f>
        <v>146</v>
      </c>
      <c r="C699" s="33" t="s">
        <v>1197</v>
      </c>
      <c r="D699" s="330">
        <v>1962</v>
      </c>
      <c r="E699" s="330"/>
      <c r="F699" s="331" t="s">
        <v>1990</v>
      </c>
      <c r="G699" s="330">
        <v>2</v>
      </c>
      <c r="H699" s="330" t="s">
        <v>56</v>
      </c>
      <c r="I699" s="334">
        <v>590.99</v>
      </c>
      <c r="J699" s="334">
        <v>550.29</v>
      </c>
      <c r="K699" s="334">
        <v>550.29</v>
      </c>
      <c r="L699" s="332">
        <v>18</v>
      </c>
      <c r="M699" s="330" t="s">
        <v>46</v>
      </c>
      <c r="N699" s="330" t="s">
        <v>50</v>
      </c>
      <c r="O699" s="333" t="s">
        <v>2000</v>
      </c>
      <c r="P699" s="38">
        <v>2624171.2799999998</v>
      </c>
      <c r="Q699" s="38">
        <v>0</v>
      </c>
      <c r="R699" s="38">
        <v>0</v>
      </c>
      <c r="S699" s="38">
        <f t="shared" si="130"/>
        <v>2624171.2799999998</v>
      </c>
      <c r="T699" s="38">
        <f t="shared" si="127"/>
        <v>4440.2972639130949</v>
      </c>
      <c r="U699" s="38">
        <v>5148.0606101626081</v>
      </c>
      <c r="V699" s="458">
        <f t="shared" si="128"/>
        <v>707.76334624951323</v>
      </c>
      <c r="W699" s="458">
        <f t="shared" si="131"/>
        <v>5130.5610247212298</v>
      </c>
      <c r="X699" s="458">
        <v>0</v>
      </c>
      <c r="Y699" s="459">
        <v>0</v>
      </c>
      <c r="Z699" s="459">
        <v>0</v>
      </c>
      <c r="AA699" s="459">
        <v>0</v>
      </c>
      <c r="AB699" s="459">
        <v>0</v>
      </c>
      <c r="AC699" s="459">
        <v>0</v>
      </c>
      <c r="AD699" s="459">
        <v>0</v>
      </c>
      <c r="AE699" s="459">
        <v>486</v>
      </c>
      <c r="AF699" s="458">
        <f>6238.91*AE699/I699</f>
        <v>5130.5610247212298</v>
      </c>
      <c r="AG699" s="459">
        <v>0</v>
      </c>
      <c r="AH699" s="458">
        <v>0</v>
      </c>
      <c r="AI699" s="459">
        <v>0</v>
      </c>
      <c r="AJ699" s="458">
        <v>0</v>
      </c>
      <c r="AK699" s="459">
        <v>0</v>
      </c>
      <c r="AL699" s="459">
        <v>0</v>
      </c>
      <c r="AM699" s="459">
        <v>0</v>
      </c>
      <c r="AN699" s="459"/>
      <c r="AO699" s="459">
        <v>0</v>
      </c>
      <c r="AP699" s="460"/>
      <c r="AQ699" s="460"/>
      <c r="AR699" s="460"/>
      <c r="AS699" s="460"/>
      <c r="AT699" s="460"/>
      <c r="AU699" s="460"/>
      <c r="AV699" s="460"/>
      <c r="AW699" s="460"/>
      <c r="AX699" s="460"/>
      <c r="AY699" s="460"/>
      <c r="AZ699" s="460"/>
      <c r="BA699" s="460"/>
      <c r="BB699" s="460"/>
      <c r="BC699" s="460"/>
      <c r="BD699" s="460"/>
      <c r="BE699" s="460"/>
      <c r="BF699" s="460"/>
      <c r="BG699" s="460"/>
      <c r="BH699" s="460"/>
      <c r="BI699" s="460"/>
      <c r="BJ699" s="460"/>
      <c r="BK699" s="460"/>
      <c r="BL699" s="460"/>
      <c r="BM699" s="460"/>
      <c r="BN699" s="460"/>
      <c r="BO699" s="460"/>
      <c r="BP699" s="460"/>
      <c r="BQ699" s="460"/>
      <c r="BR699" s="460"/>
      <c r="BS699" s="460"/>
      <c r="BT699" s="460"/>
      <c r="BU699" s="460"/>
      <c r="BV699" s="460"/>
      <c r="BW699" s="460"/>
      <c r="BX699" s="460"/>
      <c r="BY699" s="460"/>
      <c r="BZ699" s="460"/>
      <c r="CA699" s="460"/>
      <c r="CB699" s="460"/>
      <c r="CC699" s="460"/>
      <c r="CD699" s="460"/>
      <c r="CE699" s="460"/>
      <c r="CF699" s="460"/>
      <c r="CG699" s="460"/>
      <c r="CH699" s="460"/>
      <c r="CI699" s="460"/>
      <c r="CJ699" s="460"/>
      <c r="CK699" s="460"/>
    </row>
    <row r="700" spans="1:89" s="329" customFormat="1" ht="36" customHeight="1" x14ac:dyDescent="0.25">
      <c r="A700" s="329">
        <v>1</v>
      </c>
      <c r="B700" s="39">
        <f>SUBTOTAL(103,$A$552:A700)</f>
        <v>147</v>
      </c>
      <c r="C700" s="33" t="s">
        <v>1541</v>
      </c>
      <c r="D700" s="330">
        <v>1960</v>
      </c>
      <c r="E700" s="330"/>
      <c r="F700" s="331" t="s">
        <v>2004</v>
      </c>
      <c r="G700" s="330">
        <v>4</v>
      </c>
      <c r="H700" s="330" t="s">
        <v>59</v>
      </c>
      <c r="I700" s="334">
        <v>2241.9</v>
      </c>
      <c r="J700" s="334">
        <v>2091.3000000000002</v>
      </c>
      <c r="K700" s="334">
        <v>1908.9</v>
      </c>
      <c r="L700" s="332">
        <v>87</v>
      </c>
      <c r="M700" s="330" t="s">
        <v>46</v>
      </c>
      <c r="N700" s="330" t="s">
        <v>50</v>
      </c>
      <c r="O700" s="333" t="s">
        <v>169</v>
      </c>
      <c r="P700" s="38">
        <v>5101600</v>
      </c>
      <c r="Q700" s="38">
        <v>0</v>
      </c>
      <c r="R700" s="38">
        <v>0</v>
      </c>
      <c r="S700" s="38">
        <f t="shared" si="130"/>
        <v>5101600</v>
      </c>
      <c r="T700" s="38">
        <f t="shared" si="127"/>
        <v>2275.5698291627637</v>
      </c>
      <c r="U700" s="38">
        <v>2543.839194433293</v>
      </c>
      <c r="V700" s="458">
        <f t="shared" si="128"/>
        <v>268.26936527052931</v>
      </c>
      <c r="W700" s="458">
        <f t="shared" si="131"/>
        <v>2535.1920290824746</v>
      </c>
      <c r="X700" s="458">
        <v>0</v>
      </c>
      <c r="Y700" s="459">
        <v>0</v>
      </c>
      <c r="Z700" s="459">
        <v>0</v>
      </c>
      <c r="AA700" s="459">
        <v>0</v>
      </c>
      <c r="AB700" s="459">
        <v>0</v>
      </c>
      <c r="AC700" s="459">
        <v>0</v>
      </c>
      <c r="AD700" s="459">
        <v>0</v>
      </c>
      <c r="AE700" s="459">
        <v>911</v>
      </c>
      <c r="AF700" s="458">
        <f>6238.91*AE700/I700</f>
        <v>2535.1920290824746</v>
      </c>
      <c r="AG700" s="459">
        <v>0</v>
      </c>
      <c r="AH700" s="458">
        <v>0</v>
      </c>
      <c r="AI700" s="459">
        <v>0</v>
      </c>
      <c r="AJ700" s="458">
        <v>0</v>
      </c>
      <c r="AK700" s="459">
        <v>0</v>
      </c>
      <c r="AL700" s="459">
        <v>0</v>
      </c>
      <c r="AM700" s="459">
        <v>0</v>
      </c>
      <c r="AN700" s="459"/>
      <c r="AO700" s="459">
        <v>0</v>
      </c>
      <c r="AP700" s="460"/>
      <c r="AQ700" s="460"/>
      <c r="AR700" s="460"/>
      <c r="AS700" s="460"/>
      <c r="AT700" s="460"/>
      <c r="AU700" s="460"/>
      <c r="AV700" s="460"/>
      <c r="AW700" s="460"/>
      <c r="AX700" s="460"/>
      <c r="AY700" s="460"/>
      <c r="AZ700" s="460"/>
      <c r="BA700" s="460"/>
      <c r="BB700" s="460"/>
      <c r="BC700" s="460"/>
      <c r="BD700" s="460"/>
      <c r="BE700" s="460"/>
      <c r="BF700" s="460"/>
      <c r="BG700" s="460"/>
      <c r="BH700" s="460"/>
      <c r="BI700" s="460"/>
      <c r="BJ700" s="460"/>
      <c r="BK700" s="460"/>
      <c r="BL700" s="460"/>
      <c r="BM700" s="460"/>
      <c r="BN700" s="460"/>
      <c r="BO700" s="460"/>
      <c r="BP700" s="460"/>
      <c r="BQ700" s="460"/>
      <c r="BR700" s="460"/>
      <c r="BS700" s="460"/>
      <c r="BT700" s="460"/>
      <c r="BU700" s="460"/>
      <c r="BV700" s="460"/>
      <c r="BW700" s="460"/>
      <c r="BX700" s="460"/>
      <c r="BY700" s="460"/>
      <c r="BZ700" s="460"/>
      <c r="CA700" s="460"/>
      <c r="CB700" s="460"/>
      <c r="CC700" s="460"/>
      <c r="CD700" s="460"/>
      <c r="CE700" s="460"/>
      <c r="CF700" s="460"/>
      <c r="CG700" s="460"/>
      <c r="CH700" s="460"/>
      <c r="CI700" s="460"/>
      <c r="CJ700" s="460"/>
      <c r="CK700" s="460"/>
    </row>
    <row r="701" spans="1:89" s="329" customFormat="1" ht="36" customHeight="1" x14ac:dyDescent="0.25">
      <c r="A701" s="329">
        <v>1</v>
      </c>
      <c r="B701" s="39">
        <f>SUBTOTAL(103,$A$552:A701)</f>
        <v>148</v>
      </c>
      <c r="C701" s="33" t="s">
        <v>1542</v>
      </c>
      <c r="D701" s="330">
        <v>1959</v>
      </c>
      <c r="E701" s="330"/>
      <c r="F701" s="331" t="s">
        <v>2004</v>
      </c>
      <c r="G701" s="330">
        <v>3</v>
      </c>
      <c r="H701" s="330" t="s">
        <v>56</v>
      </c>
      <c r="I701" s="334">
        <v>1638.8</v>
      </c>
      <c r="J701" s="334">
        <v>1086.7</v>
      </c>
      <c r="K701" s="334">
        <v>1052.4000000000001</v>
      </c>
      <c r="L701" s="332">
        <v>92</v>
      </c>
      <c r="M701" s="330" t="s">
        <v>46</v>
      </c>
      <c r="N701" s="330" t="s">
        <v>47</v>
      </c>
      <c r="O701" s="333" t="s">
        <v>49</v>
      </c>
      <c r="P701" s="38">
        <v>2638742.77</v>
      </c>
      <c r="Q701" s="38">
        <v>0</v>
      </c>
      <c r="R701" s="38">
        <v>0</v>
      </c>
      <c r="S701" s="38">
        <f t="shared" si="130"/>
        <v>2638742.77</v>
      </c>
      <c r="T701" s="38">
        <f t="shared" si="127"/>
        <v>1610.1676653649013</v>
      </c>
      <c r="U701" s="38">
        <v>1833.592384671711</v>
      </c>
      <c r="V701" s="458">
        <f t="shared" si="128"/>
        <v>223.42471930680972</v>
      </c>
      <c r="W701" s="458">
        <f t="shared" si="131"/>
        <v>1827.359531364413</v>
      </c>
      <c r="X701" s="458">
        <v>0</v>
      </c>
      <c r="Y701" s="459">
        <v>0</v>
      </c>
      <c r="Z701" s="459">
        <v>0</v>
      </c>
      <c r="AA701" s="459">
        <v>0</v>
      </c>
      <c r="AB701" s="459">
        <v>0</v>
      </c>
      <c r="AC701" s="459">
        <v>0</v>
      </c>
      <c r="AD701" s="459">
        <v>0</v>
      </c>
      <c r="AE701" s="459">
        <v>480</v>
      </c>
      <c r="AF701" s="458">
        <f>6238.91*AE701/I701</f>
        <v>1827.359531364413</v>
      </c>
      <c r="AG701" s="459">
        <v>0</v>
      </c>
      <c r="AH701" s="458">
        <v>0</v>
      </c>
      <c r="AI701" s="459">
        <v>0</v>
      </c>
      <c r="AJ701" s="458">
        <v>0</v>
      </c>
      <c r="AK701" s="459">
        <v>0</v>
      </c>
      <c r="AL701" s="459">
        <v>0</v>
      </c>
      <c r="AM701" s="459">
        <v>0</v>
      </c>
      <c r="AN701" s="459"/>
      <c r="AO701" s="459">
        <v>0</v>
      </c>
      <c r="AP701" s="460"/>
      <c r="AQ701" s="460"/>
      <c r="AR701" s="460"/>
      <c r="AS701" s="460"/>
      <c r="AT701" s="460"/>
      <c r="AU701" s="460"/>
      <c r="AV701" s="460"/>
      <c r="AW701" s="460"/>
      <c r="AX701" s="460"/>
      <c r="AY701" s="460"/>
      <c r="AZ701" s="460"/>
      <c r="BA701" s="460"/>
      <c r="BB701" s="460"/>
      <c r="BC701" s="460"/>
      <c r="BD701" s="460"/>
      <c r="BE701" s="460"/>
      <c r="BF701" s="460"/>
      <c r="BG701" s="460"/>
      <c r="BH701" s="460"/>
      <c r="BI701" s="460"/>
      <c r="BJ701" s="460"/>
      <c r="BK701" s="460"/>
      <c r="BL701" s="460"/>
      <c r="BM701" s="460"/>
      <c r="BN701" s="460"/>
      <c r="BO701" s="460"/>
      <c r="BP701" s="460"/>
      <c r="BQ701" s="460"/>
      <c r="BR701" s="460"/>
      <c r="BS701" s="460"/>
      <c r="BT701" s="460"/>
      <c r="BU701" s="460"/>
      <c r="BV701" s="460"/>
      <c r="BW701" s="460"/>
      <c r="BX701" s="460"/>
      <c r="BY701" s="460"/>
      <c r="BZ701" s="460"/>
      <c r="CA701" s="460"/>
      <c r="CB701" s="460"/>
      <c r="CC701" s="460"/>
      <c r="CD701" s="460"/>
      <c r="CE701" s="460"/>
      <c r="CF701" s="460"/>
      <c r="CG701" s="460"/>
      <c r="CH701" s="460"/>
      <c r="CI701" s="460"/>
      <c r="CJ701" s="460"/>
      <c r="CK701" s="460"/>
    </row>
    <row r="702" spans="1:89" s="329" customFormat="1" ht="36" customHeight="1" x14ac:dyDescent="0.25">
      <c r="A702" s="329">
        <v>1</v>
      </c>
      <c r="B702" s="39">
        <f>SUBTOTAL(103,$A$552:A702)</f>
        <v>149</v>
      </c>
      <c r="C702" s="33" t="s">
        <v>1543</v>
      </c>
      <c r="D702" s="330">
        <v>1942</v>
      </c>
      <c r="E702" s="330"/>
      <c r="F702" s="331" t="s">
        <v>2004</v>
      </c>
      <c r="G702" s="330">
        <v>2</v>
      </c>
      <c r="H702" s="330" t="s">
        <v>56</v>
      </c>
      <c r="I702" s="334">
        <v>659.9</v>
      </c>
      <c r="J702" s="334">
        <v>659.9</v>
      </c>
      <c r="K702" s="334">
        <v>659.9</v>
      </c>
      <c r="L702" s="332">
        <v>25</v>
      </c>
      <c r="M702" s="330" t="s">
        <v>46</v>
      </c>
      <c r="N702" s="330" t="s">
        <v>47</v>
      </c>
      <c r="O702" s="333" t="s">
        <v>49</v>
      </c>
      <c r="P702" s="38">
        <v>3267279.28</v>
      </c>
      <c r="Q702" s="38">
        <v>0</v>
      </c>
      <c r="R702" s="38">
        <v>0</v>
      </c>
      <c r="S702" s="38">
        <f t="shared" si="130"/>
        <v>3267279.28</v>
      </c>
      <c r="T702" s="38">
        <f t="shared" si="127"/>
        <v>4951.1733292923172</v>
      </c>
      <c r="U702" s="38">
        <v>5691.9442339748439</v>
      </c>
      <c r="V702" s="458">
        <f t="shared" si="128"/>
        <v>740.77090468252663</v>
      </c>
      <c r="W702" s="458">
        <f t="shared" si="131"/>
        <v>5672.5958478557359</v>
      </c>
      <c r="X702" s="458">
        <v>0</v>
      </c>
      <c r="Y702" s="459">
        <v>0</v>
      </c>
      <c r="Z702" s="459">
        <v>0</v>
      </c>
      <c r="AA702" s="459">
        <v>0</v>
      </c>
      <c r="AB702" s="459">
        <v>0</v>
      </c>
      <c r="AC702" s="459">
        <v>0</v>
      </c>
      <c r="AD702" s="459">
        <v>0</v>
      </c>
      <c r="AE702" s="459">
        <v>600</v>
      </c>
      <c r="AF702" s="458">
        <f>6238.91*AE702/I702</f>
        <v>5672.5958478557359</v>
      </c>
      <c r="AG702" s="459">
        <v>0</v>
      </c>
      <c r="AH702" s="458">
        <v>0</v>
      </c>
      <c r="AI702" s="459">
        <v>0</v>
      </c>
      <c r="AJ702" s="458">
        <v>0</v>
      </c>
      <c r="AK702" s="459">
        <v>0</v>
      </c>
      <c r="AL702" s="459">
        <v>0</v>
      </c>
      <c r="AM702" s="459">
        <v>0</v>
      </c>
      <c r="AN702" s="459"/>
      <c r="AO702" s="459">
        <v>0</v>
      </c>
      <c r="AP702" s="460"/>
      <c r="AQ702" s="460"/>
      <c r="AR702" s="460"/>
      <c r="AS702" s="460"/>
      <c r="AT702" s="460"/>
      <c r="AU702" s="460"/>
      <c r="AV702" s="460"/>
      <c r="AW702" s="460"/>
      <c r="AX702" s="460"/>
      <c r="AY702" s="460"/>
      <c r="AZ702" s="460"/>
      <c r="BA702" s="460"/>
      <c r="BB702" s="460"/>
      <c r="BC702" s="460"/>
      <c r="BD702" s="460"/>
      <c r="BE702" s="460"/>
      <c r="BF702" s="460"/>
      <c r="BG702" s="460"/>
      <c r="BH702" s="460"/>
      <c r="BI702" s="460"/>
      <c r="BJ702" s="460"/>
      <c r="BK702" s="460"/>
      <c r="BL702" s="460"/>
      <c r="BM702" s="460"/>
      <c r="BN702" s="460"/>
      <c r="BO702" s="460"/>
      <c r="BP702" s="460"/>
      <c r="BQ702" s="460"/>
      <c r="BR702" s="460"/>
      <c r="BS702" s="460"/>
      <c r="BT702" s="460"/>
      <c r="BU702" s="460"/>
      <c r="BV702" s="460"/>
      <c r="BW702" s="460"/>
      <c r="BX702" s="460"/>
      <c r="BY702" s="460"/>
      <c r="BZ702" s="460"/>
      <c r="CA702" s="460"/>
      <c r="CB702" s="460"/>
      <c r="CC702" s="460"/>
      <c r="CD702" s="460"/>
      <c r="CE702" s="460"/>
      <c r="CF702" s="460"/>
      <c r="CG702" s="460"/>
      <c r="CH702" s="460"/>
      <c r="CI702" s="460"/>
      <c r="CJ702" s="460"/>
      <c r="CK702" s="460"/>
    </row>
    <row r="703" spans="1:89" s="329" customFormat="1" ht="36" customHeight="1" x14ac:dyDescent="0.25">
      <c r="A703" s="329">
        <v>1</v>
      </c>
      <c r="B703" s="39">
        <f>SUBTOTAL(103,$A$552:A703)</f>
        <v>150</v>
      </c>
      <c r="C703" s="33" t="s">
        <v>1191</v>
      </c>
      <c r="D703" s="330">
        <v>1994</v>
      </c>
      <c r="E703" s="330"/>
      <c r="F703" s="331" t="s">
        <v>60</v>
      </c>
      <c r="G703" s="330">
        <v>9</v>
      </c>
      <c r="H703" s="330" t="s">
        <v>56</v>
      </c>
      <c r="I703" s="334">
        <v>4306.3</v>
      </c>
      <c r="J703" s="334">
        <v>3866</v>
      </c>
      <c r="K703" s="334">
        <v>3866</v>
      </c>
      <c r="L703" s="332">
        <v>182</v>
      </c>
      <c r="M703" s="330" t="s">
        <v>46</v>
      </c>
      <c r="N703" s="330" t="s">
        <v>50</v>
      </c>
      <c r="O703" s="333" t="s">
        <v>65</v>
      </c>
      <c r="P703" s="38">
        <v>4331631.53</v>
      </c>
      <c r="Q703" s="38">
        <v>0</v>
      </c>
      <c r="R703" s="38">
        <v>0</v>
      </c>
      <c r="S703" s="38">
        <f t="shared" si="130"/>
        <v>4331631.53</v>
      </c>
      <c r="T703" s="38">
        <f t="shared" si="127"/>
        <v>1005.8824350370388</v>
      </c>
      <c r="U703" s="38">
        <v>1141.4903745674942</v>
      </c>
      <c r="V703" s="458">
        <f t="shared" si="128"/>
        <v>135.60793953045538</v>
      </c>
      <c r="W703" s="458">
        <f t="shared" si="131"/>
        <v>1141.4903745674942</v>
      </c>
      <c r="X703" s="458">
        <v>0</v>
      </c>
      <c r="Y703" s="459">
        <v>0</v>
      </c>
      <c r="Z703" s="459">
        <v>0</v>
      </c>
      <c r="AA703" s="459">
        <v>0</v>
      </c>
      <c r="AB703" s="459">
        <v>0</v>
      </c>
      <c r="AC703" s="459">
        <v>2</v>
      </c>
      <c r="AD703" s="458">
        <f>2457800*AC703/I703</f>
        <v>1141.4903745674942</v>
      </c>
      <c r="AE703" s="459">
        <v>0</v>
      </c>
      <c r="AF703" s="458">
        <v>0</v>
      </c>
      <c r="AG703" s="459">
        <v>0</v>
      </c>
      <c r="AH703" s="458">
        <v>0</v>
      </c>
      <c r="AI703" s="459">
        <v>0</v>
      </c>
      <c r="AJ703" s="458">
        <v>0</v>
      </c>
      <c r="AK703" s="459">
        <v>0</v>
      </c>
      <c r="AL703" s="459">
        <v>0</v>
      </c>
      <c r="AM703" s="459">
        <v>0</v>
      </c>
      <c r="AN703" s="459"/>
      <c r="AO703" s="459">
        <v>0</v>
      </c>
      <c r="AP703" s="460"/>
      <c r="AQ703" s="460"/>
      <c r="AR703" s="460"/>
      <c r="AS703" s="460"/>
      <c r="AT703" s="460"/>
      <c r="AU703" s="460"/>
      <c r="AV703" s="460"/>
      <c r="AW703" s="460"/>
      <c r="AX703" s="460"/>
      <c r="AY703" s="460"/>
      <c r="AZ703" s="460"/>
      <c r="BA703" s="460"/>
      <c r="BB703" s="460"/>
      <c r="BC703" s="460"/>
      <c r="BD703" s="460"/>
      <c r="BE703" s="460"/>
      <c r="BF703" s="460"/>
      <c r="BG703" s="460"/>
      <c r="BH703" s="460"/>
      <c r="BI703" s="460"/>
      <c r="BJ703" s="460"/>
      <c r="BK703" s="460"/>
      <c r="BL703" s="460"/>
      <c r="BM703" s="460"/>
      <c r="BN703" s="460"/>
      <c r="BO703" s="460"/>
      <c r="BP703" s="460"/>
      <c r="BQ703" s="460"/>
      <c r="BR703" s="460"/>
      <c r="BS703" s="460"/>
      <c r="BT703" s="460"/>
      <c r="BU703" s="460"/>
      <c r="BV703" s="460"/>
      <c r="BW703" s="460"/>
      <c r="BX703" s="460"/>
      <c r="BY703" s="460"/>
      <c r="BZ703" s="460"/>
      <c r="CA703" s="460"/>
      <c r="CB703" s="460"/>
      <c r="CC703" s="460"/>
      <c r="CD703" s="460"/>
      <c r="CE703" s="460"/>
      <c r="CF703" s="460"/>
      <c r="CG703" s="460"/>
      <c r="CH703" s="460"/>
      <c r="CI703" s="460"/>
      <c r="CJ703" s="460"/>
      <c r="CK703" s="460"/>
    </row>
    <row r="704" spans="1:89" s="329" customFormat="1" ht="36" customHeight="1" x14ac:dyDescent="0.25">
      <c r="A704" s="329">
        <v>1</v>
      </c>
      <c r="B704" s="39">
        <f>SUBTOTAL(103,$A$552:A704)</f>
        <v>151</v>
      </c>
      <c r="C704" s="33" t="s">
        <v>1544</v>
      </c>
      <c r="D704" s="330">
        <v>1952</v>
      </c>
      <c r="E704" s="330"/>
      <c r="F704" s="331" t="s">
        <v>2004</v>
      </c>
      <c r="G704" s="330">
        <v>2</v>
      </c>
      <c r="H704" s="330" t="s">
        <v>56</v>
      </c>
      <c r="I704" s="334">
        <v>557.4</v>
      </c>
      <c r="J704" s="334">
        <v>517.5</v>
      </c>
      <c r="K704" s="334">
        <v>517.5</v>
      </c>
      <c r="L704" s="332">
        <v>31</v>
      </c>
      <c r="M704" s="330" t="s">
        <v>46</v>
      </c>
      <c r="N704" s="330" t="s">
        <v>47</v>
      </c>
      <c r="O704" s="333" t="s">
        <v>49</v>
      </c>
      <c r="P704" s="38">
        <v>3267843.12</v>
      </c>
      <c r="Q704" s="38">
        <v>0</v>
      </c>
      <c r="R704" s="38">
        <v>0</v>
      </c>
      <c r="S704" s="38">
        <f t="shared" si="130"/>
        <v>3267843.12</v>
      </c>
      <c r="T704" s="38">
        <f t="shared" si="127"/>
        <v>5862.6536060279877</v>
      </c>
      <c r="U704" s="38">
        <v>6738.6329386437028</v>
      </c>
      <c r="V704" s="458">
        <f t="shared" si="128"/>
        <v>875.97933261571507</v>
      </c>
      <c r="W704" s="458">
        <f t="shared" si="131"/>
        <v>6715.7265877287409</v>
      </c>
      <c r="X704" s="458">
        <v>0</v>
      </c>
      <c r="Y704" s="459">
        <v>0</v>
      </c>
      <c r="Z704" s="459">
        <v>0</v>
      </c>
      <c r="AA704" s="459">
        <v>0</v>
      </c>
      <c r="AB704" s="459">
        <v>0</v>
      </c>
      <c r="AC704" s="459">
        <v>0</v>
      </c>
      <c r="AD704" s="459">
        <v>0</v>
      </c>
      <c r="AE704" s="459">
        <v>600</v>
      </c>
      <c r="AF704" s="458">
        <f>6238.91*AE704/I704</f>
        <v>6715.7265877287409</v>
      </c>
      <c r="AG704" s="459">
        <v>0</v>
      </c>
      <c r="AH704" s="458">
        <v>0</v>
      </c>
      <c r="AI704" s="459">
        <v>0</v>
      </c>
      <c r="AJ704" s="458">
        <v>0</v>
      </c>
      <c r="AK704" s="459">
        <v>0</v>
      </c>
      <c r="AL704" s="459">
        <v>0</v>
      </c>
      <c r="AM704" s="459">
        <v>0</v>
      </c>
      <c r="AN704" s="459"/>
      <c r="AO704" s="459">
        <v>0</v>
      </c>
      <c r="AP704" s="460"/>
      <c r="AQ704" s="460"/>
      <c r="AR704" s="460"/>
      <c r="AS704" s="460"/>
      <c r="AT704" s="460"/>
      <c r="AU704" s="460"/>
      <c r="AV704" s="460"/>
      <c r="AW704" s="460"/>
      <c r="AX704" s="460"/>
      <c r="AY704" s="460"/>
      <c r="AZ704" s="460"/>
      <c r="BA704" s="460"/>
      <c r="BB704" s="460"/>
      <c r="BC704" s="460"/>
      <c r="BD704" s="460"/>
      <c r="BE704" s="460"/>
      <c r="BF704" s="460"/>
      <c r="BG704" s="460"/>
      <c r="BH704" s="460"/>
      <c r="BI704" s="460"/>
      <c r="BJ704" s="460"/>
      <c r="BK704" s="460"/>
      <c r="BL704" s="460"/>
      <c r="BM704" s="460"/>
      <c r="BN704" s="460"/>
      <c r="BO704" s="460"/>
      <c r="BP704" s="460"/>
      <c r="BQ704" s="460"/>
      <c r="BR704" s="460"/>
      <c r="BS704" s="460"/>
      <c r="BT704" s="460"/>
      <c r="BU704" s="460"/>
      <c r="BV704" s="460"/>
      <c r="BW704" s="460"/>
      <c r="BX704" s="460"/>
      <c r="BY704" s="460"/>
      <c r="BZ704" s="460"/>
      <c r="CA704" s="460"/>
      <c r="CB704" s="460"/>
      <c r="CC704" s="460"/>
      <c r="CD704" s="460"/>
      <c r="CE704" s="460"/>
      <c r="CF704" s="460"/>
      <c r="CG704" s="460"/>
      <c r="CH704" s="460"/>
      <c r="CI704" s="460"/>
      <c r="CJ704" s="460"/>
      <c r="CK704" s="460"/>
    </row>
    <row r="705" spans="1:89" s="329" customFormat="1" ht="36" customHeight="1" x14ac:dyDescent="0.25">
      <c r="A705" s="329">
        <v>1</v>
      </c>
      <c r="B705" s="39">
        <f>SUBTOTAL(103,$A$552:A705)</f>
        <v>152</v>
      </c>
      <c r="C705" s="33" t="s">
        <v>1545</v>
      </c>
      <c r="D705" s="330">
        <v>1950</v>
      </c>
      <c r="E705" s="330"/>
      <c r="F705" s="331" t="s">
        <v>2004</v>
      </c>
      <c r="G705" s="330">
        <v>2</v>
      </c>
      <c r="H705" s="330" t="s">
        <v>57</v>
      </c>
      <c r="I705" s="334">
        <v>462.7</v>
      </c>
      <c r="J705" s="334">
        <v>460.2</v>
      </c>
      <c r="K705" s="334">
        <v>460.2</v>
      </c>
      <c r="L705" s="332">
        <v>17</v>
      </c>
      <c r="M705" s="330" t="s">
        <v>46</v>
      </c>
      <c r="N705" s="330" t="s">
        <v>50</v>
      </c>
      <c r="O705" s="333" t="s">
        <v>65</v>
      </c>
      <c r="P705" s="38">
        <v>2422320</v>
      </c>
      <c r="Q705" s="38">
        <v>0</v>
      </c>
      <c r="R705" s="38">
        <v>0</v>
      </c>
      <c r="S705" s="38">
        <f t="shared" si="130"/>
        <v>2422320</v>
      </c>
      <c r="T705" s="38">
        <f t="shared" si="127"/>
        <v>5235.1847849578562</v>
      </c>
      <c r="U705" s="38">
        <v>5953.0659174411057</v>
      </c>
      <c r="V705" s="458">
        <f t="shared" si="128"/>
        <v>717.88113248324953</v>
      </c>
      <c r="W705" s="458">
        <f t="shared" si="131"/>
        <v>5932.8299113896692</v>
      </c>
      <c r="X705" s="458">
        <v>0</v>
      </c>
      <c r="Y705" s="459">
        <v>0</v>
      </c>
      <c r="Z705" s="459">
        <v>0</v>
      </c>
      <c r="AA705" s="459">
        <v>0</v>
      </c>
      <c r="AB705" s="459">
        <v>0</v>
      </c>
      <c r="AC705" s="459">
        <v>0</v>
      </c>
      <c r="AD705" s="459">
        <v>0</v>
      </c>
      <c r="AE705" s="459">
        <v>440</v>
      </c>
      <c r="AF705" s="458">
        <f>6238.91*AE705/I705</f>
        <v>5932.8299113896692</v>
      </c>
      <c r="AG705" s="459">
        <v>0</v>
      </c>
      <c r="AH705" s="458">
        <v>0</v>
      </c>
      <c r="AI705" s="459">
        <v>0</v>
      </c>
      <c r="AJ705" s="458">
        <v>0</v>
      </c>
      <c r="AK705" s="459">
        <v>0</v>
      </c>
      <c r="AL705" s="459">
        <v>0</v>
      </c>
      <c r="AM705" s="459">
        <v>0</v>
      </c>
      <c r="AN705" s="459"/>
      <c r="AO705" s="459">
        <v>0</v>
      </c>
      <c r="AP705" s="460"/>
      <c r="AQ705" s="460"/>
      <c r="AR705" s="460"/>
      <c r="AS705" s="460"/>
      <c r="AT705" s="460"/>
      <c r="AU705" s="460"/>
      <c r="AV705" s="460"/>
      <c r="AW705" s="460"/>
      <c r="AX705" s="460"/>
      <c r="AY705" s="460"/>
      <c r="AZ705" s="460"/>
      <c r="BA705" s="460"/>
      <c r="BB705" s="460"/>
      <c r="BC705" s="460"/>
      <c r="BD705" s="460"/>
      <c r="BE705" s="460"/>
      <c r="BF705" s="460"/>
      <c r="BG705" s="460"/>
      <c r="BH705" s="460"/>
      <c r="BI705" s="460"/>
      <c r="BJ705" s="460"/>
      <c r="BK705" s="460"/>
      <c r="BL705" s="460"/>
      <c r="BM705" s="460"/>
      <c r="BN705" s="460"/>
      <c r="BO705" s="460"/>
      <c r="BP705" s="460"/>
      <c r="BQ705" s="460"/>
      <c r="BR705" s="460"/>
      <c r="BS705" s="460"/>
      <c r="BT705" s="460"/>
      <c r="BU705" s="460"/>
      <c r="BV705" s="460"/>
      <c r="BW705" s="460"/>
      <c r="BX705" s="460"/>
      <c r="BY705" s="460"/>
      <c r="BZ705" s="460"/>
      <c r="CA705" s="460"/>
      <c r="CB705" s="460"/>
      <c r="CC705" s="460"/>
      <c r="CD705" s="460"/>
      <c r="CE705" s="460"/>
      <c r="CF705" s="460"/>
      <c r="CG705" s="460"/>
      <c r="CH705" s="460"/>
      <c r="CI705" s="460"/>
      <c r="CJ705" s="460"/>
      <c r="CK705" s="460"/>
    </row>
    <row r="706" spans="1:89" s="329" customFormat="1" ht="36" customHeight="1" x14ac:dyDescent="0.25">
      <c r="A706" s="329">
        <v>1</v>
      </c>
      <c r="B706" s="39">
        <f>SUBTOTAL(103,$A$552:A706)</f>
        <v>153</v>
      </c>
      <c r="C706" s="33" t="s">
        <v>1546</v>
      </c>
      <c r="D706" s="330">
        <v>1952</v>
      </c>
      <c r="E706" s="330"/>
      <c r="F706" s="331" t="s">
        <v>48</v>
      </c>
      <c r="G706" s="330">
        <v>3</v>
      </c>
      <c r="H706" s="330" t="s">
        <v>61</v>
      </c>
      <c r="I706" s="38">
        <v>1714.1</v>
      </c>
      <c r="J706" s="38">
        <v>1638</v>
      </c>
      <c r="K706" s="38">
        <v>1638</v>
      </c>
      <c r="L706" s="332">
        <v>55</v>
      </c>
      <c r="M706" s="330" t="s">
        <v>46</v>
      </c>
      <c r="N706" s="330" t="s">
        <v>50</v>
      </c>
      <c r="O706" s="333" t="s">
        <v>1996</v>
      </c>
      <c r="P706" s="38">
        <v>2050106.0299999998</v>
      </c>
      <c r="Q706" s="38">
        <v>0</v>
      </c>
      <c r="R706" s="38">
        <v>0</v>
      </c>
      <c r="S706" s="38">
        <f t="shared" si="130"/>
        <v>2050106.0299999998</v>
      </c>
      <c r="T706" s="38">
        <f t="shared" si="127"/>
        <v>1196.024753514964</v>
      </c>
      <c r="U706" s="38">
        <v>7143.3327372965414</v>
      </c>
      <c r="V706" s="458">
        <f t="shared" si="128"/>
        <v>5947.3079837815776</v>
      </c>
      <c r="W706" s="458">
        <f t="shared" si="131"/>
        <v>7143.3327372965414</v>
      </c>
      <c r="X706" s="458">
        <v>0</v>
      </c>
      <c r="Y706" s="459">
        <v>0</v>
      </c>
      <c r="Z706" s="459">
        <v>0</v>
      </c>
      <c r="AA706" s="459">
        <v>0</v>
      </c>
      <c r="AB706" s="459">
        <v>0</v>
      </c>
      <c r="AC706" s="459">
        <v>0</v>
      </c>
      <c r="AD706" s="459">
        <v>0</v>
      </c>
      <c r="AE706" s="459">
        <v>0</v>
      </c>
      <c r="AF706" s="458">
        <v>0</v>
      </c>
      <c r="AG706" s="459">
        <v>0</v>
      </c>
      <c r="AH706" s="458">
        <v>0</v>
      </c>
      <c r="AI706" s="459">
        <v>1645.95</v>
      </c>
      <c r="AJ706" s="458">
        <f>7439.1*AI706/I706</f>
        <v>7143.3327372965414</v>
      </c>
      <c r="AK706" s="459">
        <v>0</v>
      </c>
      <c r="AL706" s="459">
        <v>0</v>
      </c>
      <c r="AM706" s="459">
        <v>0</v>
      </c>
      <c r="AN706" s="459"/>
      <c r="AO706" s="459">
        <v>0</v>
      </c>
      <c r="AP706" s="460"/>
      <c r="AQ706" s="460"/>
      <c r="AR706" s="460"/>
      <c r="AS706" s="460"/>
      <c r="AT706" s="460"/>
      <c r="AU706" s="460"/>
      <c r="AV706" s="460"/>
      <c r="AW706" s="460"/>
      <c r="AX706" s="460"/>
      <c r="AY706" s="460"/>
      <c r="AZ706" s="460"/>
      <c r="BA706" s="460"/>
      <c r="BB706" s="460"/>
      <c r="BC706" s="460"/>
      <c r="BD706" s="460"/>
      <c r="BE706" s="460"/>
      <c r="BF706" s="460"/>
      <c r="BG706" s="460"/>
      <c r="BH706" s="460"/>
      <c r="BI706" s="460"/>
      <c r="BJ706" s="460"/>
      <c r="BK706" s="460"/>
      <c r="BL706" s="460"/>
      <c r="BM706" s="460"/>
      <c r="BN706" s="460"/>
      <c r="BO706" s="460"/>
      <c r="BP706" s="460"/>
      <c r="BQ706" s="460"/>
      <c r="BR706" s="460"/>
      <c r="BS706" s="460"/>
      <c r="BT706" s="460"/>
      <c r="BU706" s="460"/>
      <c r="BV706" s="460"/>
      <c r="BW706" s="460"/>
      <c r="BX706" s="460"/>
      <c r="BY706" s="460"/>
      <c r="BZ706" s="460"/>
      <c r="CA706" s="460"/>
      <c r="CB706" s="460"/>
      <c r="CC706" s="460"/>
      <c r="CD706" s="460"/>
      <c r="CE706" s="460"/>
      <c r="CF706" s="460"/>
      <c r="CG706" s="460"/>
      <c r="CH706" s="460"/>
      <c r="CI706" s="460"/>
      <c r="CJ706" s="460"/>
      <c r="CK706" s="460"/>
    </row>
    <row r="707" spans="1:89" s="329" customFormat="1" ht="36" customHeight="1" x14ac:dyDescent="0.25">
      <c r="A707" s="329">
        <v>1</v>
      </c>
      <c r="B707" s="39">
        <f>SUBTOTAL(103,$A$552:A707)</f>
        <v>154</v>
      </c>
      <c r="C707" s="33" t="s">
        <v>1183</v>
      </c>
      <c r="D707" s="330">
        <v>1958</v>
      </c>
      <c r="E707" s="330"/>
      <c r="F707" s="331" t="s">
        <v>48</v>
      </c>
      <c r="G707" s="330">
        <v>4</v>
      </c>
      <c r="H707" s="330" t="s">
        <v>59</v>
      </c>
      <c r="I707" s="38">
        <v>5856.4</v>
      </c>
      <c r="J707" s="38">
        <v>3235.1</v>
      </c>
      <c r="K707" s="38">
        <v>2625</v>
      </c>
      <c r="L707" s="332">
        <v>86</v>
      </c>
      <c r="M707" s="330" t="s">
        <v>46</v>
      </c>
      <c r="N707" s="330" t="s">
        <v>50</v>
      </c>
      <c r="O707" s="333" t="s">
        <v>2003</v>
      </c>
      <c r="P707" s="38">
        <v>13280548.279999999</v>
      </c>
      <c r="Q707" s="38">
        <v>0</v>
      </c>
      <c r="R707" s="38">
        <v>0</v>
      </c>
      <c r="S707" s="38">
        <f t="shared" si="130"/>
        <v>13280548.279999999</v>
      </c>
      <c r="T707" s="38">
        <f t="shared" si="127"/>
        <v>2267.6982924663616</v>
      </c>
      <c r="U707" s="38">
        <v>3206.1144047537741</v>
      </c>
      <c r="V707" s="458">
        <f t="shared" si="128"/>
        <v>938.41611228741249</v>
      </c>
      <c r="W707" s="458">
        <f t="shared" si="131"/>
        <v>3206.1144047537741</v>
      </c>
      <c r="X707" s="458">
        <v>0</v>
      </c>
      <c r="Y707" s="459">
        <v>0</v>
      </c>
      <c r="Z707" s="459">
        <v>0</v>
      </c>
      <c r="AA707" s="459">
        <v>0</v>
      </c>
      <c r="AB707" s="459">
        <v>0</v>
      </c>
      <c r="AC707" s="459">
        <v>0</v>
      </c>
      <c r="AD707" s="459">
        <v>0</v>
      </c>
      <c r="AE707" s="459">
        <v>0</v>
      </c>
      <c r="AF707" s="458">
        <v>0</v>
      </c>
      <c r="AG707" s="459">
        <v>0</v>
      </c>
      <c r="AH707" s="458">
        <v>0</v>
      </c>
      <c r="AI707" s="459">
        <v>2524</v>
      </c>
      <c r="AJ707" s="458">
        <f>7439.1*AI707/I707</f>
        <v>3206.1144047537741</v>
      </c>
      <c r="AK707" s="459">
        <v>0</v>
      </c>
      <c r="AL707" s="459">
        <v>0</v>
      </c>
      <c r="AM707" s="459">
        <v>0</v>
      </c>
      <c r="AN707" s="459"/>
      <c r="AO707" s="459">
        <v>0</v>
      </c>
      <c r="AP707" s="460"/>
      <c r="AQ707" s="460"/>
      <c r="AR707" s="460"/>
      <c r="AS707" s="460"/>
      <c r="AT707" s="460"/>
      <c r="AU707" s="460"/>
      <c r="AV707" s="460"/>
      <c r="AW707" s="460"/>
      <c r="AX707" s="460"/>
      <c r="AY707" s="460"/>
      <c r="AZ707" s="460"/>
      <c r="BA707" s="460"/>
      <c r="BB707" s="460"/>
      <c r="BC707" s="460"/>
      <c r="BD707" s="460"/>
      <c r="BE707" s="460"/>
      <c r="BF707" s="460"/>
      <c r="BG707" s="460"/>
      <c r="BH707" s="460"/>
      <c r="BI707" s="460"/>
      <c r="BJ707" s="460"/>
      <c r="BK707" s="460"/>
      <c r="BL707" s="460"/>
      <c r="BM707" s="460"/>
      <c r="BN707" s="460"/>
      <c r="BO707" s="460"/>
      <c r="BP707" s="460"/>
      <c r="BQ707" s="460"/>
      <c r="BR707" s="460"/>
      <c r="BS707" s="460"/>
      <c r="BT707" s="460"/>
      <c r="BU707" s="460"/>
      <c r="BV707" s="460"/>
      <c r="BW707" s="460"/>
      <c r="BX707" s="460"/>
      <c r="BY707" s="460"/>
      <c r="BZ707" s="460"/>
      <c r="CA707" s="460"/>
      <c r="CB707" s="460"/>
      <c r="CC707" s="460"/>
      <c r="CD707" s="460"/>
      <c r="CE707" s="460"/>
      <c r="CF707" s="460"/>
      <c r="CG707" s="460"/>
      <c r="CH707" s="460"/>
      <c r="CI707" s="460"/>
      <c r="CJ707" s="460"/>
      <c r="CK707" s="460"/>
    </row>
    <row r="708" spans="1:89" s="329" customFormat="1" ht="36" customHeight="1" x14ac:dyDescent="0.25">
      <c r="A708" s="329">
        <v>1</v>
      </c>
      <c r="B708" s="39">
        <f>SUBTOTAL(103,$A$552:A708)</f>
        <v>155</v>
      </c>
      <c r="C708" s="33" t="s">
        <v>1190</v>
      </c>
      <c r="D708" s="330">
        <v>1986</v>
      </c>
      <c r="E708" s="330"/>
      <c r="F708" s="331" t="s">
        <v>63</v>
      </c>
      <c r="G708" s="330">
        <v>5</v>
      </c>
      <c r="H708" s="330" t="s">
        <v>59</v>
      </c>
      <c r="I708" s="38">
        <v>3450.6</v>
      </c>
      <c r="J708" s="38">
        <v>3118.5</v>
      </c>
      <c r="K708" s="38">
        <v>3118.5</v>
      </c>
      <c r="L708" s="332">
        <v>32</v>
      </c>
      <c r="M708" s="330" t="s">
        <v>46</v>
      </c>
      <c r="N708" s="330" t="s">
        <v>50</v>
      </c>
      <c r="O708" s="333" t="s">
        <v>2003</v>
      </c>
      <c r="P708" s="38">
        <v>7003500</v>
      </c>
      <c r="Q708" s="38">
        <v>0</v>
      </c>
      <c r="R708" s="38">
        <v>0</v>
      </c>
      <c r="S708" s="38">
        <f t="shared" si="130"/>
        <v>7003500</v>
      </c>
      <c r="T708" s="38">
        <f t="shared" si="127"/>
        <v>2029.6470179099288</v>
      </c>
      <c r="U708" s="38">
        <v>8343.4424447922102</v>
      </c>
      <c r="V708" s="458">
        <f t="shared" si="128"/>
        <v>6313.7954268822814</v>
      </c>
      <c r="W708" s="458">
        <f t="shared" si="131"/>
        <v>8343.4424447922102</v>
      </c>
      <c r="X708" s="458">
        <v>0</v>
      </c>
      <c r="Y708" s="459">
        <v>0</v>
      </c>
      <c r="Z708" s="459">
        <v>0</v>
      </c>
      <c r="AA708" s="459">
        <v>0</v>
      </c>
      <c r="AB708" s="459">
        <v>0</v>
      </c>
      <c r="AC708" s="459">
        <v>0</v>
      </c>
      <c r="AD708" s="459">
        <v>0</v>
      </c>
      <c r="AE708" s="459">
        <v>0</v>
      </c>
      <c r="AF708" s="458">
        <v>0</v>
      </c>
      <c r="AG708" s="459">
        <v>0</v>
      </c>
      <c r="AH708" s="458">
        <v>0</v>
      </c>
      <c r="AI708" s="459">
        <v>0</v>
      </c>
      <c r="AJ708" s="458">
        <v>0</v>
      </c>
      <c r="AK708" s="459">
        <v>375</v>
      </c>
      <c r="AL708" s="458">
        <f>76773.02*AK708/I708</f>
        <v>8343.4424447922102</v>
      </c>
      <c r="AM708" s="459">
        <v>0</v>
      </c>
      <c r="AN708" s="459"/>
      <c r="AO708" s="459">
        <v>0</v>
      </c>
      <c r="AP708" s="460"/>
      <c r="AQ708" s="460"/>
      <c r="AR708" s="460"/>
      <c r="AS708" s="460"/>
      <c r="AT708" s="460"/>
      <c r="AU708" s="460"/>
      <c r="AV708" s="460"/>
      <c r="AW708" s="460"/>
      <c r="AX708" s="460"/>
      <c r="AY708" s="460"/>
      <c r="AZ708" s="460"/>
      <c r="BA708" s="460"/>
      <c r="BB708" s="460"/>
      <c r="BC708" s="460"/>
      <c r="BD708" s="460"/>
      <c r="BE708" s="460"/>
      <c r="BF708" s="460"/>
      <c r="BG708" s="460"/>
      <c r="BH708" s="460"/>
      <c r="BI708" s="460"/>
      <c r="BJ708" s="460"/>
      <c r="BK708" s="460"/>
      <c r="BL708" s="460"/>
      <c r="BM708" s="460"/>
      <c r="BN708" s="460"/>
      <c r="BO708" s="460"/>
      <c r="BP708" s="460"/>
      <c r="BQ708" s="460"/>
      <c r="BR708" s="460"/>
      <c r="BS708" s="460"/>
      <c r="BT708" s="460"/>
      <c r="BU708" s="460"/>
      <c r="BV708" s="460"/>
      <c r="BW708" s="460"/>
      <c r="BX708" s="460"/>
      <c r="BY708" s="460"/>
      <c r="BZ708" s="460"/>
      <c r="CA708" s="460"/>
      <c r="CB708" s="460"/>
      <c r="CC708" s="460"/>
      <c r="CD708" s="460"/>
      <c r="CE708" s="460"/>
      <c r="CF708" s="460"/>
      <c r="CG708" s="460"/>
      <c r="CH708" s="460"/>
      <c r="CI708" s="460"/>
      <c r="CJ708" s="460"/>
      <c r="CK708" s="460"/>
    </row>
    <row r="709" spans="1:89" s="329" customFormat="1" ht="36" customHeight="1" x14ac:dyDescent="0.25">
      <c r="A709" s="329">
        <v>1</v>
      </c>
      <c r="B709" s="39">
        <f>SUBTOTAL(103,$A$552:A709)</f>
        <v>156</v>
      </c>
      <c r="C709" s="33" t="s">
        <v>1547</v>
      </c>
      <c r="D709" s="330">
        <v>1974</v>
      </c>
      <c r="E709" s="330"/>
      <c r="F709" s="331" t="s">
        <v>48</v>
      </c>
      <c r="G709" s="330">
        <v>5</v>
      </c>
      <c r="H709" s="330" t="s">
        <v>1969</v>
      </c>
      <c r="I709" s="38">
        <v>4544.2</v>
      </c>
      <c r="J709" s="38">
        <v>4544.2</v>
      </c>
      <c r="K709" s="38">
        <v>3002.6</v>
      </c>
      <c r="L709" s="332">
        <v>207</v>
      </c>
      <c r="M709" s="330" t="s">
        <v>46</v>
      </c>
      <c r="N709" s="330" t="s">
        <v>50</v>
      </c>
      <c r="O709" s="333" t="s">
        <v>169</v>
      </c>
      <c r="P709" s="38">
        <v>3380273.29</v>
      </c>
      <c r="Q709" s="38">
        <v>0</v>
      </c>
      <c r="R709" s="38">
        <v>0</v>
      </c>
      <c r="S709" s="38">
        <f t="shared" si="130"/>
        <v>3380273.29</v>
      </c>
      <c r="T709" s="38">
        <f t="shared" si="127"/>
        <v>743.8654306588619</v>
      </c>
      <c r="U709" s="38">
        <v>810.46</v>
      </c>
      <c r="V709" s="458">
        <f t="shared" si="128"/>
        <v>66.59456934113814</v>
      </c>
      <c r="W709" s="458">
        <f t="shared" si="131"/>
        <v>795.31</v>
      </c>
      <c r="X709" s="458">
        <v>0</v>
      </c>
      <c r="Y709" s="459">
        <v>0</v>
      </c>
      <c r="Z709" s="459">
        <v>0</v>
      </c>
      <c r="AA709" s="459">
        <v>0</v>
      </c>
      <c r="AB709" s="459">
        <v>795.31</v>
      </c>
      <c r="AC709" s="459">
        <v>0</v>
      </c>
      <c r="AD709" s="459">
        <v>0</v>
      </c>
      <c r="AE709" s="459">
        <v>0</v>
      </c>
      <c r="AF709" s="458">
        <v>0</v>
      </c>
      <c r="AG709" s="459">
        <v>0</v>
      </c>
      <c r="AH709" s="458">
        <v>0</v>
      </c>
      <c r="AI709" s="459">
        <v>0</v>
      </c>
      <c r="AJ709" s="458">
        <v>0</v>
      </c>
      <c r="AK709" s="459">
        <v>0</v>
      </c>
      <c r="AL709" s="459">
        <v>0</v>
      </c>
      <c r="AM709" s="459">
        <v>0</v>
      </c>
      <c r="AN709" s="459"/>
      <c r="AO709" s="459">
        <v>0</v>
      </c>
      <c r="AP709" s="460"/>
      <c r="AQ709" s="460"/>
      <c r="AR709" s="460"/>
      <c r="AS709" s="460"/>
      <c r="AT709" s="460"/>
      <c r="AU709" s="460"/>
      <c r="AV709" s="460"/>
      <c r="AW709" s="460"/>
      <c r="AX709" s="460"/>
      <c r="AY709" s="460"/>
      <c r="AZ709" s="460"/>
      <c r="BA709" s="460"/>
      <c r="BB709" s="460"/>
      <c r="BC709" s="460"/>
      <c r="BD709" s="460"/>
      <c r="BE709" s="460"/>
      <c r="BF709" s="460"/>
      <c r="BG709" s="460"/>
      <c r="BH709" s="460"/>
      <c r="BI709" s="460"/>
      <c r="BJ709" s="460"/>
      <c r="BK709" s="460"/>
      <c r="BL709" s="460"/>
      <c r="BM709" s="460"/>
      <c r="BN709" s="460"/>
      <c r="BO709" s="460"/>
      <c r="BP709" s="460"/>
      <c r="BQ709" s="460"/>
      <c r="BR709" s="460"/>
      <c r="BS709" s="460"/>
      <c r="BT709" s="460"/>
      <c r="BU709" s="460"/>
      <c r="BV709" s="460"/>
      <c r="BW709" s="460"/>
      <c r="BX709" s="460"/>
      <c r="BY709" s="460"/>
      <c r="BZ709" s="460"/>
      <c r="CA709" s="460"/>
      <c r="CB709" s="460"/>
      <c r="CC709" s="460"/>
      <c r="CD709" s="460"/>
      <c r="CE709" s="460"/>
      <c r="CF709" s="460"/>
      <c r="CG709" s="460"/>
      <c r="CH709" s="460"/>
      <c r="CI709" s="460"/>
      <c r="CJ709" s="460"/>
      <c r="CK709" s="460"/>
    </row>
    <row r="710" spans="1:89" s="329" customFormat="1" ht="36" customHeight="1" x14ac:dyDescent="0.25">
      <c r="A710" s="329">
        <v>1</v>
      </c>
      <c r="B710" s="39">
        <f>SUBTOTAL(103,$A$552:A710)</f>
        <v>157</v>
      </c>
      <c r="C710" s="33" t="s">
        <v>1548</v>
      </c>
      <c r="D710" s="330">
        <v>1959</v>
      </c>
      <c r="E710" s="330"/>
      <c r="F710" s="331" t="s">
        <v>1981</v>
      </c>
      <c r="G710" s="330" t="s">
        <v>59</v>
      </c>
      <c r="H710" s="330" t="s">
        <v>56</v>
      </c>
      <c r="I710" s="334">
        <v>1378.1</v>
      </c>
      <c r="J710" s="334">
        <v>1378.1</v>
      </c>
      <c r="K710" s="334">
        <v>1378.1</v>
      </c>
      <c r="L710" s="332">
        <v>83</v>
      </c>
      <c r="M710" s="330" t="s">
        <v>46</v>
      </c>
      <c r="N710" s="330" t="s">
        <v>47</v>
      </c>
      <c r="O710" s="333" t="s">
        <v>49</v>
      </c>
      <c r="P710" s="38">
        <v>464475.87</v>
      </c>
      <c r="Q710" s="38">
        <v>0</v>
      </c>
      <c r="R710" s="38">
        <v>0</v>
      </c>
      <c r="S710" s="38">
        <f t="shared" si="130"/>
        <v>464475.87</v>
      </c>
      <c r="T710" s="38">
        <f t="shared" si="127"/>
        <v>337.04075901603659</v>
      </c>
      <c r="U710" s="38">
        <v>810.46</v>
      </c>
      <c r="V710" s="458">
        <f t="shared" si="128"/>
        <v>473.41924098396345</v>
      </c>
      <c r="W710" s="458">
        <f t="shared" ref="W710:W711" si="134">T710</f>
        <v>337.04075901603659</v>
      </c>
      <c r="X710" s="458">
        <v>0</v>
      </c>
      <c r="Y710" s="459">
        <v>0</v>
      </c>
      <c r="Z710" s="459">
        <v>0</v>
      </c>
      <c r="AA710" s="459">
        <v>0</v>
      </c>
      <c r="AB710" s="459">
        <v>0</v>
      </c>
      <c r="AC710" s="459">
        <v>0</v>
      </c>
      <c r="AD710" s="459">
        <v>0</v>
      </c>
      <c r="AE710" s="459">
        <v>0</v>
      </c>
      <c r="AF710" s="458">
        <v>0</v>
      </c>
      <c r="AG710" s="459">
        <v>0</v>
      </c>
      <c r="AH710" s="458">
        <v>0</v>
      </c>
      <c r="AI710" s="459">
        <v>0</v>
      </c>
      <c r="AJ710" s="458">
        <v>0</v>
      </c>
      <c r="AK710" s="459">
        <v>0</v>
      </c>
      <c r="AL710" s="459">
        <v>0</v>
      </c>
      <c r="AM710" s="459">
        <v>0</v>
      </c>
      <c r="AN710" s="459"/>
      <c r="AO710" s="459">
        <v>0</v>
      </c>
      <c r="AP710" s="460"/>
      <c r="AQ710" s="460"/>
      <c r="AR710" s="460"/>
      <c r="AS710" s="460"/>
      <c r="AT710" s="460"/>
      <c r="AU710" s="460"/>
      <c r="AV710" s="460"/>
      <c r="AW710" s="460"/>
      <c r="AX710" s="460"/>
      <c r="AY710" s="460"/>
      <c r="AZ710" s="460"/>
      <c r="BA710" s="460"/>
      <c r="BB710" s="460"/>
      <c r="BC710" s="460"/>
      <c r="BD710" s="460"/>
      <c r="BE710" s="460"/>
      <c r="BF710" s="460"/>
      <c r="BG710" s="460"/>
      <c r="BH710" s="460"/>
      <c r="BI710" s="460"/>
      <c r="BJ710" s="460"/>
      <c r="BK710" s="460"/>
      <c r="BL710" s="460"/>
      <c r="BM710" s="460"/>
      <c r="BN710" s="460"/>
      <c r="BO710" s="460"/>
      <c r="BP710" s="460"/>
      <c r="BQ710" s="460"/>
      <c r="BR710" s="460"/>
      <c r="BS710" s="460"/>
      <c r="BT710" s="460"/>
      <c r="BU710" s="460"/>
      <c r="BV710" s="460"/>
      <c r="BW710" s="460"/>
      <c r="BX710" s="460"/>
      <c r="BY710" s="460"/>
      <c r="BZ710" s="460"/>
      <c r="CA710" s="460"/>
      <c r="CB710" s="460"/>
      <c r="CC710" s="460"/>
      <c r="CD710" s="460"/>
      <c r="CE710" s="460"/>
      <c r="CF710" s="460"/>
      <c r="CG710" s="460"/>
      <c r="CH710" s="460"/>
      <c r="CI710" s="460"/>
      <c r="CJ710" s="460"/>
      <c r="CK710" s="460"/>
    </row>
    <row r="711" spans="1:89" s="329" customFormat="1" ht="36" customHeight="1" x14ac:dyDescent="0.25">
      <c r="A711" s="329">
        <v>1</v>
      </c>
      <c r="B711" s="39">
        <f>SUBTOTAL(103,$A$552:A711)</f>
        <v>158</v>
      </c>
      <c r="C711" s="33" t="s">
        <v>1549</v>
      </c>
      <c r="D711" s="330">
        <v>1963</v>
      </c>
      <c r="E711" s="330"/>
      <c r="F711" s="331" t="s">
        <v>1981</v>
      </c>
      <c r="G711" s="330" t="s">
        <v>56</v>
      </c>
      <c r="H711" s="330" t="s">
        <v>56</v>
      </c>
      <c r="I711" s="334">
        <v>623.29999999999995</v>
      </c>
      <c r="J711" s="334">
        <v>623.29999999999995</v>
      </c>
      <c r="K711" s="334">
        <v>623.29999999999995</v>
      </c>
      <c r="L711" s="332">
        <v>32</v>
      </c>
      <c r="M711" s="330" t="s">
        <v>46</v>
      </c>
      <c r="N711" s="330" t="s">
        <v>47</v>
      </c>
      <c r="O711" s="333" t="s">
        <v>49</v>
      </c>
      <c r="P711" s="38">
        <v>198184.86</v>
      </c>
      <c r="Q711" s="38">
        <v>0</v>
      </c>
      <c r="R711" s="38">
        <v>0</v>
      </c>
      <c r="S711" s="38">
        <f t="shared" si="130"/>
        <v>198184.86</v>
      </c>
      <c r="T711" s="38">
        <f t="shared" si="127"/>
        <v>317.96062891063696</v>
      </c>
      <c r="U711" s="38">
        <v>810.46</v>
      </c>
      <c r="V711" s="458">
        <f t="shared" si="128"/>
        <v>492.49937108936308</v>
      </c>
      <c r="W711" s="458">
        <f t="shared" si="134"/>
        <v>317.96062891063696</v>
      </c>
      <c r="X711" s="458">
        <v>0</v>
      </c>
      <c r="Y711" s="459">
        <v>0</v>
      </c>
      <c r="Z711" s="459">
        <v>0</v>
      </c>
      <c r="AA711" s="459">
        <v>0</v>
      </c>
      <c r="AB711" s="459">
        <v>0</v>
      </c>
      <c r="AC711" s="459">
        <v>0</v>
      </c>
      <c r="AD711" s="459">
        <v>0</v>
      </c>
      <c r="AE711" s="459">
        <v>0</v>
      </c>
      <c r="AF711" s="458">
        <v>0</v>
      </c>
      <c r="AG711" s="459">
        <v>0</v>
      </c>
      <c r="AH711" s="458">
        <v>0</v>
      </c>
      <c r="AI711" s="459">
        <v>0</v>
      </c>
      <c r="AJ711" s="458">
        <v>0</v>
      </c>
      <c r="AK711" s="459">
        <v>0</v>
      </c>
      <c r="AL711" s="459">
        <v>0</v>
      </c>
      <c r="AM711" s="459">
        <v>0</v>
      </c>
      <c r="AN711" s="459"/>
      <c r="AO711" s="459">
        <v>0</v>
      </c>
      <c r="AP711" s="460"/>
      <c r="AQ711" s="460"/>
      <c r="AR711" s="460"/>
      <c r="AS711" s="460"/>
      <c r="AT711" s="460"/>
      <c r="AU711" s="460"/>
      <c r="AV711" s="460"/>
      <c r="AW711" s="460"/>
      <c r="AX711" s="460"/>
      <c r="AY711" s="460"/>
      <c r="AZ711" s="460"/>
      <c r="BA711" s="460"/>
      <c r="BB711" s="460"/>
      <c r="BC711" s="460"/>
      <c r="BD711" s="460"/>
      <c r="BE711" s="460"/>
      <c r="BF711" s="460"/>
      <c r="BG711" s="460"/>
      <c r="BH711" s="460"/>
      <c r="BI711" s="460"/>
      <c r="BJ711" s="460"/>
      <c r="BK711" s="460"/>
      <c r="BL711" s="460"/>
      <c r="BM711" s="460"/>
      <c r="BN711" s="460"/>
      <c r="BO711" s="460"/>
      <c r="BP711" s="460"/>
      <c r="BQ711" s="460"/>
      <c r="BR711" s="460"/>
      <c r="BS711" s="460"/>
      <c r="BT711" s="460"/>
      <c r="BU711" s="460"/>
      <c r="BV711" s="460"/>
      <c r="BW711" s="460"/>
      <c r="BX711" s="460"/>
      <c r="BY711" s="460"/>
      <c r="BZ711" s="460"/>
      <c r="CA711" s="460"/>
      <c r="CB711" s="460"/>
      <c r="CC711" s="460"/>
      <c r="CD711" s="460"/>
      <c r="CE711" s="460"/>
      <c r="CF711" s="460"/>
      <c r="CG711" s="460"/>
      <c r="CH711" s="460"/>
      <c r="CI711" s="460"/>
      <c r="CJ711" s="460"/>
      <c r="CK711" s="460"/>
    </row>
    <row r="712" spans="1:89" s="329" customFormat="1" ht="36" customHeight="1" x14ac:dyDescent="0.25">
      <c r="B712" s="33" t="s">
        <v>91</v>
      </c>
      <c r="C712" s="33"/>
      <c r="D712" s="330" t="s">
        <v>131</v>
      </c>
      <c r="E712" s="330" t="s">
        <v>131</v>
      </c>
      <c r="F712" s="330" t="s">
        <v>131</v>
      </c>
      <c r="G712" s="330" t="s">
        <v>131</v>
      </c>
      <c r="H712" s="330" t="s">
        <v>131</v>
      </c>
      <c r="I712" s="334">
        <f>SUM(I713:I730)</f>
        <v>57948.899999999994</v>
      </c>
      <c r="J712" s="334">
        <f>SUM(J713:J730)</f>
        <v>47671.74</v>
      </c>
      <c r="K712" s="334">
        <f>SUM(K713:K730)</f>
        <v>43891.950000000004</v>
      </c>
      <c r="L712" s="332">
        <f>SUM(L713:L730)</f>
        <v>1563</v>
      </c>
      <c r="M712" s="330" t="s">
        <v>131</v>
      </c>
      <c r="N712" s="330" t="s">
        <v>131</v>
      </c>
      <c r="O712" s="333" t="s">
        <v>131</v>
      </c>
      <c r="P712" s="334">
        <v>88190296.719999999</v>
      </c>
      <c r="Q712" s="334">
        <f>SUM(Q713:Q730)</f>
        <v>0</v>
      </c>
      <c r="R712" s="334">
        <f>SUM(R713:R730)</f>
        <v>0</v>
      </c>
      <c r="S712" s="334">
        <f>SUM(S713:S730)</f>
        <v>88190296.719999999</v>
      </c>
      <c r="T712" s="38">
        <f t="shared" si="127"/>
        <v>1521.8631711732235</v>
      </c>
      <c r="U712" s="38">
        <f>MAX(U713:U730)</f>
        <v>12129.107030708114</v>
      </c>
      <c r="V712" s="458">
        <f t="shared" si="128"/>
        <v>10607.24385953489</v>
      </c>
      <c r="W712" s="458"/>
      <c r="X712" s="458"/>
      <c r="Y712" s="459"/>
      <c r="Z712" s="459"/>
      <c r="AA712" s="459"/>
      <c r="AB712" s="459"/>
      <c r="AC712" s="459"/>
      <c r="AD712" s="459"/>
      <c r="AE712" s="459"/>
      <c r="AF712" s="459"/>
      <c r="AG712" s="459"/>
      <c r="AH712" s="459"/>
      <c r="AI712" s="459"/>
      <c r="AJ712" s="459"/>
      <c r="AK712" s="459"/>
      <c r="AL712" s="459"/>
      <c r="AM712" s="459"/>
      <c r="AN712" s="459"/>
      <c r="AO712" s="459"/>
      <c r="AP712" s="460"/>
      <c r="AQ712" s="460"/>
      <c r="AR712" s="460"/>
      <c r="AS712" s="460"/>
      <c r="AT712" s="460"/>
      <c r="AU712" s="460"/>
      <c r="AV712" s="460"/>
      <c r="AW712" s="460"/>
      <c r="AX712" s="460"/>
      <c r="AY712" s="460"/>
      <c r="AZ712" s="460"/>
      <c r="BA712" s="460"/>
      <c r="BB712" s="460"/>
      <c r="BC712" s="460"/>
      <c r="BD712" s="460"/>
      <c r="BE712" s="460"/>
      <c r="BF712" s="460"/>
      <c r="BG712" s="460"/>
      <c r="BH712" s="460"/>
      <c r="BI712" s="460"/>
      <c r="BJ712" s="460"/>
      <c r="BK712" s="460"/>
      <c r="BL712" s="460"/>
      <c r="BM712" s="460"/>
      <c r="BN712" s="460"/>
      <c r="BO712" s="460"/>
      <c r="BP712" s="460"/>
      <c r="BQ712" s="460"/>
      <c r="BR712" s="460"/>
      <c r="BS712" s="460"/>
      <c r="BT712" s="460"/>
      <c r="BU712" s="460"/>
      <c r="BV712" s="460"/>
      <c r="BW712" s="460"/>
      <c r="BX712" s="460"/>
      <c r="BY712" s="460"/>
      <c r="BZ712" s="460"/>
      <c r="CA712" s="460"/>
      <c r="CB712" s="460"/>
      <c r="CC712" s="460"/>
      <c r="CD712" s="460"/>
      <c r="CE712" s="460"/>
      <c r="CF712" s="460"/>
      <c r="CG712" s="460"/>
      <c r="CH712" s="460"/>
      <c r="CI712" s="460"/>
      <c r="CJ712" s="460"/>
      <c r="CK712" s="460"/>
    </row>
    <row r="713" spans="1:89" s="329" customFormat="1" ht="36" customHeight="1" x14ac:dyDescent="0.25">
      <c r="A713" s="329">
        <v>1</v>
      </c>
      <c r="B713" s="39">
        <f>SUBTOTAL(103,$A$552:A713)</f>
        <v>159</v>
      </c>
      <c r="C713" s="33" t="s">
        <v>1550</v>
      </c>
      <c r="D713" s="330">
        <v>1959</v>
      </c>
      <c r="E713" s="330"/>
      <c r="F713" s="331" t="s">
        <v>70</v>
      </c>
      <c r="G713" s="330">
        <v>3</v>
      </c>
      <c r="H713" s="330" t="s">
        <v>56</v>
      </c>
      <c r="I713" s="334">
        <v>1267.5</v>
      </c>
      <c r="J713" s="334">
        <v>1160</v>
      </c>
      <c r="K713" s="334">
        <v>785.9</v>
      </c>
      <c r="L713" s="332">
        <v>31</v>
      </c>
      <c r="M713" s="330" t="s">
        <v>46</v>
      </c>
      <c r="N713" s="330" t="s">
        <v>47</v>
      </c>
      <c r="O713" s="333" t="s">
        <v>49</v>
      </c>
      <c r="P713" s="38">
        <v>3593042</v>
      </c>
      <c r="Q713" s="38">
        <v>0</v>
      </c>
      <c r="R713" s="38">
        <v>0</v>
      </c>
      <c r="S713" s="38">
        <f t="shared" ref="S713:S730" si="135">P713-Q713-R713</f>
        <v>3593042</v>
      </c>
      <c r="T713" s="38">
        <f t="shared" si="127"/>
        <v>2834.7471400394479</v>
      </c>
      <c r="U713" s="38">
        <v>3407.9140828402365</v>
      </c>
      <c r="V713" s="458">
        <f t="shared" si="128"/>
        <v>573.16694280078855</v>
      </c>
      <c r="W713" s="458">
        <f t="shared" ref="W713:W720" si="136">X713+Y713+Z713+AA713+AB713+AD713+AF713+AH713+AJ713+AL713+AN713+AO713</f>
        <v>3396.3297041420115</v>
      </c>
      <c r="X713" s="458">
        <v>0</v>
      </c>
      <c r="Y713" s="459">
        <v>0</v>
      </c>
      <c r="Z713" s="459">
        <v>0</v>
      </c>
      <c r="AA713" s="459">
        <v>0</v>
      </c>
      <c r="AB713" s="459">
        <v>0</v>
      </c>
      <c r="AC713" s="459">
        <v>0</v>
      </c>
      <c r="AD713" s="459">
        <v>0</v>
      </c>
      <c r="AE713" s="459">
        <v>690</v>
      </c>
      <c r="AF713" s="458">
        <f>6238.91*AE713/I713</f>
        <v>3396.3297041420115</v>
      </c>
      <c r="AG713" s="459">
        <v>0</v>
      </c>
      <c r="AH713" s="458">
        <v>0</v>
      </c>
      <c r="AI713" s="459">
        <v>0</v>
      </c>
      <c r="AJ713" s="458">
        <v>0</v>
      </c>
      <c r="AK713" s="459">
        <v>0</v>
      </c>
      <c r="AL713" s="459">
        <v>0</v>
      </c>
      <c r="AM713" s="459">
        <v>0</v>
      </c>
      <c r="AN713" s="459"/>
      <c r="AO713" s="459">
        <v>0</v>
      </c>
      <c r="AP713" s="460"/>
      <c r="AQ713" s="460"/>
      <c r="AR713" s="460"/>
      <c r="AS713" s="460"/>
      <c r="AT713" s="460"/>
      <c r="AU713" s="460"/>
      <c r="AV713" s="460"/>
      <c r="AW713" s="460"/>
      <c r="AX713" s="460"/>
      <c r="AY713" s="460"/>
      <c r="AZ713" s="460"/>
      <c r="BA713" s="460"/>
      <c r="BB713" s="460"/>
      <c r="BC713" s="460"/>
      <c r="BD713" s="460"/>
      <c r="BE713" s="460"/>
      <c r="BF713" s="460"/>
      <c r="BG713" s="460"/>
      <c r="BH713" s="460"/>
      <c r="BI713" s="460"/>
      <c r="BJ713" s="460"/>
      <c r="BK713" s="460"/>
      <c r="BL713" s="460"/>
      <c r="BM713" s="460"/>
      <c r="BN713" s="460"/>
      <c r="BO713" s="460"/>
      <c r="BP713" s="460"/>
      <c r="BQ713" s="460"/>
      <c r="BR713" s="460"/>
      <c r="BS713" s="460"/>
      <c r="BT713" s="460"/>
      <c r="BU713" s="460"/>
      <c r="BV713" s="460"/>
      <c r="BW713" s="460"/>
      <c r="BX713" s="460"/>
      <c r="BY713" s="460"/>
      <c r="BZ713" s="460"/>
      <c r="CA713" s="460"/>
      <c r="CB713" s="460"/>
      <c r="CC713" s="460"/>
      <c r="CD713" s="460"/>
      <c r="CE713" s="460"/>
      <c r="CF713" s="460"/>
      <c r="CG713" s="460"/>
      <c r="CH713" s="460"/>
      <c r="CI713" s="460"/>
      <c r="CJ713" s="460"/>
      <c r="CK713" s="460"/>
    </row>
    <row r="714" spans="1:89" s="329" customFormat="1" ht="36" customHeight="1" x14ac:dyDescent="0.25">
      <c r="A714" s="329">
        <v>1</v>
      </c>
      <c r="B714" s="39">
        <f>SUBTOTAL(103,$A$552:A714)</f>
        <v>160</v>
      </c>
      <c r="C714" s="33" t="s">
        <v>1228</v>
      </c>
      <c r="D714" s="330">
        <v>1993</v>
      </c>
      <c r="E714" s="330"/>
      <c r="F714" s="331" t="s">
        <v>63</v>
      </c>
      <c r="G714" s="330">
        <v>9</v>
      </c>
      <c r="H714" s="330" t="s">
        <v>59</v>
      </c>
      <c r="I714" s="334">
        <v>11047.1</v>
      </c>
      <c r="J714" s="334">
        <v>7851.2</v>
      </c>
      <c r="K714" s="334">
        <v>7851.2</v>
      </c>
      <c r="L714" s="332">
        <v>267</v>
      </c>
      <c r="M714" s="330" t="s">
        <v>46</v>
      </c>
      <c r="N714" s="330" t="s">
        <v>50</v>
      </c>
      <c r="O714" s="333" t="s">
        <v>2023</v>
      </c>
      <c r="P714" s="38">
        <v>8449445.7300000004</v>
      </c>
      <c r="Q714" s="38">
        <v>0</v>
      </c>
      <c r="R714" s="38">
        <v>0</v>
      </c>
      <c r="S714" s="38">
        <f t="shared" si="135"/>
        <v>8449445.7300000004</v>
      </c>
      <c r="T714" s="38">
        <f t="shared" si="127"/>
        <v>764.85645372993815</v>
      </c>
      <c r="U714" s="38">
        <v>889.93491504557755</v>
      </c>
      <c r="V714" s="458">
        <f t="shared" si="128"/>
        <v>125.0784613156394</v>
      </c>
      <c r="W714" s="458">
        <f t="shared" si="136"/>
        <v>889.93491504557755</v>
      </c>
      <c r="X714" s="458">
        <v>0</v>
      </c>
      <c r="Y714" s="459">
        <v>0</v>
      </c>
      <c r="Z714" s="459">
        <v>0</v>
      </c>
      <c r="AA714" s="459">
        <v>0</v>
      </c>
      <c r="AB714" s="459">
        <v>0</v>
      </c>
      <c r="AC714" s="459">
        <v>4</v>
      </c>
      <c r="AD714" s="458">
        <f>2457800*AC714/I714</f>
        <v>889.93491504557755</v>
      </c>
      <c r="AE714" s="459">
        <v>0</v>
      </c>
      <c r="AF714" s="458">
        <v>0</v>
      </c>
      <c r="AG714" s="459">
        <v>0</v>
      </c>
      <c r="AH714" s="458">
        <v>0</v>
      </c>
      <c r="AI714" s="459">
        <v>0</v>
      </c>
      <c r="AJ714" s="458">
        <v>0</v>
      </c>
      <c r="AK714" s="459">
        <v>0</v>
      </c>
      <c r="AL714" s="459">
        <v>0</v>
      </c>
      <c r="AM714" s="459">
        <v>0</v>
      </c>
      <c r="AN714" s="459"/>
      <c r="AO714" s="459">
        <v>0</v>
      </c>
      <c r="AP714" s="460"/>
      <c r="AQ714" s="460"/>
      <c r="AR714" s="460"/>
      <c r="AS714" s="460"/>
      <c r="AT714" s="460"/>
      <c r="AU714" s="460"/>
      <c r="AV714" s="460"/>
      <c r="AW714" s="460"/>
      <c r="AX714" s="460"/>
      <c r="AY714" s="460"/>
      <c r="AZ714" s="460"/>
      <c r="BA714" s="460"/>
      <c r="BB714" s="460"/>
      <c r="BC714" s="460"/>
      <c r="BD714" s="460"/>
      <c r="BE714" s="460"/>
      <c r="BF714" s="460"/>
      <c r="BG714" s="460"/>
      <c r="BH714" s="460"/>
      <c r="BI714" s="460"/>
      <c r="BJ714" s="460"/>
      <c r="BK714" s="460"/>
      <c r="BL714" s="460"/>
      <c r="BM714" s="460"/>
      <c r="BN714" s="460"/>
      <c r="BO714" s="460"/>
      <c r="BP714" s="460"/>
      <c r="BQ714" s="460"/>
      <c r="BR714" s="460"/>
      <c r="BS714" s="460"/>
      <c r="BT714" s="460"/>
      <c r="BU714" s="460"/>
      <c r="BV714" s="460"/>
      <c r="BW714" s="460"/>
      <c r="BX714" s="460"/>
      <c r="BY714" s="460"/>
      <c r="BZ714" s="460"/>
      <c r="CA714" s="460"/>
      <c r="CB714" s="460"/>
      <c r="CC714" s="460"/>
      <c r="CD714" s="460"/>
      <c r="CE714" s="460"/>
      <c r="CF714" s="460"/>
      <c r="CG714" s="460"/>
      <c r="CH714" s="460"/>
      <c r="CI714" s="460"/>
      <c r="CJ714" s="460"/>
      <c r="CK714" s="460"/>
    </row>
    <row r="715" spans="1:89" s="329" customFormat="1" ht="36" customHeight="1" x14ac:dyDescent="0.25">
      <c r="A715" s="329">
        <v>1</v>
      </c>
      <c r="B715" s="39">
        <f>SUBTOTAL(103,$A$552:A715)</f>
        <v>161</v>
      </c>
      <c r="C715" s="33" t="s">
        <v>1551</v>
      </c>
      <c r="D715" s="330">
        <v>1960</v>
      </c>
      <c r="E715" s="330"/>
      <c r="F715" s="331" t="s">
        <v>48</v>
      </c>
      <c r="G715" s="330">
        <v>3</v>
      </c>
      <c r="H715" s="330" t="s">
        <v>56</v>
      </c>
      <c r="I715" s="334">
        <v>1377.9</v>
      </c>
      <c r="J715" s="334">
        <v>966.6</v>
      </c>
      <c r="K715" s="334">
        <v>764.1</v>
      </c>
      <c r="L715" s="332">
        <v>28</v>
      </c>
      <c r="M715" s="330" t="s">
        <v>46</v>
      </c>
      <c r="N715" s="330" t="s">
        <v>47</v>
      </c>
      <c r="O715" s="333" t="s">
        <v>49</v>
      </c>
      <c r="P715" s="38">
        <v>2932000</v>
      </c>
      <c r="Q715" s="38">
        <v>0</v>
      </c>
      <c r="R715" s="38">
        <v>0</v>
      </c>
      <c r="S715" s="38">
        <f t="shared" si="135"/>
        <v>2932000</v>
      </c>
      <c r="T715" s="38">
        <f t="shared" si="127"/>
        <v>2127.8757529573986</v>
      </c>
      <c r="U715" s="38">
        <v>2680.5371217069451</v>
      </c>
      <c r="V715" s="458">
        <f t="shared" si="128"/>
        <v>552.66136874954645</v>
      </c>
      <c r="W715" s="458">
        <f t="shared" si="136"/>
        <v>2671.4252848537626</v>
      </c>
      <c r="X715" s="458">
        <v>0</v>
      </c>
      <c r="Y715" s="459">
        <v>0</v>
      </c>
      <c r="Z715" s="459">
        <v>0</v>
      </c>
      <c r="AA715" s="459">
        <v>0</v>
      </c>
      <c r="AB715" s="459">
        <v>0</v>
      </c>
      <c r="AC715" s="459">
        <v>0</v>
      </c>
      <c r="AD715" s="459">
        <v>0</v>
      </c>
      <c r="AE715" s="459">
        <v>590</v>
      </c>
      <c r="AF715" s="458">
        <f>6238.91*AE715/I715</f>
        <v>2671.4252848537626</v>
      </c>
      <c r="AG715" s="459">
        <v>0</v>
      </c>
      <c r="AH715" s="458">
        <v>0</v>
      </c>
      <c r="AI715" s="459">
        <v>0</v>
      </c>
      <c r="AJ715" s="458">
        <v>0</v>
      </c>
      <c r="AK715" s="459">
        <v>0</v>
      </c>
      <c r="AL715" s="459">
        <v>0</v>
      </c>
      <c r="AM715" s="459">
        <v>0</v>
      </c>
      <c r="AN715" s="459"/>
      <c r="AO715" s="459">
        <v>0</v>
      </c>
      <c r="AP715" s="460"/>
      <c r="AQ715" s="460"/>
      <c r="AR715" s="460"/>
      <c r="AS715" s="460"/>
      <c r="AT715" s="460"/>
      <c r="AU715" s="460"/>
      <c r="AV715" s="460"/>
      <c r="AW715" s="460"/>
      <c r="AX715" s="460"/>
      <c r="AY715" s="460"/>
      <c r="AZ715" s="460"/>
      <c r="BA715" s="460"/>
      <c r="BB715" s="460"/>
      <c r="BC715" s="460"/>
      <c r="BD715" s="460"/>
      <c r="BE715" s="460"/>
      <c r="BF715" s="460"/>
      <c r="BG715" s="460"/>
      <c r="BH715" s="460"/>
      <c r="BI715" s="460"/>
      <c r="BJ715" s="460"/>
      <c r="BK715" s="460"/>
      <c r="BL715" s="460"/>
      <c r="BM715" s="460"/>
      <c r="BN715" s="460"/>
      <c r="BO715" s="460"/>
      <c r="BP715" s="460"/>
      <c r="BQ715" s="460"/>
      <c r="BR715" s="460"/>
      <c r="BS715" s="460"/>
      <c r="BT715" s="460"/>
      <c r="BU715" s="460"/>
      <c r="BV715" s="460"/>
      <c r="BW715" s="460"/>
      <c r="BX715" s="460"/>
      <c r="BY715" s="460"/>
      <c r="BZ715" s="460"/>
      <c r="CA715" s="460"/>
      <c r="CB715" s="460"/>
      <c r="CC715" s="460"/>
      <c r="CD715" s="460"/>
      <c r="CE715" s="460"/>
      <c r="CF715" s="460"/>
      <c r="CG715" s="460"/>
      <c r="CH715" s="460"/>
      <c r="CI715" s="460"/>
      <c r="CJ715" s="460"/>
      <c r="CK715" s="460"/>
    </row>
    <row r="716" spans="1:89" s="329" customFormat="1" ht="36" customHeight="1" x14ac:dyDescent="0.25">
      <c r="A716" s="329">
        <v>1</v>
      </c>
      <c r="B716" s="39">
        <f>SUBTOTAL(103,$A$552:A716)</f>
        <v>162</v>
      </c>
      <c r="C716" s="33" t="s">
        <v>1552</v>
      </c>
      <c r="D716" s="330">
        <v>1966</v>
      </c>
      <c r="E716" s="330"/>
      <c r="F716" s="331" t="s">
        <v>48</v>
      </c>
      <c r="G716" s="330">
        <v>4</v>
      </c>
      <c r="H716" s="330" t="s">
        <v>59</v>
      </c>
      <c r="I716" s="334">
        <v>3436.5</v>
      </c>
      <c r="J716" s="334">
        <v>2673</v>
      </c>
      <c r="K716" s="334">
        <v>2483.9</v>
      </c>
      <c r="L716" s="332">
        <v>109</v>
      </c>
      <c r="M716" s="330" t="s">
        <v>46</v>
      </c>
      <c r="N716" s="330" t="s">
        <v>50</v>
      </c>
      <c r="O716" s="333" t="s">
        <v>2009</v>
      </c>
      <c r="P716" s="38">
        <v>5501631.04</v>
      </c>
      <c r="Q716" s="38">
        <v>0</v>
      </c>
      <c r="R716" s="38">
        <v>0</v>
      </c>
      <c r="S716" s="38">
        <f t="shared" si="135"/>
        <v>5501631.04</v>
      </c>
      <c r="T716" s="38">
        <f t="shared" si="127"/>
        <v>1600.9402124254329</v>
      </c>
      <c r="U716" s="38">
        <v>2102.2142470536883</v>
      </c>
      <c r="V716" s="458">
        <f t="shared" si="128"/>
        <v>501.27403462825532</v>
      </c>
      <c r="W716" s="458">
        <f t="shared" si="136"/>
        <v>2095.0682787720061</v>
      </c>
      <c r="X716" s="458">
        <v>0</v>
      </c>
      <c r="Y716" s="459">
        <v>0</v>
      </c>
      <c r="Z716" s="459">
        <v>0</v>
      </c>
      <c r="AA716" s="459">
        <v>0</v>
      </c>
      <c r="AB716" s="459">
        <v>0</v>
      </c>
      <c r="AC716" s="459">
        <v>0</v>
      </c>
      <c r="AD716" s="459">
        <v>0</v>
      </c>
      <c r="AE716" s="459">
        <v>1154</v>
      </c>
      <c r="AF716" s="458">
        <f>6238.91*AE716/I716</f>
        <v>2095.0682787720061</v>
      </c>
      <c r="AG716" s="459">
        <v>0</v>
      </c>
      <c r="AH716" s="458">
        <v>0</v>
      </c>
      <c r="AI716" s="459">
        <v>0</v>
      </c>
      <c r="AJ716" s="458">
        <v>0</v>
      </c>
      <c r="AK716" s="459">
        <v>0</v>
      </c>
      <c r="AL716" s="459">
        <v>0</v>
      </c>
      <c r="AM716" s="459">
        <v>0</v>
      </c>
      <c r="AN716" s="459"/>
      <c r="AO716" s="459">
        <v>0</v>
      </c>
      <c r="AP716" s="460"/>
      <c r="AQ716" s="460"/>
      <c r="AR716" s="460"/>
      <c r="AS716" s="460"/>
      <c r="AT716" s="460"/>
      <c r="AU716" s="460"/>
      <c r="AV716" s="460"/>
      <c r="AW716" s="460"/>
      <c r="AX716" s="460"/>
      <c r="AY716" s="460"/>
      <c r="AZ716" s="460"/>
      <c r="BA716" s="460"/>
      <c r="BB716" s="460"/>
      <c r="BC716" s="460"/>
      <c r="BD716" s="460"/>
      <c r="BE716" s="460"/>
      <c r="BF716" s="460"/>
      <c r="BG716" s="460"/>
      <c r="BH716" s="460"/>
      <c r="BI716" s="460"/>
      <c r="BJ716" s="460"/>
      <c r="BK716" s="460"/>
      <c r="BL716" s="460"/>
      <c r="BM716" s="460"/>
      <c r="BN716" s="460"/>
      <c r="BO716" s="460"/>
      <c r="BP716" s="460"/>
      <c r="BQ716" s="460"/>
      <c r="BR716" s="460"/>
      <c r="BS716" s="460"/>
      <c r="BT716" s="460"/>
      <c r="BU716" s="460"/>
      <c r="BV716" s="460"/>
      <c r="BW716" s="460"/>
      <c r="BX716" s="460"/>
      <c r="BY716" s="460"/>
      <c r="BZ716" s="460"/>
      <c r="CA716" s="460"/>
      <c r="CB716" s="460"/>
      <c r="CC716" s="460"/>
      <c r="CD716" s="460"/>
      <c r="CE716" s="460"/>
      <c r="CF716" s="460"/>
      <c r="CG716" s="460"/>
      <c r="CH716" s="460"/>
      <c r="CI716" s="460"/>
      <c r="CJ716" s="460"/>
      <c r="CK716" s="460"/>
    </row>
    <row r="717" spans="1:89" s="329" customFormat="1" ht="36" customHeight="1" x14ac:dyDescent="0.25">
      <c r="A717" s="329">
        <v>1</v>
      </c>
      <c r="B717" s="39">
        <f>SUBTOTAL(103,$A$552:A717)</f>
        <v>163</v>
      </c>
      <c r="C717" s="33" t="s">
        <v>1553</v>
      </c>
      <c r="D717" s="330">
        <v>1980</v>
      </c>
      <c r="E717" s="330"/>
      <c r="F717" s="331" t="s">
        <v>48</v>
      </c>
      <c r="G717" s="330">
        <v>5</v>
      </c>
      <c r="H717" s="330" t="s">
        <v>57</v>
      </c>
      <c r="I717" s="334">
        <v>2427.5</v>
      </c>
      <c r="J717" s="334">
        <v>2065.6999999999998</v>
      </c>
      <c r="K717" s="334">
        <v>2065.6999999999998</v>
      </c>
      <c r="L717" s="332">
        <v>58</v>
      </c>
      <c r="M717" s="330" t="s">
        <v>46</v>
      </c>
      <c r="N717" s="330" t="s">
        <v>47</v>
      </c>
      <c r="O717" s="333" t="s">
        <v>49</v>
      </c>
      <c r="P717" s="38">
        <v>3890000</v>
      </c>
      <c r="Q717" s="38">
        <v>0</v>
      </c>
      <c r="R717" s="38">
        <v>0</v>
      </c>
      <c r="S717" s="38">
        <f t="shared" si="135"/>
        <v>3890000</v>
      </c>
      <c r="T717" s="38">
        <f t="shared" si="127"/>
        <v>1602.4716786817714</v>
      </c>
      <c r="U717" s="38">
        <v>2006.3554356333675</v>
      </c>
      <c r="V717" s="458">
        <f t="shared" si="128"/>
        <v>403.88375695159607</v>
      </c>
      <c r="W717" s="458">
        <f t="shared" si="136"/>
        <v>1999.5353161688979</v>
      </c>
      <c r="X717" s="458">
        <v>0</v>
      </c>
      <c r="Y717" s="459">
        <v>0</v>
      </c>
      <c r="Z717" s="459">
        <v>0</v>
      </c>
      <c r="AA717" s="459">
        <v>0</v>
      </c>
      <c r="AB717" s="459">
        <v>0</v>
      </c>
      <c r="AC717" s="459">
        <v>0</v>
      </c>
      <c r="AD717" s="459">
        <v>0</v>
      </c>
      <c r="AE717" s="459">
        <v>778</v>
      </c>
      <c r="AF717" s="458">
        <f>6238.91*AE717/I717</f>
        <v>1999.5353161688979</v>
      </c>
      <c r="AG717" s="459">
        <v>0</v>
      </c>
      <c r="AH717" s="458">
        <v>0</v>
      </c>
      <c r="AI717" s="459">
        <v>0</v>
      </c>
      <c r="AJ717" s="458">
        <v>0</v>
      </c>
      <c r="AK717" s="459">
        <v>0</v>
      </c>
      <c r="AL717" s="459">
        <v>0</v>
      </c>
      <c r="AM717" s="459">
        <v>0</v>
      </c>
      <c r="AN717" s="459"/>
      <c r="AO717" s="459">
        <v>0</v>
      </c>
      <c r="AP717" s="460"/>
      <c r="AQ717" s="460"/>
      <c r="AR717" s="460"/>
      <c r="AS717" s="460"/>
      <c r="AT717" s="460"/>
      <c r="AU717" s="460"/>
      <c r="AV717" s="460"/>
      <c r="AW717" s="460"/>
      <c r="AX717" s="460"/>
      <c r="AY717" s="460"/>
      <c r="AZ717" s="460"/>
      <c r="BA717" s="460"/>
      <c r="BB717" s="460"/>
      <c r="BC717" s="460"/>
      <c r="BD717" s="460"/>
      <c r="BE717" s="460"/>
      <c r="BF717" s="460"/>
      <c r="BG717" s="460"/>
      <c r="BH717" s="460"/>
      <c r="BI717" s="460"/>
      <c r="BJ717" s="460"/>
      <c r="BK717" s="460"/>
      <c r="BL717" s="460"/>
      <c r="BM717" s="460"/>
      <c r="BN717" s="460"/>
      <c r="BO717" s="460"/>
      <c r="BP717" s="460"/>
      <c r="BQ717" s="460"/>
      <c r="BR717" s="460"/>
      <c r="BS717" s="460"/>
      <c r="BT717" s="460"/>
      <c r="BU717" s="460"/>
      <c r="BV717" s="460"/>
      <c r="BW717" s="460"/>
      <c r="BX717" s="460"/>
      <c r="BY717" s="460"/>
      <c r="BZ717" s="460"/>
      <c r="CA717" s="460"/>
      <c r="CB717" s="460"/>
      <c r="CC717" s="460"/>
      <c r="CD717" s="460"/>
      <c r="CE717" s="460"/>
      <c r="CF717" s="460"/>
      <c r="CG717" s="460"/>
      <c r="CH717" s="460"/>
      <c r="CI717" s="460"/>
      <c r="CJ717" s="460"/>
      <c r="CK717" s="460"/>
    </row>
    <row r="718" spans="1:89" s="329" customFormat="1" ht="36" customHeight="1" x14ac:dyDescent="0.25">
      <c r="A718" s="329">
        <v>1</v>
      </c>
      <c r="B718" s="39">
        <f>SUBTOTAL(103,$A$552:A718)</f>
        <v>164</v>
      </c>
      <c r="C718" s="33" t="s">
        <v>1231</v>
      </c>
      <c r="D718" s="330">
        <v>1937</v>
      </c>
      <c r="E718" s="330"/>
      <c r="F718" s="331" t="s">
        <v>48</v>
      </c>
      <c r="G718" s="330" t="s">
        <v>59</v>
      </c>
      <c r="H718" s="330" t="s">
        <v>61</v>
      </c>
      <c r="I718" s="38">
        <v>1585.9</v>
      </c>
      <c r="J718" s="38">
        <v>1585.9</v>
      </c>
      <c r="K718" s="38">
        <v>1465.1</v>
      </c>
      <c r="L718" s="332">
        <v>36</v>
      </c>
      <c r="M718" s="330" t="s">
        <v>46</v>
      </c>
      <c r="N718" s="330" t="s">
        <v>47</v>
      </c>
      <c r="O718" s="333" t="s">
        <v>49</v>
      </c>
      <c r="P718" s="38">
        <v>7293621.0100000007</v>
      </c>
      <c r="Q718" s="38">
        <v>0</v>
      </c>
      <c r="R718" s="38">
        <v>0</v>
      </c>
      <c r="S718" s="38">
        <f t="shared" si="135"/>
        <v>7293621.0100000007</v>
      </c>
      <c r="T718" s="38">
        <f t="shared" si="127"/>
        <v>4599.0421905542598</v>
      </c>
      <c r="U718" s="38">
        <v>12129.107030708114</v>
      </c>
      <c r="V718" s="458">
        <f t="shared" si="128"/>
        <v>7530.0648401538538</v>
      </c>
      <c r="W718" s="458">
        <f t="shared" si="136"/>
        <v>12120.693789015701</v>
      </c>
      <c r="X718" s="458">
        <v>0</v>
      </c>
      <c r="Y718" s="459">
        <v>0</v>
      </c>
      <c r="Z718" s="459">
        <v>0</v>
      </c>
      <c r="AA718" s="459">
        <v>0</v>
      </c>
      <c r="AB718" s="459">
        <v>0</v>
      </c>
      <c r="AC718" s="459">
        <v>0</v>
      </c>
      <c r="AD718" s="459">
        <v>0</v>
      </c>
      <c r="AE718" s="459">
        <v>627</v>
      </c>
      <c r="AF718" s="458">
        <f>6238.91*AE718/I718</f>
        <v>2466.6098556024967</v>
      </c>
      <c r="AG718" s="459">
        <v>0</v>
      </c>
      <c r="AH718" s="458">
        <v>0</v>
      </c>
      <c r="AI718" s="459">
        <v>2058.1</v>
      </c>
      <c r="AJ718" s="458">
        <f>7439.1*AI718/I718</f>
        <v>9654.0839334132033</v>
      </c>
      <c r="AK718" s="459">
        <v>0</v>
      </c>
      <c r="AL718" s="459">
        <v>0</v>
      </c>
      <c r="AM718" s="459">
        <v>0</v>
      </c>
      <c r="AN718" s="459"/>
      <c r="AO718" s="459">
        <v>0</v>
      </c>
      <c r="AP718" s="460"/>
      <c r="AQ718" s="460"/>
      <c r="AR718" s="460"/>
      <c r="AS718" s="460"/>
      <c r="AT718" s="460"/>
      <c r="AU718" s="460"/>
      <c r="AV718" s="460"/>
      <c r="AW718" s="460"/>
      <c r="AX718" s="460"/>
      <c r="AY718" s="460"/>
      <c r="AZ718" s="460"/>
      <c r="BA718" s="460"/>
      <c r="BB718" s="460"/>
      <c r="BC718" s="460"/>
      <c r="BD718" s="460"/>
      <c r="BE718" s="460"/>
      <c r="BF718" s="460"/>
      <c r="BG718" s="460"/>
      <c r="BH718" s="460"/>
      <c r="BI718" s="460"/>
      <c r="BJ718" s="460"/>
      <c r="BK718" s="460"/>
      <c r="BL718" s="460"/>
      <c r="BM718" s="460"/>
      <c r="BN718" s="460"/>
      <c r="BO718" s="460"/>
      <c r="BP718" s="460"/>
      <c r="BQ718" s="460"/>
      <c r="BR718" s="460"/>
      <c r="BS718" s="460"/>
      <c r="BT718" s="460"/>
      <c r="BU718" s="460"/>
      <c r="BV718" s="460"/>
      <c r="BW718" s="460"/>
      <c r="BX718" s="460"/>
      <c r="BY718" s="460"/>
      <c r="BZ718" s="460"/>
      <c r="CA718" s="460"/>
      <c r="CB718" s="460"/>
      <c r="CC718" s="460"/>
      <c r="CD718" s="460"/>
      <c r="CE718" s="460"/>
      <c r="CF718" s="460"/>
      <c r="CG718" s="460"/>
      <c r="CH718" s="460"/>
      <c r="CI718" s="460"/>
      <c r="CJ718" s="460"/>
      <c r="CK718" s="460"/>
    </row>
    <row r="719" spans="1:89" s="329" customFormat="1" ht="36" customHeight="1" x14ac:dyDescent="0.25">
      <c r="A719" s="329">
        <v>1</v>
      </c>
      <c r="B719" s="39">
        <f>SUBTOTAL(103,$A$552:A719)</f>
        <v>165</v>
      </c>
      <c r="C719" s="33" t="s">
        <v>944</v>
      </c>
      <c r="D719" s="330">
        <v>1962</v>
      </c>
      <c r="E719" s="330"/>
      <c r="F719" s="331" t="s">
        <v>48</v>
      </c>
      <c r="G719" s="330">
        <v>6</v>
      </c>
      <c r="H719" s="330" t="s">
        <v>75</v>
      </c>
      <c r="I719" s="38">
        <v>5489.1</v>
      </c>
      <c r="J719" s="38">
        <v>4500.5</v>
      </c>
      <c r="K719" s="38">
        <v>4154.3</v>
      </c>
      <c r="L719" s="332">
        <v>130</v>
      </c>
      <c r="M719" s="330" t="s">
        <v>46</v>
      </c>
      <c r="N719" s="330" t="s">
        <v>50</v>
      </c>
      <c r="O719" s="333" t="s">
        <v>94</v>
      </c>
      <c r="P719" s="38">
        <v>7930053</v>
      </c>
      <c r="Q719" s="38">
        <v>0</v>
      </c>
      <c r="R719" s="38">
        <v>0</v>
      </c>
      <c r="S719" s="38">
        <f t="shared" si="135"/>
        <v>7930053</v>
      </c>
      <c r="T719" s="38">
        <f t="shared" si="127"/>
        <v>1444.6909329398261</v>
      </c>
      <c r="U719" s="38">
        <v>1504.5965388315021</v>
      </c>
      <c r="V719" s="458">
        <f t="shared" si="128"/>
        <v>59.905605891676032</v>
      </c>
      <c r="W719" s="458">
        <f t="shared" si="136"/>
        <v>1499.4820272357945</v>
      </c>
      <c r="X719" s="458">
        <v>0</v>
      </c>
      <c r="Y719" s="459">
        <v>0</v>
      </c>
      <c r="Z719" s="459">
        <v>0</v>
      </c>
      <c r="AA719" s="459">
        <v>0</v>
      </c>
      <c r="AB719" s="459">
        <v>0</v>
      </c>
      <c r="AC719" s="459">
        <v>0</v>
      </c>
      <c r="AD719" s="459">
        <v>0</v>
      </c>
      <c r="AE719" s="459">
        <v>1319.27</v>
      </c>
      <c r="AF719" s="458">
        <f>6238.91*AE719/I719</f>
        <v>1499.4820272357945</v>
      </c>
      <c r="AG719" s="459">
        <v>0</v>
      </c>
      <c r="AH719" s="458">
        <v>0</v>
      </c>
      <c r="AI719" s="459">
        <v>0</v>
      </c>
      <c r="AJ719" s="458">
        <v>0</v>
      </c>
      <c r="AK719" s="459">
        <v>0</v>
      </c>
      <c r="AL719" s="459">
        <v>0</v>
      </c>
      <c r="AM719" s="459">
        <v>0</v>
      </c>
      <c r="AN719" s="459"/>
      <c r="AO719" s="459">
        <v>0</v>
      </c>
      <c r="AP719" s="460"/>
      <c r="AQ719" s="460"/>
      <c r="AR719" s="460"/>
      <c r="AS719" s="460"/>
      <c r="AT719" s="460"/>
      <c r="AU719" s="460"/>
      <c r="AV719" s="460"/>
      <c r="AW719" s="460"/>
      <c r="AX719" s="460"/>
      <c r="AY719" s="460"/>
      <c r="AZ719" s="460"/>
      <c r="BA719" s="460"/>
      <c r="BB719" s="460"/>
      <c r="BC719" s="460"/>
      <c r="BD719" s="460"/>
      <c r="BE719" s="460"/>
      <c r="BF719" s="460"/>
      <c r="BG719" s="460"/>
      <c r="BH719" s="460"/>
      <c r="BI719" s="460"/>
      <c r="BJ719" s="460"/>
      <c r="BK719" s="460"/>
      <c r="BL719" s="460"/>
      <c r="BM719" s="460"/>
      <c r="BN719" s="460"/>
      <c r="BO719" s="460"/>
      <c r="BP719" s="460"/>
      <c r="BQ719" s="460"/>
      <c r="BR719" s="460"/>
      <c r="BS719" s="460"/>
      <c r="BT719" s="460"/>
      <c r="BU719" s="460"/>
      <c r="BV719" s="460"/>
      <c r="BW719" s="460"/>
      <c r="BX719" s="460"/>
      <c r="BY719" s="460"/>
      <c r="BZ719" s="460"/>
      <c r="CA719" s="460"/>
      <c r="CB719" s="460"/>
      <c r="CC719" s="460"/>
      <c r="CD719" s="460"/>
      <c r="CE719" s="460"/>
      <c r="CF719" s="460"/>
      <c r="CG719" s="460"/>
      <c r="CH719" s="460"/>
      <c r="CI719" s="460"/>
      <c r="CJ719" s="460"/>
      <c r="CK719" s="460"/>
    </row>
    <row r="720" spans="1:89" s="329" customFormat="1" ht="36" customHeight="1" x14ac:dyDescent="0.25">
      <c r="A720" s="329">
        <v>1</v>
      </c>
      <c r="B720" s="39">
        <f>SUBTOTAL(103,$A$552:A720)</f>
        <v>166</v>
      </c>
      <c r="C720" s="33" t="s">
        <v>1209</v>
      </c>
      <c r="D720" s="330">
        <v>1937</v>
      </c>
      <c r="E720" s="330"/>
      <c r="F720" s="331" t="s">
        <v>48</v>
      </c>
      <c r="G720" s="330" t="s">
        <v>59</v>
      </c>
      <c r="H720" s="330" t="s">
        <v>59</v>
      </c>
      <c r="I720" s="38">
        <v>2626</v>
      </c>
      <c r="J720" s="38">
        <v>2536</v>
      </c>
      <c r="K720" s="38">
        <v>2536</v>
      </c>
      <c r="L720" s="332">
        <v>96</v>
      </c>
      <c r="M720" s="330" t="s">
        <v>46</v>
      </c>
      <c r="N720" s="330" t="s">
        <v>50</v>
      </c>
      <c r="O720" s="333" t="s">
        <v>95</v>
      </c>
      <c r="P720" s="38">
        <v>2332950.83</v>
      </c>
      <c r="Q720" s="38">
        <v>0</v>
      </c>
      <c r="R720" s="38">
        <v>0</v>
      </c>
      <c r="S720" s="38">
        <f t="shared" si="135"/>
        <v>2332950.83</v>
      </c>
      <c r="T720" s="38">
        <f t="shared" ref="T720:T783" si="137">P720/I720</f>
        <v>888.40473343488202</v>
      </c>
      <c r="U720" s="38">
        <v>3458.92</v>
      </c>
      <c r="V720" s="458">
        <f t="shared" si="128"/>
        <v>2570.5152665651181</v>
      </c>
      <c r="W720" s="458">
        <f t="shared" si="136"/>
        <v>3546.19</v>
      </c>
      <c r="X720" s="458">
        <v>101.55</v>
      </c>
      <c r="Y720" s="459">
        <v>0</v>
      </c>
      <c r="Z720" s="459">
        <v>3259.66</v>
      </c>
      <c r="AA720" s="459">
        <v>184.98</v>
      </c>
      <c r="AB720" s="459">
        <v>0</v>
      </c>
      <c r="AC720" s="459">
        <v>0</v>
      </c>
      <c r="AD720" s="459">
        <v>0</v>
      </c>
      <c r="AE720" s="459">
        <v>0</v>
      </c>
      <c r="AF720" s="458">
        <v>0</v>
      </c>
      <c r="AG720" s="459">
        <v>0</v>
      </c>
      <c r="AH720" s="458">
        <v>0</v>
      </c>
      <c r="AI720" s="459">
        <v>0</v>
      </c>
      <c r="AJ720" s="458">
        <v>0</v>
      </c>
      <c r="AK720" s="459">
        <v>0</v>
      </c>
      <c r="AL720" s="459">
        <v>0</v>
      </c>
      <c r="AM720" s="459">
        <v>0</v>
      </c>
      <c r="AN720" s="459"/>
      <c r="AO720" s="459">
        <v>0</v>
      </c>
      <c r="AP720" s="460"/>
      <c r="AQ720" s="460"/>
      <c r="AR720" s="460"/>
      <c r="AS720" s="460"/>
      <c r="AT720" s="460"/>
      <c r="AU720" s="460"/>
      <c r="AV720" s="460"/>
      <c r="AW720" s="460"/>
      <c r="AX720" s="460"/>
      <c r="AY720" s="460"/>
      <c r="AZ720" s="460"/>
      <c r="BA720" s="460"/>
      <c r="BB720" s="460"/>
      <c r="BC720" s="460"/>
      <c r="BD720" s="460"/>
      <c r="BE720" s="460"/>
      <c r="BF720" s="460"/>
      <c r="BG720" s="460"/>
      <c r="BH720" s="460"/>
      <c r="BI720" s="460"/>
      <c r="BJ720" s="460"/>
      <c r="BK720" s="460"/>
      <c r="BL720" s="460"/>
      <c r="BM720" s="460"/>
      <c r="BN720" s="460"/>
      <c r="BO720" s="460"/>
      <c r="BP720" s="460"/>
      <c r="BQ720" s="460"/>
      <c r="BR720" s="460"/>
      <c r="BS720" s="460"/>
      <c r="BT720" s="460"/>
      <c r="BU720" s="460"/>
      <c r="BV720" s="460"/>
      <c r="BW720" s="460"/>
      <c r="BX720" s="460"/>
      <c r="BY720" s="460"/>
      <c r="BZ720" s="460"/>
      <c r="CA720" s="460"/>
      <c r="CB720" s="460"/>
      <c r="CC720" s="460"/>
      <c r="CD720" s="460"/>
      <c r="CE720" s="460"/>
      <c r="CF720" s="460"/>
      <c r="CG720" s="460"/>
      <c r="CH720" s="460"/>
      <c r="CI720" s="460"/>
      <c r="CJ720" s="460"/>
      <c r="CK720" s="460"/>
    </row>
    <row r="721" spans="1:89" s="329" customFormat="1" ht="36" customHeight="1" x14ac:dyDescent="0.25">
      <c r="A721" s="329">
        <v>1</v>
      </c>
      <c r="B721" s="39">
        <f>SUBTOTAL(103,$A$552:A721)</f>
        <v>167</v>
      </c>
      <c r="C721" s="33" t="s">
        <v>1198</v>
      </c>
      <c r="D721" s="330">
        <v>1960</v>
      </c>
      <c r="E721" s="330"/>
      <c r="F721" s="331" t="s">
        <v>48</v>
      </c>
      <c r="G721" s="330">
        <v>4</v>
      </c>
      <c r="H721" s="330" t="s">
        <v>61</v>
      </c>
      <c r="I721" s="334">
        <v>2116.5</v>
      </c>
      <c r="J721" s="334">
        <v>1931.2</v>
      </c>
      <c r="K721" s="334">
        <v>1680.5</v>
      </c>
      <c r="L721" s="332">
        <v>73</v>
      </c>
      <c r="M721" s="330" t="s">
        <v>46</v>
      </c>
      <c r="N721" s="330" t="s">
        <v>50</v>
      </c>
      <c r="O721" s="333" t="s">
        <v>2007</v>
      </c>
      <c r="P721" s="38">
        <v>7947350.3199999994</v>
      </c>
      <c r="Q721" s="38">
        <v>0</v>
      </c>
      <c r="R721" s="38">
        <v>0</v>
      </c>
      <c r="S721" s="38">
        <f t="shared" si="135"/>
        <v>7947350.3199999994</v>
      </c>
      <c r="T721" s="38">
        <f t="shared" si="137"/>
        <v>3754.9493597921091</v>
      </c>
      <c r="U721" s="38">
        <v>4927.7666902905748</v>
      </c>
      <c r="V721" s="458">
        <f t="shared" ref="V721:V784" si="138">U721-T721</f>
        <v>1172.8173304984657</v>
      </c>
      <c r="W721" s="458">
        <f t="shared" ref="W721:W730" si="139">T721</f>
        <v>3754.9493597921091</v>
      </c>
      <c r="X721" s="458">
        <v>0</v>
      </c>
      <c r="Y721" s="459">
        <v>0</v>
      </c>
      <c r="Z721" s="459">
        <v>0</v>
      </c>
      <c r="AA721" s="459">
        <v>0</v>
      </c>
      <c r="AB721" s="459">
        <v>0</v>
      </c>
      <c r="AC721" s="459">
        <v>0</v>
      </c>
      <c r="AD721" s="459">
        <v>0</v>
      </c>
      <c r="AE721" s="459">
        <v>0</v>
      </c>
      <c r="AF721" s="458">
        <v>0</v>
      </c>
      <c r="AG721" s="459">
        <v>0</v>
      </c>
      <c r="AH721" s="458">
        <v>0</v>
      </c>
      <c r="AI721" s="459">
        <v>0</v>
      </c>
      <c r="AJ721" s="458">
        <v>0</v>
      </c>
      <c r="AK721" s="459">
        <v>0</v>
      </c>
      <c r="AL721" s="459">
        <v>0</v>
      </c>
      <c r="AM721" s="459">
        <v>0</v>
      </c>
      <c r="AN721" s="459"/>
      <c r="AO721" s="459">
        <v>0</v>
      </c>
      <c r="AP721" s="460"/>
      <c r="AQ721" s="460"/>
      <c r="AR721" s="460"/>
      <c r="AS721" s="460"/>
      <c r="AT721" s="460"/>
      <c r="AU721" s="460"/>
      <c r="AV721" s="460"/>
      <c r="AW721" s="460"/>
      <c r="AX721" s="460"/>
      <c r="AY721" s="460"/>
      <c r="AZ721" s="460"/>
      <c r="BA721" s="460"/>
      <c r="BB721" s="460"/>
      <c r="BC721" s="460"/>
      <c r="BD721" s="460"/>
      <c r="BE721" s="460"/>
      <c r="BF721" s="460"/>
      <c r="BG721" s="460"/>
      <c r="BH721" s="460"/>
      <c r="BI721" s="460"/>
      <c r="BJ721" s="460"/>
      <c r="BK721" s="460"/>
      <c r="BL721" s="460"/>
      <c r="BM721" s="460"/>
      <c r="BN721" s="460"/>
      <c r="BO721" s="460"/>
      <c r="BP721" s="460"/>
      <c r="BQ721" s="460"/>
      <c r="BR721" s="460"/>
      <c r="BS721" s="460"/>
      <c r="BT721" s="460"/>
      <c r="BU721" s="460"/>
      <c r="BV721" s="460"/>
      <c r="BW721" s="460"/>
      <c r="BX721" s="460"/>
      <c r="BY721" s="460"/>
      <c r="BZ721" s="460"/>
      <c r="CA721" s="460"/>
      <c r="CB721" s="460"/>
      <c r="CC721" s="460"/>
      <c r="CD721" s="460"/>
      <c r="CE721" s="460"/>
      <c r="CF721" s="460"/>
      <c r="CG721" s="460"/>
      <c r="CH721" s="460"/>
      <c r="CI721" s="460"/>
      <c r="CJ721" s="460"/>
      <c r="CK721" s="460"/>
    </row>
    <row r="722" spans="1:89" s="329" customFormat="1" ht="36" customHeight="1" x14ac:dyDescent="0.25">
      <c r="A722" s="329">
        <v>1</v>
      </c>
      <c r="B722" s="39">
        <f>SUBTOTAL(103,$A$552:A722)</f>
        <v>168</v>
      </c>
      <c r="C722" s="33" t="s">
        <v>1200</v>
      </c>
      <c r="D722" s="330">
        <v>1961</v>
      </c>
      <c r="E722" s="330"/>
      <c r="F722" s="331" t="s">
        <v>48</v>
      </c>
      <c r="G722" s="330">
        <v>2</v>
      </c>
      <c r="H722" s="330" t="s">
        <v>57</v>
      </c>
      <c r="I722" s="334">
        <v>296.39999999999998</v>
      </c>
      <c r="J722" s="334">
        <v>275.5</v>
      </c>
      <c r="K722" s="334">
        <v>275.5</v>
      </c>
      <c r="L722" s="332">
        <v>8</v>
      </c>
      <c r="M722" s="330" t="s">
        <v>46</v>
      </c>
      <c r="N722" s="330" t="s">
        <v>50</v>
      </c>
      <c r="O722" s="333" t="s">
        <v>2008</v>
      </c>
      <c r="P722" s="38">
        <v>1157978.8500000001</v>
      </c>
      <c r="Q722" s="38">
        <v>0</v>
      </c>
      <c r="R722" s="38">
        <v>0</v>
      </c>
      <c r="S722" s="38">
        <f t="shared" si="135"/>
        <v>1157978.8500000001</v>
      </c>
      <c r="T722" s="38">
        <f t="shared" si="137"/>
        <v>3906.8112348178142</v>
      </c>
      <c r="U722" s="38">
        <v>5596.9984817813765</v>
      </c>
      <c r="V722" s="458">
        <f t="shared" si="138"/>
        <v>1690.1872469635623</v>
      </c>
      <c r="W722" s="458">
        <f t="shared" si="139"/>
        <v>3906.8112348178142</v>
      </c>
      <c r="X722" s="458">
        <v>0</v>
      </c>
      <c r="Y722" s="459">
        <v>0</v>
      </c>
      <c r="Z722" s="459">
        <v>0</v>
      </c>
      <c r="AA722" s="459">
        <v>0</v>
      </c>
      <c r="AB722" s="459">
        <v>0</v>
      </c>
      <c r="AC722" s="459">
        <v>0</v>
      </c>
      <c r="AD722" s="459">
        <v>0</v>
      </c>
      <c r="AE722" s="459">
        <v>0</v>
      </c>
      <c r="AF722" s="458">
        <v>0</v>
      </c>
      <c r="AG722" s="459">
        <v>0</v>
      </c>
      <c r="AH722" s="458">
        <v>0</v>
      </c>
      <c r="AI722" s="459">
        <v>0</v>
      </c>
      <c r="AJ722" s="458">
        <v>0</v>
      </c>
      <c r="AK722" s="459">
        <v>0</v>
      </c>
      <c r="AL722" s="459">
        <v>0</v>
      </c>
      <c r="AM722" s="459">
        <v>0</v>
      </c>
      <c r="AN722" s="459"/>
      <c r="AO722" s="459">
        <v>0</v>
      </c>
      <c r="AP722" s="460"/>
      <c r="AQ722" s="460"/>
      <c r="AR722" s="460"/>
      <c r="AS722" s="460"/>
      <c r="AT722" s="460"/>
      <c r="AU722" s="460"/>
      <c r="AV722" s="460"/>
      <c r="AW722" s="460"/>
      <c r="AX722" s="460"/>
      <c r="AY722" s="460"/>
      <c r="AZ722" s="460"/>
      <c r="BA722" s="460"/>
      <c r="BB722" s="460"/>
      <c r="BC722" s="460"/>
      <c r="BD722" s="460"/>
      <c r="BE722" s="460"/>
      <c r="BF722" s="460"/>
      <c r="BG722" s="460"/>
      <c r="BH722" s="460"/>
      <c r="BI722" s="460"/>
      <c r="BJ722" s="460"/>
      <c r="BK722" s="460"/>
      <c r="BL722" s="460"/>
      <c r="BM722" s="460"/>
      <c r="BN722" s="460"/>
      <c r="BO722" s="460"/>
      <c r="BP722" s="460"/>
      <c r="BQ722" s="460"/>
      <c r="BR722" s="460"/>
      <c r="BS722" s="460"/>
      <c r="BT722" s="460"/>
      <c r="BU722" s="460"/>
      <c r="BV722" s="460"/>
      <c r="BW722" s="460"/>
      <c r="BX722" s="460"/>
      <c r="BY722" s="460"/>
      <c r="BZ722" s="460"/>
      <c r="CA722" s="460"/>
      <c r="CB722" s="460"/>
      <c r="CC722" s="460"/>
      <c r="CD722" s="460"/>
      <c r="CE722" s="460"/>
      <c r="CF722" s="460"/>
      <c r="CG722" s="460"/>
      <c r="CH722" s="460"/>
      <c r="CI722" s="460"/>
      <c r="CJ722" s="460"/>
      <c r="CK722" s="460"/>
    </row>
    <row r="723" spans="1:89" s="329" customFormat="1" ht="36" customHeight="1" x14ac:dyDescent="0.25">
      <c r="A723" s="329">
        <v>1</v>
      </c>
      <c r="B723" s="39">
        <f>SUBTOTAL(103,$A$552:A723)</f>
        <v>169</v>
      </c>
      <c r="C723" s="33" t="s">
        <v>1205</v>
      </c>
      <c r="D723" s="330">
        <v>1937</v>
      </c>
      <c r="E723" s="330"/>
      <c r="F723" s="331" t="s">
        <v>48</v>
      </c>
      <c r="G723" s="330">
        <v>3</v>
      </c>
      <c r="H723" s="330" t="s">
        <v>59</v>
      </c>
      <c r="I723" s="334">
        <v>2718</v>
      </c>
      <c r="J723" s="334">
        <v>2039</v>
      </c>
      <c r="K723" s="334">
        <v>2039</v>
      </c>
      <c r="L723" s="332">
        <v>62</v>
      </c>
      <c r="M723" s="330" t="s">
        <v>46</v>
      </c>
      <c r="N723" s="330" t="s">
        <v>50</v>
      </c>
      <c r="O723" s="333" t="s">
        <v>2011</v>
      </c>
      <c r="P723" s="38">
        <v>9061263.3400000017</v>
      </c>
      <c r="Q723" s="38">
        <v>0</v>
      </c>
      <c r="R723" s="38">
        <v>0</v>
      </c>
      <c r="S723" s="38">
        <f t="shared" si="135"/>
        <v>9061263.3400000017</v>
      </c>
      <c r="T723" s="38">
        <f t="shared" si="137"/>
        <v>3333.7981383370129</v>
      </c>
      <c r="U723" s="38">
        <v>4269.38</v>
      </c>
      <c r="V723" s="458">
        <f t="shared" si="138"/>
        <v>935.58186166298719</v>
      </c>
      <c r="W723" s="458">
        <f t="shared" si="139"/>
        <v>3333.7981383370129</v>
      </c>
      <c r="X723" s="458">
        <v>0</v>
      </c>
      <c r="Y723" s="459">
        <v>0</v>
      </c>
      <c r="Z723" s="459">
        <v>0</v>
      </c>
      <c r="AA723" s="459">
        <v>0</v>
      </c>
      <c r="AB723" s="459">
        <v>0</v>
      </c>
      <c r="AC723" s="459">
        <v>0</v>
      </c>
      <c r="AD723" s="459">
        <v>0</v>
      </c>
      <c r="AE723" s="459">
        <v>0</v>
      </c>
      <c r="AF723" s="458">
        <v>0</v>
      </c>
      <c r="AG723" s="459">
        <v>0</v>
      </c>
      <c r="AH723" s="458">
        <v>0</v>
      </c>
      <c r="AI723" s="459">
        <v>0</v>
      </c>
      <c r="AJ723" s="458">
        <v>0</v>
      </c>
      <c r="AK723" s="459">
        <v>0</v>
      </c>
      <c r="AL723" s="459">
        <v>0</v>
      </c>
      <c r="AM723" s="459">
        <v>0</v>
      </c>
      <c r="AN723" s="459"/>
      <c r="AO723" s="459">
        <v>0</v>
      </c>
      <c r="AP723" s="460"/>
      <c r="AQ723" s="460"/>
      <c r="AR723" s="460"/>
      <c r="AS723" s="460"/>
      <c r="AT723" s="460"/>
      <c r="AU723" s="460"/>
      <c r="AV723" s="460"/>
      <c r="AW723" s="460"/>
      <c r="AX723" s="460"/>
      <c r="AY723" s="460"/>
      <c r="AZ723" s="460"/>
      <c r="BA723" s="460"/>
      <c r="BB723" s="460"/>
      <c r="BC723" s="460"/>
      <c r="BD723" s="460"/>
      <c r="BE723" s="460"/>
      <c r="BF723" s="460"/>
      <c r="BG723" s="460"/>
      <c r="BH723" s="460"/>
      <c r="BI723" s="460"/>
      <c r="BJ723" s="460"/>
      <c r="BK723" s="460"/>
      <c r="BL723" s="460"/>
      <c r="BM723" s="460"/>
      <c r="BN723" s="460"/>
      <c r="BO723" s="460"/>
      <c r="BP723" s="460"/>
      <c r="BQ723" s="460"/>
      <c r="BR723" s="460"/>
      <c r="BS723" s="460"/>
      <c r="BT723" s="460"/>
      <c r="BU723" s="460"/>
      <c r="BV723" s="460"/>
      <c r="BW723" s="460"/>
      <c r="BX723" s="460"/>
      <c r="BY723" s="460"/>
      <c r="BZ723" s="460"/>
      <c r="CA723" s="460"/>
      <c r="CB723" s="460"/>
      <c r="CC723" s="460"/>
      <c r="CD723" s="460"/>
      <c r="CE723" s="460"/>
      <c r="CF723" s="460"/>
      <c r="CG723" s="460"/>
      <c r="CH723" s="460"/>
      <c r="CI723" s="460"/>
      <c r="CJ723" s="460"/>
      <c r="CK723" s="460"/>
    </row>
    <row r="724" spans="1:89" s="329" customFormat="1" ht="36" customHeight="1" x14ac:dyDescent="0.25">
      <c r="A724" s="329">
        <v>1</v>
      </c>
      <c r="B724" s="39">
        <f>SUBTOTAL(103,$A$552:A724)</f>
        <v>170</v>
      </c>
      <c r="C724" s="33" t="s">
        <v>1207</v>
      </c>
      <c r="D724" s="330">
        <v>1962</v>
      </c>
      <c r="E724" s="330"/>
      <c r="F724" s="331" t="s">
        <v>48</v>
      </c>
      <c r="G724" s="330">
        <v>4</v>
      </c>
      <c r="H724" s="330" t="s">
        <v>61</v>
      </c>
      <c r="I724" s="334">
        <v>2946.2</v>
      </c>
      <c r="J724" s="334">
        <v>1967.3</v>
      </c>
      <c r="K724" s="334">
        <v>1810.2</v>
      </c>
      <c r="L724" s="332">
        <v>95</v>
      </c>
      <c r="M724" s="330" t="s">
        <v>46</v>
      </c>
      <c r="N724" s="330" t="s">
        <v>50</v>
      </c>
      <c r="O724" s="333" t="s">
        <v>2009</v>
      </c>
      <c r="P724" s="38">
        <v>4986857.2</v>
      </c>
      <c r="Q724" s="38">
        <v>0</v>
      </c>
      <c r="R724" s="38">
        <v>0</v>
      </c>
      <c r="S724" s="38">
        <f t="shared" si="135"/>
        <v>4986857.2</v>
      </c>
      <c r="T724" s="38">
        <f t="shared" si="137"/>
        <v>1692.6404181657731</v>
      </c>
      <c r="U724" s="38">
        <v>2294.8222116624802</v>
      </c>
      <c r="V724" s="458">
        <f t="shared" si="138"/>
        <v>602.18179349670709</v>
      </c>
      <c r="W724" s="458">
        <f t="shared" si="139"/>
        <v>1692.6404181657731</v>
      </c>
      <c r="X724" s="458">
        <v>0</v>
      </c>
      <c r="Y724" s="459">
        <v>0</v>
      </c>
      <c r="Z724" s="459">
        <v>0</v>
      </c>
      <c r="AA724" s="459">
        <v>0</v>
      </c>
      <c r="AB724" s="459">
        <v>0</v>
      </c>
      <c r="AC724" s="459">
        <v>0</v>
      </c>
      <c r="AD724" s="459">
        <v>0</v>
      </c>
      <c r="AE724" s="459">
        <v>0</v>
      </c>
      <c r="AF724" s="458">
        <v>0</v>
      </c>
      <c r="AG724" s="459">
        <v>0</v>
      </c>
      <c r="AH724" s="458">
        <v>0</v>
      </c>
      <c r="AI724" s="459">
        <v>0</v>
      </c>
      <c r="AJ724" s="458">
        <v>0</v>
      </c>
      <c r="AK724" s="459">
        <v>0</v>
      </c>
      <c r="AL724" s="459">
        <v>0</v>
      </c>
      <c r="AM724" s="459">
        <v>0</v>
      </c>
      <c r="AN724" s="459"/>
      <c r="AO724" s="459">
        <v>0</v>
      </c>
      <c r="AP724" s="460"/>
      <c r="AQ724" s="460"/>
      <c r="AR724" s="460"/>
      <c r="AS724" s="460"/>
      <c r="AT724" s="460"/>
      <c r="AU724" s="460"/>
      <c r="AV724" s="460"/>
      <c r="AW724" s="460"/>
      <c r="AX724" s="460"/>
      <c r="AY724" s="460"/>
      <c r="AZ724" s="460"/>
      <c r="BA724" s="460"/>
      <c r="BB724" s="460"/>
      <c r="BC724" s="460"/>
      <c r="BD724" s="460"/>
      <c r="BE724" s="460"/>
      <c r="BF724" s="460"/>
      <c r="BG724" s="460"/>
      <c r="BH724" s="460"/>
      <c r="BI724" s="460"/>
      <c r="BJ724" s="460"/>
      <c r="BK724" s="460"/>
      <c r="BL724" s="460"/>
      <c r="BM724" s="460"/>
      <c r="BN724" s="460"/>
      <c r="BO724" s="460"/>
      <c r="BP724" s="460"/>
      <c r="BQ724" s="460"/>
      <c r="BR724" s="460"/>
      <c r="BS724" s="460"/>
      <c r="BT724" s="460"/>
      <c r="BU724" s="460"/>
      <c r="BV724" s="460"/>
      <c r="BW724" s="460"/>
      <c r="BX724" s="460"/>
      <c r="BY724" s="460"/>
      <c r="BZ724" s="460"/>
      <c r="CA724" s="460"/>
      <c r="CB724" s="460"/>
      <c r="CC724" s="460"/>
      <c r="CD724" s="460"/>
      <c r="CE724" s="460"/>
      <c r="CF724" s="460"/>
      <c r="CG724" s="460"/>
      <c r="CH724" s="460"/>
      <c r="CI724" s="460"/>
      <c r="CJ724" s="460"/>
      <c r="CK724" s="460"/>
    </row>
    <row r="725" spans="1:89" s="329" customFormat="1" ht="36" customHeight="1" x14ac:dyDescent="0.25">
      <c r="A725" s="329">
        <v>1</v>
      </c>
      <c r="B725" s="39">
        <f>SUBTOTAL(103,$A$552:A725)</f>
        <v>171</v>
      </c>
      <c r="C725" s="33" t="s">
        <v>1554</v>
      </c>
      <c r="D725" s="330">
        <v>1965</v>
      </c>
      <c r="E725" s="330"/>
      <c r="F725" s="331" t="s">
        <v>48</v>
      </c>
      <c r="G725" s="330">
        <v>4</v>
      </c>
      <c r="H725" s="330" t="s">
        <v>56</v>
      </c>
      <c r="I725" s="334">
        <v>819</v>
      </c>
      <c r="J725" s="334">
        <v>819</v>
      </c>
      <c r="K725" s="334">
        <v>819</v>
      </c>
      <c r="L725" s="332">
        <v>55</v>
      </c>
      <c r="M725" s="330" t="s">
        <v>46</v>
      </c>
      <c r="N725" s="330" t="s">
        <v>50</v>
      </c>
      <c r="O725" s="333" t="s">
        <v>2011</v>
      </c>
      <c r="P725" s="38">
        <v>958906.03</v>
      </c>
      <c r="Q725" s="38">
        <v>0</v>
      </c>
      <c r="R725" s="38">
        <v>0</v>
      </c>
      <c r="S725" s="38">
        <f t="shared" si="135"/>
        <v>958906.03</v>
      </c>
      <c r="T725" s="38">
        <f t="shared" si="137"/>
        <v>1170.8254334554335</v>
      </c>
      <c r="U725" s="38">
        <v>1170.8254334554335</v>
      </c>
      <c r="V725" s="458">
        <f t="shared" si="138"/>
        <v>0</v>
      </c>
      <c r="W725" s="458">
        <f t="shared" si="139"/>
        <v>1170.8254334554335</v>
      </c>
      <c r="X725" s="458">
        <v>0</v>
      </c>
      <c r="Y725" s="459">
        <v>0</v>
      </c>
      <c r="Z725" s="459">
        <v>0</v>
      </c>
      <c r="AA725" s="459">
        <v>0</v>
      </c>
      <c r="AB725" s="459">
        <v>0</v>
      </c>
      <c r="AC725" s="459">
        <v>0</v>
      </c>
      <c r="AD725" s="459">
        <v>0</v>
      </c>
      <c r="AE725" s="459">
        <v>0</v>
      </c>
      <c r="AF725" s="458">
        <v>0</v>
      </c>
      <c r="AG725" s="459">
        <v>0</v>
      </c>
      <c r="AH725" s="458">
        <v>0</v>
      </c>
      <c r="AI725" s="459">
        <v>0</v>
      </c>
      <c r="AJ725" s="458">
        <v>0</v>
      </c>
      <c r="AK725" s="459">
        <v>0</v>
      </c>
      <c r="AL725" s="459">
        <v>0</v>
      </c>
      <c r="AM725" s="459">
        <v>0</v>
      </c>
      <c r="AN725" s="459"/>
      <c r="AO725" s="459">
        <v>0</v>
      </c>
      <c r="AP725" s="460"/>
      <c r="AQ725" s="460"/>
      <c r="AR725" s="460"/>
      <c r="AS725" s="460"/>
      <c r="AT725" s="460"/>
      <c r="AU725" s="460"/>
      <c r="AV725" s="460"/>
      <c r="AW725" s="460"/>
      <c r="AX725" s="460"/>
      <c r="AY725" s="460"/>
      <c r="AZ725" s="460"/>
      <c r="BA725" s="460"/>
      <c r="BB725" s="460"/>
      <c r="BC725" s="460"/>
      <c r="BD725" s="460"/>
      <c r="BE725" s="460"/>
      <c r="BF725" s="460"/>
      <c r="BG725" s="460"/>
      <c r="BH725" s="460"/>
      <c r="BI725" s="460"/>
      <c r="BJ725" s="460"/>
      <c r="BK725" s="460"/>
      <c r="BL725" s="460"/>
      <c r="BM725" s="460"/>
      <c r="BN725" s="460"/>
      <c r="BO725" s="460"/>
      <c r="BP725" s="460"/>
      <c r="BQ725" s="460"/>
      <c r="BR725" s="460"/>
      <c r="BS725" s="460"/>
      <c r="BT725" s="460"/>
      <c r="BU725" s="460"/>
      <c r="BV725" s="460"/>
      <c r="BW725" s="460"/>
      <c r="BX725" s="460"/>
      <c r="BY725" s="460"/>
      <c r="BZ725" s="460"/>
      <c r="CA725" s="460"/>
      <c r="CB725" s="460"/>
      <c r="CC725" s="460"/>
      <c r="CD725" s="460"/>
      <c r="CE725" s="460"/>
      <c r="CF725" s="460"/>
      <c r="CG725" s="460"/>
      <c r="CH725" s="460"/>
      <c r="CI725" s="460"/>
      <c r="CJ725" s="460"/>
      <c r="CK725" s="460"/>
    </row>
    <row r="726" spans="1:89" s="329" customFormat="1" ht="36" customHeight="1" x14ac:dyDescent="0.25">
      <c r="A726" s="329">
        <v>1</v>
      </c>
      <c r="B726" s="39">
        <f>SUBTOTAL(103,$A$552:A726)</f>
        <v>172</v>
      </c>
      <c r="C726" s="33" t="s">
        <v>1215</v>
      </c>
      <c r="D726" s="330">
        <v>1931</v>
      </c>
      <c r="E726" s="330"/>
      <c r="F726" s="331" t="s">
        <v>48</v>
      </c>
      <c r="G726" s="330">
        <v>4</v>
      </c>
      <c r="H726" s="330" t="s">
        <v>1969</v>
      </c>
      <c r="I726" s="334">
        <v>4408.1000000000004</v>
      </c>
      <c r="J726" s="334">
        <v>4408.1000000000004</v>
      </c>
      <c r="K726" s="334">
        <v>2703.21</v>
      </c>
      <c r="L726" s="332">
        <v>109</v>
      </c>
      <c r="M726" s="330" t="s">
        <v>46</v>
      </c>
      <c r="N726" s="330" t="s">
        <v>50</v>
      </c>
      <c r="O726" s="333" t="s">
        <v>243</v>
      </c>
      <c r="P726" s="38">
        <v>6222564.7000000002</v>
      </c>
      <c r="Q726" s="38">
        <v>0</v>
      </c>
      <c r="R726" s="38">
        <v>0</v>
      </c>
      <c r="S726" s="38">
        <f t="shared" si="135"/>
        <v>6222564.7000000002</v>
      </c>
      <c r="T726" s="38">
        <f t="shared" si="137"/>
        <v>1411.6205848324673</v>
      </c>
      <c r="U726" s="38">
        <v>2199.5235294344498</v>
      </c>
      <c r="V726" s="458">
        <f t="shared" si="138"/>
        <v>787.90294460198243</v>
      </c>
      <c r="W726" s="458">
        <f t="shared" si="139"/>
        <v>1411.6205848324673</v>
      </c>
      <c r="X726" s="458">
        <v>0</v>
      </c>
      <c r="Y726" s="459">
        <v>0</v>
      </c>
      <c r="Z726" s="459">
        <v>0</v>
      </c>
      <c r="AA726" s="459">
        <v>0</v>
      </c>
      <c r="AB726" s="459">
        <v>0</v>
      </c>
      <c r="AC726" s="459">
        <v>0</v>
      </c>
      <c r="AD726" s="459">
        <v>0</v>
      </c>
      <c r="AE726" s="459">
        <v>0</v>
      </c>
      <c r="AF726" s="458">
        <v>0</v>
      </c>
      <c r="AG726" s="459">
        <v>0</v>
      </c>
      <c r="AH726" s="458">
        <v>0</v>
      </c>
      <c r="AI726" s="459">
        <v>0</v>
      </c>
      <c r="AJ726" s="458">
        <v>0</v>
      </c>
      <c r="AK726" s="459">
        <v>0</v>
      </c>
      <c r="AL726" s="459">
        <v>0</v>
      </c>
      <c r="AM726" s="459">
        <v>0</v>
      </c>
      <c r="AN726" s="459"/>
      <c r="AO726" s="459">
        <v>0</v>
      </c>
      <c r="AP726" s="460"/>
      <c r="AQ726" s="460"/>
      <c r="AR726" s="460"/>
      <c r="AS726" s="460"/>
      <c r="AT726" s="460"/>
      <c r="AU726" s="460"/>
      <c r="AV726" s="460"/>
      <c r="AW726" s="460"/>
      <c r="AX726" s="460"/>
      <c r="AY726" s="460"/>
      <c r="AZ726" s="460"/>
      <c r="BA726" s="460"/>
      <c r="BB726" s="460"/>
      <c r="BC726" s="460"/>
      <c r="BD726" s="460"/>
      <c r="BE726" s="460"/>
      <c r="BF726" s="460"/>
      <c r="BG726" s="460"/>
      <c r="BH726" s="460"/>
      <c r="BI726" s="460"/>
      <c r="BJ726" s="460"/>
      <c r="BK726" s="460"/>
      <c r="BL726" s="460"/>
      <c r="BM726" s="460"/>
      <c r="BN726" s="460"/>
      <c r="BO726" s="460"/>
      <c r="BP726" s="460"/>
      <c r="BQ726" s="460"/>
      <c r="BR726" s="460"/>
      <c r="BS726" s="460"/>
      <c r="BT726" s="460"/>
      <c r="BU726" s="460"/>
      <c r="BV726" s="460"/>
      <c r="BW726" s="460"/>
      <c r="BX726" s="460"/>
      <c r="BY726" s="460"/>
      <c r="BZ726" s="460"/>
      <c r="CA726" s="460"/>
      <c r="CB726" s="460"/>
      <c r="CC726" s="460"/>
      <c r="CD726" s="460"/>
      <c r="CE726" s="460"/>
      <c r="CF726" s="460"/>
      <c r="CG726" s="460"/>
      <c r="CH726" s="460"/>
      <c r="CI726" s="460"/>
      <c r="CJ726" s="460"/>
      <c r="CK726" s="460"/>
    </row>
    <row r="727" spans="1:89" s="329" customFormat="1" ht="36" customHeight="1" x14ac:dyDescent="0.25">
      <c r="A727" s="329">
        <v>1</v>
      </c>
      <c r="B727" s="39">
        <f>SUBTOTAL(103,$A$552:A727)</f>
        <v>173</v>
      </c>
      <c r="C727" s="33" t="s">
        <v>1555</v>
      </c>
      <c r="D727" s="330">
        <v>1955</v>
      </c>
      <c r="E727" s="330"/>
      <c r="F727" s="331" t="s">
        <v>48</v>
      </c>
      <c r="G727" s="330">
        <v>3</v>
      </c>
      <c r="H727" s="330" t="s">
        <v>59</v>
      </c>
      <c r="I727" s="334">
        <v>2958.2</v>
      </c>
      <c r="J727" s="334">
        <v>2271</v>
      </c>
      <c r="K727" s="334">
        <v>1836.6</v>
      </c>
      <c r="L727" s="332">
        <v>72</v>
      </c>
      <c r="M727" s="330" t="s">
        <v>46</v>
      </c>
      <c r="N727" s="330" t="s">
        <v>50</v>
      </c>
      <c r="O727" s="333" t="s">
        <v>2012</v>
      </c>
      <c r="P727" s="38">
        <v>213150</v>
      </c>
      <c r="Q727" s="38">
        <v>0</v>
      </c>
      <c r="R727" s="38">
        <v>0</v>
      </c>
      <c r="S727" s="38">
        <f t="shared" si="135"/>
        <v>213150</v>
      </c>
      <c r="T727" s="38">
        <f t="shared" si="137"/>
        <v>72.05395172740181</v>
      </c>
      <c r="U727" s="38">
        <v>712.1</v>
      </c>
      <c r="V727" s="458">
        <f t="shared" si="138"/>
        <v>640.04604827259823</v>
      </c>
      <c r="W727" s="458">
        <f t="shared" si="139"/>
        <v>72.05395172740181</v>
      </c>
      <c r="X727" s="458">
        <v>0</v>
      </c>
      <c r="Y727" s="459">
        <v>0</v>
      </c>
      <c r="Z727" s="459">
        <v>0</v>
      </c>
      <c r="AA727" s="459">
        <v>0</v>
      </c>
      <c r="AB727" s="459">
        <v>0</v>
      </c>
      <c r="AC727" s="459">
        <v>0</v>
      </c>
      <c r="AD727" s="459">
        <v>0</v>
      </c>
      <c r="AE727" s="459">
        <v>0</v>
      </c>
      <c r="AF727" s="458">
        <v>0</v>
      </c>
      <c r="AG727" s="459">
        <v>0</v>
      </c>
      <c r="AH727" s="458">
        <v>0</v>
      </c>
      <c r="AI727" s="459">
        <v>0</v>
      </c>
      <c r="AJ727" s="458">
        <v>0</v>
      </c>
      <c r="AK727" s="459">
        <v>0</v>
      </c>
      <c r="AL727" s="459">
        <v>0</v>
      </c>
      <c r="AM727" s="459">
        <v>0</v>
      </c>
      <c r="AN727" s="459"/>
      <c r="AO727" s="459">
        <v>0</v>
      </c>
      <c r="AP727" s="460"/>
      <c r="AQ727" s="460"/>
      <c r="AR727" s="460"/>
      <c r="AS727" s="460"/>
      <c r="AT727" s="460"/>
      <c r="AU727" s="460"/>
      <c r="AV727" s="460"/>
      <c r="AW727" s="460"/>
      <c r="AX727" s="460"/>
      <c r="AY727" s="460"/>
      <c r="AZ727" s="460"/>
      <c r="BA727" s="460"/>
      <c r="BB727" s="460"/>
      <c r="BC727" s="460"/>
      <c r="BD727" s="460"/>
      <c r="BE727" s="460"/>
      <c r="BF727" s="460"/>
      <c r="BG727" s="460"/>
      <c r="BH727" s="460"/>
      <c r="BI727" s="460"/>
      <c r="BJ727" s="460"/>
      <c r="BK727" s="460"/>
      <c r="BL727" s="460"/>
      <c r="BM727" s="460"/>
      <c r="BN727" s="460"/>
      <c r="BO727" s="460"/>
      <c r="BP727" s="460"/>
      <c r="BQ727" s="460"/>
      <c r="BR727" s="460"/>
      <c r="BS727" s="460"/>
      <c r="BT727" s="460"/>
      <c r="BU727" s="460"/>
      <c r="BV727" s="460"/>
      <c r="BW727" s="460"/>
      <c r="BX727" s="460"/>
      <c r="BY727" s="460"/>
      <c r="BZ727" s="460"/>
      <c r="CA727" s="460"/>
      <c r="CB727" s="460"/>
      <c r="CC727" s="460"/>
      <c r="CD727" s="460"/>
      <c r="CE727" s="460"/>
      <c r="CF727" s="460"/>
      <c r="CG727" s="460"/>
      <c r="CH727" s="460"/>
      <c r="CI727" s="460"/>
      <c r="CJ727" s="460"/>
      <c r="CK727" s="460"/>
    </row>
    <row r="728" spans="1:89" s="329" customFormat="1" ht="36" customHeight="1" x14ac:dyDescent="0.25">
      <c r="A728" s="329">
        <v>1</v>
      </c>
      <c r="B728" s="39">
        <f>SUBTOTAL(103,$A$552:A728)</f>
        <v>174</v>
      </c>
      <c r="C728" s="33" t="s">
        <v>997</v>
      </c>
      <c r="D728" s="330">
        <v>1930</v>
      </c>
      <c r="E728" s="330"/>
      <c r="F728" s="331" t="s">
        <v>48</v>
      </c>
      <c r="G728" s="330">
        <v>4</v>
      </c>
      <c r="H728" s="330" t="s">
        <v>56</v>
      </c>
      <c r="I728" s="334">
        <v>3000</v>
      </c>
      <c r="J728" s="334">
        <v>2823.84</v>
      </c>
      <c r="K728" s="334">
        <v>2823.84</v>
      </c>
      <c r="L728" s="332">
        <v>98</v>
      </c>
      <c r="M728" s="330" t="s">
        <v>46</v>
      </c>
      <c r="N728" s="330" t="s">
        <v>47</v>
      </c>
      <c r="O728" s="333" t="s">
        <v>49</v>
      </c>
      <c r="P728" s="38">
        <v>8021093.6299999999</v>
      </c>
      <c r="Q728" s="38">
        <v>0</v>
      </c>
      <c r="R728" s="38">
        <v>0</v>
      </c>
      <c r="S728" s="38">
        <f t="shared" si="135"/>
        <v>8021093.6299999999</v>
      </c>
      <c r="T728" s="38">
        <f t="shared" si="137"/>
        <v>2673.6978766666666</v>
      </c>
      <c r="U728" s="38">
        <v>3681.5918070000002</v>
      </c>
      <c r="V728" s="458">
        <f t="shared" si="138"/>
        <v>1007.8939303333336</v>
      </c>
      <c r="W728" s="458">
        <f t="shared" si="139"/>
        <v>2673.6978766666666</v>
      </c>
      <c r="X728" s="458">
        <v>0</v>
      </c>
      <c r="Y728" s="459">
        <v>0</v>
      </c>
      <c r="Z728" s="459">
        <v>0</v>
      </c>
      <c r="AA728" s="459">
        <v>0</v>
      </c>
      <c r="AB728" s="459">
        <v>0</v>
      </c>
      <c r="AC728" s="459">
        <v>0</v>
      </c>
      <c r="AD728" s="459">
        <v>0</v>
      </c>
      <c r="AE728" s="459">
        <v>0</v>
      </c>
      <c r="AF728" s="458">
        <v>0</v>
      </c>
      <c r="AG728" s="459">
        <v>0</v>
      </c>
      <c r="AH728" s="458">
        <v>0</v>
      </c>
      <c r="AI728" s="459">
        <v>0</v>
      </c>
      <c r="AJ728" s="458">
        <v>0</v>
      </c>
      <c r="AK728" s="459">
        <v>0</v>
      </c>
      <c r="AL728" s="459">
        <v>0</v>
      </c>
      <c r="AM728" s="459">
        <v>0</v>
      </c>
      <c r="AN728" s="459"/>
      <c r="AO728" s="459">
        <v>0</v>
      </c>
      <c r="AP728" s="460"/>
      <c r="AQ728" s="460"/>
      <c r="AR728" s="460"/>
      <c r="AS728" s="460"/>
      <c r="AT728" s="460"/>
      <c r="AU728" s="460"/>
      <c r="AV728" s="460"/>
      <c r="AW728" s="460"/>
      <c r="AX728" s="460"/>
      <c r="AY728" s="460"/>
      <c r="AZ728" s="460"/>
      <c r="BA728" s="460"/>
      <c r="BB728" s="460"/>
      <c r="BC728" s="460"/>
      <c r="BD728" s="460"/>
      <c r="BE728" s="460"/>
      <c r="BF728" s="460"/>
      <c r="BG728" s="460"/>
      <c r="BH728" s="460"/>
      <c r="BI728" s="460"/>
      <c r="BJ728" s="460"/>
      <c r="BK728" s="460"/>
      <c r="BL728" s="460"/>
      <c r="BM728" s="460"/>
      <c r="BN728" s="460"/>
      <c r="BO728" s="460"/>
      <c r="BP728" s="460"/>
      <c r="BQ728" s="460"/>
      <c r="BR728" s="460"/>
      <c r="BS728" s="460"/>
      <c r="BT728" s="460"/>
      <c r="BU728" s="460"/>
      <c r="BV728" s="460"/>
      <c r="BW728" s="460"/>
      <c r="BX728" s="460"/>
      <c r="BY728" s="460"/>
      <c r="BZ728" s="460"/>
      <c r="CA728" s="460"/>
      <c r="CB728" s="460"/>
      <c r="CC728" s="460"/>
      <c r="CD728" s="460"/>
      <c r="CE728" s="460"/>
      <c r="CF728" s="460"/>
      <c r="CG728" s="460"/>
      <c r="CH728" s="460"/>
      <c r="CI728" s="460"/>
      <c r="CJ728" s="460"/>
      <c r="CK728" s="460"/>
    </row>
    <row r="729" spans="1:89" s="329" customFormat="1" ht="36" customHeight="1" x14ac:dyDescent="0.25">
      <c r="A729" s="329">
        <v>1</v>
      </c>
      <c r="B729" s="39">
        <f>SUBTOTAL(103,$A$552:A729)</f>
        <v>175</v>
      </c>
      <c r="C729" s="33" t="s">
        <v>579</v>
      </c>
      <c r="D729" s="330">
        <v>1989</v>
      </c>
      <c r="E729" s="330"/>
      <c r="F729" s="331" t="s">
        <v>63</v>
      </c>
      <c r="G729" s="330">
        <v>9</v>
      </c>
      <c r="H729" s="330" t="s">
        <v>56</v>
      </c>
      <c r="I729" s="334">
        <v>4406.3999999999996</v>
      </c>
      <c r="J729" s="334">
        <v>3895.4</v>
      </c>
      <c r="K729" s="334">
        <v>3895.4</v>
      </c>
      <c r="L729" s="332">
        <v>125</v>
      </c>
      <c r="M729" s="330" t="s">
        <v>46</v>
      </c>
      <c r="N729" s="330" t="s">
        <v>50</v>
      </c>
      <c r="O729" s="333" t="s">
        <v>2007</v>
      </c>
      <c r="P729" s="38">
        <v>3849194.52</v>
      </c>
      <c r="Q729" s="38">
        <v>0</v>
      </c>
      <c r="R729" s="38">
        <v>0</v>
      </c>
      <c r="S729" s="38">
        <f t="shared" si="135"/>
        <v>3849194.52</v>
      </c>
      <c r="T729" s="38">
        <f t="shared" si="137"/>
        <v>873.54632352941189</v>
      </c>
      <c r="U729" s="38">
        <v>1115.559186637618</v>
      </c>
      <c r="V729" s="458">
        <f t="shared" si="138"/>
        <v>242.01286310820615</v>
      </c>
      <c r="W729" s="458">
        <f t="shared" si="139"/>
        <v>873.54632352941189</v>
      </c>
      <c r="X729" s="458">
        <v>0</v>
      </c>
      <c r="Y729" s="459">
        <v>0</v>
      </c>
      <c r="Z729" s="459">
        <v>0</v>
      </c>
      <c r="AA729" s="459">
        <v>0</v>
      </c>
      <c r="AB729" s="459">
        <v>0</v>
      </c>
      <c r="AC729" s="459">
        <v>0</v>
      </c>
      <c r="AD729" s="459">
        <v>0</v>
      </c>
      <c r="AE729" s="459">
        <v>0</v>
      </c>
      <c r="AF729" s="458">
        <v>0</v>
      </c>
      <c r="AG729" s="459">
        <v>0</v>
      </c>
      <c r="AH729" s="458">
        <v>0</v>
      </c>
      <c r="AI729" s="459">
        <v>0</v>
      </c>
      <c r="AJ729" s="458">
        <v>0</v>
      </c>
      <c r="AK729" s="459">
        <v>0</v>
      </c>
      <c r="AL729" s="459">
        <v>0</v>
      </c>
      <c r="AM729" s="459">
        <v>0</v>
      </c>
      <c r="AN729" s="459"/>
      <c r="AO729" s="459">
        <v>0</v>
      </c>
      <c r="AP729" s="460"/>
      <c r="AQ729" s="460"/>
      <c r="AR729" s="460"/>
      <c r="AS729" s="460"/>
      <c r="AT729" s="460"/>
      <c r="AU729" s="460"/>
      <c r="AV729" s="460"/>
      <c r="AW729" s="460"/>
      <c r="AX729" s="460"/>
      <c r="AY729" s="460"/>
      <c r="AZ729" s="460"/>
      <c r="BA729" s="460"/>
      <c r="BB729" s="460"/>
      <c r="BC729" s="460"/>
      <c r="BD729" s="460"/>
      <c r="BE729" s="460"/>
      <c r="BF729" s="460"/>
      <c r="BG729" s="460"/>
      <c r="BH729" s="460"/>
      <c r="BI729" s="460"/>
      <c r="BJ729" s="460"/>
      <c r="BK729" s="460"/>
      <c r="BL729" s="460"/>
      <c r="BM729" s="460"/>
      <c r="BN729" s="460"/>
      <c r="BO729" s="460"/>
      <c r="BP729" s="460"/>
      <c r="BQ729" s="460"/>
      <c r="BR729" s="460"/>
      <c r="BS729" s="460"/>
      <c r="BT729" s="460"/>
      <c r="BU729" s="460"/>
      <c r="BV729" s="460"/>
      <c r="BW729" s="460"/>
      <c r="BX729" s="460"/>
      <c r="BY729" s="460"/>
      <c r="BZ729" s="460"/>
      <c r="CA729" s="460"/>
      <c r="CB729" s="460"/>
      <c r="CC729" s="460"/>
      <c r="CD729" s="460"/>
      <c r="CE729" s="460"/>
      <c r="CF729" s="460"/>
      <c r="CG729" s="460"/>
      <c r="CH729" s="460"/>
      <c r="CI729" s="460"/>
      <c r="CJ729" s="460"/>
      <c r="CK729" s="460"/>
    </row>
    <row r="730" spans="1:89" s="329" customFormat="1" ht="36" customHeight="1" x14ac:dyDescent="0.25">
      <c r="A730" s="329">
        <v>1</v>
      </c>
      <c r="B730" s="39">
        <f>SUBTOTAL(103,$A$552:A730)</f>
        <v>176</v>
      </c>
      <c r="C730" s="33" t="s">
        <v>1556</v>
      </c>
      <c r="D730" s="330">
        <v>1995</v>
      </c>
      <c r="E730" s="330"/>
      <c r="F730" s="331" t="s">
        <v>63</v>
      </c>
      <c r="G730" s="330">
        <v>9</v>
      </c>
      <c r="H730" s="330" t="s">
        <v>56</v>
      </c>
      <c r="I730" s="334">
        <v>5022.6000000000004</v>
      </c>
      <c r="J730" s="334">
        <v>3902.5</v>
      </c>
      <c r="K730" s="334">
        <v>3902.5</v>
      </c>
      <c r="L730" s="332">
        <v>111</v>
      </c>
      <c r="M730" s="330" t="s">
        <v>46</v>
      </c>
      <c r="N730" s="330" t="s">
        <v>50</v>
      </c>
      <c r="O730" s="333" t="s">
        <v>2025</v>
      </c>
      <c r="P730" s="38">
        <v>3849194.52</v>
      </c>
      <c r="Q730" s="38">
        <v>0</v>
      </c>
      <c r="R730" s="38">
        <v>0</v>
      </c>
      <c r="S730" s="38">
        <f t="shared" si="135"/>
        <v>3849194.52</v>
      </c>
      <c r="T730" s="38">
        <f t="shared" si="137"/>
        <v>766.37488949946237</v>
      </c>
      <c r="U730" s="38">
        <v>978.69629275673947</v>
      </c>
      <c r="V730" s="458">
        <f t="shared" si="138"/>
        <v>212.3214032572771</v>
      </c>
      <c r="W730" s="458">
        <f t="shared" si="139"/>
        <v>766.37488949946237</v>
      </c>
      <c r="X730" s="458">
        <v>0</v>
      </c>
      <c r="Y730" s="459">
        <v>0</v>
      </c>
      <c r="Z730" s="459">
        <v>0</v>
      </c>
      <c r="AA730" s="459">
        <v>0</v>
      </c>
      <c r="AB730" s="459">
        <v>0</v>
      </c>
      <c r="AC730" s="459">
        <v>0</v>
      </c>
      <c r="AD730" s="459">
        <v>0</v>
      </c>
      <c r="AE730" s="459">
        <v>0</v>
      </c>
      <c r="AF730" s="458">
        <v>0</v>
      </c>
      <c r="AG730" s="459">
        <v>0</v>
      </c>
      <c r="AH730" s="458">
        <v>0</v>
      </c>
      <c r="AI730" s="459">
        <v>0</v>
      </c>
      <c r="AJ730" s="458">
        <v>0</v>
      </c>
      <c r="AK730" s="459">
        <v>0</v>
      </c>
      <c r="AL730" s="459">
        <v>0</v>
      </c>
      <c r="AM730" s="459">
        <v>0</v>
      </c>
      <c r="AN730" s="459"/>
      <c r="AO730" s="459">
        <v>0</v>
      </c>
      <c r="AP730" s="460"/>
      <c r="AQ730" s="460"/>
      <c r="AR730" s="460"/>
      <c r="AS730" s="460"/>
      <c r="AT730" s="460"/>
      <c r="AU730" s="460"/>
      <c r="AV730" s="460"/>
      <c r="AW730" s="460"/>
      <c r="AX730" s="460"/>
      <c r="AY730" s="460"/>
      <c r="AZ730" s="460"/>
      <c r="BA730" s="460"/>
      <c r="BB730" s="460"/>
      <c r="BC730" s="460"/>
      <c r="BD730" s="460"/>
      <c r="BE730" s="460"/>
      <c r="BF730" s="460"/>
      <c r="BG730" s="460"/>
      <c r="BH730" s="460"/>
      <c r="BI730" s="460"/>
      <c r="BJ730" s="460"/>
      <c r="BK730" s="460"/>
      <c r="BL730" s="460"/>
      <c r="BM730" s="460"/>
      <c r="BN730" s="460"/>
      <c r="BO730" s="460"/>
      <c r="BP730" s="460"/>
      <c r="BQ730" s="460"/>
      <c r="BR730" s="460"/>
      <c r="BS730" s="460"/>
      <c r="BT730" s="460"/>
      <c r="BU730" s="460"/>
      <c r="BV730" s="460"/>
      <c r="BW730" s="460"/>
      <c r="BX730" s="460"/>
      <c r="BY730" s="460"/>
      <c r="BZ730" s="460"/>
      <c r="CA730" s="460"/>
      <c r="CB730" s="460"/>
      <c r="CC730" s="460"/>
      <c r="CD730" s="460"/>
      <c r="CE730" s="460"/>
      <c r="CF730" s="460"/>
      <c r="CG730" s="460"/>
      <c r="CH730" s="460"/>
      <c r="CI730" s="460"/>
      <c r="CJ730" s="460"/>
      <c r="CK730" s="460"/>
    </row>
    <row r="731" spans="1:89" s="329" customFormat="1" ht="36" customHeight="1" x14ac:dyDescent="0.25">
      <c r="B731" s="33" t="s">
        <v>1232</v>
      </c>
      <c r="C731" s="462"/>
      <c r="D731" s="330" t="s">
        <v>131</v>
      </c>
      <c r="E731" s="330" t="s">
        <v>131</v>
      </c>
      <c r="F731" s="330" t="s">
        <v>131</v>
      </c>
      <c r="G731" s="330" t="s">
        <v>131</v>
      </c>
      <c r="H731" s="330" t="s">
        <v>131</v>
      </c>
      <c r="I731" s="334">
        <f>SUM(I732:I738)</f>
        <v>47435.8</v>
      </c>
      <c r="J731" s="334">
        <f>SUM(J732:J738)</f>
        <v>39957.100000000006</v>
      </c>
      <c r="K731" s="334">
        <f>SUM(K732:K738)</f>
        <v>39289.300000000003</v>
      </c>
      <c r="L731" s="332">
        <f>SUM(L732:L738)</f>
        <v>2036</v>
      </c>
      <c r="M731" s="330" t="s">
        <v>131</v>
      </c>
      <c r="N731" s="330" t="s">
        <v>131</v>
      </c>
      <c r="O731" s="333" t="s">
        <v>131</v>
      </c>
      <c r="P731" s="334">
        <v>62970834.239999995</v>
      </c>
      <c r="Q731" s="334">
        <f>SUM(Q732:Q738)</f>
        <v>0</v>
      </c>
      <c r="R731" s="334">
        <f>SUM(R732:R738)</f>
        <v>0</v>
      </c>
      <c r="S731" s="334">
        <f>SUM(S732:S738)</f>
        <v>62970834.239999995</v>
      </c>
      <c r="T731" s="38">
        <f t="shared" si="137"/>
        <v>1327.4959891052747</v>
      </c>
      <c r="U731" s="38">
        <f>MAX(U732:U738)</f>
        <v>5249.8217343830811</v>
      </c>
      <c r="V731" s="458">
        <f t="shared" si="138"/>
        <v>3922.3257452778062</v>
      </c>
      <c r="W731" s="458"/>
      <c r="X731" s="458"/>
      <c r="Y731" s="459"/>
      <c r="Z731" s="459"/>
      <c r="AA731" s="459"/>
      <c r="AB731" s="459"/>
      <c r="AC731" s="459"/>
      <c r="AD731" s="459"/>
      <c r="AE731" s="459"/>
      <c r="AF731" s="459"/>
      <c r="AG731" s="459"/>
      <c r="AH731" s="459"/>
      <c r="AI731" s="459"/>
      <c r="AJ731" s="459"/>
      <c r="AK731" s="459"/>
      <c r="AL731" s="459"/>
      <c r="AM731" s="459"/>
      <c r="AN731" s="459"/>
      <c r="AO731" s="459"/>
      <c r="AP731" s="460"/>
      <c r="AQ731" s="460"/>
      <c r="AR731" s="460"/>
      <c r="AS731" s="460"/>
      <c r="AT731" s="460"/>
      <c r="AU731" s="460"/>
      <c r="AV731" s="460"/>
      <c r="AW731" s="460"/>
      <c r="AX731" s="460"/>
      <c r="AY731" s="460"/>
      <c r="AZ731" s="460"/>
      <c r="BA731" s="460"/>
      <c r="BB731" s="460"/>
      <c r="BC731" s="460"/>
      <c r="BD731" s="460"/>
      <c r="BE731" s="460"/>
      <c r="BF731" s="460"/>
      <c r="BG731" s="460"/>
      <c r="BH731" s="460"/>
      <c r="BI731" s="460"/>
      <c r="BJ731" s="460"/>
      <c r="BK731" s="460"/>
      <c r="BL731" s="460"/>
      <c r="BM731" s="460"/>
      <c r="BN731" s="460"/>
      <c r="BO731" s="460"/>
      <c r="BP731" s="460"/>
      <c r="BQ731" s="460"/>
      <c r="BR731" s="460"/>
      <c r="BS731" s="460"/>
      <c r="BT731" s="460"/>
      <c r="BU731" s="460"/>
      <c r="BV731" s="460"/>
      <c r="BW731" s="460"/>
      <c r="BX731" s="460"/>
      <c r="BY731" s="460"/>
      <c r="BZ731" s="460"/>
      <c r="CA731" s="460"/>
      <c r="CB731" s="460"/>
      <c r="CC731" s="460"/>
      <c r="CD731" s="460"/>
      <c r="CE731" s="460"/>
      <c r="CF731" s="460"/>
      <c r="CG731" s="460"/>
      <c r="CH731" s="460"/>
      <c r="CI731" s="460"/>
      <c r="CJ731" s="460"/>
      <c r="CK731" s="460"/>
    </row>
    <row r="732" spans="1:89" s="329" customFormat="1" ht="36" customHeight="1" x14ac:dyDescent="0.25">
      <c r="A732" s="329">
        <v>1</v>
      </c>
      <c r="B732" s="39">
        <f>SUBTOTAL(103,$A$552:A732)</f>
        <v>177</v>
      </c>
      <c r="C732" s="33" t="s">
        <v>81</v>
      </c>
      <c r="D732" s="330">
        <v>1982</v>
      </c>
      <c r="E732" s="330">
        <v>2015</v>
      </c>
      <c r="F732" s="331" t="s">
        <v>63</v>
      </c>
      <c r="G732" s="330">
        <v>9</v>
      </c>
      <c r="H732" s="330" t="s">
        <v>59</v>
      </c>
      <c r="I732" s="334">
        <v>8597.2000000000007</v>
      </c>
      <c r="J732" s="334">
        <v>7716.3</v>
      </c>
      <c r="K732" s="334">
        <v>7660.3</v>
      </c>
      <c r="L732" s="332">
        <v>370</v>
      </c>
      <c r="M732" s="330" t="s">
        <v>46</v>
      </c>
      <c r="N732" s="330" t="s">
        <v>50</v>
      </c>
      <c r="O732" s="333" t="s">
        <v>64</v>
      </c>
      <c r="P732" s="38">
        <v>8863212</v>
      </c>
      <c r="Q732" s="38">
        <v>0</v>
      </c>
      <c r="R732" s="38">
        <v>0</v>
      </c>
      <c r="S732" s="38">
        <f t="shared" ref="S732:S738" si="140">P732-Q732-R732</f>
        <v>8863212</v>
      </c>
      <c r="T732" s="38">
        <f t="shared" si="137"/>
        <v>1030.9417019494717</v>
      </c>
      <c r="U732" s="38">
        <v>1143.5351044526124</v>
      </c>
      <c r="V732" s="458">
        <f t="shared" si="138"/>
        <v>112.59340250314062</v>
      </c>
      <c r="W732" s="458">
        <f t="shared" ref="W732:W738" si="141">X732+Y732+Z732+AA732+AB732+AD732+AF732+AH732+AJ732+AL732+AN732+AO732</f>
        <v>1143.5351044526124</v>
      </c>
      <c r="X732" s="458">
        <v>0</v>
      </c>
      <c r="Y732" s="459">
        <v>0</v>
      </c>
      <c r="Z732" s="459">
        <v>0</v>
      </c>
      <c r="AA732" s="459">
        <v>0</v>
      </c>
      <c r="AB732" s="459">
        <v>0</v>
      </c>
      <c r="AC732" s="459">
        <v>4</v>
      </c>
      <c r="AD732" s="458">
        <f>2457800*AC732/I732</f>
        <v>1143.5351044526124</v>
      </c>
      <c r="AE732" s="459">
        <v>0</v>
      </c>
      <c r="AF732" s="458">
        <v>0</v>
      </c>
      <c r="AG732" s="459">
        <v>0</v>
      </c>
      <c r="AH732" s="458">
        <v>0</v>
      </c>
      <c r="AI732" s="459">
        <v>0</v>
      </c>
      <c r="AJ732" s="458">
        <v>0</v>
      </c>
      <c r="AK732" s="459">
        <v>0</v>
      </c>
      <c r="AL732" s="459">
        <v>0</v>
      </c>
      <c r="AM732" s="459">
        <v>0</v>
      </c>
      <c r="AN732" s="459"/>
      <c r="AO732" s="459">
        <v>0</v>
      </c>
      <c r="AP732" s="460"/>
      <c r="AQ732" s="460"/>
      <c r="AR732" s="460"/>
      <c r="AS732" s="460"/>
      <c r="AT732" s="460"/>
      <c r="AU732" s="460"/>
      <c r="AV732" s="460"/>
      <c r="AW732" s="460"/>
      <c r="AX732" s="460"/>
      <c r="AY732" s="460"/>
      <c r="AZ732" s="460"/>
      <c r="BA732" s="460"/>
      <c r="BB732" s="460"/>
      <c r="BC732" s="460"/>
      <c r="BD732" s="460"/>
      <c r="BE732" s="460"/>
      <c r="BF732" s="460"/>
      <c r="BG732" s="460"/>
      <c r="BH732" s="460"/>
      <c r="BI732" s="460"/>
      <c r="BJ732" s="460"/>
      <c r="BK732" s="460"/>
      <c r="BL732" s="460"/>
      <c r="BM732" s="460"/>
      <c r="BN732" s="460"/>
      <c r="BO732" s="460"/>
      <c r="BP732" s="460"/>
      <c r="BQ732" s="460"/>
      <c r="BR732" s="460"/>
      <c r="BS732" s="460"/>
      <c r="BT732" s="460"/>
      <c r="BU732" s="460"/>
      <c r="BV732" s="460"/>
      <c r="BW732" s="460"/>
      <c r="BX732" s="460"/>
      <c r="BY732" s="460"/>
      <c r="BZ732" s="460"/>
      <c r="CA732" s="460"/>
      <c r="CB732" s="460"/>
      <c r="CC732" s="460"/>
      <c r="CD732" s="460"/>
      <c r="CE732" s="460"/>
      <c r="CF732" s="460"/>
      <c r="CG732" s="460"/>
      <c r="CH732" s="460"/>
      <c r="CI732" s="460"/>
      <c r="CJ732" s="460"/>
      <c r="CK732" s="460"/>
    </row>
    <row r="733" spans="1:89" s="329" customFormat="1" ht="36" customHeight="1" x14ac:dyDescent="0.25">
      <c r="A733" s="329">
        <v>1</v>
      </c>
      <c r="B733" s="39">
        <f>SUBTOTAL(103,$A$552:A733)</f>
        <v>178</v>
      </c>
      <c r="C733" s="33" t="s">
        <v>1557</v>
      </c>
      <c r="D733" s="330">
        <v>1981</v>
      </c>
      <c r="E733" s="330">
        <v>2015</v>
      </c>
      <c r="F733" s="331" t="s">
        <v>63</v>
      </c>
      <c r="G733" s="330">
        <v>5</v>
      </c>
      <c r="H733" s="330" t="s">
        <v>75</v>
      </c>
      <c r="I733" s="334">
        <v>3965.2</v>
      </c>
      <c r="J733" s="334">
        <v>3485.8</v>
      </c>
      <c r="K733" s="334">
        <v>3424</v>
      </c>
      <c r="L733" s="332">
        <v>178</v>
      </c>
      <c r="M733" s="330" t="s">
        <v>46</v>
      </c>
      <c r="N733" s="330" t="s">
        <v>50</v>
      </c>
      <c r="O733" s="333" t="s">
        <v>2140</v>
      </c>
      <c r="P733" s="38">
        <v>7201018.8100000005</v>
      </c>
      <c r="Q733" s="38">
        <v>0</v>
      </c>
      <c r="R733" s="38">
        <v>0</v>
      </c>
      <c r="S733" s="38">
        <f t="shared" si="140"/>
        <v>7201018.8100000005</v>
      </c>
      <c r="T733" s="38">
        <f t="shared" si="137"/>
        <v>1816.0543755674369</v>
      </c>
      <c r="U733" s="38">
        <v>4532.13</v>
      </c>
      <c r="V733" s="458">
        <f t="shared" si="138"/>
        <v>2716.075624432563</v>
      </c>
      <c r="W733" s="458">
        <f t="shared" si="141"/>
        <v>4586.9399999999996</v>
      </c>
      <c r="X733" s="458">
        <v>101.55</v>
      </c>
      <c r="Y733" s="459">
        <v>245.44</v>
      </c>
      <c r="Z733" s="459">
        <v>3259.66</v>
      </c>
      <c r="AA733" s="459">
        <v>184.98</v>
      </c>
      <c r="AB733" s="459">
        <v>795.31</v>
      </c>
      <c r="AC733" s="459">
        <v>0</v>
      </c>
      <c r="AD733" s="459">
        <v>0</v>
      </c>
      <c r="AE733" s="459">
        <v>0</v>
      </c>
      <c r="AF733" s="458">
        <v>0</v>
      </c>
      <c r="AG733" s="459">
        <v>0</v>
      </c>
      <c r="AH733" s="458">
        <v>0</v>
      </c>
      <c r="AI733" s="459">
        <v>0</v>
      </c>
      <c r="AJ733" s="458">
        <v>0</v>
      </c>
      <c r="AK733" s="459">
        <v>0</v>
      </c>
      <c r="AL733" s="459">
        <v>0</v>
      </c>
      <c r="AM733" s="459">
        <v>0</v>
      </c>
      <c r="AN733" s="459"/>
      <c r="AO733" s="459">
        <v>0</v>
      </c>
      <c r="AP733" s="460"/>
      <c r="AQ733" s="460"/>
      <c r="AR733" s="460"/>
      <c r="AS733" s="460"/>
      <c r="AT733" s="460"/>
      <c r="AU733" s="460"/>
      <c r="AV733" s="460"/>
      <c r="AW733" s="460"/>
      <c r="AX733" s="460"/>
      <c r="AY733" s="460"/>
      <c r="AZ733" s="460"/>
      <c r="BA733" s="460"/>
      <c r="BB733" s="460"/>
      <c r="BC733" s="460"/>
      <c r="BD733" s="460"/>
      <c r="BE733" s="460"/>
      <c r="BF733" s="460"/>
      <c r="BG733" s="460"/>
      <c r="BH733" s="460"/>
      <c r="BI733" s="460"/>
      <c r="BJ733" s="460"/>
      <c r="BK733" s="460"/>
      <c r="BL733" s="460"/>
      <c r="BM733" s="460"/>
      <c r="BN733" s="460"/>
      <c r="BO733" s="460"/>
      <c r="BP733" s="460"/>
      <c r="BQ733" s="460"/>
      <c r="BR733" s="460"/>
      <c r="BS733" s="460"/>
      <c r="BT733" s="460"/>
      <c r="BU733" s="460"/>
      <c r="BV733" s="460"/>
      <c r="BW733" s="460"/>
      <c r="BX733" s="460"/>
      <c r="BY733" s="460"/>
      <c r="BZ733" s="460"/>
      <c r="CA733" s="460"/>
      <c r="CB733" s="460"/>
      <c r="CC733" s="460"/>
      <c r="CD733" s="460"/>
      <c r="CE733" s="460"/>
      <c r="CF733" s="460"/>
      <c r="CG733" s="460"/>
      <c r="CH733" s="460"/>
      <c r="CI733" s="460"/>
      <c r="CJ733" s="460"/>
      <c r="CK733" s="460"/>
    </row>
    <row r="734" spans="1:89" s="329" customFormat="1" ht="36" customHeight="1" x14ac:dyDescent="0.25">
      <c r="A734" s="329">
        <v>1</v>
      </c>
      <c r="B734" s="39">
        <f>SUBTOTAL(103,$A$552:A734)</f>
        <v>179</v>
      </c>
      <c r="C734" s="33" t="s">
        <v>1558</v>
      </c>
      <c r="D734" s="330">
        <v>1973</v>
      </c>
      <c r="E734" s="330">
        <v>2017</v>
      </c>
      <c r="F734" s="331" t="s">
        <v>63</v>
      </c>
      <c r="G734" s="330">
        <v>5</v>
      </c>
      <c r="H734" s="330" t="s">
        <v>75</v>
      </c>
      <c r="I734" s="334">
        <v>3822.6</v>
      </c>
      <c r="J734" s="334">
        <v>3360.4</v>
      </c>
      <c r="K734" s="334">
        <v>3360.4</v>
      </c>
      <c r="L734" s="332">
        <v>155</v>
      </c>
      <c r="M734" s="330" t="s">
        <v>46</v>
      </c>
      <c r="N734" s="330" t="s">
        <v>50</v>
      </c>
      <c r="O734" s="333" t="s">
        <v>2140</v>
      </c>
      <c r="P734" s="38">
        <v>5661983.8399999999</v>
      </c>
      <c r="Q734" s="38">
        <v>0</v>
      </c>
      <c r="R734" s="38">
        <v>0</v>
      </c>
      <c r="S734" s="38">
        <f t="shared" si="140"/>
        <v>5661983.8399999999</v>
      </c>
      <c r="T734" s="38">
        <f t="shared" si="137"/>
        <v>1481.1865850468268</v>
      </c>
      <c r="U734" s="38">
        <v>4820.255007063256</v>
      </c>
      <c r="V734" s="458">
        <f t="shared" si="138"/>
        <v>3339.0684220164294</v>
      </c>
      <c r="W734" s="458">
        <f t="shared" si="141"/>
        <v>5055.7957173128234</v>
      </c>
      <c r="X734" s="458">
        <v>0</v>
      </c>
      <c r="Y734" s="459">
        <v>0</v>
      </c>
      <c r="Z734" s="459">
        <v>0</v>
      </c>
      <c r="AA734" s="459">
        <v>0</v>
      </c>
      <c r="AB734" s="459">
        <v>0</v>
      </c>
      <c r="AC734" s="459">
        <v>0</v>
      </c>
      <c r="AD734" s="459">
        <v>0</v>
      </c>
      <c r="AE734" s="459">
        <v>0</v>
      </c>
      <c r="AF734" s="458">
        <v>0</v>
      </c>
      <c r="AG734" s="459">
        <v>0</v>
      </c>
      <c r="AH734" s="458">
        <v>0</v>
      </c>
      <c r="AI734" s="459">
        <v>2476.9</v>
      </c>
      <c r="AJ734" s="458">
        <f>7802.61*AI734/I734</f>
        <v>5055.7957173128234</v>
      </c>
      <c r="AK734" s="459">
        <v>0</v>
      </c>
      <c r="AL734" s="459">
        <v>0</v>
      </c>
      <c r="AM734" s="459">
        <v>0</v>
      </c>
      <c r="AN734" s="459"/>
      <c r="AO734" s="459">
        <v>0</v>
      </c>
      <c r="AP734" s="460"/>
      <c r="AQ734" s="460"/>
      <c r="AR734" s="460"/>
      <c r="AS734" s="460"/>
      <c r="AT734" s="460"/>
      <c r="AU734" s="460"/>
      <c r="AV734" s="460"/>
      <c r="AW734" s="460"/>
      <c r="AX734" s="460"/>
      <c r="AY734" s="460"/>
      <c r="AZ734" s="460"/>
      <c r="BA734" s="460"/>
      <c r="BB734" s="460"/>
      <c r="BC734" s="460"/>
      <c r="BD734" s="460"/>
      <c r="BE734" s="460"/>
      <c r="BF734" s="460"/>
      <c r="BG734" s="460"/>
      <c r="BH734" s="460"/>
      <c r="BI734" s="460"/>
      <c r="BJ734" s="460"/>
      <c r="BK734" s="460"/>
      <c r="BL734" s="460"/>
      <c r="BM734" s="460"/>
      <c r="BN734" s="460"/>
      <c r="BO734" s="460"/>
      <c r="BP734" s="460"/>
      <c r="BQ734" s="460"/>
      <c r="BR734" s="460"/>
      <c r="BS734" s="460"/>
      <c r="BT734" s="460"/>
      <c r="BU734" s="460"/>
      <c r="BV734" s="460"/>
      <c r="BW734" s="460"/>
      <c r="BX734" s="460"/>
      <c r="BY734" s="460"/>
      <c r="BZ734" s="460"/>
      <c r="CA734" s="460"/>
      <c r="CB734" s="460"/>
      <c r="CC734" s="460"/>
      <c r="CD734" s="460"/>
      <c r="CE734" s="460"/>
      <c r="CF734" s="460"/>
      <c r="CG734" s="460"/>
      <c r="CH734" s="460"/>
      <c r="CI734" s="460"/>
      <c r="CJ734" s="460"/>
      <c r="CK734" s="460"/>
    </row>
    <row r="735" spans="1:89" s="329" customFormat="1" ht="36" customHeight="1" x14ac:dyDescent="0.25">
      <c r="A735" s="329">
        <v>1</v>
      </c>
      <c r="B735" s="39">
        <f>SUBTOTAL(103,$A$552:A735)</f>
        <v>180</v>
      </c>
      <c r="C735" s="33" t="s">
        <v>1559</v>
      </c>
      <c r="D735" s="330">
        <v>1979</v>
      </c>
      <c r="E735" s="330">
        <v>2016</v>
      </c>
      <c r="F735" s="331" t="s">
        <v>63</v>
      </c>
      <c r="G735" s="330">
        <v>9</v>
      </c>
      <c r="H735" s="330" t="s">
        <v>59</v>
      </c>
      <c r="I735" s="38">
        <v>7590.3</v>
      </c>
      <c r="J735" s="38">
        <v>7004.9</v>
      </c>
      <c r="K735" s="38">
        <v>6957</v>
      </c>
      <c r="L735" s="332">
        <v>363</v>
      </c>
      <c r="M735" s="330" t="s">
        <v>46</v>
      </c>
      <c r="N735" s="330" t="s">
        <v>50</v>
      </c>
      <c r="O735" s="333" t="s">
        <v>64</v>
      </c>
      <c r="P735" s="38">
        <v>16346897.049999999</v>
      </c>
      <c r="Q735" s="38">
        <v>0</v>
      </c>
      <c r="R735" s="38">
        <v>0</v>
      </c>
      <c r="S735" s="38">
        <f t="shared" si="140"/>
        <v>16346897.049999999</v>
      </c>
      <c r="T735" s="38">
        <f t="shared" si="137"/>
        <v>2153.656252058548</v>
      </c>
      <c r="U735" s="38">
        <v>4532.13</v>
      </c>
      <c r="V735" s="458">
        <f t="shared" si="138"/>
        <v>2378.4737479414521</v>
      </c>
      <c r="W735" s="458">
        <f t="shared" si="141"/>
        <v>3791.6299999999997</v>
      </c>
      <c r="X735" s="458">
        <v>101.55</v>
      </c>
      <c r="Y735" s="459">
        <v>245.44</v>
      </c>
      <c r="Z735" s="459">
        <v>3259.66</v>
      </c>
      <c r="AA735" s="459">
        <v>184.98</v>
      </c>
      <c r="AB735" s="459">
        <v>0</v>
      </c>
      <c r="AC735" s="459">
        <v>0</v>
      </c>
      <c r="AD735" s="459">
        <v>0</v>
      </c>
      <c r="AE735" s="459">
        <v>0</v>
      </c>
      <c r="AF735" s="458">
        <v>0</v>
      </c>
      <c r="AG735" s="459">
        <v>0</v>
      </c>
      <c r="AH735" s="458">
        <v>0</v>
      </c>
      <c r="AI735" s="459">
        <v>0</v>
      </c>
      <c r="AJ735" s="458">
        <v>0</v>
      </c>
      <c r="AK735" s="459">
        <v>0</v>
      </c>
      <c r="AL735" s="459">
        <v>0</v>
      </c>
      <c r="AM735" s="459">
        <v>0</v>
      </c>
      <c r="AN735" s="459"/>
      <c r="AO735" s="459">
        <v>0</v>
      </c>
      <c r="AP735" s="460"/>
      <c r="AQ735" s="460"/>
      <c r="AR735" s="460"/>
      <c r="AS735" s="460"/>
      <c r="AT735" s="460"/>
      <c r="AU735" s="460"/>
      <c r="AV735" s="460"/>
      <c r="AW735" s="460"/>
      <c r="AX735" s="460"/>
      <c r="AY735" s="460"/>
      <c r="AZ735" s="460"/>
      <c r="BA735" s="460"/>
      <c r="BB735" s="460"/>
      <c r="BC735" s="460"/>
      <c r="BD735" s="460"/>
      <c r="BE735" s="460"/>
      <c r="BF735" s="460"/>
      <c r="BG735" s="460"/>
      <c r="BH735" s="460"/>
      <c r="BI735" s="460"/>
      <c r="BJ735" s="460"/>
      <c r="BK735" s="460"/>
      <c r="BL735" s="460"/>
      <c r="BM735" s="460"/>
      <c r="BN735" s="460"/>
      <c r="BO735" s="460"/>
      <c r="BP735" s="460"/>
      <c r="BQ735" s="460"/>
      <c r="BR735" s="460"/>
      <c r="BS735" s="460"/>
      <c r="BT735" s="460"/>
      <c r="BU735" s="460"/>
      <c r="BV735" s="460"/>
      <c r="BW735" s="460"/>
      <c r="BX735" s="460"/>
      <c r="BY735" s="460"/>
      <c r="BZ735" s="460"/>
      <c r="CA735" s="460"/>
      <c r="CB735" s="460"/>
      <c r="CC735" s="460"/>
      <c r="CD735" s="460"/>
      <c r="CE735" s="460"/>
      <c r="CF735" s="460"/>
      <c r="CG735" s="460"/>
      <c r="CH735" s="460"/>
      <c r="CI735" s="460"/>
      <c r="CJ735" s="460"/>
      <c r="CK735" s="460"/>
    </row>
    <row r="736" spans="1:89" s="329" customFormat="1" ht="36" customHeight="1" x14ac:dyDescent="0.25">
      <c r="A736" s="329">
        <v>1</v>
      </c>
      <c r="B736" s="39">
        <f>SUBTOTAL(103,$A$552:A736)</f>
        <v>181</v>
      </c>
      <c r="C736" s="33" t="s">
        <v>1234</v>
      </c>
      <c r="D736" s="330">
        <v>1995</v>
      </c>
      <c r="E736" s="330">
        <v>2015</v>
      </c>
      <c r="F736" s="331" t="s">
        <v>60</v>
      </c>
      <c r="G736" s="330">
        <v>9</v>
      </c>
      <c r="H736" s="330" t="s">
        <v>75</v>
      </c>
      <c r="I736" s="334">
        <v>12180.7</v>
      </c>
      <c r="J736" s="334">
        <v>10849.3</v>
      </c>
      <c r="K736" s="334">
        <v>10849.3</v>
      </c>
      <c r="L736" s="332">
        <v>500</v>
      </c>
      <c r="M736" s="330" t="s">
        <v>46</v>
      </c>
      <c r="N736" s="330" t="s">
        <v>50</v>
      </c>
      <c r="O736" s="333" t="s">
        <v>64</v>
      </c>
      <c r="P736" s="38">
        <v>14315249.970000001</v>
      </c>
      <c r="Q736" s="38">
        <v>0</v>
      </c>
      <c r="R736" s="38">
        <v>0</v>
      </c>
      <c r="S736" s="38">
        <f t="shared" si="140"/>
        <v>14315249.970000001</v>
      </c>
      <c r="T736" s="38">
        <f t="shared" si="137"/>
        <v>1175.2403367622551</v>
      </c>
      <c r="U736" s="38">
        <v>5249.8217343830811</v>
      </c>
      <c r="V736" s="458">
        <f t="shared" si="138"/>
        <v>4074.581397620826</v>
      </c>
      <c r="W736" s="458">
        <f t="shared" si="141"/>
        <v>1586.6316967826149</v>
      </c>
      <c r="X736" s="458">
        <v>0</v>
      </c>
      <c r="Y736" s="459">
        <v>0</v>
      </c>
      <c r="Z736" s="459">
        <v>0</v>
      </c>
      <c r="AA736" s="459">
        <v>0</v>
      </c>
      <c r="AB736" s="459">
        <v>0</v>
      </c>
      <c r="AC736" s="459">
        <v>0</v>
      </c>
      <c r="AD736" s="459">
        <v>0</v>
      </c>
      <c r="AE736" s="459">
        <v>0</v>
      </c>
      <c r="AF736" s="458">
        <v>0</v>
      </c>
      <c r="AG736" s="459">
        <v>0</v>
      </c>
      <c r="AH736" s="458">
        <v>0</v>
      </c>
      <c r="AI736" s="459">
        <v>2476.9</v>
      </c>
      <c r="AJ736" s="458">
        <f>7802.61*AI736/I736</f>
        <v>1586.6316967826149</v>
      </c>
      <c r="AK736" s="459">
        <v>0</v>
      </c>
      <c r="AL736" s="459">
        <v>0</v>
      </c>
      <c r="AM736" s="459">
        <v>0</v>
      </c>
      <c r="AN736" s="459"/>
      <c r="AO736" s="459">
        <v>0</v>
      </c>
      <c r="AP736" s="460"/>
      <c r="AQ736" s="460"/>
      <c r="AR736" s="460"/>
      <c r="AS736" s="460"/>
      <c r="AT736" s="460"/>
      <c r="AU736" s="460"/>
      <c r="AV736" s="460"/>
      <c r="AW736" s="460"/>
      <c r="AX736" s="460"/>
      <c r="AY736" s="460"/>
      <c r="AZ736" s="460"/>
      <c r="BA736" s="460"/>
      <c r="BB736" s="460"/>
      <c r="BC736" s="460"/>
      <c r="BD736" s="460"/>
      <c r="BE736" s="460"/>
      <c r="BF736" s="460"/>
      <c r="BG736" s="460"/>
      <c r="BH736" s="460"/>
      <c r="BI736" s="460"/>
      <c r="BJ736" s="460"/>
      <c r="BK736" s="460"/>
      <c r="BL736" s="460"/>
      <c r="BM736" s="460"/>
      <c r="BN736" s="460"/>
      <c r="BO736" s="460"/>
      <c r="BP736" s="460"/>
      <c r="BQ736" s="460"/>
      <c r="BR736" s="460"/>
      <c r="BS736" s="460"/>
      <c r="BT736" s="460"/>
      <c r="BU736" s="460"/>
      <c r="BV736" s="460"/>
      <c r="BW736" s="460"/>
      <c r="BX736" s="460"/>
      <c r="BY736" s="460"/>
      <c r="BZ736" s="460"/>
      <c r="CA736" s="460"/>
      <c r="CB736" s="460"/>
      <c r="CC736" s="460"/>
      <c r="CD736" s="460"/>
      <c r="CE736" s="460"/>
      <c r="CF736" s="460"/>
      <c r="CG736" s="460"/>
      <c r="CH736" s="460"/>
      <c r="CI736" s="460"/>
      <c r="CJ736" s="460"/>
      <c r="CK736" s="460"/>
    </row>
    <row r="737" spans="1:89" s="329" customFormat="1" ht="36" customHeight="1" x14ac:dyDescent="0.25">
      <c r="A737" s="329">
        <v>1</v>
      </c>
      <c r="B737" s="39">
        <f>SUBTOTAL(103,$A$552:A737)</f>
        <v>182</v>
      </c>
      <c r="C737" s="33" t="s">
        <v>1560</v>
      </c>
      <c r="D737" s="330">
        <v>1985</v>
      </c>
      <c r="E737" s="330">
        <v>2018</v>
      </c>
      <c r="F737" s="331" t="s">
        <v>48</v>
      </c>
      <c r="G737" s="330">
        <v>9</v>
      </c>
      <c r="H737" s="330" t="s">
        <v>57</v>
      </c>
      <c r="I737" s="38">
        <v>5367.9</v>
      </c>
      <c r="J737" s="38">
        <v>4145.6000000000004</v>
      </c>
      <c r="K737" s="38">
        <v>3643.5</v>
      </c>
      <c r="L737" s="332">
        <v>300</v>
      </c>
      <c r="M737" s="330" t="s">
        <v>46</v>
      </c>
      <c r="N737" s="330" t="s">
        <v>50</v>
      </c>
      <c r="O737" s="333" t="s">
        <v>2141</v>
      </c>
      <c r="P737" s="38">
        <v>4570000</v>
      </c>
      <c r="Q737" s="38">
        <v>0</v>
      </c>
      <c r="R737" s="38">
        <v>0</v>
      </c>
      <c r="S737" s="38">
        <f t="shared" si="140"/>
        <v>4570000</v>
      </c>
      <c r="T737" s="38">
        <f t="shared" si="137"/>
        <v>851.35714152648154</v>
      </c>
      <c r="U737" s="38">
        <v>915.73986102572712</v>
      </c>
      <c r="V737" s="458">
        <f t="shared" si="138"/>
        <v>64.382719499245582</v>
      </c>
      <c r="W737" s="458">
        <f t="shared" si="141"/>
        <v>3791.6299999999997</v>
      </c>
      <c r="X737" s="458">
        <v>101.55</v>
      </c>
      <c r="Y737" s="459">
        <v>245.44</v>
      </c>
      <c r="Z737" s="459">
        <v>3259.66</v>
      </c>
      <c r="AA737" s="459">
        <v>184.98</v>
      </c>
      <c r="AB737" s="459">
        <v>0</v>
      </c>
      <c r="AC737" s="459">
        <v>0</v>
      </c>
      <c r="AD737" s="459">
        <v>0</v>
      </c>
      <c r="AE737" s="459">
        <v>0</v>
      </c>
      <c r="AF737" s="458">
        <v>0</v>
      </c>
      <c r="AG737" s="459">
        <v>0</v>
      </c>
      <c r="AH737" s="458">
        <v>0</v>
      </c>
      <c r="AI737" s="459">
        <v>0</v>
      </c>
      <c r="AJ737" s="458">
        <v>0</v>
      </c>
      <c r="AK737" s="459">
        <v>0</v>
      </c>
      <c r="AL737" s="459">
        <v>0</v>
      </c>
      <c r="AM737" s="459">
        <v>0</v>
      </c>
      <c r="AN737" s="459"/>
      <c r="AO737" s="459">
        <v>0</v>
      </c>
      <c r="AP737" s="460"/>
      <c r="AQ737" s="460"/>
      <c r="AR737" s="460"/>
      <c r="AS737" s="460"/>
      <c r="AT737" s="460"/>
      <c r="AU737" s="460"/>
      <c r="AV737" s="460"/>
      <c r="AW737" s="460"/>
      <c r="AX737" s="460"/>
      <c r="AY737" s="460"/>
      <c r="AZ737" s="460"/>
      <c r="BA737" s="460"/>
      <c r="BB737" s="460"/>
      <c r="BC737" s="460"/>
      <c r="BD737" s="460"/>
      <c r="BE737" s="460"/>
      <c r="BF737" s="460"/>
      <c r="BG737" s="460"/>
      <c r="BH737" s="460"/>
      <c r="BI737" s="460"/>
      <c r="BJ737" s="460"/>
      <c r="BK737" s="460"/>
      <c r="BL737" s="460"/>
      <c r="BM737" s="460"/>
      <c r="BN737" s="460"/>
      <c r="BO737" s="460"/>
      <c r="BP737" s="460"/>
      <c r="BQ737" s="460"/>
      <c r="BR737" s="460"/>
      <c r="BS737" s="460"/>
      <c r="BT737" s="460"/>
      <c r="BU737" s="460"/>
      <c r="BV737" s="460"/>
      <c r="BW737" s="460"/>
      <c r="BX737" s="460"/>
      <c r="BY737" s="460"/>
      <c r="BZ737" s="460"/>
      <c r="CA737" s="460"/>
      <c r="CB737" s="460"/>
      <c r="CC737" s="460"/>
      <c r="CD737" s="460"/>
      <c r="CE737" s="460"/>
      <c r="CF737" s="460"/>
      <c r="CG737" s="460"/>
      <c r="CH737" s="460"/>
      <c r="CI737" s="460"/>
      <c r="CJ737" s="460"/>
      <c r="CK737" s="460"/>
    </row>
    <row r="738" spans="1:89" s="329" customFormat="1" ht="36" customHeight="1" x14ac:dyDescent="0.25">
      <c r="A738" s="329">
        <v>1</v>
      </c>
      <c r="B738" s="39">
        <f>SUBTOTAL(103,$A$552:A738)</f>
        <v>183</v>
      </c>
      <c r="C738" s="33" t="s">
        <v>1561</v>
      </c>
      <c r="D738" s="330">
        <v>1975</v>
      </c>
      <c r="E738" s="330"/>
      <c r="F738" s="331" t="s">
        <v>63</v>
      </c>
      <c r="G738" s="330" t="s">
        <v>75</v>
      </c>
      <c r="H738" s="330" t="s">
        <v>75</v>
      </c>
      <c r="I738" s="38">
        <v>5911.9</v>
      </c>
      <c r="J738" s="38">
        <v>3394.8</v>
      </c>
      <c r="K738" s="38">
        <v>3394.8</v>
      </c>
      <c r="L738" s="332">
        <v>170</v>
      </c>
      <c r="M738" s="330" t="s">
        <v>46</v>
      </c>
      <c r="N738" s="330" t="s">
        <v>50</v>
      </c>
      <c r="O738" s="333" t="s">
        <v>64</v>
      </c>
      <c r="P738" s="38">
        <v>6012472.5700000003</v>
      </c>
      <c r="Q738" s="38">
        <v>0</v>
      </c>
      <c r="R738" s="38">
        <v>0</v>
      </c>
      <c r="S738" s="38">
        <f t="shared" si="140"/>
        <v>6012472.5700000003</v>
      </c>
      <c r="T738" s="38">
        <f t="shared" si="137"/>
        <v>1017.0118861956394</v>
      </c>
      <c r="U738" s="38">
        <v>3141.9152539792626</v>
      </c>
      <c r="V738" s="458">
        <f t="shared" si="138"/>
        <v>2124.9033677836233</v>
      </c>
      <c r="W738" s="458">
        <f t="shared" si="141"/>
        <v>11345.123489910182</v>
      </c>
      <c r="X738" s="458">
        <v>0</v>
      </c>
      <c r="Y738" s="459">
        <v>0</v>
      </c>
      <c r="Z738" s="459">
        <v>0</v>
      </c>
      <c r="AA738" s="459">
        <v>0</v>
      </c>
      <c r="AB738" s="459">
        <v>0</v>
      </c>
      <c r="AC738" s="459">
        <v>0</v>
      </c>
      <c r="AD738" s="459">
        <v>0</v>
      </c>
      <c r="AE738" s="459">
        <v>0</v>
      </c>
      <c r="AF738" s="458">
        <v>0</v>
      </c>
      <c r="AG738" s="459">
        <v>0</v>
      </c>
      <c r="AH738" s="458">
        <v>0</v>
      </c>
      <c r="AI738" s="459">
        <v>8596</v>
      </c>
      <c r="AJ738" s="458">
        <f>7802.61*AI738/I738</f>
        <v>11345.123489910182</v>
      </c>
      <c r="AK738" s="459">
        <v>0</v>
      </c>
      <c r="AL738" s="459">
        <v>0</v>
      </c>
      <c r="AM738" s="459">
        <v>0</v>
      </c>
      <c r="AN738" s="459"/>
      <c r="AO738" s="459">
        <v>0</v>
      </c>
      <c r="AP738" s="460"/>
      <c r="AQ738" s="460"/>
      <c r="AR738" s="460"/>
      <c r="AS738" s="460"/>
      <c r="AT738" s="460"/>
      <c r="AU738" s="460"/>
      <c r="AV738" s="460"/>
      <c r="AW738" s="460"/>
      <c r="AX738" s="460"/>
      <c r="AY738" s="460"/>
      <c r="AZ738" s="460"/>
      <c r="BA738" s="460"/>
      <c r="BB738" s="460"/>
      <c r="BC738" s="460"/>
      <c r="BD738" s="460"/>
      <c r="BE738" s="460"/>
      <c r="BF738" s="460"/>
      <c r="BG738" s="460"/>
      <c r="BH738" s="460"/>
      <c r="BI738" s="460"/>
      <c r="BJ738" s="460"/>
      <c r="BK738" s="460"/>
      <c r="BL738" s="460"/>
      <c r="BM738" s="460"/>
      <c r="BN738" s="460"/>
      <c r="BO738" s="460"/>
      <c r="BP738" s="460"/>
      <c r="BQ738" s="460"/>
      <c r="BR738" s="460"/>
      <c r="BS738" s="460"/>
      <c r="BT738" s="460"/>
      <c r="BU738" s="460"/>
      <c r="BV738" s="460"/>
      <c r="BW738" s="460"/>
      <c r="BX738" s="460"/>
      <c r="BY738" s="460"/>
      <c r="BZ738" s="460"/>
      <c r="CA738" s="460"/>
      <c r="CB738" s="460"/>
      <c r="CC738" s="460"/>
      <c r="CD738" s="460"/>
      <c r="CE738" s="460"/>
      <c r="CF738" s="460"/>
      <c r="CG738" s="460"/>
      <c r="CH738" s="460"/>
      <c r="CI738" s="460"/>
      <c r="CJ738" s="460"/>
      <c r="CK738" s="460"/>
    </row>
    <row r="739" spans="1:89" s="329" customFormat="1" ht="36" customHeight="1" x14ac:dyDescent="0.25">
      <c r="B739" s="33" t="s">
        <v>96</v>
      </c>
      <c r="C739" s="462"/>
      <c r="D739" s="330" t="s">
        <v>131</v>
      </c>
      <c r="E739" s="330" t="s">
        <v>131</v>
      </c>
      <c r="F739" s="330" t="s">
        <v>131</v>
      </c>
      <c r="G739" s="330" t="s">
        <v>131</v>
      </c>
      <c r="H739" s="330" t="s">
        <v>131</v>
      </c>
      <c r="I739" s="334">
        <f>SUM(I740:I764)</f>
        <v>53361.36</v>
      </c>
      <c r="J739" s="334">
        <f>SUM(J740:J764)</f>
        <v>40507.299999999996</v>
      </c>
      <c r="K739" s="334">
        <f>SUM(K740:K764)</f>
        <v>39510.81</v>
      </c>
      <c r="L739" s="332">
        <f>SUM(L740:L764)</f>
        <v>2132</v>
      </c>
      <c r="M739" s="330" t="s">
        <v>131</v>
      </c>
      <c r="N739" s="330" t="s">
        <v>131</v>
      </c>
      <c r="O739" s="333" t="s">
        <v>131</v>
      </c>
      <c r="P739" s="334">
        <v>106368136.16000001</v>
      </c>
      <c r="Q739" s="334">
        <f>SUM(Q740:Q764)</f>
        <v>0</v>
      </c>
      <c r="R739" s="334">
        <f>SUM(R740:R764)</f>
        <v>0</v>
      </c>
      <c r="S739" s="334">
        <f>SUM(S740:S764)</f>
        <v>106368136.16000001</v>
      </c>
      <c r="T739" s="38">
        <f t="shared" si="137"/>
        <v>1993.3550449238926</v>
      </c>
      <c r="U739" s="38">
        <f>MAX(U740:U764)</f>
        <v>9856.9208221492281</v>
      </c>
      <c r="V739" s="458">
        <f t="shared" si="138"/>
        <v>7863.5657772253353</v>
      </c>
      <c r="W739" s="458"/>
      <c r="X739" s="458"/>
      <c r="Y739" s="459"/>
      <c r="Z739" s="459"/>
      <c r="AA739" s="459"/>
      <c r="AB739" s="459"/>
      <c r="AC739" s="459"/>
      <c r="AD739" s="459"/>
      <c r="AE739" s="459"/>
      <c r="AF739" s="459"/>
      <c r="AG739" s="459"/>
      <c r="AH739" s="459"/>
      <c r="AI739" s="459"/>
      <c r="AJ739" s="459"/>
      <c r="AK739" s="459"/>
      <c r="AL739" s="459"/>
      <c r="AM739" s="459"/>
      <c r="AN739" s="459"/>
      <c r="AO739" s="459"/>
      <c r="AP739" s="460"/>
      <c r="AQ739" s="460"/>
      <c r="AR739" s="460"/>
      <c r="AS739" s="460"/>
      <c r="AT739" s="460"/>
      <c r="AU739" s="460"/>
      <c r="AV739" s="460"/>
      <c r="AW739" s="460"/>
      <c r="AX739" s="460"/>
      <c r="AY739" s="460"/>
      <c r="AZ739" s="460"/>
      <c r="BA739" s="460"/>
      <c r="BB739" s="460"/>
      <c r="BC739" s="460"/>
      <c r="BD739" s="460"/>
      <c r="BE739" s="460"/>
      <c r="BF739" s="460"/>
      <c r="BG739" s="460"/>
      <c r="BH739" s="460"/>
      <c r="BI739" s="460"/>
      <c r="BJ739" s="460"/>
      <c r="BK739" s="460"/>
      <c r="BL739" s="460"/>
      <c r="BM739" s="460"/>
      <c r="BN739" s="460"/>
      <c r="BO739" s="460"/>
      <c r="BP739" s="460"/>
      <c r="BQ739" s="460"/>
      <c r="BR739" s="460"/>
      <c r="BS739" s="460"/>
      <c r="BT739" s="460"/>
      <c r="BU739" s="460"/>
      <c r="BV739" s="460"/>
      <c r="BW739" s="460"/>
      <c r="BX739" s="460"/>
      <c r="BY739" s="460"/>
      <c r="BZ739" s="460"/>
      <c r="CA739" s="460"/>
      <c r="CB739" s="460"/>
      <c r="CC739" s="460"/>
      <c r="CD739" s="460"/>
      <c r="CE739" s="460"/>
      <c r="CF739" s="460"/>
      <c r="CG739" s="460"/>
      <c r="CH739" s="460"/>
      <c r="CI739" s="460"/>
      <c r="CJ739" s="460"/>
      <c r="CK739" s="460"/>
    </row>
    <row r="740" spans="1:89" s="329" customFormat="1" ht="36" customHeight="1" x14ac:dyDescent="0.25">
      <c r="A740" s="329">
        <v>1</v>
      </c>
      <c r="B740" s="39">
        <f>SUBTOTAL(103,$A$552:A740)</f>
        <v>184</v>
      </c>
      <c r="C740" s="33" t="s">
        <v>1562</v>
      </c>
      <c r="D740" s="330">
        <v>1966</v>
      </c>
      <c r="E740" s="330"/>
      <c r="F740" s="331" t="s">
        <v>48</v>
      </c>
      <c r="G740" s="330">
        <v>5</v>
      </c>
      <c r="H740" s="330" t="s">
        <v>61</v>
      </c>
      <c r="I740" s="334">
        <v>4109.6000000000004</v>
      </c>
      <c r="J740" s="334">
        <v>2516.14</v>
      </c>
      <c r="K740" s="334">
        <v>2269.44</v>
      </c>
      <c r="L740" s="332">
        <v>105</v>
      </c>
      <c r="M740" s="330" t="s">
        <v>46</v>
      </c>
      <c r="N740" s="330" t="s">
        <v>50</v>
      </c>
      <c r="O740" s="333" t="s">
        <v>232</v>
      </c>
      <c r="P740" s="38">
        <v>4305622.5199999996</v>
      </c>
      <c r="Q740" s="38">
        <v>0</v>
      </c>
      <c r="R740" s="38">
        <v>0</v>
      </c>
      <c r="S740" s="38">
        <f t="shared" ref="S740:S764" si="142">P740-Q740-R740</f>
        <v>4305622.5199999996</v>
      </c>
      <c r="T740" s="38">
        <f t="shared" si="137"/>
        <v>1047.6986860035038</v>
      </c>
      <c r="U740" s="38">
        <v>1177.5177316527156</v>
      </c>
      <c r="V740" s="458">
        <f t="shared" si="138"/>
        <v>129.81904564921183</v>
      </c>
      <c r="W740" s="458">
        <f t="shared" ref="W740:W764" si="143">X740+Y740+Z740+AA740+AB740+AD740+AF740+AH740+AJ740+AL740+AN740+AO740</f>
        <v>1173.5150452598791</v>
      </c>
      <c r="X740" s="458">
        <v>0</v>
      </c>
      <c r="Y740" s="459">
        <v>0</v>
      </c>
      <c r="Z740" s="459">
        <v>0</v>
      </c>
      <c r="AA740" s="459">
        <v>0</v>
      </c>
      <c r="AB740" s="459">
        <v>0</v>
      </c>
      <c r="AC740" s="459">
        <v>0</v>
      </c>
      <c r="AD740" s="459">
        <v>0</v>
      </c>
      <c r="AE740" s="459">
        <v>773</v>
      </c>
      <c r="AF740" s="458">
        <f t="shared" ref="AF740:AF748" si="144">6238.91*AE740/I740</f>
        <v>1173.5150452598791</v>
      </c>
      <c r="AG740" s="459">
        <v>0</v>
      </c>
      <c r="AH740" s="458">
        <v>0</v>
      </c>
      <c r="AI740" s="459">
        <v>0</v>
      </c>
      <c r="AJ740" s="458">
        <v>0</v>
      </c>
      <c r="AK740" s="459">
        <v>0</v>
      </c>
      <c r="AL740" s="459">
        <v>0</v>
      </c>
      <c r="AM740" s="459">
        <v>0</v>
      </c>
      <c r="AN740" s="459"/>
      <c r="AO740" s="459">
        <v>0</v>
      </c>
      <c r="AP740" s="460"/>
      <c r="AQ740" s="460"/>
      <c r="AR740" s="460"/>
      <c r="AS740" s="460"/>
      <c r="AT740" s="460"/>
      <c r="AU740" s="460"/>
      <c r="AV740" s="460"/>
      <c r="AW740" s="460"/>
      <c r="AX740" s="460"/>
      <c r="AY740" s="460"/>
      <c r="AZ740" s="460"/>
      <c r="BA740" s="460"/>
      <c r="BB740" s="460"/>
      <c r="BC740" s="460"/>
      <c r="BD740" s="460"/>
      <c r="BE740" s="460"/>
      <c r="BF740" s="460"/>
      <c r="BG740" s="460"/>
      <c r="BH740" s="460"/>
      <c r="BI740" s="460"/>
      <c r="BJ740" s="460"/>
      <c r="BK740" s="460"/>
      <c r="BL740" s="460"/>
      <c r="BM740" s="460"/>
      <c r="BN740" s="460"/>
      <c r="BO740" s="460"/>
      <c r="BP740" s="460"/>
      <c r="BQ740" s="460"/>
      <c r="BR740" s="460"/>
      <c r="BS740" s="460"/>
      <c r="BT740" s="460"/>
      <c r="BU740" s="460"/>
      <c r="BV740" s="460"/>
      <c r="BW740" s="460"/>
      <c r="BX740" s="460"/>
      <c r="BY740" s="460"/>
      <c r="BZ740" s="460"/>
      <c r="CA740" s="460"/>
      <c r="CB740" s="460"/>
      <c r="CC740" s="460"/>
      <c r="CD740" s="460"/>
      <c r="CE740" s="460"/>
      <c r="CF740" s="460"/>
      <c r="CG740" s="460"/>
      <c r="CH740" s="460"/>
      <c r="CI740" s="460"/>
      <c r="CJ740" s="460"/>
      <c r="CK740" s="460"/>
    </row>
    <row r="741" spans="1:89" s="329" customFormat="1" ht="36" customHeight="1" x14ac:dyDescent="0.25">
      <c r="A741" s="329">
        <v>1</v>
      </c>
      <c r="B741" s="39">
        <f>SUBTOTAL(103,$A$552:A741)</f>
        <v>185</v>
      </c>
      <c r="C741" s="33" t="s">
        <v>1563</v>
      </c>
      <c r="D741" s="330">
        <v>1965</v>
      </c>
      <c r="E741" s="330"/>
      <c r="F741" s="331" t="s">
        <v>48</v>
      </c>
      <c r="G741" s="330" t="s">
        <v>75</v>
      </c>
      <c r="H741" s="330" t="s">
        <v>59</v>
      </c>
      <c r="I741" s="334">
        <v>4233.3599999999997</v>
      </c>
      <c r="J741" s="334">
        <v>3105.6</v>
      </c>
      <c r="K741" s="334">
        <v>3105.6</v>
      </c>
      <c r="L741" s="332">
        <v>208</v>
      </c>
      <c r="M741" s="330" t="s">
        <v>46</v>
      </c>
      <c r="N741" s="330" t="s">
        <v>50</v>
      </c>
      <c r="O741" s="333" t="s">
        <v>2029</v>
      </c>
      <c r="P741" s="38">
        <v>5849319.5699999994</v>
      </c>
      <c r="Q741" s="38">
        <v>0</v>
      </c>
      <c r="R741" s="38">
        <v>0</v>
      </c>
      <c r="S741" s="38">
        <f t="shared" si="142"/>
        <v>5849319.5699999994</v>
      </c>
      <c r="T741" s="38">
        <f t="shared" si="137"/>
        <v>1381.7203285333635</v>
      </c>
      <c r="U741" s="38">
        <v>1552.7145104597766</v>
      </c>
      <c r="V741" s="458">
        <f t="shared" si="138"/>
        <v>170.99418192641315</v>
      </c>
      <c r="W741" s="458">
        <f t="shared" si="143"/>
        <v>1547.4364334712852</v>
      </c>
      <c r="X741" s="458">
        <v>0</v>
      </c>
      <c r="Y741" s="459">
        <v>0</v>
      </c>
      <c r="Z741" s="459">
        <v>0</v>
      </c>
      <c r="AA741" s="459">
        <v>0</v>
      </c>
      <c r="AB741" s="459">
        <v>0</v>
      </c>
      <c r="AC741" s="459">
        <v>0</v>
      </c>
      <c r="AD741" s="459">
        <v>0</v>
      </c>
      <c r="AE741" s="459">
        <v>1050</v>
      </c>
      <c r="AF741" s="458">
        <f t="shared" si="144"/>
        <v>1547.4364334712852</v>
      </c>
      <c r="AG741" s="459">
        <v>0</v>
      </c>
      <c r="AH741" s="458">
        <v>0</v>
      </c>
      <c r="AI741" s="459">
        <v>0</v>
      </c>
      <c r="AJ741" s="458">
        <v>0</v>
      </c>
      <c r="AK741" s="459">
        <v>0</v>
      </c>
      <c r="AL741" s="459">
        <v>0</v>
      </c>
      <c r="AM741" s="459">
        <v>0</v>
      </c>
      <c r="AN741" s="459"/>
      <c r="AO741" s="459">
        <v>0</v>
      </c>
      <c r="AP741" s="460"/>
      <c r="AQ741" s="460"/>
      <c r="AR741" s="460"/>
      <c r="AS741" s="460"/>
      <c r="AT741" s="460"/>
      <c r="AU741" s="460"/>
      <c r="AV741" s="460"/>
      <c r="AW741" s="460"/>
      <c r="AX741" s="460"/>
      <c r="AY741" s="460"/>
      <c r="AZ741" s="460"/>
      <c r="BA741" s="460"/>
      <c r="BB741" s="460"/>
      <c r="BC741" s="460"/>
      <c r="BD741" s="460"/>
      <c r="BE741" s="460"/>
      <c r="BF741" s="460"/>
      <c r="BG741" s="460"/>
      <c r="BH741" s="460"/>
      <c r="BI741" s="460"/>
      <c r="BJ741" s="460"/>
      <c r="BK741" s="460"/>
      <c r="BL741" s="460"/>
      <c r="BM741" s="460"/>
      <c r="BN741" s="460"/>
      <c r="BO741" s="460"/>
      <c r="BP741" s="460"/>
      <c r="BQ741" s="460"/>
      <c r="BR741" s="460"/>
      <c r="BS741" s="460"/>
      <c r="BT741" s="460"/>
      <c r="BU741" s="460"/>
      <c r="BV741" s="460"/>
      <c r="BW741" s="460"/>
      <c r="BX741" s="460"/>
      <c r="BY741" s="460"/>
      <c r="BZ741" s="460"/>
      <c r="CA741" s="460"/>
      <c r="CB741" s="460"/>
      <c r="CC741" s="460"/>
      <c r="CD741" s="460"/>
      <c r="CE741" s="460"/>
      <c r="CF741" s="460"/>
      <c r="CG741" s="460"/>
      <c r="CH741" s="460"/>
      <c r="CI741" s="460"/>
      <c r="CJ741" s="460"/>
      <c r="CK741" s="460"/>
    </row>
    <row r="742" spans="1:89" s="329" customFormat="1" ht="36" customHeight="1" x14ac:dyDescent="0.25">
      <c r="A742" s="329">
        <v>1</v>
      </c>
      <c r="B742" s="39">
        <f>SUBTOTAL(103,$A$552:A742)</f>
        <v>186</v>
      </c>
      <c r="C742" s="33" t="s">
        <v>1564</v>
      </c>
      <c r="D742" s="330">
        <v>1964</v>
      </c>
      <c r="E742" s="330"/>
      <c r="F742" s="331" t="s">
        <v>48</v>
      </c>
      <c r="G742" s="330" t="s">
        <v>59</v>
      </c>
      <c r="H742" s="330" t="s">
        <v>59</v>
      </c>
      <c r="I742" s="334">
        <v>3054.2</v>
      </c>
      <c r="J742" s="334">
        <v>2812.7</v>
      </c>
      <c r="K742" s="334">
        <v>2812.7</v>
      </c>
      <c r="L742" s="332">
        <v>156</v>
      </c>
      <c r="M742" s="330" t="s">
        <v>46</v>
      </c>
      <c r="N742" s="330" t="s">
        <v>50</v>
      </c>
      <c r="O742" s="333" t="s">
        <v>2029</v>
      </c>
      <c r="P742" s="38">
        <v>4691039.5599999996</v>
      </c>
      <c r="Q742" s="38">
        <v>0</v>
      </c>
      <c r="R742" s="38">
        <v>0</v>
      </c>
      <c r="S742" s="38">
        <f t="shared" si="142"/>
        <v>4691039.5599999996</v>
      </c>
      <c r="T742" s="38">
        <f t="shared" si="137"/>
        <v>1535.9307052583326</v>
      </c>
      <c r="U742" s="38">
        <v>1936.9653428066269</v>
      </c>
      <c r="V742" s="458">
        <f t="shared" si="138"/>
        <v>401.03463754829431</v>
      </c>
      <c r="W742" s="458">
        <f t="shared" si="143"/>
        <v>1930.3810981599111</v>
      </c>
      <c r="X742" s="458">
        <v>0</v>
      </c>
      <c r="Y742" s="459">
        <v>0</v>
      </c>
      <c r="Z742" s="459">
        <v>0</v>
      </c>
      <c r="AA742" s="459">
        <v>0</v>
      </c>
      <c r="AB742" s="459">
        <v>0</v>
      </c>
      <c r="AC742" s="459">
        <v>0</v>
      </c>
      <c r="AD742" s="459">
        <v>0</v>
      </c>
      <c r="AE742" s="459">
        <v>945</v>
      </c>
      <c r="AF742" s="458">
        <f t="shared" si="144"/>
        <v>1930.3810981599111</v>
      </c>
      <c r="AG742" s="459">
        <v>0</v>
      </c>
      <c r="AH742" s="458">
        <v>0</v>
      </c>
      <c r="AI742" s="459">
        <v>0</v>
      </c>
      <c r="AJ742" s="458">
        <v>0</v>
      </c>
      <c r="AK742" s="459">
        <v>0</v>
      </c>
      <c r="AL742" s="459">
        <v>0</v>
      </c>
      <c r="AM742" s="459">
        <v>0</v>
      </c>
      <c r="AN742" s="459"/>
      <c r="AO742" s="459">
        <v>0</v>
      </c>
      <c r="AP742" s="460"/>
      <c r="AQ742" s="460"/>
      <c r="AR742" s="460"/>
      <c r="AS742" s="460"/>
      <c r="AT742" s="460"/>
      <c r="AU742" s="460"/>
      <c r="AV742" s="460"/>
      <c r="AW742" s="460"/>
      <c r="AX742" s="460"/>
      <c r="AY742" s="460"/>
      <c r="AZ742" s="460"/>
      <c r="BA742" s="460"/>
      <c r="BB742" s="460"/>
      <c r="BC742" s="460"/>
      <c r="BD742" s="460"/>
      <c r="BE742" s="460"/>
      <c r="BF742" s="460"/>
      <c r="BG742" s="460"/>
      <c r="BH742" s="460"/>
      <c r="BI742" s="460"/>
      <c r="BJ742" s="460"/>
      <c r="BK742" s="460"/>
      <c r="BL742" s="460"/>
      <c r="BM742" s="460"/>
      <c r="BN742" s="460"/>
      <c r="BO742" s="460"/>
      <c r="BP742" s="460"/>
      <c r="BQ742" s="460"/>
      <c r="BR742" s="460"/>
      <c r="BS742" s="460"/>
      <c r="BT742" s="460"/>
      <c r="BU742" s="460"/>
      <c r="BV742" s="460"/>
      <c r="BW742" s="460"/>
      <c r="BX742" s="460"/>
      <c r="BY742" s="460"/>
      <c r="BZ742" s="460"/>
      <c r="CA742" s="460"/>
      <c r="CB742" s="460"/>
      <c r="CC742" s="460"/>
      <c r="CD742" s="460"/>
      <c r="CE742" s="460"/>
      <c r="CF742" s="460"/>
      <c r="CG742" s="460"/>
      <c r="CH742" s="460"/>
      <c r="CI742" s="460"/>
      <c r="CJ742" s="460"/>
      <c r="CK742" s="460"/>
    </row>
    <row r="743" spans="1:89" s="329" customFormat="1" ht="36" customHeight="1" x14ac:dyDescent="0.25">
      <c r="A743" s="329">
        <v>1</v>
      </c>
      <c r="B743" s="39">
        <f>SUBTOTAL(103,$A$552:A743)</f>
        <v>187</v>
      </c>
      <c r="C743" s="33" t="s">
        <v>926</v>
      </c>
      <c r="D743" s="330">
        <v>1955</v>
      </c>
      <c r="E743" s="330"/>
      <c r="F743" s="331" t="s">
        <v>48</v>
      </c>
      <c r="G743" s="330">
        <v>2</v>
      </c>
      <c r="H743" s="330">
        <v>1</v>
      </c>
      <c r="I743" s="334">
        <v>424.9</v>
      </c>
      <c r="J743" s="334">
        <v>343.85</v>
      </c>
      <c r="K743" s="334">
        <v>248.25</v>
      </c>
      <c r="L743" s="332">
        <v>21</v>
      </c>
      <c r="M743" s="330" t="s">
        <v>46</v>
      </c>
      <c r="N743" s="330" t="s">
        <v>47</v>
      </c>
      <c r="O743" s="333" t="s">
        <v>49</v>
      </c>
      <c r="P743" s="38">
        <v>3307936.78</v>
      </c>
      <c r="Q743" s="38">
        <v>0</v>
      </c>
      <c r="R743" s="38">
        <v>0</v>
      </c>
      <c r="S743" s="38">
        <f t="shared" si="142"/>
        <v>3307936.78</v>
      </c>
      <c r="T743" s="38">
        <f t="shared" si="137"/>
        <v>7785.2124735231819</v>
      </c>
      <c r="U743" s="38">
        <v>9576.6615674276291</v>
      </c>
      <c r="V743" s="458">
        <f t="shared" si="138"/>
        <v>1791.4490939044472</v>
      </c>
      <c r="W743" s="458">
        <f t="shared" si="143"/>
        <v>9544.108025417745</v>
      </c>
      <c r="X743" s="458">
        <v>0</v>
      </c>
      <c r="Y743" s="459">
        <v>0</v>
      </c>
      <c r="Z743" s="459">
        <v>0</v>
      </c>
      <c r="AA743" s="459">
        <v>0</v>
      </c>
      <c r="AB743" s="459">
        <v>0</v>
      </c>
      <c r="AC743" s="459">
        <v>0</v>
      </c>
      <c r="AD743" s="459">
        <v>0</v>
      </c>
      <c r="AE743" s="459">
        <v>650</v>
      </c>
      <c r="AF743" s="458">
        <f t="shared" si="144"/>
        <v>9544.108025417745</v>
      </c>
      <c r="AG743" s="459">
        <v>0</v>
      </c>
      <c r="AH743" s="458">
        <v>0</v>
      </c>
      <c r="AI743" s="459">
        <v>0</v>
      </c>
      <c r="AJ743" s="458">
        <v>0</v>
      </c>
      <c r="AK743" s="459">
        <v>0</v>
      </c>
      <c r="AL743" s="459">
        <v>0</v>
      </c>
      <c r="AM743" s="459">
        <v>0</v>
      </c>
      <c r="AN743" s="459"/>
      <c r="AO743" s="459">
        <v>0</v>
      </c>
      <c r="AP743" s="460"/>
      <c r="AQ743" s="460"/>
      <c r="AR743" s="460"/>
      <c r="AS743" s="460"/>
      <c r="AT743" s="460"/>
      <c r="AU743" s="460"/>
      <c r="AV743" s="460"/>
      <c r="AW743" s="460"/>
      <c r="AX743" s="460"/>
      <c r="AY743" s="460"/>
      <c r="AZ743" s="460"/>
      <c r="BA743" s="460"/>
      <c r="BB743" s="460"/>
      <c r="BC743" s="460"/>
      <c r="BD743" s="460"/>
      <c r="BE743" s="460"/>
      <c r="BF743" s="460"/>
      <c r="BG743" s="460"/>
      <c r="BH743" s="460"/>
      <c r="BI743" s="460"/>
      <c r="BJ743" s="460"/>
      <c r="BK743" s="460"/>
      <c r="BL743" s="460"/>
      <c r="BM743" s="460"/>
      <c r="BN743" s="460"/>
      <c r="BO743" s="460"/>
      <c r="BP743" s="460"/>
      <c r="BQ743" s="460"/>
      <c r="BR743" s="460"/>
      <c r="BS743" s="460"/>
      <c r="BT743" s="460"/>
      <c r="BU743" s="460"/>
      <c r="BV743" s="460"/>
      <c r="BW743" s="460"/>
      <c r="BX743" s="460"/>
      <c r="BY743" s="460"/>
      <c r="BZ743" s="460"/>
      <c r="CA743" s="460"/>
      <c r="CB743" s="460"/>
      <c r="CC743" s="460"/>
      <c r="CD743" s="460"/>
      <c r="CE743" s="460"/>
      <c r="CF743" s="460"/>
      <c r="CG743" s="460"/>
      <c r="CH743" s="460"/>
      <c r="CI743" s="460"/>
      <c r="CJ743" s="460"/>
      <c r="CK743" s="460"/>
    </row>
    <row r="744" spans="1:89" s="329" customFormat="1" ht="36" customHeight="1" x14ac:dyDescent="0.25">
      <c r="A744" s="329">
        <v>1</v>
      </c>
      <c r="B744" s="39">
        <f>SUBTOTAL(103,$A$552:A744)</f>
        <v>188</v>
      </c>
      <c r="C744" s="33" t="s">
        <v>1565</v>
      </c>
      <c r="D744" s="330">
        <v>1977</v>
      </c>
      <c r="E744" s="330"/>
      <c r="F744" s="331" t="s">
        <v>48</v>
      </c>
      <c r="G744" s="330">
        <v>5</v>
      </c>
      <c r="H744" s="330" t="s">
        <v>1969</v>
      </c>
      <c r="I744" s="334">
        <v>4398.3999999999996</v>
      </c>
      <c r="J744" s="334">
        <v>3962.5</v>
      </c>
      <c r="K744" s="334">
        <v>3962.5</v>
      </c>
      <c r="L744" s="332">
        <v>234</v>
      </c>
      <c r="M744" s="330" t="s">
        <v>46</v>
      </c>
      <c r="N744" s="330" t="s">
        <v>50</v>
      </c>
      <c r="O744" s="333" t="s">
        <v>2142</v>
      </c>
      <c r="P744" s="38">
        <v>5135695.41</v>
      </c>
      <c r="Q744" s="38">
        <v>0</v>
      </c>
      <c r="R744" s="38">
        <v>0</v>
      </c>
      <c r="S744" s="38">
        <f t="shared" si="142"/>
        <v>5135695.41</v>
      </c>
      <c r="T744" s="38">
        <f t="shared" si="137"/>
        <v>1167.6280943070208</v>
      </c>
      <c r="U744" s="38">
        <v>1480.2195343761368</v>
      </c>
      <c r="V744" s="458">
        <f t="shared" si="138"/>
        <v>312.59144006911606</v>
      </c>
      <c r="W744" s="458">
        <f t="shared" si="143"/>
        <v>1475.1878865041833</v>
      </c>
      <c r="X744" s="458">
        <v>0</v>
      </c>
      <c r="Y744" s="459">
        <v>0</v>
      </c>
      <c r="Z744" s="459">
        <v>0</v>
      </c>
      <c r="AA744" s="459">
        <v>0</v>
      </c>
      <c r="AB744" s="459">
        <v>0</v>
      </c>
      <c r="AC744" s="459">
        <v>0</v>
      </c>
      <c r="AD744" s="459">
        <v>0</v>
      </c>
      <c r="AE744" s="459">
        <v>1040</v>
      </c>
      <c r="AF744" s="458">
        <f t="shared" si="144"/>
        <v>1475.1878865041833</v>
      </c>
      <c r="AG744" s="459">
        <v>0</v>
      </c>
      <c r="AH744" s="458">
        <v>0</v>
      </c>
      <c r="AI744" s="459">
        <v>0</v>
      </c>
      <c r="AJ744" s="458">
        <v>0</v>
      </c>
      <c r="AK744" s="459">
        <v>0</v>
      </c>
      <c r="AL744" s="459">
        <v>0</v>
      </c>
      <c r="AM744" s="459">
        <v>0</v>
      </c>
      <c r="AN744" s="459"/>
      <c r="AO744" s="459">
        <v>0</v>
      </c>
      <c r="AP744" s="460"/>
      <c r="AQ744" s="460"/>
      <c r="AR744" s="460"/>
      <c r="AS744" s="460"/>
      <c r="AT744" s="460"/>
      <c r="AU744" s="460"/>
      <c r="AV744" s="460"/>
      <c r="AW744" s="460"/>
      <c r="AX744" s="460"/>
      <c r="AY744" s="460"/>
      <c r="AZ744" s="460"/>
      <c r="BA744" s="460"/>
      <c r="BB744" s="460"/>
      <c r="BC744" s="460"/>
      <c r="BD744" s="460"/>
      <c r="BE744" s="460"/>
      <c r="BF744" s="460"/>
      <c r="BG744" s="460"/>
      <c r="BH744" s="460"/>
      <c r="BI744" s="460"/>
      <c r="BJ744" s="460"/>
      <c r="BK744" s="460"/>
      <c r="BL744" s="460"/>
      <c r="BM744" s="460"/>
      <c r="BN744" s="460"/>
      <c r="BO744" s="460"/>
      <c r="BP744" s="460"/>
      <c r="BQ744" s="460"/>
      <c r="BR744" s="460"/>
      <c r="BS744" s="460"/>
      <c r="BT744" s="460"/>
      <c r="BU744" s="460"/>
      <c r="BV744" s="460"/>
      <c r="BW744" s="460"/>
      <c r="BX744" s="460"/>
      <c r="BY744" s="460"/>
      <c r="BZ744" s="460"/>
      <c r="CA744" s="460"/>
      <c r="CB744" s="460"/>
      <c r="CC744" s="460"/>
      <c r="CD744" s="460"/>
      <c r="CE744" s="460"/>
      <c r="CF744" s="460"/>
      <c r="CG744" s="460"/>
      <c r="CH744" s="460"/>
      <c r="CI744" s="460"/>
      <c r="CJ744" s="460"/>
      <c r="CK744" s="460"/>
    </row>
    <row r="745" spans="1:89" s="329" customFormat="1" ht="36" customHeight="1" x14ac:dyDescent="0.25">
      <c r="A745" s="329">
        <v>1</v>
      </c>
      <c r="B745" s="39">
        <f>SUBTOTAL(103,$A$552:A745)</f>
        <v>189</v>
      </c>
      <c r="C745" s="33" t="s">
        <v>928</v>
      </c>
      <c r="D745" s="330">
        <v>2001</v>
      </c>
      <c r="E745" s="330"/>
      <c r="F745" s="331" t="s">
        <v>60</v>
      </c>
      <c r="G745" s="330" t="s">
        <v>75</v>
      </c>
      <c r="H745" s="330" t="s">
        <v>56</v>
      </c>
      <c r="I745" s="334">
        <v>4008</v>
      </c>
      <c r="J745" s="334">
        <v>2472.3000000000002</v>
      </c>
      <c r="K745" s="334">
        <v>2472.3000000000002</v>
      </c>
      <c r="L745" s="332">
        <v>92</v>
      </c>
      <c r="M745" s="330" t="s">
        <v>46</v>
      </c>
      <c r="N745" s="330" t="s">
        <v>50</v>
      </c>
      <c r="O745" s="333" t="s">
        <v>232</v>
      </c>
      <c r="P745" s="38">
        <v>4861949.2</v>
      </c>
      <c r="Q745" s="38">
        <v>0</v>
      </c>
      <c r="R745" s="38">
        <v>0</v>
      </c>
      <c r="S745" s="38">
        <f t="shared" si="142"/>
        <v>4861949.2</v>
      </c>
      <c r="T745" s="38">
        <f t="shared" si="137"/>
        <v>1213.0611776447106</v>
      </c>
      <c r="U745" s="38">
        <v>1463.5224625748501</v>
      </c>
      <c r="V745" s="458">
        <f t="shared" si="138"/>
        <v>250.46128493013953</v>
      </c>
      <c r="W745" s="458">
        <f t="shared" si="143"/>
        <v>1458.5475723552895</v>
      </c>
      <c r="X745" s="458">
        <v>0</v>
      </c>
      <c r="Y745" s="459">
        <v>0</v>
      </c>
      <c r="Z745" s="459">
        <v>0</v>
      </c>
      <c r="AA745" s="459">
        <v>0</v>
      </c>
      <c r="AB745" s="459">
        <v>0</v>
      </c>
      <c r="AC745" s="459">
        <v>0</v>
      </c>
      <c r="AD745" s="459">
        <v>0</v>
      </c>
      <c r="AE745" s="459">
        <v>937</v>
      </c>
      <c r="AF745" s="458">
        <f t="shared" si="144"/>
        <v>1458.5475723552895</v>
      </c>
      <c r="AG745" s="459">
        <v>0</v>
      </c>
      <c r="AH745" s="458">
        <v>0</v>
      </c>
      <c r="AI745" s="459">
        <v>0</v>
      </c>
      <c r="AJ745" s="458">
        <v>0</v>
      </c>
      <c r="AK745" s="459">
        <v>0</v>
      </c>
      <c r="AL745" s="459">
        <v>0</v>
      </c>
      <c r="AM745" s="459">
        <v>0</v>
      </c>
      <c r="AN745" s="459"/>
      <c r="AO745" s="459">
        <v>0</v>
      </c>
      <c r="AP745" s="460"/>
      <c r="AQ745" s="460"/>
      <c r="AR745" s="460"/>
      <c r="AS745" s="460"/>
      <c r="AT745" s="460"/>
      <c r="AU745" s="460"/>
      <c r="AV745" s="460"/>
      <c r="AW745" s="460"/>
      <c r="AX745" s="460"/>
      <c r="AY745" s="460"/>
      <c r="AZ745" s="460"/>
      <c r="BA745" s="460"/>
      <c r="BB745" s="460"/>
      <c r="BC745" s="460"/>
      <c r="BD745" s="460"/>
      <c r="BE745" s="460"/>
      <c r="BF745" s="460"/>
      <c r="BG745" s="460"/>
      <c r="BH745" s="460"/>
      <c r="BI745" s="460"/>
      <c r="BJ745" s="460"/>
      <c r="BK745" s="460"/>
      <c r="BL745" s="460"/>
      <c r="BM745" s="460"/>
      <c r="BN745" s="460"/>
      <c r="BO745" s="460"/>
      <c r="BP745" s="460"/>
      <c r="BQ745" s="460"/>
      <c r="BR745" s="460"/>
      <c r="BS745" s="460"/>
      <c r="BT745" s="460"/>
      <c r="BU745" s="460"/>
      <c r="BV745" s="460"/>
      <c r="BW745" s="460"/>
      <c r="BX745" s="460"/>
      <c r="BY745" s="460"/>
      <c r="BZ745" s="460"/>
      <c r="CA745" s="460"/>
      <c r="CB745" s="460"/>
      <c r="CC745" s="460"/>
      <c r="CD745" s="460"/>
      <c r="CE745" s="460"/>
      <c r="CF745" s="460"/>
      <c r="CG745" s="460"/>
      <c r="CH745" s="460"/>
      <c r="CI745" s="460"/>
      <c r="CJ745" s="460"/>
      <c r="CK745" s="460"/>
    </row>
    <row r="746" spans="1:89" s="329" customFormat="1" ht="36" customHeight="1" x14ac:dyDescent="0.25">
      <c r="A746" s="329">
        <v>1</v>
      </c>
      <c r="B746" s="39">
        <f>SUBTOTAL(103,$A$552:A746)</f>
        <v>190</v>
      </c>
      <c r="C746" s="33" t="s">
        <v>1566</v>
      </c>
      <c r="D746" s="330">
        <v>1960</v>
      </c>
      <c r="E746" s="330"/>
      <c r="F746" s="331" t="s">
        <v>48</v>
      </c>
      <c r="G746" s="330">
        <v>2</v>
      </c>
      <c r="H746" s="330" t="s">
        <v>56</v>
      </c>
      <c r="I746" s="334">
        <v>676.9</v>
      </c>
      <c r="J746" s="334">
        <v>629.70000000000005</v>
      </c>
      <c r="K746" s="334">
        <v>629.70000000000005</v>
      </c>
      <c r="L746" s="332">
        <v>34</v>
      </c>
      <c r="M746" s="330" t="s">
        <v>46</v>
      </c>
      <c r="N746" s="330" t="s">
        <v>50</v>
      </c>
      <c r="O746" s="333" t="s">
        <v>2027</v>
      </c>
      <c r="P746" s="38">
        <v>2852459.42</v>
      </c>
      <c r="Q746" s="38">
        <v>0</v>
      </c>
      <c r="R746" s="38">
        <v>0</v>
      </c>
      <c r="S746" s="38">
        <f t="shared" si="142"/>
        <v>2852459.42</v>
      </c>
      <c r="T746" s="38">
        <f t="shared" si="137"/>
        <v>4214.0041660511151</v>
      </c>
      <c r="U746" s="38">
        <v>5175.3616841483235</v>
      </c>
      <c r="V746" s="458">
        <f t="shared" si="138"/>
        <v>961.35751809720841</v>
      </c>
      <c r="W746" s="458">
        <f t="shared" si="143"/>
        <v>5157.7692953168862</v>
      </c>
      <c r="X746" s="458">
        <v>0</v>
      </c>
      <c r="Y746" s="459">
        <v>0</v>
      </c>
      <c r="Z746" s="459">
        <v>0</v>
      </c>
      <c r="AA746" s="459">
        <v>0</v>
      </c>
      <c r="AB746" s="459">
        <v>0</v>
      </c>
      <c r="AC746" s="459">
        <v>0</v>
      </c>
      <c r="AD746" s="459">
        <v>0</v>
      </c>
      <c r="AE746" s="459">
        <v>559.6</v>
      </c>
      <c r="AF746" s="458">
        <f t="shared" si="144"/>
        <v>5157.7692953168862</v>
      </c>
      <c r="AG746" s="459">
        <v>0</v>
      </c>
      <c r="AH746" s="458">
        <v>0</v>
      </c>
      <c r="AI746" s="459">
        <v>0</v>
      </c>
      <c r="AJ746" s="458">
        <v>0</v>
      </c>
      <c r="AK746" s="459">
        <v>0</v>
      </c>
      <c r="AL746" s="459">
        <v>0</v>
      </c>
      <c r="AM746" s="459">
        <v>0</v>
      </c>
      <c r="AN746" s="459"/>
      <c r="AO746" s="459">
        <v>0</v>
      </c>
      <c r="AP746" s="460"/>
      <c r="AQ746" s="460"/>
      <c r="AR746" s="460"/>
      <c r="AS746" s="460"/>
      <c r="AT746" s="460"/>
      <c r="AU746" s="460"/>
      <c r="AV746" s="460"/>
      <c r="AW746" s="460"/>
      <c r="AX746" s="460"/>
      <c r="AY746" s="460"/>
      <c r="AZ746" s="460"/>
      <c r="BA746" s="460"/>
      <c r="BB746" s="460"/>
      <c r="BC746" s="460"/>
      <c r="BD746" s="460"/>
      <c r="BE746" s="460"/>
      <c r="BF746" s="460"/>
      <c r="BG746" s="460"/>
      <c r="BH746" s="460"/>
      <c r="BI746" s="460"/>
      <c r="BJ746" s="460"/>
      <c r="BK746" s="460"/>
      <c r="BL746" s="460"/>
      <c r="BM746" s="460"/>
      <c r="BN746" s="460"/>
      <c r="BO746" s="460"/>
      <c r="BP746" s="460"/>
      <c r="BQ746" s="460"/>
      <c r="BR746" s="460"/>
      <c r="BS746" s="460"/>
      <c r="BT746" s="460"/>
      <c r="BU746" s="460"/>
      <c r="BV746" s="460"/>
      <c r="BW746" s="460"/>
      <c r="BX746" s="460"/>
      <c r="BY746" s="460"/>
      <c r="BZ746" s="460"/>
      <c r="CA746" s="460"/>
      <c r="CB746" s="460"/>
      <c r="CC746" s="460"/>
      <c r="CD746" s="460"/>
      <c r="CE746" s="460"/>
      <c r="CF746" s="460"/>
      <c r="CG746" s="460"/>
      <c r="CH746" s="460"/>
      <c r="CI746" s="460"/>
      <c r="CJ746" s="460"/>
      <c r="CK746" s="460"/>
    </row>
    <row r="747" spans="1:89" s="329" customFormat="1" ht="36" customHeight="1" x14ac:dyDescent="0.25">
      <c r="A747" s="329">
        <v>1</v>
      </c>
      <c r="B747" s="39">
        <f>SUBTOTAL(103,$A$552:A747)</f>
        <v>191</v>
      </c>
      <c r="C747" s="33" t="s">
        <v>1567</v>
      </c>
      <c r="D747" s="330">
        <v>1959</v>
      </c>
      <c r="E747" s="330"/>
      <c r="F747" s="331" t="s">
        <v>48</v>
      </c>
      <c r="G747" s="330" t="s">
        <v>61</v>
      </c>
      <c r="H747" s="330" t="s">
        <v>57</v>
      </c>
      <c r="I747" s="334">
        <v>1671.6</v>
      </c>
      <c r="J747" s="334">
        <v>1327.3</v>
      </c>
      <c r="K747" s="334">
        <v>1327.3</v>
      </c>
      <c r="L747" s="332">
        <v>138</v>
      </c>
      <c r="M747" s="330" t="s">
        <v>46</v>
      </c>
      <c r="N747" s="330" t="s">
        <v>2031</v>
      </c>
      <c r="O747" s="333" t="s">
        <v>49</v>
      </c>
      <c r="P747" s="38">
        <v>4893264.82</v>
      </c>
      <c r="Q747" s="38">
        <v>0</v>
      </c>
      <c r="R747" s="38">
        <v>0</v>
      </c>
      <c r="S747" s="38">
        <f t="shared" si="142"/>
        <v>4893264.82</v>
      </c>
      <c r="T747" s="38">
        <f t="shared" si="137"/>
        <v>2927.2941014596795</v>
      </c>
      <c r="U747" s="38">
        <v>3531.5620782483848</v>
      </c>
      <c r="V747" s="458">
        <f t="shared" si="138"/>
        <v>604.26797678870525</v>
      </c>
      <c r="W747" s="458">
        <f t="shared" si="143"/>
        <v>3519.557388131132</v>
      </c>
      <c r="X747" s="458">
        <v>0</v>
      </c>
      <c r="Y747" s="459">
        <v>0</v>
      </c>
      <c r="Z747" s="459">
        <v>0</v>
      </c>
      <c r="AA747" s="459">
        <v>0</v>
      </c>
      <c r="AB747" s="459">
        <v>0</v>
      </c>
      <c r="AC747" s="459">
        <v>0</v>
      </c>
      <c r="AD747" s="459">
        <v>0</v>
      </c>
      <c r="AE747" s="459">
        <v>943</v>
      </c>
      <c r="AF747" s="458">
        <f t="shared" si="144"/>
        <v>3519.557388131132</v>
      </c>
      <c r="AG747" s="459">
        <v>0</v>
      </c>
      <c r="AH747" s="458">
        <v>0</v>
      </c>
      <c r="AI747" s="459">
        <v>0</v>
      </c>
      <c r="AJ747" s="458">
        <v>0</v>
      </c>
      <c r="AK747" s="459">
        <v>0</v>
      </c>
      <c r="AL747" s="459">
        <v>0</v>
      </c>
      <c r="AM747" s="459">
        <v>0</v>
      </c>
      <c r="AN747" s="459"/>
      <c r="AO747" s="459">
        <v>0</v>
      </c>
      <c r="AP747" s="460"/>
      <c r="AQ747" s="460"/>
      <c r="AR747" s="460"/>
      <c r="AS747" s="460"/>
      <c r="AT747" s="460"/>
      <c r="AU747" s="460"/>
      <c r="AV747" s="460"/>
      <c r="AW747" s="460"/>
      <c r="AX747" s="460"/>
      <c r="AY747" s="460"/>
      <c r="AZ747" s="460"/>
      <c r="BA747" s="460"/>
      <c r="BB747" s="460"/>
      <c r="BC747" s="460"/>
      <c r="BD747" s="460"/>
      <c r="BE747" s="460"/>
      <c r="BF747" s="460"/>
      <c r="BG747" s="460"/>
      <c r="BH747" s="460"/>
      <c r="BI747" s="460"/>
      <c r="BJ747" s="460"/>
      <c r="BK747" s="460"/>
      <c r="BL747" s="460"/>
      <c r="BM747" s="460"/>
      <c r="BN747" s="460"/>
      <c r="BO747" s="460"/>
      <c r="BP747" s="460"/>
      <c r="BQ747" s="460"/>
      <c r="BR747" s="460"/>
      <c r="BS747" s="460"/>
      <c r="BT747" s="460"/>
      <c r="BU747" s="460"/>
      <c r="BV747" s="460"/>
      <c r="BW747" s="460"/>
      <c r="BX747" s="460"/>
      <c r="BY747" s="460"/>
      <c r="BZ747" s="460"/>
      <c r="CA747" s="460"/>
      <c r="CB747" s="460"/>
      <c r="CC747" s="460"/>
      <c r="CD747" s="460"/>
      <c r="CE747" s="460"/>
      <c r="CF747" s="460"/>
      <c r="CG747" s="460"/>
      <c r="CH747" s="460"/>
      <c r="CI747" s="460"/>
      <c r="CJ747" s="460"/>
      <c r="CK747" s="460"/>
    </row>
    <row r="748" spans="1:89" s="329" customFormat="1" ht="36" customHeight="1" x14ac:dyDescent="0.25">
      <c r="A748" s="329">
        <v>1</v>
      </c>
      <c r="B748" s="39">
        <f>SUBTOTAL(103,$A$552:A748)</f>
        <v>192</v>
      </c>
      <c r="C748" s="33" t="s">
        <v>1568</v>
      </c>
      <c r="D748" s="330">
        <v>1956</v>
      </c>
      <c r="E748" s="330"/>
      <c r="F748" s="331" t="s">
        <v>48</v>
      </c>
      <c r="G748" s="330">
        <v>2</v>
      </c>
      <c r="H748" s="330">
        <v>1</v>
      </c>
      <c r="I748" s="334">
        <v>418.2</v>
      </c>
      <c r="J748" s="334">
        <v>378.1</v>
      </c>
      <c r="K748" s="334">
        <v>378.1</v>
      </c>
      <c r="L748" s="332">
        <v>21</v>
      </c>
      <c r="M748" s="330" t="s">
        <v>46</v>
      </c>
      <c r="N748" s="330" t="s">
        <v>47</v>
      </c>
      <c r="O748" s="333" t="s">
        <v>49</v>
      </c>
      <c r="P748" s="38">
        <v>2680854.0299999998</v>
      </c>
      <c r="Q748" s="38">
        <v>0</v>
      </c>
      <c r="R748" s="38">
        <v>0</v>
      </c>
      <c r="S748" s="38">
        <f t="shared" si="142"/>
        <v>2680854.0299999998</v>
      </c>
      <c r="T748" s="38">
        <f t="shared" si="137"/>
        <v>6410.459182209469</v>
      </c>
      <c r="U748" s="38">
        <v>7933.7654232424675</v>
      </c>
      <c r="V748" s="458">
        <f t="shared" si="138"/>
        <v>1523.3062410329985</v>
      </c>
      <c r="W748" s="458">
        <f t="shared" si="143"/>
        <v>7906.7965088474411</v>
      </c>
      <c r="X748" s="458">
        <v>0</v>
      </c>
      <c r="Y748" s="459">
        <v>0</v>
      </c>
      <c r="Z748" s="459">
        <v>0</v>
      </c>
      <c r="AA748" s="459">
        <v>0</v>
      </c>
      <c r="AB748" s="459">
        <v>0</v>
      </c>
      <c r="AC748" s="459">
        <v>0</v>
      </c>
      <c r="AD748" s="459">
        <v>0</v>
      </c>
      <c r="AE748" s="459">
        <v>530</v>
      </c>
      <c r="AF748" s="458">
        <f t="shared" si="144"/>
        <v>7906.7965088474411</v>
      </c>
      <c r="AG748" s="459">
        <v>0</v>
      </c>
      <c r="AH748" s="458">
        <v>0</v>
      </c>
      <c r="AI748" s="459">
        <v>0</v>
      </c>
      <c r="AJ748" s="458">
        <v>0</v>
      </c>
      <c r="AK748" s="459">
        <v>0</v>
      </c>
      <c r="AL748" s="459">
        <v>0</v>
      </c>
      <c r="AM748" s="459">
        <v>0</v>
      </c>
      <c r="AN748" s="459"/>
      <c r="AO748" s="459">
        <v>0</v>
      </c>
      <c r="AP748" s="460"/>
      <c r="AQ748" s="460"/>
      <c r="AR748" s="460"/>
      <c r="AS748" s="460"/>
      <c r="AT748" s="460"/>
      <c r="AU748" s="460"/>
      <c r="AV748" s="460"/>
      <c r="AW748" s="460"/>
      <c r="AX748" s="460"/>
      <c r="AY748" s="460"/>
      <c r="AZ748" s="460"/>
      <c r="BA748" s="460"/>
      <c r="BB748" s="460"/>
      <c r="BC748" s="460"/>
      <c r="BD748" s="460"/>
      <c r="BE748" s="460"/>
      <c r="BF748" s="460"/>
      <c r="BG748" s="460"/>
      <c r="BH748" s="460"/>
      <c r="BI748" s="460"/>
      <c r="BJ748" s="460"/>
      <c r="BK748" s="460"/>
      <c r="BL748" s="460"/>
      <c r="BM748" s="460"/>
      <c r="BN748" s="460"/>
      <c r="BO748" s="460"/>
      <c r="BP748" s="460"/>
      <c r="BQ748" s="460"/>
      <c r="BR748" s="460"/>
      <c r="BS748" s="460"/>
      <c r="BT748" s="460"/>
      <c r="BU748" s="460"/>
      <c r="BV748" s="460"/>
      <c r="BW748" s="460"/>
      <c r="BX748" s="460"/>
      <c r="BY748" s="460"/>
      <c r="BZ748" s="460"/>
      <c r="CA748" s="460"/>
      <c r="CB748" s="460"/>
      <c r="CC748" s="460"/>
      <c r="CD748" s="460"/>
      <c r="CE748" s="460"/>
      <c r="CF748" s="460"/>
      <c r="CG748" s="460"/>
      <c r="CH748" s="460"/>
      <c r="CI748" s="460"/>
      <c r="CJ748" s="460"/>
      <c r="CK748" s="460"/>
    </row>
    <row r="749" spans="1:89" s="329" customFormat="1" ht="36" customHeight="1" x14ac:dyDescent="0.25">
      <c r="A749" s="329">
        <v>1</v>
      </c>
      <c r="B749" s="39">
        <f>SUBTOTAL(103,$A$552:A749)</f>
        <v>193</v>
      </c>
      <c r="C749" s="33" t="s">
        <v>1249</v>
      </c>
      <c r="D749" s="330">
        <v>1994</v>
      </c>
      <c r="E749" s="330"/>
      <c r="F749" s="331" t="s">
        <v>48</v>
      </c>
      <c r="G749" s="330">
        <v>9</v>
      </c>
      <c r="H749" s="330" t="s">
        <v>57</v>
      </c>
      <c r="I749" s="334">
        <v>2814.2</v>
      </c>
      <c r="J749" s="334">
        <v>2472.3000000000002</v>
      </c>
      <c r="K749" s="334">
        <v>2197.6999999999998</v>
      </c>
      <c r="L749" s="332">
        <v>95</v>
      </c>
      <c r="M749" s="330" t="s">
        <v>46</v>
      </c>
      <c r="N749" s="330" t="s">
        <v>50</v>
      </c>
      <c r="O749" s="333" t="s">
        <v>2027</v>
      </c>
      <c r="P749" s="38">
        <v>1806134.26</v>
      </c>
      <c r="Q749" s="38">
        <v>0</v>
      </c>
      <c r="R749" s="38">
        <v>0</v>
      </c>
      <c r="S749" s="38">
        <f t="shared" si="142"/>
        <v>1806134.26</v>
      </c>
      <c r="T749" s="38">
        <f t="shared" si="137"/>
        <v>641.79314192310426</v>
      </c>
      <c r="U749" s="38">
        <v>873.35654893042431</v>
      </c>
      <c r="V749" s="458">
        <f t="shared" si="138"/>
        <v>231.56340700732005</v>
      </c>
      <c r="W749" s="458">
        <f t="shared" si="143"/>
        <v>873.35654893042431</v>
      </c>
      <c r="X749" s="458">
        <v>0</v>
      </c>
      <c r="Y749" s="459">
        <v>0</v>
      </c>
      <c r="Z749" s="459">
        <v>0</v>
      </c>
      <c r="AA749" s="459">
        <v>0</v>
      </c>
      <c r="AB749" s="459">
        <v>0</v>
      </c>
      <c r="AC749" s="459">
        <v>1</v>
      </c>
      <c r="AD749" s="458">
        <f>2457800*AC749/I749</f>
        <v>873.35654893042431</v>
      </c>
      <c r="AE749" s="459">
        <v>0</v>
      </c>
      <c r="AF749" s="458">
        <v>0</v>
      </c>
      <c r="AG749" s="459">
        <v>0</v>
      </c>
      <c r="AH749" s="458">
        <v>0</v>
      </c>
      <c r="AI749" s="459">
        <v>0</v>
      </c>
      <c r="AJ749" s="458">
        <v>0</v>
      </c>
      <c r="AK749" s="459">
        <v>0</v>
      </c>
      <c r="AL749" s="459">
        <v>0</v>
      </c>
      <c r="AM749" s="459">
        <v>0</v>
      </c>
      <c r="AN749" s="459"/>
      <c r="AO749" s="459">
        <v>0</v>
      </c>
      <c r="AP749" s="460"/>
      <c r="AQ749" s="460"/>
      <c r="AR749" s="460"/>
      <c r="AS749" s="460"/>
      <c r="AT749" s="460"/>
      <c r="AU749" s="460"/>
      <c r="AV749" s="460"/>
      <c r="AW749" s="460"/>
      <c r="AX749" s="460"/>
      <c r="AY749" s="460"/>
      <c r="AZ749" s="460"/>
      <c r="BA749" s="460"/>
      <c r="BB749" s="460"/>
      <c r="BC749" s="460"/>
      <c r="BD749" s="460"/>
      <c r="BE749" s="460"/>
      <c r="BF749" s="460"/>
      <c r="BG749" s="460"/>
      <c r="BH749" s="460"/>
      <c r="BI749" s="460"/>
      <c r="BJ749" s="460"/>
      <c r="BK749" s="460"/>
      <c r="BL749" s="460"/>
      <c r="BM749" s="460"/>
      <c r="BN749" s="460"/>
      <c r="BO749" s="460"/>
      <c r="BP749" s="460"/>
      <c r="BQ749" s="460"/>
      <c r="BR749" s="460"/>
      <c r="BS749" s="460"/>
      <c r="BT749" s="460"/>
      <c r="BU749" s="460"/>
      <c r="BV749" s="460"/>
      <c r="BW749" s="460"/>
      <c r="BX749" s="460"/>
      <c r="BY749" s="460"/>
      <c r="BZ749" s="460"/>
      <c r="CA749" s="460"/>
      <c r="CB749" s="460"/>
      <c r="CC749" s="460"/>
      <c r="CD749" s="460"/>
      <c r="CE749" s="460"/>
      <c r="CF749" s="460"/>
      <c r="CG749" s="460"/>
      <c r="CH749" s="460"/>
      <c r="CI749" s="460"/>
      <c r="CJ749" s="460"/>
      <c r="CK749" s="460"/>
    </row>
    <row r="750" spans="1:89" s="329" customFormat="1" ht="36" customHeight="1" x14ac:dyDescent="0.25">
      <c r="A750" s="329">
        <v>1</v>
      </c>
      <c r="B750" s="39">
        <f>SUBTOTAL(103,$A$552:A750)</f>
        <v>194</v>
      </c>
      <c r="C750" s="33" t="s">
        <v>1569</v>
      </c>
      <c r="D750" s="330">
        <v>1972</v>
      </c>
      <c r="E750" s="330"/>
      <c r="F750" s="331" t="s">
        <v>48</v>
      </c>
      <c r="G750" s="330" t="s">
        <v>75</v>
      </c>
      <c r="H750" s="330" t="s">
        <v>59</v>
      </c>
      <c r="I750" s="334">
        <v>2806.29</v>
      </c>
      <c r="J750" s="334">
        <v>2806.29</v>
      </c>
      <c r="K750" s="334">
        <v>2806.29</v>
      </c>
      <c r="L750" s="332">
        <v>150</v>
      </c>
      <c r="M750" s="330" t="s">
        <v>46</v>
      </c>
      <c r="N750" s="330" t="s">
        <v>2031</v>
      </c>
      <c r="O750" s="333" t="s">
        <v>49</v>
      </c>
      <c r="P750" s="38">
        <v>5435521.2799999993</v>
      </c>
      <c r="Q750" s="38">
        <v>0</v>
      </c>
      <c r="R750" s="38">
        <v>0</v>
      </c>
      <c r="S750" s="38">
        <f t="shared" si="142"/>
        <v>5435521.2799999993</v>
      </c>
      <c r="T750" s="38">
        <f t="shared" si="137"/>
        <v>1936.9064779477528</v>
      </c>
      <c r="U750" s="38">
        <v>2453.8479629689018</v>
      </c>
      <c r="V750" s="458">
        <f t="shared" si="138"/>
        <v>516.94148502114899</v>
      </c>
      <c r="W750" s="458">
        <f t="shared" si="143"/>
        <v>2445.5067010180701</v>
      </c>
      <c r="X750" s="458">
        <v>0</v>
      </c>
      <c r="Y750" s="459">
        <v>0</v>
      </c>
      <c r="Z750" s="459">
        <v>0</v>
      </c>
      <c r="AA750" s="459">
        <v>0</v>
      </c>
      <c r="AB750" s="459">
        <v>0</v>
      </c>
      <c r="AC750" s="459">
        <v>0</v>
      </c>
      <c r="AD750" s="459">
        <v>0</v>
      </c>
      <c r="AE750" s="459">
        <v>1100</v>
      </c>
      <c r="AF750" s="458">
        <f t="shared" ref="AF750:AF762" si="145">6238.91*AE750/I750</f>
        <v>2445.5067010180701</v>
      </c>
      <c r="AG750" s="459">
        <v>0</v>
      </c>
      <c r="AH750" s="458">
        <v>0</v>
      </c>
      <c r="AI750" s="459">
        <v>0</v>
      </c>
      <c r="AJ750" s="458">
        <v>0</v>
      </c>
      <c r="AK750" s="459">
        <v>0</v>
      </c>
      <c r="AL750" s="459">
        <v>0</v>
      </c>
      <c r="AM750" s="459">
        <v>0</v>
      </c>
      <c r="AN750" s="459"/>
      <c r="AO750" s="459">
        <v>0</v>
      </c>
      <c r="AP750" s="460"/>
      <c r="AQ750" s="460"/>
      <c r="AR750" s="460"/>
      <c r="AS750" s="460"/>
      <c r="AT750" s="460"/>
      <c r="AU750" s="460"/>
      <c r="AV750" s="460"/>
      <c r="AW750" s="460"/>
      <c r="AX750" s="460"/>
      <c r="AY750" s="460"/>
      <c r="AZ750" s="460"/>
      <c r="BA750" s="460"/>
      <c r="BB750" s="460"/>
      <c r="BC750" s="460"/>
      <c r="BD750" s="460"/>
      <c r="BE750" s="460"/>
      <c r="BF750" s="460"/>
      <c r="BG750" s="460"/>
      <c r="BH750" s="460"/>
      <c r="BI750" s="460"/>
      <c r="BJ750" s="460"/>
      <c r="BK750" s="460"/>
      <c r="BL750" s="460"/>
      <c r="BM750" s="460"/>
      <c r="BN750" s="460"/>
      <c r="BO750" s="460"/>
      <c r="BP750" s="460"/>
      <c r="BQ750" s="460"/>
      <c r="BR750" s="460"/>
      <c r="BS750" s="460"/>
      <c r="BT750" s="460"/>
      <c r="BU750" s="460"/>
      <c r="BV750" s="460"/>
      <c r="BW750" s="460"/>
      <c r="BX750" s="460"/>
      <c r="BY750" s="460"/>
      <c r="BZ750" s="460"/>
      <c r="CA750" s="460"/>
      <c r="CB750" s="460"/>
      <c r="CC750" s="460"/>
      <c r="CD750" s="460"/>
      <c r="CE750" s="460"/>
      <c r="CF750" s="460"/>
      <c r="CG750" s="460"/>
      <c r="CH750" s="460"/>
      <c r="CI750" s="460"/>
      <c r="CJ750" s="460"/>
      <c r="CK750" s="460"/>
    </row>
    <row r="751" spans="1:89" s="329" customFormat="1" ht="36" customHeight="1" x14ac:dyDescent="0.25">
      <c r="A751" s="329">
        <v>1</v>
      </c>
      <c r="B751" s="39">
        <f>SUBTOTAL(103,$A$552:A751)</f>
        <v>195</v>
      </c>
      <c r="C751" s="33" t="s">
        <v>1570</v>
      </c>
      <c r="D751" s="330">
        <v>1981</v>
      </c>
      <c r="E751" s="330"/>
      <c r="F751" s="331" t="s">
        <v>48</v>
      </c>
      <c r="G751" s="330" t="s">
        <v>59</v>
      </c>
      <c r="H751" s="330" t="s">
        <v>59</v>
      </c>
      <c r="I751" s="334">
        <v>2423.8000000000002</v>
      </c>
      <c r="J751" s="334">
        <v>2218.9</v>
      </c>
      <c r="K751" s="334">
        <v>2218.9</v>
      </c>
      <c r="L751" s="332">
        <v>110</v>
      </c>
      <c r="M751" s="330" t="s">
        <v>46</v>
      </c>
      <c r="N751" s="330" t="s">
        <v>50</v>
      </c>
      <c r="O751" s="333" t="s">
        <v>2027</v>
      </c>
      <c r="P751" s="38">
        <v>4333883.8899999997</v>
      </c>
      <c r="Q751" s="38">
        <v>0</v>
      </c>
      <c r="R751" s="38">
        <v>0</v>
      </c>
      <c r="S751" s="38">
        <f t="shared" si="142"/>
        <v>4333883.8899999997</v>
      </c>
      <c r="T751" s="38">
        <f t="shared" si="137"/>
        <v>1788.0534243749482</v>
      </c>
      <c r="U751" s="38">
        <v>2256.0755693539068</v>
      </c>
      <c r="V751" s="458">
        <f t="shared" si="138"/>
        <v>468.02214497895852</v>
      </c>
      <c r="W751" s="458">
        <f t="shared" si="143"/>
        <v>2248.4065867645841</v>
      </c>
      <c r="X751" s="458">
        <v>0</v>
      </c>
      <c r="Y751" s="459">
        <v>0</v>
      </c>
      <c r="Z751" s="459">
        <v>0</v>
      </c>
      <c r="AA751" s="459">
        <v>0</v>
      </c>
      <c r="AB751" s="459">
        <v>0</v>
      </c>
      <c r="AC751" s="459">
        <v>0</v>
      </c>
      <c r="AD751" s="459">
        <v>0</v>
      </c>
      <c r="AE751" s="459">
        <v>873.5</v>
      </c>
      <c r="AF751" s="458">
        <f t="shared" si="145"/>
        <v>2248.4065867645841</v>
      </c>
      <c r="AG751" s="459">
        <v>0</v>
      </c>
      <c r="AH751" s="458">
        <v>0</v>
      </c>
      <c r="AI751" s="459">
        <v>0</v>
      </c>
      <c r="AJ751" s="458">
        <v>0</v>
      </c>
      <c r="AK751" s="459">
        <v>0</v>
      </c>
      <c r="AL751" s="459">
        <v>0</v>
      </c>
      <c r="AM751" s="459">
        <v>0</v>
      </c>
      <c r="AN751" s="459"/>
      <c r="AO751" s="459">
        <v>0</v>
      </c>
      <c r="AP751" s="460"/>
      <c r="AQ751" s="460"/>
      <c r="AR751" s="460"/>
      <c r="AS751" s="460"/>
      <c r="AT751" s="460"/>
      <c r="AU751" s="460"/>
      <c r="AV751" s="460"/>
      <c r="AW751" s="460"/>
      <c r="AX751" s="460"/>
      <c r="AY751" s="460"/>
      <c r="AZ751" s="460"/>
      <c r="BA751" s="460"/>
      <c r="BB751" s="460"/>
      <c r="BC751" s="460"/>
      <c r="BD751" s="460"/>
      <c r="BE751" s="460"/>
      <c r="BF751" s="460"/>
      <c r="BG751" s="460"/>
      <c r="BH751" s="460"/>
      <c r="BI751" s="460"/>
      <c r="BJ751" s="460"/>
      <c r="BK751" s="460"/>
      <c r="BL751" s="460"/>
      <c r="BM751" s="460"/>
      <c r="BN751" s="460"/>
      <c r="BO751" s="460"/>
      <c r="BP751" s="460"/>
      <c r="BQ751" s="460"/>
      <c r="BR751" s="460"/>
      <c r="BS751" s="460"/>
      <c r="BT751" s="460"/>
      <c r="BU751" s="460"/>
      <c r="BV751" s="460"/>
      <c r="BW751" s="460"/>
      <c r="BX751" s="460"/>
      <c r="BY751" s="460"/>
      <c r="BZ751" s="460"/>
      <c r="CA751" s="460"/>
      <c r="CB751" s="460"/>
      <c r="CC751" s="460"/>
      <c r="CD751" s="460"/>
      <c r="CE751" s="460"/>
      <c r="CF751" s="460"/>
      <c r="CG751" s="460"/>
      <c r="CH751" s="460"/>
      <c r="CI751" s="460"/>
      <c r="CJ751" s="460"/>
      <c r="CK751" s="460"/>
    </row>
    <row r="752" spans="1:89" s="329" customFormat="1" ht="36" customHeight="1" x14ac:dyDescent="0.25">
      <c r="A752" s="329">
        <v>1</v>
      </c>
      <c r="B752" s="39">
        <f>SUBTOTAL(103,$A$552:A752)</f>
        <v>196</v>
      </c>
      <c r="C752" s="33" t="s">
        <v>1571</v>
      </c>
      <c r="D752" s="330">
        <v>1969</v>
      </c>
      <c r="E752" s="330"/>
      <c r="F752" s="331" t="s">
        <v>2143</v>
      </c>
      <c r="G752" s="330">
        <v>2</v>
      </c>
      <c r="H752" s="330" t="s">
        <v>56</v>
      </c>
      <c r="I752" s="38">
        <v>783.74</v>
      </c>
      <c r="J752" s="38">
        <v>722.64</v>
      </c>
      <c r="K752" s="38">
        <v>722.64</v>
      </c>
      <c r="L752" s="332">
        <v>28</v>
      </c>
      <c r="M752" s="330" t="s">
        <v>46</v>
      </c>
      <c r="N752" s="330" t="s">
        <v>50</v>
      </c>
      <c r="O752" s="333" t="s">
        <v>2030</v>
      </c>
      <c r="P752" s="38">
        <v>3806073.8200000003</v>
      </c>
      <c r="Q752" s="38">
        <v>0</v>
      </c>
      <c r="R752" s="38">
        <v>0</v>
      </c>
      <c r="S752" s="38">
        <f t="shared" si="142"/>
        <v>3806073.8200000003</v>
      </c>
      <c r="T752" s="38">
        <f t="shared" si="137"/>
        <v>4856.2965013907678</v>
      </c>
      <c r="U752" s="38">
        <v>6118.4902391099085</v>
      </c>
      <c r="V752" s="458">
        <f t="shared" si="138"/>
        <v>1262.1937377191407</v>
      </c>
      <c r="W752" s="458">
        <f t="shared" si="143"/>
        <v>6097.6919131344575</v>
      </c>
      <c r="X752" s="458">
        <v>0</v>
      </c>
      <c r="Y752" s="459">
        <v>0</v>
      </c>
      <c r="Z752" s="459">
        <v>0</v>
      </c>
      <c r="AA752" s="459">
        <v>0</v>
      </c>
      <c r="AB752" s="459">
        <v>0</v>
      </c>
      <c r="AC752" s="459">
        <v>0</v>
      </c>
      <c r="AD752" s="459">
        <v>0</v>
      </c>
      <c r="AE752" s="459">
        <v>766</v>
      </c>
      <c r="AF752" s="458">
        <f t="shared" si="145"/>
        <v>6097.6919131344575</v>
      </c>
      <c r="AG752" s="459">
        <v>0</v>
      </c>
      <c r="AH752" s="458">
        <v>0</v>
      </c>
      <c r="AI752" s="459">
        <v>0</v>
      </c>
      <c r="AJ752" s="458">
        <v>0</v>
      </c>
      <c r="AK752" s="459">
        <v>0</v>
      </c>
      <c r="AL752" s="459">
        <v>0</v>
      </c>
      <c r="AM752" s="459">
        <v>0</v>
      </c>
      <c r="AN752" s="459"/>
      <c r="AO752" s="459">
        <v>0</v>
      </c>
      <c r="AP752" s="460"/>
      <c r="AQ752" s="460"/>
      <c r="AR752" s="460"/>
      <c r="AS752" s="460"/>
      <c r="AT752" s="460"/>
      <c r="AU752" s="460"/>
      <c r="AV752" s="460"/>
      <c r="AW752" s="460"/>
      <c r="AX752" s="460"/>
      <c r="AY752" s="460"/>
      <c r="AZ752" s="460"/>
      <c r="BA752" s="460"/>
      <c r="BB752" s="460"/>
      <c r="BC752" s="460"/>
      <c r="BD752" s="460"/>
      <c r="BE752" s="460"/>
      <c r="BF752" s="460"/>
      <c r="BG752" s="460"/>
      <c r="BH752" s="460"/>
      <c r="BI752" s="460"/>
      <c r="BJ752" s="460"/>
      <c r="BK752" s="460"/>
      <c r="BL752" s="460"/>
      <c r="BM752" s="460"/>
      <c r="BN752" s="460"/>
      <c r="BO752" s="460"/>
      <c r="BP752" s="460"/>
      <c r="BQ752" s="460"/>
      <c r="BR752" s="460"/>
      <c r="BS752" s="460"/>
      <c r="BT752" s="460"/>
      <c r="BU752" s="460"/>
      <c r="BV752" s="460"/>
      <c r="BW752" s="460"/>
      <c r="BX752" s="460"/>
      <c r="BY752" s="460"/>
      <c r="BZ752" s="460"/>
      <c r="CA752" s="460"/>
      <c r="CB752" s="460"/>
      <c r="CC752" s="460"/>
      <c r="CD752" s="460"/>
      <c r="CE752" s="460"/>
      <c r="CF752" s="460"/>
      <c r="CG752" s="460"/>
      <c r="CH752" s="460"/>
      <c r="CI752" s="460"/>
      <c r="CJ752" s="460"/>
      <c r="CK752" s="460"/>
    </row>
    <row r="753" spans="1:89" s="329" customFormat="1" ht="36" customHeight="1" x14ac:dyDescent="0.25">
      <c r="A753" s="329">
        <v>1</v>
      </c>
      <c r="B753" s="39">
        <f>SUBTOTAL(103,$A$552:A753)</f>
        <v>197</v>
      </c>
      <c r="C753" s="33" t="s">
        <v>1572</v>
      </c>
      <c r="D753" s="330">
        <v>1978</v>
      </c>
      <c r="E753" s="330"/>
      <c r="F753" s="331" t="s">
        <v>63</v>
      </c>
      <c r="G753" s="330">
        <v>5</v>
      </c>
      <c r="H753" s="330" t="s">
        <v>59</v>
      </c>
      <c r="I753" s="334">
        <v>2991.2</v>
      </c>
      <c r="J753" s="334">
        <v>2708</v>
      </c>
      <c r="K753" s="334">
        <v>2708</v>
      </c>
      <c r="L753" s="332">
        <v>123</v>
      </c>
      <c r="M753" s="330" t="s">
        <v>46</v>
      </c>
      <c r="N753" s="330" t="s">
        <v>50</v>
      </c>
      <c r="O753" s="333" t="s">
        <v>2144</v>
      </c>
      <c r="P753" s="38">
        <v>2693070.98</v>
      </c>
      <c r="Q753" s="38">
        <v>0</v>
      </c>
      <c r="R753" s="38">
        <v>0</v>
      </c>
      <c r="S753" s="38">
        <f t="shared" si="142"/>
        <v>2693070.98</v>
      </c>
      <c r="T753" s="38">
        <f t="shared" si="137"/>
        <v>900.33129847552823</v>
      </c>
      <c r="U753" s="38">
        <v>1527.2293556766515</v>
      </c>
      <c r="V753" s="458">
        <f t="shared" si="138"/>
        <v>626.89805720112327</v>
      </c>
      <c r="W753" s="458">
        <f t="shared" si="143"/>
        <v>1522.0379093006152</v>
      </c>
      <c r="X753" s="458">
        <v>0</v>
      </c>
      <c r="Y753" s="459">
        <v>0</v>
      </c>
      <c r="Z753" s="459">
        <v>0</v>
      </c>
      <c r="AA753" s="459">
        <v>0</v>
      </c>
      <c r="AB753" s="459">
        <v>0</v>
      </c>
      <c r="AC753" s="459">
        <v>0</v>
      </c>
      <c r="AD753" s="459">
        <v>0</v>
      </c>
      <c r="AE753" s="459">
        <v>729.73</v>
      </c>
      <c r="AF753" s="458">
        <f t="shared" si="145"/>
        <v>1522.0379093006152</v>
      </c>
      <c r="AG753" s="459">
        <v>0</v>
      </c>
      <c r="AH753" s="458">
        <v>0</v>
      </c>
      <c r="AI753" s="459">
        <v>0</v>
      </c>
      <c r="AJ753" s="458">
        <v>0</v>
      </c>
      <c r="AK753" s="459">
        <v>0</v>
      </c>
      <c r="AL753" s="459">
        <v>0</v>
      </c>
      <c r="AM753" s="459">
        <v>0</v>
      </c>
      <c r="AN753" s="459"/>
      <c r="AO753" s="459">
        <v>0</v>
      </c>
      <c r="AP753" s="460"/>
      <c r="AQ753" s="460"/>
      <c r="AR753" s="460"/>
      <c r="AS753" s="460"/>
      <c r="AT753" s="460"/>
      <c r="AU753" s="460"/>
      <c r="AV753" s="460"/>
      <c r="AW753" s="460"/>
      <c r="AX753" s="460"/>
      <c r="AY753" s="460"/>
      <c r="AZ753" s="460"/>
      <c r="BA753" s="460"/>
      <c r="BB753" s="460"/>
      <c r="BC753" s="460"/>
      <c r="BD753" s="460"/>
      <c r="BE753" s="460"/>
      <c r="BF753" s="460"/>
      <c r="BG753" s="460"/>
      <c r="BH753" s="460"/>
      <c r="BI753" s="460"/>
      <c r="BJ753" s="460"/>
      <c r="BK753" s="460"/>
      <c r="BL753" s="460"/>
      <c r="BM753" s="460"/>
      <c r="BN753" s="460"/>
      <c r="BO753" s="460"/>
      <c r="BP753" s="460"/>
      <c r="BQ753" s="460"/>
      <c r="BR753" s="460"/>
      <c r="BS753" s="460"/>
      <c r="BT753" s="460"/>
      <c r="BU753" s="460"/>
      <c r="BV753" s="460"/>
      <c r="BW753" s="460"/>
      <c r="BX753" s="460"/>
      <c r="BY753" s="460"/>
      <c r="BZ753" s="460"/>
      <c r="CA753" s="460"/>
      <c r="CB753" s="460"/>
      <c r="CC753" s="460"/>
      <c r="CD753" s="460"/>
      <c r="CE753" s="460"/>
      <c r="CF753" s="460"/>
      <c r="CG753" s="460"/>
      <c r="CH753" s="460"/>
      <c r="CI753" s="460"/>
      <c r="CJ753" s="460"/>
      <c r="CK753" s="460"/>
    </row>
    <row r="754" spans="1:89" s="329" customFormat="1" ht="36" customHeight="1" x14ac:dyDescent="0.25">
      <c r="A754" s="329">
        <v>1</v>
      </c>
      <c r="B754" s="39">
        <f>SUBTOTAL(103,$A$552:A754)</f>
        <v>198</v>
      </c>
      <c r="C754" s="33" t="s">
        <v>1573</v>
      </c>
      <c r="D754" s="330">
        <v>1955</v>
      </c>
      <c r="E754" s="330"/>
      <c r="F754" s="331" t="s">
        <v>2004</v>
      </c>
      <c r="G754" s="330">
        <v>2</v>
      </c>
      <c r="H754" s="330" t="s">
        <v>57</v>
      </c>
      <c r="I754" s="334">
        <v>370.1</v>
      </c>
      <c r="J754" s="334">
        <v>335.1</v>
      </c>
      <c r="K754" s="334">
        <v>335.1</v>
      </c>
      <c r="L754" s="332">
        <v>28</v>
      </c>
      <c r="M754" s="330" t="s">
        <v>46</v>
      </c>
      <c r="N754" s="330" t="s">
        <v>50</v>
      </c>
      <c r="O754" s="333" t="s">
        <v>2027</v>
      </c>
      <c r="P754" s="38">
        <v>1966768.51</v>
      </c>
      <c r="Q754" s="38">
        <v>0</v>
      </c>
      <c r="R754" s="38">
        <v>0</v>
      </c>
      <c r="S754" s="38">
        <f t="shared" si="142"/>
        <v>1966768.51</v>
      </c>
      <c r="T754" s="38">
        <f t="shared" si="137"/>
        <v>5314.1543096460409</v>
      </c>
      <c r="U754" s="38">
        <v>6491.4161477978914</v>
      </c>
      <c r="V754" s="458">
        <f t="shared" si="138"/>
        <v>1177.2618381518505</v>
      </c>
      <c r="W754" s="458">
        <f t="shared" si="143"/>
        <v>6469.350150499864</v>
      </c>
      <c r="X754" s="458">
        <v>0</v>
      </c>
      <c r="Y754" s="459">
        <v>0</v>
      </c>
      <c r="Z754" s="459">
        <v>0</v>
      </c>
      <c r="AA754" s="459">
        <v>0</v>
      </c>
      <c r="AB754" s="459">
        <v>0</v>
      </c>
      <c r="AC754" s="459">
        <v>0</v>
      </c>
      <c r="AD754" s="459">
        <v>0</v>
      </c>
      <c r="AE754" s="459">
        <v>383.77</v>
      </c>
      <c r="AF754" s="458">
        <f t="shared" si="145"/>
        <v>6469.350150499864</v>
      </c>
      <c r="AG754" s="459">
        <v>0</v>
      </c>
      <c r="AH754" s="458">
        <v>0</v>
      </c>
      <c r="AI754" s="459">
        <v>0</v>
      </c>
      <c r="AJ754" s="458">
        <v>0</v>
      </c>
      <c r="AK754" s="459">
        <v>0</v>
      </c>
      <c r="AL754" s="459">
        <v>0</v>
      </c>
      <c r="AM754" s="459">
        <v>0</v>
      </c>
      <c r="AN754" s="459"/>
      <c r="AO754" s="459">
        <v>0</v>
      </c>
      <c r="AP754" s="460"/>
      <c r="AQ754" s="460"/>
      <c r="AR754" s="460"/>
      <c r="AS754" s="460"/>
      <c r="AT754" s="460"/>
      <c r="AU754" s="460"/>
      <c r="AV754" s="460"/>
      <c r="AW754" s="460"/>
      <c r="AX754" s="460"/>
      <c r="AY754" s="460"/>
      <c r="AZ754" s="460"/>
      <c r="BA754" s="460"/>
      <c r="BB754" s="460"/>
      <c r="BC754" s="460"/>
      <c r="BD754" s="460"/>
      <c r="BE754" s="460"/>
      <c r="BF754" s="460"/>
      <c r="BG754" s="460"/>
      <c r="BH754" s="460"/>
      <c r="BI754" s="460"/>
      <c r="BJ754" s="460"/>
      <c r="BK754" s="460"/>
      <c r="BL754" s="460"/>
      <c r="BM754" s="460"/>
      <c r="BN754" s="460"/>
      <c r="BO754" s="460"/>
      <c r="BP754" s="460"/>
      <c r="BQ754" s="460"/>
      <c r="BR754" s="460"/>
      <c r="BS754" s="460"/>
      <c r="BT754" s="460"/>
      <c r="BU754" s="460"/>
      <c r="BV754" s="460"/>
      <c r="BW754" s="460"/>
      <c r="BX754" s="460"/>
      <c r="BY754" s="460"/>
      <c r="BZ754" s="460"/>
      <c r="CA754" s="460"/>
      <c r="CB754" s="460"/>
      <c r="CC754" s="460"/>
      <c r="CD754" s="460"/>
      <c r="CE754" s="460"/>
      <c r="CF754" s="460"/>
      <c r="CG754" s="460"/>
      <c r="CH754" s="460"/>
      <c r="CI754" s="460"/>
      <c r="CJ754" s="460"/>
      <c r="CK754" s="460"/>
    </row>
    <row r="755" spans="1:89" s="329" customFormat="1" ht="36" customHeight="1" x14ac:dyDescent="0.25">
      <c r="A755" s="329">
        <v>1</v>
      </c>
      <c r="B755" s="39">
        <f>SUBTOTAL(103,$A$552:A755)</f>
        <v>199</v>
      </c>
      <c r="C755" s="33" t="s">
        <v>1574</v>
      </c>
      <c r="D755" s="330">
        <v>1962</v>
      </c>
      <c r="E755" s="330"/>
      <c r="F755" s="331" t="s">
        <v>2004</v>
      </c>
      <c r="G755" s="330">
        <v>2</v>
      </c>
      <c r="H755" s="330" t="s">
        <v>59</v>
      </c>
      <c r="I755" s="334">
        <v>1305.4000000000001</v>
      </c>
      <c r="J755" s="334">
        <v>709.6</v>
      </c>
      <c r="K755" s="334">
        <v>709.6</v>
      </c>
      <c r="L755" s="332">
        <v>27</v>
      </c>
      <c r="M755" s="330" t="s">
        <v>46</v>
      </c>
      <c r="N755" s="330" t="s">
        <v>47</v>
      </c>
      <c r="O755" s="333" t="s">
        <v>49</v>
      </c>
      <c r="P755" s="38">
        <v>3766350.55</v>
      </c>
      <c r="Q755" s="38">
        <v>0</v>
      </c>
      <c r="R755" s="38">
        <v>0</v>
      </c>
      <c r="S755" s="38">
        <f t="shared" si="142"/>
        <v>3766350.55</v>
      </c>
      <c r="T755" s="38">
        <f t="shared" si="137"/>
        <v>2885.2080205301054</v>
      </c>
      <c r="U755" s="38">
        <v>3485.4497410755316</v>
      </c>
      <c r="V755" s="458">
        <f t="shared" si="138"/>
        <v>600.24172054542623</v>
      </c>
      <c r="W755" s="458">
        <f t="shared" si="143"/>
        <v>3473.6017986823958</v>
      </c>
      <c r="X755" s="458">
        <v>0</v>
      </c>
      <c r="Y755" s="459">
        <v>0</v>
      </c>
      <c r="Z755" s="459">
        <v>0</v>
      </c>
      <c r="AA755" s="459">
        <v>0</v>
      </c>
      <c r="AB755" s="459">
        <v>0</v>
      </c>
      <c r="AC755" s="459">
        <v>0</v>
      </c>
      <c r="AD755" s="459">
        <v>0</v>
      </c>
      <c r="AE755" s="459">
        <v>726.8</v>
      </c>
      <c r="AF755" s="458">
        <f t="shared" si="145"/>
        <v>3473.6017986823958</v>
      </c>
      <c r="AG755" s="459">
        <v>0</v>
      </c>
      <c r="AH755" s="458">
        <v>0</v>
      </c>
      <c r="AI755" s="459">
        <v>0</v>
      </c>
      <c r="AJ755" s="458">
        <v>0</v>
      </c>
      <c r="AK755" s="459">
        <v>0</v>
      </c>
      <c r="AL755" s="459">
        <v>0</v>
      </c>
      <c r="AM755" s="459">
        <v>0</v>
      </c>
      <c r="AN755" s="459"/>
      <c r="AO755" s="459">
        <v>0</v>
      </c>
      <c r="AP755" s="460"/>
      <c r="AQ755" s="460"/>
      <c r="AR755" s="460"/>
      <c r="AS755" s="460"/>
      <c r="AT755" s="460"/>
      <c r="AU755" s="460"/>
      <c r="AV755" s="460"/>
      <c r="AW755" s="460"/>
      <c r="AX755" s="460"/>
      <c r="AY755" s="460"/>
      <c r="AZ755" s="460"/>
      <c r="BA755" s="460"/>
      <c r="BB755" s="460"/>
      <c r="BC755" s="460"/>
      <c r="BD755" s="460"/>
      <c r="BE755" s="460"/>
      <c r="BF755" s="460"/>
      <c r="BG755" s="460"/>
      <c r="BH755" s="460"/>
      <c r="BI755" s="460"/>
      <c r="BJ755" s="460"/>
      <c r="BK755" s="460"/>
      <c r="BL755" s="460"/>
      <c r="BM755" s="460"/>
      <c r="BN755" s="460"/>
      <c r="BO755" s="460"/>
      <c r="BP755" s="460"/>
      <c r="BQ755" s="460"/>
      <c r="BR755" s="460"/>
      <c r="BS755" s="460"/>
      <c r="BT755" s="460"/>
      <c r="BU755" s="460"/>
      <c r="BV755" s="460"/>
      <c r="BW755" s="460"/>
      <c r="BX755" s="460"/>
      <c r="BY755" s="460"/>
      <c r="BZ755" s="460"/>
      <c r="CA755" s="460"/>
      <c r="CB755" s="460"/>
      <c r="CC755" s="460"/>
      <c r="CD755" s="460"/>
      <c r="CE755" s="460"/>
      <c r="CF755" s="460"/>
      <c r="CG755" s="460"/>
      <c r="CH755" s="460"/>
      <c r="CI755" s="460"/>
      <c r="CJ755" s="460"/>
      <c r="CK755" s="460"/>
    </row>
    <row r="756" spans="1:89" s="329" customFormat="1" ht="36" customHeight="1" x14ac:dyDescent="0.25">
      <c r="A756" s="329">
        <v>1</v>
      </c>
      <c r="B756" s="39">
        <f>SUBTOTAL(103,$A$552:A756)</f>
        <v>200</v>
      </c>
      <c r="C756" s="33" t="s">
        <v>1575</v>
      </c>
      <c r="D756" s="330">
        <v>1954</v>
      </c>
      <c r="E756" s="330"/>
      <c r="F756" s="331" t="s">
        <v>2004</v>
      </c>
      <c r="G756" s="330">
        <v>2</v>
      </c>
      <c r="H756" s="330" t="s">
        <v>56</v>
      </c>
      <c r="I756" s="334">
        <v>510.78</v>
      </c>
      <c r="J756" s="334">
        <v>472.98</v>
      </c>
      <c r="K756" s="334">
        <v>472.98</v>
      </c>
      <c r="L756" s="332">
        <v>19</v>
      </c>
      <c r="M756" s="330" t="s">
        <v>46</v>
      </c>
      <c r="N756" s="330" t="s">
        <v>50</v>
      </c>
      <c r="O756" s="333" t="s">
        <v>2145</v>
      </c>
      <c r="P756" s="38">
        <v>2195301.44</v>
      </c>
      <c r="Q756" s="38">
        <v>0</v>
      </c>
      <c r="R756" s="38">
        <v>0</v>
      </c>
      <c r="S756" s="38">
        <f t="shared" si="142"/>
        <v>2195301.44</v>
      </c>
      <c r="T756" s="38">
        <f t="shared" si="137"/>
        <v>4297.9393085085558</v>
      </c>
      <c r="U756" s="38">
        <v>5213.515842828615</v>
      </c>
      <c r="V756" s="458">
        <f t="shared" si="138"/>
        <v>915.57653432005918</v>
      </c>
      <c r="W756" s="458">
        <f t="shared" si="143"/>
        <v>5195.7937581737733</v>
      </c>
      <c r="X756" s="458">
        <v>0</v>
      </c>
      <c r="Y756" s="459">
        <v>0</v>
      </c>
      <c r="Z756" s="459">
        <v>0</v>
      </c>
      <c r="AA756" s="459">
        <v>0</v>
      </c>
      <c r="AB756" s="459">
        <v>0</v>
      </c>
      <c r="AC756" s="459">
        <v>0</v>
      </c>
      <c r="AD756" s="459">
        <v>0</v>
      </c>
      <c r="AE756" s="459">
        <v>425.38</v>
      </c>
      <c r="AF756" s="458">
        <f t="shared" si="145"/>
        <v>5195.7937581737733</v>
      </c>
      <c r="AG756" s="459">
        <v>0</v>
      </c>
      <c r="AH756" s="458">
        <v>0</v>
      </c>
      <c r="AI756" s="459">
        <v>0</v>
      </c>
      <c r="AJ756" s="458">
        <v>0</v>
      </c>
      <c r="AK756" s="459">
        <v>0</v>
      </c>
      <c r="AL756" s="459">
        <v>0</v>
      </c>
      <c r="AM756" s="459">
        <v>0</v>
      </c>
      <c r="AN756" s="459"/>
      <c r="AO756" s="459">
        <v>0</v>
      </c>
      <c r="AP756" s="460"/>
      <c r="AQ756" s="460"/>
      <c r="AR756" s="460"/>
      <c r="AS756" s="460"/>
      <c r="AT756" s="460"/>
      <c r="AU756" s="460"/>
      <c r="AV756" s="460"/>
      <c r="AW756" s="460"/>
      <c r="AX756" s="460"/>
      <c r="AY756" s="460"/>
      <c r="AZ756" s="460"/>
      <c r="BA756" s="460"/>
      <c r="BB756" s="460"/>
      <c r="BC756" s="460"/>
      <c r="BD756" s="460"/>
      <c r="BE756" s="460"/>
      <c r="BF756" s="460"/>
      <c r="BG756" s="460"/>
      <c r="BH756" s="460"/>
      <c r="BI756" s="460"/>
      <c r="BJ756" s="460"/>
      <c r="BK756" s="460"/>
      <c r="BL756" s="460"/>
      <c r="BM756" s="460"/>
      <c r="BN756" s="460"/>
      <c r="BO756" s="460"/>
      <c r="BP756" s="460"/>
      <c r="BQ756" s="460"/>
      <c r="BR756" s="460"/>
      <c r="BS756" s="460"/>
      <c r="BT756" s="460"/>
      <c r="BU756" s="460"/>
      <c r="BV756" s="460"/>
      <c r="BW756" s="460"/>
      <c r="BX756" s="460"/>
      <c r="BY756" s="460"/>
      <c r="BZ756" s="460"/>
      <c r="CA756" s="460"/>
      <c r="CB756" s="460"/>
      <c r="CC756" s="460"/>
      <c r="CD756" s="460"/>
      <c r="CE756" s="460"/>
      <c r="CF756" s="460"/>
      <c r="CG756" s="460"/>
      <c r="CH756" s="460"/>
      <c r="CI756" s="460"/>
      <c r="CJ756" s="460"/>
      <c r="CK756" s="460"/>
    </row>
    <row r="757" spans="1:89" s="329" customFormat="1" ht="36" customHeight="1" x14ac:dyDescent="0.25">
      <c r="A757" s="329">
        <v>1</v>
      </c>
      <c r="B757" s="39">
        <f>SUBTOTAL(103,$A$552:A757)</f>
        <v>201</v>
      </c>
      <c r="C757" s="33" t="s">
        <v>82</v>
      </c>
      <c r="D757" s="330">
        <v>1965</v>
      </c>
      <c r="E757" s="330"/>
      <c r="F757" s="331" t="s">
        <v>48</v>
      </c>
      <c r="G757" s="330">
        <v>5</v>
      </c>
      <c r="H757" s="330" t="s">
        <v>56</v>
      </c>
      <c r="I757" s="334">
        <v>4985.66</v>
      </c>
      <c r="J757" s="334">
        <v>2392.1999999999998</v>
      </c>
      <c r="K757" s="334">
        <v>2300.6</v>
      </c>
      <c r="L757" s="332">
        <v>185</v>
      </c>
      <c r="M757" s="330" t="s">
        <v>46</v>
      </c>
      <c r="N757" s="330" t="s">
        <v>50</v>
      </c>
      <c r="O757" s="333" t="s">
        <v>2028</v>
      </c>
      <c r="P757" s="38">
        <v>16961137.330000002</v>
      </c>
      <c r="Q757" s="38">
        <v>0</v>
      </c>
      <c r="R757" s="38">
        <v>0</v>
      </c>
      <c r="S757" s="38">
        <f t="shared" si="142"/>
        <v>16961137.330000002</v>
      </c>
      <c r="T757" s="38">
        <f t="shared" si="137"/>
        <v>3401.9843571362671</v>
      </c>
      <c r="U757" s="38">
        <v>7178.9769819843314</v>
      </c>
      <c r="V757" s="458">
        <f t="shared" si="138"/>
        <v>3776.9926248480642</v>
      </c>
      <c r="W757" s="458">
        <f t="shared" si="143"/>
        <v>1376.5080250157453</v>
      </c>
      <c r="X757" s="458">
        <v>0</v>
      </c>
      <c r="Y757" s="459">
        <v>0</v>
      </c>
      <c r="Z757" s="459">
        <v>0</v>
      </c>
      <c r="AA757" s="459">
        <v>0</v>
      </c>
      <c r="AB757" s="459">
        <v>0</v>
      </c>
      <c r="AC757" s="459">
        <v>0</v>
      </c>
      <c r="AD757" s="459">
        <v>0</v>
      </c>
      <c r="AE757" s="459">
        <v>1100</v>
      </c>
      <c r="AF757" s="458">
        <f t="shared" si="145"/>
        <v>1376.5080250157453</v>
      </c>
      <c r="AG757" s="459">
        <v>0</v>
      </c>
      <c r="AH757" s="458">
        <v>0</v>
      </c>
      <c r="AI757" s="459">
        <v>0</v>
      </c>
      <c r="AJ757" s="458">
        <v>0</v>
      </c>
      <c r="AK757" s="459">
        <v>0</v>
      </c>
      <c r="AL757" s="459">
        <v>0</v>
      </c>
      <c r="AM757" s="459">
        <v>0</v>
      </c>
      <c r="AN757" s="459"/>
      <c r="AO757" s="459">
        <v>0</v>
      </c>
      <c r="AP757" s="460"/>
      <c r="AQ757" s="460"/>
      <c r="AR757" s="460"/>
      <c r="AS757" s="460"/>
      <c r="AT757" s="460"/>
      <c r="AU757" s="460"/>
      <c r="AV757" s="460"/>
      <c r="AW757" s="460"/>
      <c r="AX757" s="460"/>
      <c r="AY757" s="460"/>
      <c r="AZ757" s="460"/>
      <c r="BA757" s="460"/>
      <c r="BB757" s="460"/>
      <c r="BC757" s="460"/>
      <c r="BD757" s="460"/>
      <c r="BE757" s="460"/>
      <c r="BF757" s="460"/>
      <c r="BG757" s="460"/>
      <c r="BH757" s="460"/>
      <c r="BI757" s="460"/>
      <c r="BJ757" s="460"/>
      <c r="BK757" s="460"/>
      <c r="BL757" s="460"/>
      <c r="BM757" s="460"/>
      <c r="BN757" s="460"/>
      <c r="BO757" s="460"/>
      <c r="BP757" s="460"/>
      <c r="BQ757" s="460"/>
      <c r="BR757" s="460"/>
      <c r="BS757" s="460"/>
      <c r="BT757" s="460"/>
      <c r="BU757" s="460"/>
      <c r="BV757" s="460"/>
      <c r="BW757" s="460"/>
      <c r="BX757" s="460"/>
      <c r="BY757" s="460"/>
      <c r="BZ757" s="460"/>
      <c r="CA757" s="460"/>
      <c r="CB757" s="460"/>
      <c r="CC757" s="460"/>
      <c r="CD757" s="460"/>
      <c r="CE757" s="460"/>
      <c r="CF757" s="460"/>
      <c r="CG757" s="460"/>
      <c r="CH757" s="460"/>
      <c r="CI757" s="460"/>
      <c r="CJ757" s="460"/>
      <c r="CK757" s="460"/>
    </row>
    <row r="758" spans="1:89" s="329" customFormat="1" ht="36" customHeight="1" x14ac:dyDescent="0.25">
      <c r="A758" s="329">
        <v>1</v>
      </c>
      <c r="B758" s="39">
        <f>SUBTOTAL(103,$A$552:A758)</f>
        <v>202</v>
      </c>
      <c r="C758" s="33" t="s">
        <v>1576</v>
      </c>
      <c r="D758" s="330">
        <v>1967</v>
      </c>
      <c r="E758" s="330"/>
      <c r="F758" s="331" t="s">
        <v>68</v>
      </c>
      <c r="G758" s="330">
        <v>2</v>
      </c>
      <c r="H758" s="330" t="s">
        <v>56</v>
      </c>
      <c r="I758" s="334">
        <v>1065.5</v>
      </c>
      <c r="J758" s="334">
        <v>510.7</v>
      </c>
      <c r="K758" s="334">
        <v>510.7</v>
      </c>
      <c r="L758" s="332">
        <v>34</v>
      </c>
      <c r="M758" s="330" t="s">
        <v>46</v>
      </c>
      <c r="N758" s="330" t="s">
        <v>50</v>
      </c>
      <c r="O758" s="333" t="s">
        <v>239</v>
      </c>
      <c r="P758" s="38">
        <v>1562740.68</v>
      </c>
      <c r="Q758" s="38">
        <v>0</v>
      </c>
      <c r="R758" s="38">
        <v>0</v>
      </c>
      <c r="S758" s="38">
        <f t="shared" si="142"/>
        <v>1562740.68</v>
      </c>
      <c r="T758" s="38">
        <f t="shared" si="137"/>
        <v>1466.6735617081181</v>
      </c>
      <c r="U758" s="38">
        <v>9856.9208221492281</v>
      </c>
      <c r="V758" s="458">
        <f t="shared" si="138"/>
        <v>8390.2472604411105</v>
      </c>
      <c r="W758" s="458">
        <f t="shared" si="143"/>
        <v>5114.6765696855937</v>
      </c>
      <c r="X758" s="458">
        <v>0</v>
      </c>
      <c r="Y758" s="459">
        <v>0</v>
      </c>
      <c r="Z758" s="459">
        <v>0</v>
      </c>
      <c r="AA758" s="459">
        <v>0</v>
      </c>
      <c r="AB758" s="459">
        <v>0</v>
      </c>
      <c r="AC758" s="459">
        <v>0</v>
      </c>
      <c r="AD758" s="459">
        <v>0</v>
      </c>
      <c r="AE758" s="459">
        <v>873.5</v>
      </c>
      <c r="AF758" s="458">
        <f t="shared" si="145"/>
        <v>5114.6765696855937</v>
      </c>
      <c r="AG758" s="459">
        <v>0</v>
      </c>
      <c r="AH758" s="458">
        <v>0</v>
      </c>
      <c r="AI758" s="459">
        <v>0</v>
      </c>
      <c r="AJ758" s="458">
        <v>0</v>
      </c>
      <c r="AK758" s="459">
        <v>0</v>
      </c>
      <c r="AL758" s="459">
        <v>0</v>
      </c>
      <c r="AM758" s="459">
        <v>0</v>
      </c>
      <c r="AN758" s="459"/>
      <c r="AO758" s="459">
        <v>0</v>
      </c>
      <c r="AP758" s="460"/>
      <c r="AQ758" s="460"/>
      <c r="AR758" s="460"/>
      <c r="AS758" s="460"/>
      <c r="AT758" s="460"/>
      <c r="AU758" s="460"/>
      <c r="AV758" s="460"/>
      <c r="AW758" s="460"/>
      <c r="AX758" s="460"/>
      <c r="AY758" s="460"/>
      <c r="AZ758" s="460"/>
      <c r="BA758" s="460"/>
      <c r="BB758" s="460"/>
      <c r="BC758" s="460"/>
      <c r="BD758" s="460"/>
      <c r="BE758" s="460"/>
      <c r="BF758" s="460"/>
      <c r="BG758" s="460"/>
      <c r="BH758" s="460"/>
      <c r="BI758" s="460"/>
      <c r="BJ758" s="460"/>
      <c r="BK758" s="460"/>
      <c r="BL758" s="460"/>
      <c r="BM758" s="460"/>
      <c r="BN758" s="460"/>
      <c r="BO758" s="460"/>
      <c r="BP758" s="460"/>
      <c r="BQ758" s="460"/>
      <c r="BR758" s="460"/>
      <c r="BS758" s="460"/>
      <c r="BT758" s="460"/>
      <c r="BU758" s="460"/>
      <c r="BV758" s="460"/>
      <c r="BW758" s="460"/>
      <c r="BX758" s="460"/>
      <c r="BY758" s="460"/>
      <c r="BZ758" s="460"/>
      <c r="CA758" s="460"/>
      <c r="CB758" s="460"/>
      <c r="CC758" s="460"/>
      <c r="CD758" s="460"/>
      <c r="CE758" s="460"/>
      <c r="CF758" s="460"/>
      <c r="CG758" s="460"/>
      <c r="CH758" s="460"/>
      <c r="CI758" s="460"/>
      <c r="CJ758" s="460"/>
      <c r="CK758" s="460"/>
    </row>
    <row r="759" spans="1:89" s="329" customFormat="1" ht="36" customHeight="1" x14ac:dyDescent="0.25">
      <c r="A759" s="329">
        <v>1</v>
      </c>
      <c r="B759" s="39">
        <f>SUBTOTAL(103,$A$552:A759)</f>
        <v>203</v>
      </c>
      <c r="C759" s="33" t="s">
        <v>1237</v>
      </c>
      <c r="D759" s="330">
        <v>1967</v>
      </c>
      <c r="E759" s="330"/>
      <c r="F759" s="331" t="s">
        <v>48</v>
      </c>
      <c r="G759" s="330">
        <v>5</v>
      </c>
      <c r="H759" s="330" t="s">
        <v>59</v>
      </c>
      <c r="I759" s="38">
        <v>3578.24</v>
      </c>
      <c r="J759" s="38">
        <v>3300</v>
      </c>
      <c r="K759" s="38">
        <v>3012.01</v>
      </c>
      <c r="L759" s="332">
        <v>117</v>
      </c>
      <c r="M759" s="330" t="s">
        <v>46</v>
      </c>
      <c r="N759" s="330" t="s">
        <v>50</v>
      </c>
      <c r="O759" s="333" t="s">
        <v>2027</v>
      </c>
      <c r="P759" s="38">
        <v>8139534.3700000001</v>
      </c>
      <c r="Q759" s="38">
        <v>0</v>
      </c>
      <c r="R759" s="38">
        <v>0</v>
      </c>
      <c r="S759" s="38">
        <f t="shared" si="142"/>
        <v>8139534.3700000001</v>
      </c>
      <c r="T759" s="38">
        <f t="shared" si="137"/>
        <v>2274.731256148274</v>
      </c>
      <c r="U759" s="38">
        <v>1883.4686992487927</v>
      </c>
      <c r="V759" s="458">
        <f t="shared" si="138"/>
        <v>-391.2625568994813</v>
      </c>
      <c r="W759" s="458">
        <f t="shared" si="143"/>
        <v>1335.5742096673225</v>
      </c>
      <c r="X759" s="458">
        <v>0</v>
      </c>
      <c r="Y759" s="459">
        <v>0</v>
      </c>
      <c r="Z759" s="459">
        <v>0</v>
      </c>
      <c r="AA759" s="459">
        <v>0</v>
      </c>
      <c r="AB759" s="459">
        <v>0</v>
      </c>
      <c r="AC759" s="459">
        <v>0</v>
      </c>
      <c r="AD759" s="459">
        <v>0</v>
      </c>
      <c r="AE759" s="459">
        <v>766</v>
      </c>
      <c r="AF759" s="458">
        <f t="shared" si="145"/>
        <v>1335.5742096673225</v>
      </c>
      <c r="AG759" s="459">
        <v>0</v>
      </c>
      <c r="AH759" s="458">
        <v>0</v>
      </c>
      <c r="AI759" s="459">
        <v>0</v>
      </c>
      <c r="AJ759" s="458">
        <v>0</v>
      </c>
      <c r="AK759" s="459">
        <v>0</v>
      </c>
      <c r="AL759" s="459">
        <v>0</v>
      </c>
      <c r="AM759" s="459">
        <v>0</v>
      </c>
      <c r="AN759" s="459"/>
      <c r="AO759" s="459">
        <v>0</v>
      </c>
      <c r="AP759" s="460"/>
      <c r="AQ759" s="460"/>
      <c r="AR759" s="460"/>
      <c r="AS759" s="460"/>
      <c r="AT759" s="460"/>
      <c r="AU759" s="460"/>
      <c r="AV759" s="460"/>
      <c r="AW759" s="460"/>
      <c r="AX759" s="460"/>
      <c r="AY759" s="460"/>
      <c r="AZ759" s="460"/>
      <c r="BA759" s="460"/>
      <c r="BB759" s="460"/>
      <c r="BC759" s="460"/>
      <c r="BD759" s="460"/>
      <c r="BE759" s="460"/>
      <c r="BF759" s="460"/>
      <c r="BG759" s="460"/>
      <c r="BH759" s="460"/>
      <c r="BI759" s="460"/>
      <c r="BJ759" s="460"/>
      <c r="BK759" s="460"/>
      <c r="BL759" s="460"/>
      <c r="BM759" s="460"/>
      <c r="BN759" s="460"/>
      <c r="BO759" s="460"/>
      <c r="BP759" s="460"/>
      <c r="BQ759" s="460"/>
      <c r="BR759" s="460"/>
      <c r="BS759" s="460"/>
      <c r="BT759" s="460"/>
      <c r="BU759" s="460"/>
      <c r="BV759" s="460"/>
      <c r="BW759" s="460"/>
      <c r="BX759" s="460"/>
      <c r="BY759" s="460"/>
      <c r="BZ759" s="460"/>
      <c r="CA759" s="460"/>
      <c r="CB759" s="460"/>
      <c r="CC759" s="460"/>
      <c r="CD759" s="460"/>
      <c r="CE759" s="460"/>
      <c r="CF759" s="460"/>
      <c r="CG759" s="460"/>
      <c r="CH759" s="460"/>
      <c r="CI759" s="460"/>
      <c r="CJ759" s="460"/>
      <c r="CK759" s="460"/>
    </row>
    <row r="760" spans="1:89" s="329" customFormat="1" ht="36" customHeight="1" x14ac:dyDescent="0.25">
      <c r="A760" s="329">
        <v>1</v>
      </c>
      <c r="B760" s="39">
        <f>SUBTOTAL(103,$A$552:A760)</f>
        <v>204</v>
      </c>
      <c r="C760" s="33" t="s">
        <v>1577</v>
      </c>
      <c r="D760" s="330">
        <v>1957</v>
      </c>
      <c r="E760" s="330"/>
      <c r="F760" s="331" t="s">
        <v>48</v>
      </c>
      <c r="G760" s="330">
        <v>2</v>
      </c>
      <c r="H760" s="330" t="s">
        <v>56</v>
      </c>
      <c r="I760" s="334">
        <v>821.4</v>
      </c>
      <c r="J760" s="334">
        <v>442.9</v>
      </c>
      <c r="K760" s="334">
        <v>442.9</v>
      </c>
      <c r="L760" s="332">
        <v>17</v>
      </c>
      <c r="M760" s="330" t="s">
        <v>46</v>
      </c>
      <c r="N760" s="330" t="s">
        <v>50</v>
      </c>
      <c r="O760" s="333" t="s">
        <v>239</v>
      </c>
      <c r="P760" s="38">
        <v>833522.04</v>
      </c>
      <c r="Q760" s="38">
        <v>0</v>
      </c>
      <c r="R760" s="38">
        <v>0</v>
      </c>
      <c r="S760" s="38">
        <f t="shared" si="142"/>
        <v>833522.04</v>
      </c>
      <c r="T760" s="38">
        <f t="shared" si="137"/>
        <v>1014.7577794010227</v>
      </c>
      <c r="U760" s="38">
        <v>3345.83</v>
      </c>
      <c r="V760" s="458">
        <f t="shared" si="138"/>
        <v>2331.0722205989773</v>
      </c>
      <c r="W760" s="458">
        <f t="shared" si="143"/>
        <v>2914.9092898709519</v>
      </c>
      <c r="X760" s="458">
        <v>0</v>
      </c>
      <c r="Y760" s="459">
        <v>0</v>
      </c>
      <c r="Z760" s="459">
        <v>0</v>
      </c>
      <c r="AA760" s="459">
        <v>0</v>
      </c>
      <c r="AB760" s="459">
        <v>0</v>
      </c>
      <c r="AC760" s="459">
        <v>0</v>
      </c>
      <c r="AD760" s="459">
        <v>0</v>
      </c>
      <c r="AE760" s="459">
        <v>383.77</v>
      </c>
      <c r="AF760" s="458">
        <f t="shared" si="145"/>
        <v>2914.9092898709519</v>
      </c>
      <c r="AG760" s="459">
        <v>0</v>
      </c>
      <c r="AH760" s="458">
        <v>0</v>
      </c>
      <c r="AI760" s="459">
        <v>0</v>
      </c>
      <c r="AJ760" s="458">
        <v>0</v>
      </c>
      <c r="AK760" s="459">
        <v>0</v>
      </c>
      <c r="AL760" s="459">
        <v>0</v>
      </c>
      <c r="AM760" s="459">
        <v>0</v>
      </c>
      <c r="AN760" s="459"/>
      <c r="AO760" s="459">
        <v>0</v>
      </c>
      <c r="AP760" s="460"/>
      <c r="AQ760" s="460"/>
      <c r="AR760" s="460"/>
      <c r="AS760" s="460"/>
      <c r="AT760" s="460"/>
      <c r="AU760" s="460"/>
      <c r="AV760" s="460"/>
      <c r="AW760" s="460"/>
      <c r="AX760" s="460"/>
      <c r="AY760" s="460"/>
      <c r="AZ760" s="460"/>
      <c r="BA760" s="460"/>
      <c r="BB760" s="460"/>
      <c r="BC760" s="460"/>
      <c r="BD760" s="460"/>
      <c r="BE760" s="460"/>
      <c r="BF760" s="460"/>
      <c r="BG760" s="460"/>
      <c r="BH760" s="460"/>
      <c r="BI760" s="460"/>
      <c r="BJ760" s="460"/>
      <c r="BK760" s="460"/>
      <c r="BL760" s="460"/>
      <c r="BM760" s="460"/>
      <c r="BN760" s="460"/>
      <c r="BO760" s="460"/>
      <c r="BP760" s="460"/>
      <c r="BQ760" s="460"/>
      <c r="BR760" s="460"/>
      <c r="BS760" s="460"/>
      <c r="BT760" s="460"/>
      <c r="BU760" s="460"/>
      <c r="BV760" s="460"/>
      <c r="BW760" s="460"/>
      <c r="BX760" s="460"/>
      <c r="BY760" s="460"/>
      <c r="BZ760" s="460"/>
      <c r="CA760" s="460"/>
      <c r="CB760" s="460"/>
      <c r="CC760" s="460"/>
      <c r="CD760" s="460"/>
      <c r="CE760" s="460"/>
      <c r="CF760" s="460"/>
      <c r="CG760" s="460"/>
      <c r="CH760" s="460"/>
      <c r="CI760" s="460"/>
      <c r="CJ760" s="460"/>
      <c r="CK760" s="460"/>
    </row>
    <row r="761" spans="1:89" s="329" customFormat="1" ht="36" customHeight="1" x14ac:dyDescent="0.25">
      <c r="A761" s="329">
        <v>1</v>
      </c>
      <c r="B761" s="39">
        <f>SUBTOTAL(103,$A$552:A761)</f>
        <v>205</v>
      </c>
      <c r="C761" s="33" t="s">
        <v>1248</v>
      </c>
      <c r="D761" s="330">
        <v>1965</v>
      </c>
      <c r="E761" s="330"/>
      <c r="F761" s="331" t="s">
        <v>1981</v>
      </c>
      <c r="G761" s="330">
        <v>5</v>
      </c>
      <c r="H761" s="330" t="s">
        <v>61</v>
      </c>
      <c r="I761" s="334">
        <v>4032.79</v>
      </c>
      <c r="J761" s="334">
        <v>2461.4</v>
      </c>
      <c r="K761" s="334">
        <v>2461.4</v>
      </c>
      <c r="L761" s="332">
        <v>120</v>
      </c>
      <c r="M761" s="330" t="s">
        <v>46</v>
      </c>
      <c r="N761" s="330" t="s">
        <v>50</v>
      </c>
      <c r="O761" s="333" t="s">
        <v>2029</v>
      </c>
      <c r="P761" s="38">
        <v>6146239.9500000002</v>
      </c>
      <c r="Q761" s="38">
        <v>0</v>
      </c>
      <c r="R761" s="38">
        <v>0</v>
      </c>
      <c r="S761" s="38">
        <f t="shared" si="142"/>
        <v>6146239.9500000002</v>
      </c>
      <c r="T761" s="38">
        <f t="shared" si="137"/>
        <v>1524.0664527535528</v>
      </c>
      <c r="U761" s="38">
        <v>1568.6217221824095</v>
      </c>
      <c r="V761" s="458">
        <f t="shared" si="138"/>
        <v>44.555269428856718</v>
      </c>
      <c r="W761" s="458">
        <f t="shared" si="143"/>
        <v>1124.3927375340645</v>
      </c>
      <c r="X761" s="458">
        <v>0</v>
      </c>
      <c r="Y761" s="459">
        <v>0</v>
      </c>
      <c r="Z761" s="459">
        <v>0</v>
      </c>
      <c r="AA761" s="459">
        <v>0</v>
      </c>
      <c r="AB761" s="459">
        <v>0</v>
      </c>
      <c r="AC761" s="459">
        <v>0</v>
      </c>
      <c r="AD761" s="459">
        <v>0</v>
      </c>
      <c r="AE761" s="459">
        <v>726.8</v>
      </c>
      <c r="AF761" s="458">
        <f t="shared" si="145"/>
        <v>1124.3927375340645</v>
      </c>
      <c r="AG761" s="459">
        <v>0</v>
      </c>
      <c r="AH761" s="458">
        <v>0</v>
      </c>
      <c r="AI761" s="459">
        <v>0</v>
      </c>
      <c r="AJ761" s="458">
        <v>0</v>
      </c>
      <c r="AK761" s="459">
        <v>0</v>
      </c>
      <c r="AL761" s="459">
        <v>0</v>
      </c>
      <c r="AM761" s="459">
        <v>0</v>
      </c>
      <c r="AN761" s="459"/>
      <c r="AO761" s="459">
        <v>0</v>
      </c>
      <c r="AP761" s="460"/>
      <c r="AQ761" s="460"/>
      <c r="AR761" s="460"/>
      <c r="AS761" s="460"/>
      <c r="AT761" s="460"/>
      <c r="AU761" s="460"/>
      <c r="AV761" s="460"/>
      <c r="AW761" s="460"/>
      <c r="AX761" s="460"/>
      <c r="AY761" s="460"/>
      <c r="AZ761" s="460"/>
      <c r="BA761" s="460"/>
      <c r="BB761" s="460"/>
      <c r="BC761" s="460"/>
      <c r="BD761" s="460"/>
      <c r="BE761" s="460"/>
      <c r="BF761" s="460"/>
      <c r="BG761" s="460"/>
      <c r="BH761" s="460"/>
      <c r="BI761" s="460"/>
      <c r="BJ761" s="460"/>
      <c r="BK761" s="460"/>
      <c r="BL761" s="460"/>
      <c r="BM761" s="460"/>
      <c r="BN761" s="460"/>
      <c r="BO761" s="460"/>
      <c r="BP761" s="460"/>
      <c r="BQ761" s="460"/>
      <c r="BR761" s="460"/>
      <c r="BS761" s="460"/>
      <c r="BT761" s="460"/>
      <c r="BU761" s="460"/>
      <c r="BV761" s="460"/>
      <c r="BW761" s="460"/>
      <c r="BX761" s="460"/>
      <c r="BY761" s="460"/>
      <c r="BZ761" s="460"/>
      <c r="CA761" s="460"/>
      <c r="CB761" s="460"/>
      <c r="CC761" s="460"/>
      <c r="CD761" s="460"/>
      <c r="CE761" s="460"/>
      <c r="CF761" s="460"/>
      <c r="CG761" s="460"/>
      <c r="CH761" s="460"/>
      <c r="CI761" s="460"/>
      <c r="CJ761" s="460"/>
      <c r="CK761" s="460"/>
    </row>
    <row r="762" spans="1:89" s="329" customFormat="1" ht="36" customHeight="1" x14ac:dyDescent="0.25">
      <c r="A762" s="329">
        <v>1</v>
      </c>
      <c r="B762" s="39">
        <f>SUBTOTAL(103,$A$552:A762)</f>
        <v>206</v>
      </c>
      <c r="C762" s="33" t="s">
        <v>1578</v>
      </c>
      <c r="D762" s="330">
        <v>1963</v>
      </c>
      <c r="E762" s="330"/>
      <c r="F762" s="331" t="s">
        <v>1981</v>
      </c>
      <c r="G762" s="330" t="s">
        <v>56</v>
      </c>
      <c r="H762" s="330" t="s">
        <v>56</v>
      </c>
      <c r="I762" s="334">
        <v>695.5</v>
      </c>
      <c r="J762" s="334">
        <v>647.5</v>
      </c>
      <c r="K762" s="334">
        <v>647.5</v>
      </c>
      <c r="L762" s="332">
        <v>31</v>
      </c>
      <c r="M762" s="330" t="s">
        <v>46</v>
      </c>
      <c r="N762" s="330" t="s">
        <v>47</v>
      </c>
      <c r="O762" s="333" t="s">
        <v>49</v>
      </c>
      <c r="P762" s="38">
        <v>3646987.83</v>
      </c>
      <c r="Q762" s="38">
        <v>0</v>
      </c>
      <c r="R762" s="38">
        <v>0</v>
      </c>
      <c r="S762" s="38">
        <f t="shared" si="142"/>
        <v>3646987.83</v>
      </c>
      <c r="T762" s="38">
        <f t="shared" si="137"/>
        <v>5243.6920632638394</v>
      </c>
      <c r="U762" s="38">
        <v>5400.5952552120771</v>
      </c>
      <c r="V762" s="458">
        <f t="shared" si="138"/>
        <v>156.90319194823769</v>
      </c>
      <c r="W762" s="458">
        <f t="shared" si="143"/>
        <v>3815.8267948238672</v>
      </c>
      <c r="X762" s="458">
        <v>0</v>
      </c>
      <c r="Y762" s="459">
        <v>0</v>
      </c>
      <c r="Z762" s="459">
        <v>0</v>
      </c>
      <c r="AA762" s="459">
        <v>0</v>
      </c>
      <c r="AB762" s="459">
        <v>0</v>
      </c>
      <c r="AC762" s="459">
        <v>0</v>
      </c>
      <c r="AD762" s="459">
        <v>0</v>
      </c>
      <c r="AE762" s="459">
        <v>425.38</v>
      </c>
      <c r="AF762" s="458">
        <f t="shared" si="145"/>
        <v>3815.8267948238672</v>
      </c>
      <c r="AG762" s="459">
        <v>0</v>
      </c>
      <c r="AH762" s="458">
        <v>0</v>
      </c>
      <c r="AI762" s="459">
        <v>0</v>
      </c>
      <c r="AJ762" s="458">
        <v>0</v>
      </c>
      <c r="AK762" s="459">
        <v>0</v>
      </c>
      <c r="AL762" s="459">
        <v>0</v>
      </c>
      <c r="AM762" s="459">
        <v>0</v>
      </c>
      <c r="AN762" s="459"/>
      <c r="AO762" s="459">
        <v>0</v>
      </c>
      <c r="AP762" s="460"/>
      <c r="AQ762" s="460"/>
      <c r="AR762" s="460"/>
      <c r="AS762" s="460"/>
      <c r="AT762" s="460"/>
      <c r="AU762" s="460"/>
      <c r="AV762" s="460"/>
      <c r="AW762" s="460"/>
      <c r="AX762" s="460"/>
      <c r="AY762" s="460"/>
      <c r="AZ762" s="460"/>
      <c r="BA762" s="460"/>
      <c r="BB762" s="460"/>
      <c r="BC762" s="460"/>
      <c r="BD762" s="460"/>
      <c r="BE762" s="460"/>
      <c r="BF762" s="460"/>
      <c r="BG762" s="460"/>
      <c r="BH762" s="460"/>
      <c r="BI762" s="460"/>
      <c r="BJ762" s="460"/>
      <c r="BK762" s="460"/>
      <c r="BL762" s="460"/>
      <c r="BM762" s="460"/>
      <c r="BN762" s="460"/>
      <c r="BO762" s="460"/>
      <c r="BP762" s="460"/>
      <c r="BQ762" s="460"/>
      <c r="BR762" s="460"/>
      <c r="BS762" s="460"/>
      <c r="BT762" s="460"/>
      <c r="BU762" s="460"/>
      <c r="BV762" s="460"/>
      <c r="BW762" s="460"/>
      <c r="BX762" s="460"/>
      <c r="BY762" s="460"/>
      <c r="BZ762" s="460"/>
      <c r="CA762" s="460"/>
      <c r="CB762" s="460"/>
      <c r="CC762" s="460"/>
      <c r="CD762" s="460"/>
      <c r="CE762" s="460"/>
      <c r="CF762" s="460"/>
      <c r="CG762" s="460"/>
      <c r="CH762" s="460"/>
      <c r="CI762" s="460"/>
      <c r="CJ762" s="460"/>
      <c r="CK762" s="460"/>
    </row>
    <row r="763" spans="1:89" s="329" customFormat="1" ht="36" customHeight="1" x14ac:dyDescent="0.25">
      <c r="A763" s="329">
        <v>1</v>
      </c>
      <c r="B763" s="39">
        <f>SUBTOTAL(103,$A$552:A763)</f>
        <v>207</v>
      </c>
      <c r="C763" s="33" t="s">
        <v>1579</v>
      </c>
      <c r="D763" s="330">
        <v>1955</v>
      </c>
      <c r="E763" s="330"/>
      <c r="F763" s="331" t="s">
        <v>1981</v>
      </c>
      <c r="G763" s="330" t="s">
        <v>56</v>
      </c>
      <c r="H763" s="330" t="s">
        <v>57</v>
      </c>
      <c r="I763" s="334">
        <v>349</v>
      </c>
      <c r="J763" s="334">
        <v>310.60000000000002</v>
      </c>
      <c r="K763" s="334">
        <v>310.60000000000002</v>
      </c>
      <c r="L763" s="332">
        <v>17</v>
      </c>
      <c r="M763" s="330" t="s">
        <v>46</v>
      </c>
      <c r="N763" s="330" t="s">
        <v>50</v>
      </c>
      <c r="O763" s="333" t="s">
        <v>2145</v>
      </c>
      <c r="P763" s="38">
        <v>2017991.4400000002</v>
      </c>
      <c r="Q763" s="38">
        <v>0</v>
      </c>
      <c r="R763" s="38">
        <v>0</v>
      </c>
      <c r="S763" s="38">
        <f t="shared" si="142"/>
        <v>2017991.4400000002</v>
      </c>
      <c r="T763" s="38">
        <f t="shared" si="137"/>
        <v>5782.2104297994274</v>
      </c>
      <c r="U763" s="38">
        <v>5782.2104297994274</v>
      </c>
      <c r="V763" s="458">
        <f t="shared" si="138"/>
        <v>0</v>
      </c>
      <c r="W763" s="458">
        <f t="shared" si="143"/>
        <v>102555.69736389685</v>
      </c>
      <c r="X763" s="458">
        <v>0</v>
      </c>
      <c r="Y763" s="459">
        <v>0</v>
      </c>
      <c r="Z763" s="459">
        <v>0</v>
      </c>
      <c r="AA763" s="459">
        <v>0</v>
      </c>
      <c r="AB763" s="459">
        <v>0</v>
      </c>
      <c r="AC763" s="459">
        <v>0</v>
      </c>
      <c r="AD763" s="459">
        <v>0</v>
      </c>
      <c r="AE763" s="459">
        <v>0</v>
      </c>
      <c r="AF763" s="458">
        <v>0</v>
      </c>
      <c r="AG763" s="459">
        <v>0</v>
      </c>
      <c r="AH763" s="458">
        <v>0</v>
      </c>
      <c r="AI763" s="459">
        <v>2448</v>
      </c>
      <c r="AJ763" s="458">
        <f>7439.1*AI763/I763</f>
        <v>52180.27736389685</v>
      </c>
      <c r="AK763" s="459">
        <v>229</v>
      </c>
      <c r="AL763" s="458">
        <f>76773.02*AK763/I763</f>
        <v>50375.420000000006</v>
      </c>
      <c r="AM763" s="459">
        <v>0</v>
      </c>
      <c r="AN763" s="459"/>
      <c r="AO763" s="459">
        <v>0</v>
      </c>
      <c r="AP763" s="460"/>
      <c r="AQ763" s="460"/>
      <c r="AR763" s="460"/>
      <c r="AS763" s="460"/>
      <c r="AT763" s="460"/>
      <c r="AU763" s="460"/>
      <c r="AV763" s="460"/>
      <c r="AW763" s="460"/>
      <c r="AX763" s="460"/>
      <c r="AY763" s="460"/>
      <c r="AZ763" s="460"/>
      <c r="BA763" s="460"/>
      <c r="BB763" s="460"/>
      <c r="BC763" s="460"/>
      <c r="BD763" s="460"/>
      <c r="BE763" s="460"/>
      <c r="BF763" s="460"/>
      <c r="BG763" s="460"/>
      <c r="BH763" s="460"/>
      <c r="BI763" s="460"/>
      <c r="BJ763" s="460"/>
      <c r="BK763" s="460"/>
      <c r="BL763" s="460"/>
      <c r="BM763" s="460"/>
      <c r="BN763" s="460"/>
      <c r="BO763" s="460"/>
      <c r="BP763" s="460"/>
      <c r="BQ763" s="460"/>
      <c r="BR763" s="460"/>
      <c r="BS763" s="460"/>
      <c r="BT763" s="460"/>
      <c r="BU763" s="460"/>
      <c r="BV763" s="460"/>
      <c r="BW763" s="460"/>
      <c r="BX763" s="460"/>
      <c r="BY763" s="460"/>
      <c r="BZ763" s="460"/>
      <c r="CA763" s="460"/>
      <c r="CB763" s="460"/>
      <c r="CC763" s="460"/>
      <c r="CD763" s="460"/>
      <c r="CE763" s="460"/>
      <c r="CF763" s="460"/>
      <c r="CG763" s="460"/>
      <c r="CH763" s="460"/>
      <c r="CI763" s="460"/>
      <c r="CJ763" s="460"/>
      <c r="CK763" s="460"/>
    </row>
    <row r="764" spans="1:89" s="329" customFormat="1" ht="36" customHeight="1" x14ac:dyDescent="0.25">
      <c r="A764" s="329">
        <v>1</v>
      </c>
      <c r="B764" s="39">
        <f>SUBTOTAL(103,$A$552:A764)</f>
        <v>208</v>
      </c>
      <c r="C764" s="33" t="s">
        <v>1580</v>
      </c>
      <c r="D764" s="330">
        <v>1957</v>
      </c>
      <c r="E764" s="330"/>
      <c r="F764" s="331" t="s">
        <v>1981</v>
      </c>
      <c r="G764" s="330" t="s">
        <v>56</v>
      </c>
      <c r="H764" s="330" t="s">
        <v>56</v>
      </c>
      <c r="I764" s="38">
        <v>832.6</v>
      </c>
      <c r="J764" s="38">
        <v>448</v>
      </c>
      <c r="K764" s="38">
        <v>448</v>
      </c>
      <c r="L764" s="332">
        <v>22</v>
      </c>
      <c r="M764" s="330" t="s">
        <v>46</v>
      </c>
      <c r="N764" s="330" t="s">
        <v>50</v>
      </c>
      <c r="O764" s="333" t="s">
        <v>2027</v>
      </c>
      <c r="P764" s="38">
        <v>2478736.48</v>
      </c>
      <c r="Q764" s="38">
        <v>0</v>
      </c>
      <c r="R764" s="38">
        <v>0</v>
      </c>
      <c r="S764" s="38">
        <f t="shared" si="142"/>
        <v>2478736.48</v>
      </c>
      <c r="T764" s="38">
        <f t="shared" si="137"/>
        <v>2977.1036271919288</v>
      </c>
      <c r="U764" s="38">
        <v>3170.5463838577948</v>
      </c>
      <c r="V764" s="458">
        <f t="shared" si="138"/>
        <v>193.442756665866</v>
      </c>
      <c r="W764" s="458">
        <f t="shared" si="143"/>
        <v>12614.159423492676</v>
      </c>
      <c r="X764" s="458">
        <v>0</v>
      </c>
      <c r="Y764" s="459">
        <v>0</v>
      </c>
      <c r="Z764" s="459">
        <v>0</v>
      </c>
      <c r="AA764" s="459">
        <v>0</v>
      </c>
      <c r="AB764" s="459">
        <v>0</v>
      </c>
      <c r="AC764" s="459">
        <v>0</v>
      </c>
      <c r="AD764" s="459">
        <v>0</v>
      </c>
      <c r="AE764" s="459">
        <v>0</v>
      </c>
      <c r="AF764" s="458">
        <v>0</v>
      </c>
      <c r="AG764" s="459">
        <v>0</v>
      </c>
      <c r="AH764" s="458">
        <v>0</v>
      </c>
      <c r="AI764" s="459">
        <v>0</v>
      </c>
      <c r="AJ764" s="458">
        <v>0</v>
      </c>
      <c r="AK764" s="459">
        <v>136.80000000000001</v>
      </c>
      <c r="AL764" s="458">
        <f>76773.02*AK764/I764</f>
        <v>12614.159423492676</v>
      </c>
      <c r="AM764" s="459">
        <v>0</v>
      </c>
      <c r="AN764" s="459"/>
      <c r="AO764" s="459">
        <v>0</v>
      </c>
      <c r="AP764" s="460"/>
      <c r="AQ764" s="460"/>
      <c r="AR764" s="460"/>
      <c r="AS764" s="460"/>
      <c r="AT764" s="460"/>
      <c r="AU764" s="460"/>
      <c r="AV764" s="460"/>
      <c r="AW764" s="460"/>
      <c r="AX764" s="460"/>
      <c r="AY764" s="460"/>
      <c r="AZ764" s="460"/>
      <c r="BA764" s="460"/>
      <c r="BB764" s="460"/>
      <c r="BC764" s="460"/>
      <c r="BD764" s="460"/>
      <c r="BE764" s="460"/>
      <c r="BF764" s="460"/>
      <c r="BG764" s="460"/>
      <c r="BH764" s="460"/>
      <c r="BI764" s="460"/>
      <c r="BJ764" s="460"/>
      <c r="BK764" s="460"/>
      <c r="BL764" s="460"/>
      <c r="BM764" s="460"/>
      <c r="BN764" s="460"/>
      <c r="BO764" s="460"/>
      <c r="BP764" s="460"/>
      <c r="BQ764" s="460"/>
      <c r="BR764" s="460"/>
      <c r="BS764" s="460"/>
      <c r="BT764" s="460"/>
      <c r="BU764" s="460"/>
      <c r="BV764" s="460"/>
      <c r="BW764" s="460"/>
      <c r="BX764" s="460"/>
      <c r="BY764" s="460"/>
      <c r="BZ764" s="460"/>
      <c r="CA764" s="460"/>
      <c r="CB764" s="460"/>
      <c r="CC764" s="460"/>
      <c r="CD764" s="460"/>
      <c r="CE764" s="460"/>
      <c r="CF764" s="460"/>
      <c r="CG764" s="460"/>
      <c r="CH764" s="460"/>
      <c r="CI764" s="460"/>
      <c r="CJ764" s="460"/>
      <c r="CK764" s="460"/>
    </row>
    <row r="765" spans="1:89" s="329" customFormat="1" ht="36" customHeight="1" x14ac:dyDescent="0.25">
      <c r="B765" s="33" t="s">
        <v>97</v>
      </c>
      <c r="C765" s="33"/>
      <c r="D765" s="330" t="s">
        <v>131</v>
      </c>
      <c r="E765" s="330" t="s">
        <v>131</v>
      </c>
      <c r="F765" s="330" t="s">
        <v>131</v>
      </c>
      <c r="G765" s="330" t="s">
        <v>131</v>
      </c>
      <c r="H765" s="330" t="s">
        <v>131</v>
      </c>
      <c r="I765" s="334">
        <f>SUM(I766:I772)</f>
        <v>35250.9</v>
      </c>
      <c r="J765" s="334">
        <f>SUM(J766:J772)</f>
        <v>20149</v>
      </c>
      <c r="K765" s="334">
        <f>SUM(K766:K772)</f>
        <v>19981.8</v>
      </c>
      <c r="L765" s="332">
        <f>SUM(L766:L772)</f>
        <v>902</v>
      </c>
      <c r="M765" s="330" t="s">
        <v>131</v>
      </c>
      <c r="N765" s="330" t="s">
        <v>131</v>
      </c>
      <c r="O765" s="333" t="s">
        <v>131</v>
      </c>
      <c r="P765" s="334">
        <v>31580337.110000003</v>
      </c>
      <c r="Q765" s="334">
        <f>SUM(Q766:Q772)</f>
        <v>0</v>
      </c>
      <c r="R765" s="334">
        <f>SUM(R766:R772)</f>
        <v>0</v>
      </c>
      <c r="S765" s="334">
        <f>SUM(S766:S772)</f>
        <v>31580337.110000003</v>
      </c>
      <c r="T765" s="38">
        <f t="shared" si="137"/>
        <v>895.87321486827295</v>
      </c>
      <c r="U765" s="38">
        <f>MAX(U766:U772)</f>
        <v>4896.2379888268151</v>
      </c>
      <c r="V765" s="458">
        <f t="shared" si="138"/>
        <v>4000.3647739585422</v>
      </c>
      <c r="W765" s="458"/>
      <c r="X765" s="458"/>
      <c r="Y765" s="459"/>
      <c r="Z765" s="459"/>
      <c r="AA765" s="459"/>
      <c r="AB765" s="459"/>
      <c r="AC765" s="459"/>
      <c r="AD765" s="459"/>
      <c r="AE765" s="459"/>
      <c r="AF765" s="459"/>
      <c r="AG765" s="459"/>
      <c r="AH765" s="459"/>
      <c r="AI765" s="459"/>
      <c r="AJ765" s="459"/>
      <c r="AK765" s="459"/>
      <c r="AL765" s="459"/>
      <c r="AM765" s="459"/>
      <c r="AN765" s="459"/>
      <c r="AO765" s="459"/>
      <c r="AP765" s="460"/>
      <c r="AQ765" s="460"/>
      <c r="AR765" s="460"/>
      <c r="AS765" s="460"/>
      <c r="AT765" s="460"/>
      <c r="AU765" s="460"/>
      <c r="AV765" s="460"/>
      <c r="AW765" s="460"/>
      <c r="AX765" s="460"/>
      <c r="AY765" s="460"/>
      <c r="AZ765" s="460"/>
      <c r="BA765" s="460"/>
      <c r="BB765" s="460"/>
      <c r="BC765" s="460"/>
      <c r="BD765" s="460"/>
      <c r="BE765" s="460"/>
      <c r="BF765" s="460"/>
      <c r="BG765" s="460"/>
      <c r="BH765" s="460"/>
      <c r="BI765" s="460"/>
      <c r="BJ765" s="460"/>
      <c r="BK765" s="460"/>
      <c r="BL765" s="460"/>
      <c r="BM765" s="460"/>
      <c r="BN765" s="460"/>
      <c r="BO765" s="460"/>
      <c r="BP765" s="460"/>
      <c r="BQ765" s="460"/>
      <c r="BR765" s="460"/>
      <c r="BS765" s="460"/>
      <c r="BT765" s="460"/>
      <c r="BU765" s="460"/>
      <c r="BV765" s="460"/>
      <c r="BW765" s="460"/>
      <c r="BX765" s="460"/>
      <c r="BY765" s="460"/>
      <c r="BZ765" s="460"/>
      <c r="CA765" s="460"/>
      <c r="CB765" s="460"/>
      <c r="CC765" s="460"/>
      <c r="CD765" s="460"/>
      <c r="CE765" s="460"/>
      <c r="CF765" s="460"/>
      <c r="CG765" s="460"/>
      <c r="CH765" s="460"/>
      <c r="CI765" s="460"/>
      <c r="CJ765" s="460"/>
      <c r="CK765" s="460"/>
    </row>
    <row r="766" spans="1:89" s="329" customFormat="1" ht="36" customHeight="1" x14ac:dyDescent="0.25">
      <c r="A766" s="329">
        <v>1</v>
      </c>
      <c r="B766" s="39">
        <f>SUBTOTAL(103,$A$552:A766)</f>
        <v>209</v>
      </c>
      <c r="C766" s="33" t="s">
        <v>1581</v>
      </c>
      <c r="D766" s="330">
        <v>1986</v>
      </c>
      <c r="E766" s="330"/>
      <c r="F766" s="331" t="s">
        <v>60</v>
      </c>
      <c r="G766" s="330">
        <v>5</v>
      </c>
      <c r="H766" s="330" t="s">
        <v>1969</v>
      </c>
      <c r="I766" s="334">
        <v>7160.5</v>
      </c>
      <c r="J766" s="334">
        <v>3872.4</v>
      </c>
      <c r="K766" s="334">
        <v>3872.4</v>
      </c>
      <c r="L766" s="332">
        <v>185</v>
      </c>
      <c r="M766" s="330" t="s">
        <v>46</v>
      </c>
      <c r="N766" s="330" t="s">
        <v>50</v>
      </c>
      <c r="O766" s="333" t="s">
        <v>84</v>
      </c>
      <c r="P766" s="38">
        <v>5608010</v>
      </c>
      <c r="Q766" s="38">
        <v>0</v>
      </c>
      <c r="R766" s="38">
        <v>0</v>
      </c>
      <c r="S766" s="38">
        <f t="shared" ref="S766:S772" si="146">P766-Q766-R766</f>
        <v>5608010</v>
      </c>
      <c r="T766" s="38">
        <f t="shared" si="137"/>
        <v>783.18692828713074</v>
      </c>
      <c r="U766" s="38">
        <v>981.3648872285454</v>
      </c>
      <c r="V766" s="458">
        <f t="shared" si="138"/>
        <v>198.17795894141466</v>
      </c>
      <c r="W766" s="458">
        <f t="shared" ref="W766:W772" si="147">X766+Y766+Z766+AA766+AB766+AD766+AF766+AH766+AJ766+AL766+AN766+AO766</f>
        <v>978.02897493191813</v>
      </c>
      <c r="X766" s="458">
        <v>0</v>
      </c>
      <c r="Y766" s="459">
        <v>0</v>
      </c>
      <c r="Z766" s="459">
        <v>0</v>
      </c>
      <c r="AA766" s="459">
        <v>0</v>
      </c>
      <c r="AB766" s="459">
        <v>0</v>
      </c>
      <c r="AC766" s="459">
        <v>0</v>
      </c>
      <c r="AD766" s="459">
        <v>0</v>
      </c>
      <c r="AE766" s="459">
        <v>1122.5</v>
      </c>
      <c r="AF766" s="458">
        <f>6238.91*AE766/I766</f>
        <v>978.02897493191813</v>
      </c>
      <c r="AG766" s="459">
        <v>0</v>
      </c>
      <c r="AH766" s="458">
        <v>0</v>
      </c>
      <c r="AI766" s="459">
        <v>0</v>
      </c>
      <c r="AJ766" s="458">
        <v>0</v>
      </c>
      <c r="AK766" s="459">
        <v>0</v>
      </c>
      <c r="AL766" s="459">
        <v>0</v>
      </c>
      <c r="AM766" s="459">
        <v>0</v>
      </c>
      <c r="AN766" s="459"/>
      <c r="AO766" s="459">
        <v>0</v>
      </c>
      <c r="AP766" s="460"/>
      <c r="AQ766" s="460"/>
      <c r="AR766" s="460"/>
      <c r="AS766" s="460"/>
      <c r="AT766" s="460"/>
      <c r="AU766" s="460"/>
      <c r="AV766" s="460"/>
      <c r="AW766" s="460"/>
      <c r="AX766" s="460"/>
      <c r="AY766" s="460"/>
      <c r="AZ766" s="460"/>
      <c r="BA766" s="460"/>
      <c r="BB766" s="460"/>
      <c r="BC766" s="460"/>
      <c r="BD766" s="460"/>
      <c r="BE766" s="460"/>
      <c r="BF766" s="460"/>
      <c r="BG766" s="460"/>
      <c r="BH766" s="460"/>
      <c r="BI766" s="460"/>
      <c r="BJ766" s="460"/>
      <c r="BK766" s="460"/>
      <c r="BL766" s="460"/>
      <c r="BM766" s="460"/>
      <c r="BN766" s="460"/>
      <c r="BO766" s="460"/>
      <c r="BP766" s="460"/>
      <c r="BQ766" s="460"/>
      <c r="BR766" s="460"/>
      <c r="BS766" s="460"/>
      <c r="BT766" s="460"/>
      <c r="BU766" s="460"/>
      <c r="BV766" s="460"/>
      <c r="BW766" s="460"/>
      <c r="BX766" s="460"/>
      <c r="BY766" s="460"/>
      <c r="BZ766" s="460"/>
      <c r="CA766" s="460"/>
      <c r="CB766" s="460"/>
      <c r="CC766" s="460"/>
      <c r="CD766" s="460"/>
      <c r="CE766" s="460"/>
      <c r="CF766" s="460"/>
      <c r="CG766" s="460"/>
      <c r="CH766" s="460"/>
      <c r="CI766" s="460"/>
      <c r="CJ766" s="460"/>
      <c r="CK766" s="460"/>
    </row>
    <row r="767" spans="1:89" s="329" customFormat="1" ht="36" customHeight="1" x14ac:dyDescent="0.25">
      <c r="A767" s="329">
        <v>1</v>
      </c>
      <c r="B767" s="39">
        <f>SUBTOTAL(103,$A$552:A767)</f>
        <v>210</v>
      </c>
      <c r="C767" s="33" t="s">
        <v>1582</v>
      </c>
      <c r="D767" s="330">
        <v>2002</v>
      </c>
      <c r="E767" s="330"/>
      <c r="F767" s="331" t="s">
        <v>48</v>
      </c>
      <c r="G767" s="330">
        <v>5</v>
      </c>
      <c r="H767" s="330" t="s">
        <v>61</v>
      </c>
      <c r="I767" s="334">
        <v>5019</v>
      </c>
      <c r="J767" s="334">
        <v>2368</v>
      </c>
      <c r="K767" s="334">
        <v>2368</v>
      </c>
      <c r="L767" s="332">
        <v>93</v>
      </c>
      <c r="M767" s="330" t="s">
        <v>46</v>
      </c>
      <c r="N767" s="330" t="s">
        <v>50</v>
      </c>
      <c r="O767" s="333" t="s">
        <v>84</v>
      </c>
      <c r="P767" s="38">
        <v>4467087.6000000006</v>
      </c>
      <c r="Q767" s="38">
        <v>0</v>
      </c>
      <c r="R767" s="38">
        <v>0</v>
      </c>
      <c r="S767" s="38">
        <f t="shared" si="146"/>
        <v>4467087.6000000006</v>
      </c>
      <c r="T767" s="38">
        <f t="shared" si="137"/>
        <v>890.03538553496719</v>
      </c>
      <c r="U767" s="38">
        <v>1067.1883968918112</v>
      </c>
      <c r="V767" s="458">
        <f t="shared" si="138"/>
        <v>177.15301135684399</v>
      </c>
      <c r="W767" s="458">
        <f t="shared" si="147"/>
        <v>1063.5607483562462</v>
      </c>
      <c r="X767" s="458">
        <v>0</v>
      </c>
      <c r="Y767" s="459">
        <v>0</v>
      </c>
      <c r="Z767" s="459">
        <v>0</v>
      </c>
      <c r="AA767" s="459">
        <v>0</v>
      </c>
      <c r="AB767" s="459">
        <v>0</v>
      </c>
      <c r="AC767" s="459">
        <v>0</v>
      </c>
      <c r="AD767" s="459">
        <v>0</v>
      </c>
      <c r="AE767" s="459">
        <v>855.6</v>
      </c>
      <c r="AF767" s="458">
        <f>6238.91*AE767/I767</f>
        <v>1063.5607483562462</v>
      </c>
      <c r="AG767" s="459">
        <v>0</v>
      </c>
      <c r="AH767" s="458">
        <v>0</v>
      </c>
      <c r="AI767" s="459">
        <v>0</v>
      </c>
      <c r="AJ767" s="458">
        <v>0</v>
      </c>
      <c r="AK767" s="459">
        <v>0</v>
      </c>
      <c r="AL767" s="459">
        <v>0</v>
      </c>
      <c r="AM767" s="459">
        <v>0</v>
      </c>
      <c r="AN767" s="459"/>
      <c r="AO767" s="459">
        <v>0</v>
      </c>
      <c r="AP767" s="460"/>
      <c r="AQ767" s="460"/>
      <c r="AR767" s="460"/>
      <c r="AS767" s="460"/>
      <c r="AT767" s="460"/>
      <c r="AU767" s="460"/>
      <c r="AV767" s="460"/>
      <c r="AW767" s="460"/>
      <c r="AX767" s="460"/>
      <c r="AY767" s="460"/>
      <c r="AZ767" s="460"/>
      <c r="BA767" s="460"/>
      <c r="BB767" s="460"/>
      <c r="BC767" s="460"/>
      <c r="BD767" s="460"/>
      <c r="BE767" s="460"/>
      <c r="BF767" s="460"/>
      <c r="BG767" s="460"/>
      <c r="BH767" s="460"/>
      <c r="BI767" s="460"/>
      <c r="BJ767" s="460"/>
      <c r="BK767" s="460"/>
      <c r="BL767" s="460"/>
      <c r="BM767" s="460"/>
      <c r="BN767" s="460"/>
      <c r="BO767" s="460"/>
      <c r="BP767" s="460"/>
      <c r="BQ767" s="460"/>
      <c r="BR767" s="460"/>
      <c r="BS767" s="460"/>
      <c r="BT767" s="460"/>
      <c r="BU767" s="460"/>
      <c r="BV767" s="460"/>
      <c r="BW767" s="460"/>
      <c r="BX767" s="460"/>
      <c r="BY767" s="460"/>
      <c r="BZ767" s="460"/>
      <c r="CA767" s="460"/>
      <c r="CB767" s="460"/>
      <c r="CC767" s="460"/>
      <c r="CD767" s="460"/>
      <c r="CE767" s="460"/>
      <c r="CF767" s="460"/>
      <c r="CG767" s="460"/>
      <c r="CH767" s="460"/>
      <c r="CI767" s="460"/>
      <c r="CJ767" s="460"/>
      <c r="CK767" s="460"/>
    </row>
    <row r="768" spans="1:89" s="329" customFormat="1" ht="36" customHeight="1" x14ac:dyDescent="0.25">
      <c r="A768" s="329">
        <v>1</v>
      </c>
      <c r="B768" s="39">
        <f>SUBTOTAL(103,$A$552:A768)</f>
        <v>211</v>
      </c>
      <c r="C768" s="33" t="s">
        <v>1583</v>
      </c>
      <c r="D768" s="330">
        <v>1989</v>
      </c>
      <c r="E768" s="330">
        <v>2015</v>
      </c>
      <c r="F768" s="331" t="s">
        <v>48</v>
      </c>
      <c r="G768" s="330">
        <v>9</v>
      </c>
      <c r="H768" s="330" t="s">
        <v>56</v>
      </c>
      <c r="I768" s="38">
        <v>6378.7</v>
      </c>
      <c r="J768" s="38">
        <v>3794.9</v>
      </c>
      <c r="K768" s="38">
        <v>3627.7</v>
      </c>
      <c r="L768" s="332">
        <v>187</v>
      </c>
      <c r="M768" s="330" t="s">
        <v>46</v>
      </c>
      <c r="N768" s="330" t="s">
        <v>50</v>
      </c>
      <c r="O768" s="333" t="s">
        <v>84</v>
      </c>
      <c r="P768" s="38">
        <v>2483706.87</v>
      </c>
      <c r="Q768" s="38">
        <v>0</v>
      </c>
      <c r="R768" s="38">
        <v>0</v>
      </c>
      <c r="S768" s="38">
        <f t="shared" si="146"/>
        <v>2483706.87</v>
      </c>
      <c r="T768" s="38">
        <f t="shared" si="137"/>
        <v>389.37508740025402</v>
      </c>
      <c r="U768" s="38">
        <v>3721.67</v>
      </c>
      <c r="V768" s="458">
        <f t="shared" si="138"/>
        <v>3332.2949125997461</v>
      </c>
      <c r="W768" s="458">
        <f t="shared" si="147"/>
        <v>3791.6299999999997</v>
      </c>
      <c r="X768" s="458">
        <v>101.55</v>
      </c>
      <c r="Y768" s="459">
        <v>245.44</v>
      </c>
      <c r="Z768" s="459">
        <v>3259.66</v>
      </c>
      <c r="AA768" s="459">
        <v>184.98</v>
      </c>
      <c r="AB768" s="459">
        <v>0</v>
      </c>
      <c r="AC768" s="459">
        <v>0</v>
      </c>
      <c r="AD768" s="459">
        <v>0</v>
      </c>
      <c r="AE768" s="459">
        <v>0</v>
      </c>
      <c r="AF768" s="458">
        <v>0</v>
      </c>
      <c r="AG768" s="459">
        <v>0</v>
      </c>
      <c r="AH768" s="458">
        <v>0</v>
      </c>
      <c r="AI768" s="459">
        <v>0</v>
      </c>
      <c r="AJ768" s="458">
        <v>0</v>
      </c>
      <c r="AK768" s="459">
        <v>0</v>
      </c>
      <c r="AL768" s="459">
        <v>0</v>
      </c>
      <c r="AM768" s="459">
        <v>0</v>
      </c>
      <c r="AN768" s="459"/>
      <c r="AO768" s="459">
        <v>0</v>
      </c>
      <c r="AP768" s="460"/>
      <c r="AQ768" s="460"/>
      <c r="AR768" s="460"/>
      <c r="AS768" s="460"/>
      <c r="AT768" s="460"/>
      <c r="AU768" s="460"/>
      <c r="AV768" s="460"/>
      <c r="AW768" s="460"/>
      <c r="AX768" s="460"/>
      <c r="AY768" s="460"/>
      <c r="AZ768" s="460"/>
      <c r="BA768" s="460"/>
      <c r="BB768" s="460"/>
      <c r="BC768" s="460"/>
      <c r="BD768" s="460"/>
      <c r="BE768" s="460"/>
      <c r="BF768" s="460"/>
      <c r="BG768" s="460"/>
      <c r="BH768" s="460"/>
      <c r="BI768" s="460"/>
      <c r="BJ768" s="460"/>
      <c r="BK768" s="460"/>
      <c r="BL768" s="460"/>
      <c r="BM768" s="460"/>
      <c r="BN768" s="460"/>
      <c r="BO768" s="460"/>
      <c r="BP768" s="460"/>
      <c r="BQ768" s="460"/>
      <c r="BR768" s="460"/>
      <c r="BS768" s="460"/>
      <c r="BT768" s="460"/>
      <c r="BU768" s="460"/>
      <c r="BV768" s="460"/>
      <c r="BW768" s="460"/>
      <c r="BX768" s="460"/>
      <c r="BY768" s="460"/>
      <c r="BZ768" s="460"/>
      <c r="CA768" s="460"/>
      <c r="CB768" s="460"/>
      <c r="CC768" s="460"/>
      <c r="CD768" s="460"/>
      <c r="CE768" s="460"/>
      <c r="CF768" s="460"/>
      <c r="CG768" s="460"/>
      <c r="CH768" s="460"/>
      <c r="CI768" s="460"/>
      <c r="CJ768" s="460"/>
      <c r="CK768" s="460"/>
    </row>
    <row r="769" spans="1:89" s="329" customFormat="1" ht="36" customHeight="1" x14ac:dyDescent="0.25">
      <c r="A769" s="329">
        <v>1</v>
      </c>
      <c r="B769" s="39">
        <f>SUBTOTAL(103,$A$552:A769)</f>
        <v>212</v>
      </c>
      <c r="C769" s="33" t="s">
        <v>1584</v>
      </c>
      <c r="D769" s="330">
        <v>1964</v>
      </c>
      <c r="E769" s="330"/>
      <c r="F769" s="331" t="s">
        <v>48</v>
      </c>
      <c r="G769" s="330">
        <v>2</v>
      </c>
      <c r="H769" s="330" t="s">
        <v>56</v>
      </c>
      <c r="I769" s="334">
        <v>680.2</v>
      </c>
      <c r="J769" s="334">
        <v>356</v>
      </c>
      <c r="K769" s="334">
        <v>356</v>
      </c>
      <c r="L769" s="332">
        <v>22</v>
      </c>
      <c r="M769" s="330" t="s">
        <v>46</v>
      </c>
      <c r="N769" s="330" t="s">
        <v>50</v>
      </c>
      <c r="O769" s="333" t="s">
        <v>84</v>
      </c>
      <c r="P769" s="38">
        <v>2819900</v>
      </c>
      <c r="Q769" s="38">
        <v>0</v>
      </c>
      <c r="R769" s="38">
        <v>0</v>
      </c>
      <c r="S769" s="38">
        <f t="shared" si="146"/>
        <v>2819900</v>
      </c>
      <c r="T769" s="38">
        <f t="shared" si="137"/>
        <v>4145.6924433989998</v>
      </c>
      <c r="U769" s="38">
        <v>4896.2379888268151</v>
      </c>
      <c r="V769" s="458">
        <f t="shared" si="138"/>
        <v>750.54554542781534</v>
      </c>
      <c r="W769" s="458">
        <f t="shared" si="147"/>
        <v>4879.5944134078209</v>
      </c>
      <c r="X769" s="458">
        <v>0</v>
      </c>
      <c r="Y769" s="459">
        <v>0</v>
      </c>
      <c r="Z769" s="459">
        <v>0</v>
      </c>
      <c r="AA769" s="459">
        <v>0</v>
      </c>
      <c r="AB769" s="459">
        <v>0</v>
      </c>
      <c r="AC769" s="459">
        <v>0</v>
      </c>
      <c r="AD769" s="459">
        <v>0</v>
      </c>
      <c r="AE769" s="459">
        <v>532</v>
      </c>
      <c r="AF769" s="458">
        <f>6238.91*AE769/I769</f>
        <v>4879.5944134078209</v>
      </c>
      <c r="AG769" s="459">
        <v>0</v>
      </c>
      <c r="AH769" s="458">
        <v>0</v>
      </c>
      <c r="AI769" s="459">
        <v>0</v>
      </c>
      <c r="AJ769" s="458">
        <v>0</v>
      </c>
      <c r="AK769" s="459">
        <v>0</v>
      </c>
      <c r="AL769" s="459">
        <v>0</v>
      </c>
      <c r="AM769" s="459">
        <v>0</v>
      </c>
      <c r="AN769" s="459"/>
      <c r="AO769" s="459">
        <v>0</v>
      </c>
      <c r="AP769" s="460"/>
      <c r="AQ769" s="460"/>
      <c r="AR769" s="460"/>
      <c r="AS769" s="460"/>
      <c r="AT769" s="460"/>
      <c r="AU769" s="460"/>
      <c r="AV769" s="460"/>
      <c r="AW769" s="460"/>
      <c r="AX769" s="460"/>
      <c r="AY769" s="460"/>
      <c r="AZ769" s="460"/>
      <c r="BA769" s="460"/>
      <c r="BB769" s="460"/>
      <c r="BC769" s="460"/>
      <c r="BD769" s="460"/>
      <c r="BE769" s="460"/>
      <c r="BF769" s="460"/>
      <c r="BG769" s="460"/>
      <c r="BH769" s="460"/>
      <c r="BI769" s="460"/>
      <c r="BJ769" s="460"/>
      <c r="BK769" s="460"/>
      <c r="BL769" s="460"/>
      <c r="BM769" s="460"/>
      <c r="BN769" s="460"/>
      <c r="BO769" s="460"/>
      <c r="BP769" s="460"/>
      <c r="BQ769" s="460"/>
      <c r="BR769" s="460"/>
      <c r="BS769" s="460"/>
      <c r="BT769" s="460"/>
      <c r="BU769" s="460"/>
      <c r="BV769" s="460"/>
      <c r="BW769" s="460"/>
      <c r="BX769" s="460"/>
      <c r="BY769" s="460"/>
      <c r="BZ769" s="460"/>
      <c r="CA769" s="460"/>
      <c r="CB769" s="460"/>
      <c r="CC769" s="460"/>
      <c r="CD769" s="460"/>
      <c r="CE769" s="460"/>
      <c r="CF769" s="460"/>
      <c r="CG769" s="460"/>
      <c r="CH769" s="460"/>
      <c r="CI769" s="460"/>
      <c r="CJ769" s="460"/>
      <c r="CK769" s="460"/>
    </row>
    <row r="770" spans="1:89" s="329" customFormat="1" ht="36" customHeight="1" x14ac:dyDescent="0.25">
      <c r="A770" s="329">
        <v>1</v>
      </c>
      <c r="B770" s="39">
        <f>SUBTOTAL(103,$A$552:A770)</f>
        <v>213</v>
      </c>
      <c r="C770" s="33" t="s">
        <v>1585</v>
      </c>
      <c r="D770" s="330">
        <v>1983</v>
      </c>
      <c r="E770" s="330"/>
      <c r="F770" s="331" t="s">
        <v>48</v>
      </c>
      <c r="G770" s="330">
        <v>5</v>
      </c>
      <c r="H770" s="330" t="s">
        <v>59</v>
      </c>
      <c r="I770" s="38">
        <v>4169.3</v>
      </c>
      <c r="J770" s="38">
        <v>2760.1</v>
      </c>
      <c r="K770" s="38">
        <v>2760.1</v>
      </c>
      <c r="L770" s="332">
        <v>121</v>
      </c>
      <c r="M770" s="330" t="s">
        <v>46</v>
      </c>
      <c r="N770" s="330" t="s">
        <v>50</v>
      </c>
      <c r="O770" s="333" t="s">
        <v>2146</v>
      </c>
      <c r="P770" s="38">
        <v>4226815.84</v>
      </c>
      <c r="Q770" s="38">
        <v>0</v>
      </c>
      <c r="R770" s="38">
        <v>0</v>
      </c>
      <c r="S770" s="38">
        <f t="shared" si="146"/>
        <v>4226815.84</v>
      </c>
      <c r="T770" s="38">
        <f t="shared" si="137"/>
        <v>1013.795083107476</v>
      </c>
      <c r="U770" s="38">
        <v>1287.3832312378574</v>
      </c>
      <c r="V770" s="458">
        <f t="shared" si="138"/>
        <v>273.58814813038146</v>
      </c>
      <c r="W770" s="458">
        <f t="shared" si="147"/>
        <v>3791.6299999999997</v>
      </c>
      <c r="X770" s="458">
        <v>101.55</v>
      </c>
      <c r="Y770" s="459">
        <v>245.44</v>
      </c>
      <c r="Z770" s="459">
        <v>3259.66</v>
      </c>
      <c r="AA770" s="459">
        <v>184.98</v>
      </c>
      <c r="AB770" s="459">
        <v>0</v>
      </c>
      <c r="AC770" s="459">
        <v>0</v>
      </c>
      <c r="AD770" s="459">
        <v>0</v>
      </c>
      <c r="AE770" s="459">
        <v>0</v>
      </c>
      <c r="AF770" s="458">
        <v>0</v>
      </c>
      <c r="AG770" s="459">
        <v>0</v>
      </c>
      <c r="AH770" s="458">
        <v>0</v>
      </c>
      <c r="AI770" s="459">
        <v>0</v>
      </c>
      <c r="AJ770" s="458">
        <v>0</v>
      </c>
      <c r="AK770" s="459">
        <v>0</v>
      </c>
      <c r="AL770" s="459">
        <v>0</v>
      </c>
      <c r="AM770" s="459">
        <v>0</v>
      </c>
      <c r="AN770" s="459"/>
      <c r="AO770" s="459">
        <v>0</v>
      </c>
      <c r="AP770" s="460"/>
      <c r="AQ770" s="460"/>
      <c r="AR770" s="460"/>
      <c r="AS770" s="460"/>
      <c r="AT770" s="460"/>
      <c r="AU770" s="460"/>
      <c r="AV770" s="460"/>
      <c r="AW770" s="460"/>
      <c r="AX770" s="460"/>
      <c r="AY770" s="460"/>
      <c r="AZ770" s="460"/>
      <c r="BA770" s="460"/>
      <c r="BB770" s="460"/>
      <c r="BC770" s="460"/>
      <c r="BD770" s="460"/>
      <c r="BE770" s="460"/>
      <c r="BF770" s="460"/>
      <c r="BG770" s="460"/>
      <c r="BH770" s="460"/>
      <c r="BI770" s="460"/>
      <c r="BJ770" s="460"/>
      <c r="BK770" s="460"/>
      <c r="BL770" s="460"/>
      <c r="BM770" s="460"/>
      <c r="BN770" s="460"/>
      <c r="BO770" s="460"/>
      <c r="BP770" s="460"/>
      <c r="BQ770" s="460"/>
      <c r="BR770" s="460"/>
      <c r="BS770" s="460"/>
      <c r="BT770" s="460"/>
      <c r="BU770" s="460"/>
      <c r="BV770" s="460"/>
      <c r="BW770" s="460"/>
      <c r="BX770" s="460"/>
      <c r="BY770" s="460"/>
      <c r="BZ770" s="460"/>
      <c r="CA770" s="460"/>
      <c r="CB770" s="460"/>
      <c r="CC770" s="460"/>
      <c r="CD770" s="460"/>
      <c r="CE770" s="460"/>
      <c r="CF770" s="460"/>
      <c r="CG770" s="460"/>
      <c r="CH770" s="460"/>
      <c r="CI770" s="460"/>
      <c r="CJ770" s="460"/>
      <c r="CK770" s="460"/>
    </row>
    <row r="771" spans="1:89" s="329" customFormat="1" ht="36" customHeight="1" x14ac:dyDescent="0.25">
      <c r="A771" s="329">
        <v>1</v>
      </c>
      <c r="B771" s="39">
        <f>SUBTOTAL(103,$A$552:A771)</f>
        <v>214</v>
      </c>
      <c r="C771" s="33" t="s">
        <v>1014</v>
      </c>
      <c r="D771" s="330">
        <v>2001</v>
      </c>
      <c r="E771" s="330"/>
      <c r="F771" s="331" t="s">
        <v>48</v>
      </c>
      <c r="G771" s="330">
        <v>5</v>
      </c>
      <c r="H771" s="330" t="s">
        <v>75</v>
      </c>
      <c r="I771" s="334">
        <v>6330.6</v>
      </c>
      <c r="J771" s="334">
        <v>3627.4</v>
      </c>
      <c r="K771" s="334">
        <v>3627.4</v>
      </c>
      <c r="L771" s="332">
        <v>157</v>
      </c>
      <c r="M771" s="330" t="s">
        <v>46</v>
      </c>
      <c r="N771" s="330" t="s">
        <v>50</v>
      </c>
      <c r="O771" s="333" t="s">
        <v>84</v>
      </c>
      <c r="P771" s="38">
        <v>5003194.3900000006</v>
      </c>
      <c r="Q771" s="38">
        <v>0</v>
      </c>
      <c r="R771" s="38">
        <v>0</v>
      </c>
      <c r="S771" s="38">
        <f t="shared" si="146"/>
        <v>5003194.3900000006</v>
      </c>
      <c r="T771" s="38">
        <f t="shared" si="137"/>
        <v>790.31914668435854</v>
      </c>
      <c r="U771" s="38">
        <v>1148.0871623542791</v>
      </c>
      <c r="V771" s="458">
        <f t="shared" si="138"/>
        <v>357.7680156699206</v>
      </c>
      <c r="W771" s="458">
        <f t="shared" si="147"/>
        <v>524.29471456102101</v>
      </c>
      <c r="X771" s="458">
        <v>0</v>
      </c>
      <c r="Y771" s="459">
        <v>0</v>
      </c>
      <c r="Z771" s="459">
        <v>0</v>
      </c>
      <c r="AA771" s="459">
        <v>0</v>
      </c>
      <c r="AB771" s="459">
        <v>0</v>
      </c>
      <c r="AC771" s="459">
        <v>0</v>
      </c>
      <c r="AD771" s="459">
        <v>0</v>
      </c>
      <c r="AE771" s="459">
        <v>532</v>
      </c>
      <c r="AF771" s="458">
        <f>6238.91*AE771/I771</f>
        <v>524.29471456102101</v>
      </c>
      <c r="AG771" s="459">
        <v>0</v>
      </c>
      <c r="AH771" s="458">
        <v>0</v>
      </c>
      <c r="AI771" s="459">
        <v>0</v>
      </c>
      <c r="AJ771" s="458">
        <v>0</v>
      </c>
      <c r="AK771" s="459">
        <v>0</v>
      </c>
      <c r="AL771" s="459">
        <v>0</v>
      </c>
      <c r="AM771" s="459">
        <v>0</v>
      </c>
      <c r="AN771" s="459"/>
      <c r="AO771" s="459">
        <v>0</v>
      </c>
      <c r="AP771" s="460"/>
      <c r="AQ771" s="460"/>
      <c r="AR771" s="460"/>
      <c r="AS771" s="460"/>
      <c r="AT771" s="460"/>
      <c r="AU771" s="460"/>
      <c r="AV771" s="460"/>
      <c r="AW771" s="460"/>
      <c r="AX771" s="460"/>
      <c r="AY771" s="460"/>
      <c r="AZ771" s="460"/>
      <c r="BA771" s="460"/>
      <c r="BB771" s="460"/>
      <c r="BC771" s="460"/>
      <c r="BD771" s="460"/>
      <c r="BE771" s="460"/>
      <c r="BF771" s="460"/>
      <c r="BG771" s="460"/>
      <c r="BH771" s="460"/>
      <c r="BI771" s="460"/>
      <c r="BJ771" s="460"/>
      <c r="BK771" s="460"/>
      <c r="BL771" s="460"/>
      <c r="BM771" s="460"/>
      <c r="BN771" s="460"/>
      <c r="BO771" s="460"/>
      <c r="BP771" s="460"/>
      <c r="BQ771" s="460"/>
      <c r="BR771" s="460"/>
      <c r="BS771" s="460"/>
      <c r="BT771" s="460"/>
      <c r="BU771" s="460"/>
      <c r="BV771" s="460"/>
      <c r="BW771" s="460"/>
      <c r="BX771" s="460"/>
      <c r="BY771" s="460"/>
      <c r="BZ771" s="460"/>
      <c r="CA771" s="460"/>
      <c r="CB771" s="460"/>
      <c r="CC771" s="460"/>
      <c r="CD771" s="460"/>
      <c r="CE771" s="460"/>
      <c r="CF771" s="460"/>
      <c r="CG771" s="460"/>
      <c r="CH771" s="460"/>
      <c r="CI771" s="460"/>
      <c r="CJ771" s="460"/>
      <c r="CK771" s="460"/>
    </row>
    <row r="772" spans="1:89" s="329" customFormat="1" ht="36" customHeight="1" x14ac:dyDescent="0.25">
      <c r="A772" s="329">
        <v>1</v>
      </c>
      <c r="B772" s="39">
        <f>SUBTOTAL(103,$A$552:A772)</f>
        <v>215</v>
      </c>
      <c r="C772" s="33" t="s">
        <v>1586</v>
      </c>
      <c r="D772" s="330">
        <v>1994</v>
      </c>
      <c r="E772" s="330"/>
      <c r="F772" s="331" t="s">
        <v>63</v>
      </c>
      <c r="G772" s="330" t="s">
        <v>75</v>
      </c>
      <c r="H772" s="330" t="s">
        <v>61</v>
      </c>
      <c r="I772" s="334">
        <v>5512.6</v>
      </c>
      <c r="J772" s="334">
        <v>3370.2</v>
      </c>
      <c r="K772" s="334">
        <v>3370.2</v>
      </c>
      <c r="L772" s="332">
        <v>137</v>
      </c>
      <c r="M772" s="330" t="s">
        <v>46</v>
      </c>
      <c r="N772" s="330" t="s">
        <v>50</v>
      </c>
      <c r="O772" s="333" t="s">
        <v>84</v>
      </c>
      <c r="P772" s="38">
        <v>6971622.4100000001</v>
      </c>
      <c r="Q772" s="38">
        <v>0</v>
      </c>
      <c r="R772" s="38">
        <v>0</v>
      </c>
      <c r="S772" s="38">
        <f t="shared" si="146"/>
        <v>6971622.4100000001</v>
      </c>
      <c r="T772" s="38">
        <f t="shared" si="137"/>
        <v>1264.6704658418894</v>
      </c>
      <c r="U772" s="38">
        <v>1850.5978347785069</v>
      </c>
      <c r="V772" s="458">
        <f t="shared" si="138"/>
        <v>585.92736893661754</v>
      </c>
      <c r="W772" s="458">
        <f t="shared" si="147"/>
        <v>970.36633058810708</v>
      </c>
      <c r="X772" s="458">
        <v>0</v>
      </c>
      <c r="Y772" s="459">
        <v>0</v>
      </c>
      <c r="Z772" s="459">
        <v>0</v>
      </c>
      <c r="AA772" s="459">
        <v>0</v>
      </c>
      <c r="AB772" s="459">
        <v>0</v>
      </c>
      <c r="AC772" s="459">
        <v>0</v>
      </c>
      <c r="AD772" s="459">
        <v>0</v>
      </c>
      <c r="AE772" s="459">
        <v>857.4</v>
      </c>
      <c r="AF772" s="458">
        <f>6238.91*AE772/I772</f>
        <v>970.36633058810708</v>
      </c>
      <c r="AG772" s="459">
        <v>0</v>
      </c>
      <c r="AH772" s="458">
        <v>0</v>
      </c>
      <c r="AI772" s="459">
        <v>0</v>
      </c>
      <c r="AJ772" s="458">
        <v>0</v>
      </c>
      <c r="AK772" s="459">
        <v>0</v>
      </c>
      <c r="AL772" s="459">
        <v>0</v>
      </c>
      <c r="AM772" s="459">
        <v>0</v>
      </c>
      <c r="AN772" s="459"/>
      <c r="AO772" s="459">
        <v>0</v>
      </c>
      <c r="AP772" s="460"/>
      <c r="AQ772" s="460"/>
      <c r="AR772" s="460"/>
      <c r="AS772" s="460"/>
      <c r="AT772" s="460"/>
      <c r="AU772" s="460"/>
      <c r="AV772" s="460"/>
      <c r="AW772" s="460"/>
      <c r="AX772" s="460"/>
      <c r="AY772" s="460"/>
      <c r="AZ772" s="460"/>
      <c r="BA772" s="460"/>
      <c r="BB772" s="460"/>
      <c r="BC772" s="460"/>
      <c r="BD772" s="460"/>
      <c r="BE772" s="460"/>
      <c r="BF772" s="460"/>
      <c r="BG772" s="460"/>
      <c r="BH772" s="460"/>
      <c r="BI772" s="460"/>
      <c r="BJ772" s="460"/>
      <c r="BK772" s="460"/>
      <c r="BL772" s="460"/>
      <c r="BM772" s="460"/>
      <c r="BN772" s="460"/>
      <c r="BO772" s="460"/>
      <c r="BP772" s="460"/>
      <c r="BQ772" s="460"/>
      <c r="BR772" s="460"/>
      <c r="BS772" s="460"/>
      <c r="BT772" s="460"/>
      <c r="BU772" s="460"/>
      <c r="BV772" s="460"/>
      <c r="BW772" s="460"/>
      <c r="BX772" s="460"/>
      <c r="BY772" s="460"/>
      <c r="BZ772" s="460"/>
      <c r="CA772" s="460"/>
      <c r="CB772" s="460"/>
      <c r="CC772" s="460"/>
      <c r="CD772" s="460"/>
      <c r="CE772" s="460"/>
      <c r="CF772" s="460"/>
      <c r="CG772" s="460"/>
      <c r="CH772" s="460"/>
      <c r="CI772" s="460"/>
      <c r="CJ772" s="460"/>
      <c r="CK772" s="460"/>
    </row>
    <row r="773" spans="1:89" s="329" customFormat="1" ht="36" customHeight="1" x14ac:dyDescent="0.25">
      <c r="B773" s="33" t="s">
        <v>1252</v>
      </c>
      <c r="C773" s="33"/>
      <c r="D773" s="330" t="s">
        <v>131</v>
      </c>
      <c r="E773" s="330" t="s">
        <v>131</v>
      </c>
      <c r="F773" s="330" t="s">
        <v>131</v>
      </c>
      <c r="G773" s="330" t="s">
        <v>131</v>
      </c>
      <c r="H773" s="330" t="s">
        <v>131</v>
      </c>
      <c r="I773" s="334">
        <f>SUM(I774:I780)</f>
        <v>6647.5</v>
      </c>
      <c r="J773" s="334">
        <f>SUM(J774:J780)</f>
        <v>5536.5999999999995</v>
      </c>
      <c r="K773" s="334">
        <f>SUM(K774:K780)</f>
        <v>5377.7</v>
      </c>
      <c r="L773" s="332">
        <f>SUM(L774:L780)</f>
        <v>274</v>
      </c>
      <c r="M773" s="330" t="s">
        <v>131</v>
      </c>
      <c r="N773" s="330" t="s">
        <v>131</v>
      </c>
      <c r="O773" s="333" t="s">
        <v>131</v>
      </c>
      <c r="P773" s="334">
        <v>19455638.910000004</v>
      </c>
      <c r="Q773" s="334">
        <f>SUM(Q774:Q780)</f>
        <v>0</v>
      </c>
      <c r="R773" s="334">
        <f>SUM(R774:R780)</f>
        <v>0</v>
      </c>
      <c r="S773" s="334">
        <f>SUM(S774:S780)</f>
        <v>19455638.910000004</v>
      </c>
      <c r="T773" s="38">
        <f t="shared" si="137"/>
        <v>2926.7602722828137</v>
      </c>
      <c r="U773" s="38">
        <f>MAX(U774:U780)</f>
        <v>5715.9669170883608</v>
      </c>
      <c r="V773" s="458">
        <f t="shared" si="138"/>
        <v>2789.2066448055471</v>
      </c>
      <c r="W773" s="458"/>
      <c r="X773" s="458"/>
      <c r="Y773" s="459"/>
      <c r="Z773" s="459"/>
      <c r="AA773" s="459"/>
      <c r="AB773" s="459"/>
      <c r="AC773" s="459"/>
      <c r="AD773" s="459"/>
      <c r="AE773" s="459"/>
      <c r="AF773" s="459"/>
      <c r="AG773" s="459"/>
      <c r="AH773" s="459"/>
      <c r="AI773" s="459"/>
      <c r="AJ773" s="459"/>
      <c r="AK773" s="459"/>
      <c r="AL773" s="459"/>
      <c r="AM773" s="459"/>
      <c r="AN773" s="459"/>
      <c r="AO773" s="459"/>
      <c r="AP773" s="460"/>
      <c r="AQ773" s="460"/>
      <c r="AR773" s="460"/>
      <c r="AS773" s="460"/>
      <c r="AT773" s="460"/>
      <c r="AU773" s="460"/>
      <c r="AV773" s="460"/>
      <c r="AW773" s="460"/>
      <c r="AX773" s="460"/>
      <c r="AY773" s="460"/>
      <c r="AZ773" s="460"/>
      <c r="BA773" s="460"/>
      <c r="BB773" s="460"/>
      <c r="BC773" s="460"/>
      <c r="BD773" s="460"/>
      <c r="BE773" s="460"/>
      <c r="BF773" s="460"/>
      <c r="BG773" s="460"/>
      <c r="BH773" s="460"/>
      <c r="BI773" s="460"/>
      <c r="BJ773" s="460"/>
      <c r="BK773" s="460"/>
      <c r="BL773" s="460"/>
      <c r="BM773" s="460"/>
      <c r="BN773" s="460"/>
      <c r="BO773" s="460"/>
      <c r="BP773" s="460"/>
      <c r="BQ773" s="460"/>
      <c r="BR773" s="460"/>
      <c r="BS773" s="460"/>
      <c r="BT773" s="460"/>
      <c r="BU773" s="460"/>
      <c r="BV773" s="460"/>
      <c r="BW773" s="460"/>
      <c r="BX773" s="460"/>
      <c r="BY773" s="460"/>
      <c r="BZ773" s="460"/>
      <c r="CA773" s="460"/>
      <c r="CB773" s="460"/>
      <c r="CC773" s="460"/>
      <c r="CD773" s="460"/>
      <c r="CE773" s="460"/>
      <c r="CF773" s="460"/>
      <c r="CG773" s="460"/>
      <c r="CH773" s="460"/>
      <c r="CI773" s="460"/>
      <c r="CJ773" s="460"/>
      <c r="CK773" s="460"/>
    </row>
    <row r="774" spans="1:89" s="329" customFormat="1" ht="36" customHeight="1" x14ac:dyDescent="0.25">
      <c r="A774" s="329">
        <v>1</v>
      </c>
      <c r="B774" s="39">
        <f>SUBTOTAL(103,$A$552:A774)</f>
        <v>216</v>
      </c>
      <c r="C774" s="33" t="s">
        <v>1587</v>
      </c>
      <c r="D774" s="330">
        <v>1937</v>
      </c>
      <c r="E774" s="330"/>
      <c r="F774" s="331" t="s">
        <v>68</v>
      </c>
      <c r="G774" s="330">
        <v>2</v>
      </c>
      <c r="H774" s="330" t="s">
        <v>56</v>
      </c>
      <c r="I774" s="334">
        <v>423.5</v>
      </c>
      <c r="J774" s="334">
        <v>301.89999999999998</v>
      </c>
      <c r="K774" s="334">
        <v>301.89999999999998</v>
      </c>
      <c r="L774" s="332">
        <v>26</v>
      </c>
      <c r="M774" s="330" t="s">
        <v>46</v>
      </c>
      <c r="N774" s="330" t="s">
        <v>2031</v>
      </c>
      <c r="O774" s="333" t="s">
        <v>49</v>
      </c>
      <c r="P774" s="38">
        <v>2308745</v>
      </c>
      <c r="Q774" s="38">
        <v>0</v>
      </c>
      <c r="R774" s="38">
        <v>0</v>
      </c>
      <c r="S774" s="38">
        <f t="shared" ref="S774:S780" si="148">P774-Q774-R774</f>
        <v>2308745</v>
      </c>
      <c r="T774" s="38">
        <f t="shared" si="137"/>
        <v>5451.5820543093268</v>
      </c>
      <c r="U774" s="38">
        <v>5099.8005903187714</v>
      </c>
      <c r="V774" s="458">
        <f t="shared" si="138"/>
        <v>-351.78146399055549</v>
      </c>
      <c r="W774" s="458">
        <f t="shared" ref="W774:W780" si="149">X774+Y774+Z774+AA774+AB774+AD774+AF774+AH774+AJ774+AL774+AN774+AO774</f>
        <v>5082.4650531286889</v>
      </c>
      <c r="X774" s="458">
        <v>0</v>
      </c>
      <c r="Y774" s="459">
        <v>0</v>
      </c>
      <c r="Z774" s="459">
        <v>0</v>
      </c>
      <c r="AA774" s="459">
        <v>0</v>
      </c>
      <c r="AB774" s="459">
        <v>0</v>
      </c>
      <c r="AC774" s="459">
        <v>0</v>
      </c>
      <c r="AD774" s="459">
        <v>0</v>
      </c>
      <c r="AE774" s="459">
        <v>345</v>
      </c>
      <c r="AF774" s="458">
        <f t="shared" ref="AF774:AF780" si="150">6238.91*AE774/I774</f>
        <v>5082.4650531286889</v>
      </c>
      <c r="AG774" s="459">
        <v>0</v>
      </c>
      <c r="AH774" s="458">
        <v>0</v>
      </c>
      <c r="AI774" s="459">
        <v>0</v>
      </c>
      <c r="AJ774" s="458">
        <v>0</v>
      </c>
      <c r="AK774" s="459">
        <v>0</v>
      </c>
      <c r="AL774" s="459">
        <v>0</v>
      </c>
      <c r="AM774" s="459">
        <v>0</v>
      </c>
      <c r="AN774" s="459"/>
      <c r="AO774" s="459">
        <v>0</v>
      </c>
      <c r="AP774" s="460"/>
      <c r="AQ774" s="460"/>
      <c r="AR774" s="460"/>
      <c r="AS774" s="460"/>
      <c r="AT774" s="460"/>
      <c r="AU774" s="460"/>
      <c r="AV774" s="460"/>
      <c r="AW774" s="460"/>
      <c r="AX774" s="460"/>
      <c r="AY774" s="460"/>
      <c r="AZ774" s="460"/>
      <c r="BA774" s="460"/>
      <c r="BB774" s="460"/>
      <c r="BC774" s="460"/>
      <c r="BD774" s="460"/>
      <c r="BE774" s="460"/>
      <c r="BF774" s="460"/>
      <c r="BG774" s="460"/>
      <c r="BH774" s="460"/>
      <c r="BI774" s="460"/>
      <c r="BJ774" s="460"/>
      <c r="BK774" s="460"/>
      <c r="BL774" s="460"/>
      <c r="BM774" s="460"/>
      <c r="BN774" s="460"/>
      <c r="BO774" s="460"/>
      <c r="BP774" s="460"/>
      <c r="BQ774" s="460"/>
      <c r="BR774" s="460"/>
      <c r="BS774" s="460"/>
      <c r="BT774" s="460"/>
      <c r="BU774" s="460"/>
      <c r="BV774" s="460"/>
      <c r="BW774" s="460"/>
      <c r="BX774" s="460"/>
      <c r="BY774" s="460"/>
      <c r="BZ774" s="460"/>
      <c r="CA774" s="460"/>
      <c r="CB774" s="460"/>
      <c r="CC774" s="460"/>
      <c r="CD774" s="460"/>
      <c r="CE774" s="460"/>
      <c r="CF774" s="460"/>
      <c r="CG774" s="460"/>
      <c r="CH774" s="460"/>
      <c r="CI774" s="460"/>
      <c r="CJ774" s="460"/>
      <c r="CK774" s="460"/>
    </row>
    <row r="775" spans="1:89" s="329" customFormat="1" ht="36" customHeight="1" x14ac:dyDescent="0.25">
      <c r="A775" s="329">
        <v>1</v>
      </c>
      <c r="B775" s="39">
        <f>SUBTOTAL(103,$A$552:A775)</f>
        <v>217</v>
      </c>
      <c r="C775" s="33" t="s">
        <v>1588</v>
      </c>
      <c r="D775" s="330">
        <v>1952</v>
      </c>
      <c r="E775" s="330"/>
      <c r="F775" s="331" t="s">
        <v>48</v>
      </c>
      <c r="G775" s="330">
        <v>2</v>
      </c>
      <c r="H775" s="330" t="s">
        <v>56</v>
      </c>
      <c r="I775" s="334">
        <v>906.8</v>
      </c>
      <c r="J775" s="334">
        <v>836.1</v>
      </c>
      <c r="K775" s="334">
        <v>836.1</v>
      </c>
      <c r="L775" s="332">
        <v>34</v>
      </c>
      <c r="M775" s="330" t="s">
        <v>46</v>
      </c>
      <c r="N775" s="330" t="s">
        <v>50</v>
      </c>
      <c r="O775" s="333" t="s">
        <v>2037</v>
      </c>
      <c r="P775" s="38">
        <v>50000</v>
      </c>
      <c r="Q775" s="38">
        <v>0</v>
      </c>
      <c r="R775" s="38">
        <v>0</v>
      </c>
      <c r="S775" s="38">
        <f t="shared" si="148"/>
        <v>50000</v>
      </c>
      <c r="T775" s="38">
        <f t="shared" si="137"/>
        <v>55.138950154389065</v>
      </c>
      <c r="U775" s="38">
        <v>55.138950154389065</v>
      </c>
      <c r="V775" s="458">
        <f t="shared" si="138"/>
        <v>0</v>
      </c>
      <c r="W775" s="458">
        <f t="shared" si="149"/>
        <v>5566.2388148434047</v>
      </c>
      <c r="X775" s="458">
        <v>0</v>
      </c>
      <c r="Y775" s="459">
        <v>0</v>
      </c>
      <c r="Z775" s="459">
        <v>0</v>
      </c>
      <c r="AA775" s="459">
        <v>0</v>
      </c>
      <c r="AB775" s="459">
        <v>0</v>
      </c>
      <c r="AC775" s="459">
        <v>0</v>
      </c>
      <c r="AD775" s="459">
        <v>0</v>
      </c>
      <c r="AE775" s="459">
        <v>809.03</v>
      </c>
      <c r="AF775" s="458">
        <f t="shared" si="150"/>
        <v>5566.2388148434047</v>
      </c>
      <c r="AG775" s="459">
        <v>0</v>
      </c>
      <c r="AH775" s="458">
        <v>0</v>
      </c>
      <c r="AI775" s="459">
        <v>0</v>
      </c>
      <c r="AJ775" s="458">
        <v>0</v>
      </c>
      <c r="AK775" s="459">
        <v>0</v>
      </c>
      <c r="AL775" s="459">
        <v>0</v>
      </c>
      <c r="AM775" s="459">
        <v>0</v>
      </c>
      <c r="AN775" s="459"/>
      <c r="AO775" s="459">
        <v>0</v>
      </c>
      <c r="AP775" s="460"/>
      <c r="AQ775" s="460"/>
      <c r="AR775" s="460"/>
      <c r="AS775" s="460"/>
      <c r="AT775" s="460"/>
      <c r="AU775" s="460"/>
      <c r="AV775" s="460"/>
      <c r="AW775" s="460"/>
      <c r="AX775" s="460"/>
      <c r="AY775" s="460"/>
      <c r="AZ775" s="460"/>
      <c r="BA775" s="460"/>
      <c r="BB775" s="460"/>
      <c r="BC775" s="460"/>
      <c r="BD775" s="460"/>
      <c r="BE775" s="460"/>
      <c r="BF775" s="460"/>
      <c r="BG775" s="460"/>
      <c r="BH775" s="460"/>
      <c r="BI775" s="460"/>
      <c r="BJ775" s="460"/>
      <c r="BK775" s="460"/>
      <c r="BL775" s="460"/>
      <c r="BM775" s="460"/>
      <c r="BN775" s="460"/>
      <c r="BO775" s="460"/>
      <c r="BP775" s="460"/>
      <c r="BQ775" s="460"/>
      <c r="BR775" s="460"/>
      <c r="BS775" s="460"/>
      <c r="BT775" s="460"/>
      <c r="BU775" s="460"/>
      <c r="BV775" s="460"/>
      <c r="BW775" s="460"/>
      <c r="BX775" s="460"/>
      <c r="BY775" s="460"/>
      <c r="BZ775" s="460"/>
      <c r="CA775" s="460"/>
      <c r="CB775" s="460"/>
      <c r="CC775" s="460"/>
      <c r="CD775" s="460"/>
      <c r="CE775" s="460"/>
      <c r="CF775" s="460"/>
      <c r="CG775" s="460"/>
      <c r="CH775" s="460"/>
      <c r="CI775" s="460"/>
      <c r="CJ775" s="460"/>
      <c r="CK775" s="460"/>
    </row>
    <row r="776" spans="1:89" s="329" customFormat="1" ht="36" customHeight="1" x14ac:dyDescent="0.25">
      <c r="A776" s="329">
        <v>1</v>
      </c>
      <c r="B776" s="39">
        <f>SUBTOTAL(103,$A$552:A776)</f>
        <v>218</v>
      </c>
      <c r="C776" s="33" t="s">
        <v>1589</v>
      </c>
      <c r="D776" s="330">
        <v>1975</v>
      </c>
      <c r="E776" s="330"/>
      <c r="F776" s="331" t="s">
        <v>48</v>
      </c>
      <c r="G776" s="330">
        <v>3</v>
      </c>
      <c r="H776" s="330" t="s">
        <v>56</v>
      </c>
      <c r="I776" s="334">
        <v>1248.5999999999999</v>
      </c>
      <c r="J776" s="334">
        <v>1155.9000000000001</v>
      </c>
      <c r="K776" s="334">
        <v>1155.9000000000001</v>
      </c>
      <c r="L776" s="332">
        <v>53</v>
      </c>
      <c r="M776" s="330" t="s">
        <v>46</v>
      </c>
      <c r="N776" s="330" t="s">
        <v>50</v>
      </c>
      <c r="O776" s="333" t="s">
        <v>2027</v>
      </c>
      <c r="P776" s="38">
        <v>4232403.2300000004</v>
      </c>
      <c r="Q776" s="38">
        <v>0</v>
      </c>
      <c r="R776" s="38">
        <v>0</v>
      </c>
      <c r="S776" s="38">
        <f t="shared" si="148"/>
        <v>4232403.2300000004</v>
      </c>
      <c r="T776" s="38">
        <f t="shared" si="137"/>
        <v>3389.7190693576813</v>
      </c>
      <c r="U776" s="38">
        <v>3750.2980297933691</v>
      </c>
      <c r="V776" s="458">
        <f t="shared" si="138"/>
        <v>360.5789604356878</v>
      </c>
      <c r="W776" s="458">
        <f t="shared" si="149"/>
        <v>3737.5497997757489</v>
      </c>
      <c r="X776" s="458">
        <v>0</v>
      </c>
      <c r="Y776" s="459">
        <v>0</v>
      </c>
      <c r="Z776" s="459">
        <v>0</v>
      </c>
      <c r="AA776" s="459">
        <v>0</v>
      </c>
      <c r="AB776" s="459">
        <v>0</v>
      </c>
      <c r="AC776" s="459">
        <v>0</v>
      </c>
      <c r="AD776" s="459">
        <v>0</v>
      </c>
      <c r="AE776" s="459">
        <v>748</v>
      </c>
      <c r="AF776" s="458">
        <f t="shared" si="150"/>
        <v>3737.5497997757489</v>
      </c>
      <c r="AG776" s="459">
        <v>0</v>
      </c>
      <c r="AH776" s="458">
        <v>0</v>
      </c>
      <c r="AI776" s="459">
        <v>0</v>
      </c>
      <c r="AJ776" s="458">
        <v>0</v>
      </c>
      <c r="AK776" s="459">
        <v>0</v>
      </c>
      <c r="AL776" s="459">
        <v>0</v>
      </c>
      <c r="AM776" s="459">
        <v>0</v>
      </c>
      <c r="AN776" s="459"/>
      <c r="AO776" s="459">
        <v>0</v>
      </c>
      <c r="AP776" s="460"/>
      <c r="AQ776" s="460"/>
      <c r="AR776" s="460"/>
      <c r="AS776" s="460"/>
      <c r="AT776" s="460"/>
      <c r="AU776" s="460"/>
      <c r="AV776" s="460"/>
      <c r="AW776" s="460"/>
      <c r="AX776" s="460"/>
      <c r="AY776" s="460"/>
      <c r="AZ776" s="460"/>
      <c r="BA776" s="460"/>
      <c r="BB776" s="460"/>
      <c r="BC776" s="460"/>
      <c r="BD776" s="460"/>
      <c r="BE776" s="460"/>
      <c r="BF776" s="460"/>
      <c r="BG776" s="460"/>
      <c r="BH776" s="460"/>
      <c r="BI776" s="460"/>
      <c r="BJ776" s="460"/>
      <c r="BK776" s="460"/>
      <c r="BL776" s="460"/>
      <c r="BM776" s="460"/>
      <c r="BN776" s="460"/>
      <c r="BO776" s="460"/>
      <c r="BP776" s="460"/>
      <c r="BQ776" s="460"/>
      <c r="BR776" s="460"/>
      <c r="BS776" s="460"/>
      <c r="BT776" s="460"/>
      <c r="BU776" s="460"/>
      <c r="BV776" s="460"/>
      <c r="BW776" s="460"/>
      <c r="BX776" s="460"/>
      <c r="BY776" s="460"/>
      <c r="BZ776" s="460"/>
      <c r="CA776" s="460"/>
      <c r="CB776" s="460"/>
      <c r="CC776" s="460"/>
      <c r="CD776" s="460"/>
      <c r="CE776" s="460"/>
      <c r="CF776" s="460"/>
      <c r="CG776" s="460"/>
      <c r="CH776" s="460"/>
      <c r="CI776" s="460"/>
      <c r="CJ776" s="460"/>
      <c r="CK776" s="460"/>
    </row>
    <row r="777" spans="1:89" s="329" customFormat="1" ht="36" customHeight="1" x14ac:dyDescent="0.25">
      <c r="A777" s="329">
        <v>1</v>
      </c>
      <c r="B777" s="39">
        <f>SUBTOTAL(103,$A$552:A777)</f>
        <v>219</v>
      </c>
      <c r="C777" s="33" t="s">
        <v>1590</v>
      </c>
      <c r="D777" s="330">
        <v>1959</v>
      </c>
      <c r="E777" s="330"/>
      <c r="F777" s="331" t="s">
        <v>48</v>
      </c>
      <c r="G777" s="330">
        <v>3</v>
      </c>
      <c r="H777" s="330" t="s">
        <v>61</v>
      </c>
      <c r="I777" s="334">
        <v>1163.0999999999999</v>
      </c>
      <c r="J777" s="334">
        <v>1058.9000000000001</v>
      </c>
      <c r="K777" s="334">
        <v>996.7</v>
      </c>
      <c r="L777" s="332">
        <v>42</v>
      </c>
      <c r="M777" s="330" t="s">
        <v>46</v>
      </c>
      <c r="N777" s="330" t="s">
        <v>50</v>
      </c>
      <c r="O777" s="333" t="s">
        <v>2037</v>
      </c>
      <c r="P777" s="38">
        <v>3341865.1999999997</v>
      </c>
      <c r="Q777" s="38">
        <v>0</v>
      </c>
      <c r="R777" s="38">
        <v>0</v>
      </c>
      <c r="S777" s="38">
        <f t="shared" si="148"/>
        <v>3341865.1999999997</v>
      </c>
      <c r="T777" s="38">
        <f t="shared" si="137"/>
        <v>2873.2397902158027</v>
      </c>
      <c r="U777" s="38">
        <v>3235.8578179004389</v>
      </c>
      <c r="V777" s="458">
        <f t="shared" si="138"/>
        <v>362.61802768463622</v>
      </c>
      <c r="W777" s="458">
        <f t="shared" si="149"/>
        <v>3224.8583028114526</v>
      </c>
      <c r="X777" s="458">
        <v>0</v>
      </c>
      <c r="Y777" s="459">
        <v>0</v>
      </c>
      <c r="Z777" s="459">
        <v>0</v>
      </c>
      <c r="AA777" s="459">
        <v>0</v>
      </c>
      <c r="AB777" s="459">
        <v>0</v>
      </c>
      <c r="AC777" s="459">
        <v>0</v>
      </c>
      <c r="AD777" s="459">
        <v>0</v>
      </c>
      <c r="AE777" s="459">
        <v>601.20000000000005</v>
      </c>
      <c r="AF777" s="458">
        <f t="shared" si="150"/>
        <v>3224.8583028114526</v>
      </c>
      <c r="AG777" s="459">
        <v>0</v>
      </c>
      <c r="AH777" s="458">
        <v>0</v>
      </c>
      <c r="AI777" s="459">
        <v>0</v>
      </c>
      <c r="AJ777" s="458">
        <v>0</v>
      </c>
      <c r="AK777" s="459">
        <v>0</v>
      </c>
      <c r="AL777" s="459">
        <v>0</v>
      </c>
      <c r="AM777" s="459">
        <v>0</v>
      </c>
      <c r="AN777" s="459"/>
      <c r="AO777" s="459">
        <v>0</v>
      </c>
      <c r="AP777" s="460"/>
      <c r="AQ777" s="460"/>
      <c r="AR777" s="460"/>
      <c r="AS777" s="460"/>
      <c r="AT777" s="460"/>
      <c r="AU777" s="460"/>
      <c r="AV777" s="460"/>
      <c r="AW777" s="460"/>
      <c r="AX777" s="460"/>
      <c r="AY777" s="460"/>
      <c r="AZ777" s="460"/>
      <c r="BA777" s="460"/>
      <c r="BB777" s="460"/>
      <c r="BC777" s="460"/>
      <c r="BD777" s="460"/>
      <c r="BE777" s="460"/>
      <c r="BF777" s="460"/>
      <c r="BG777" s="460"/>
      <c r="BH777" s="460"/>
      <c r="BI777" s="460"/>
      <c r="BJ777" s="460"/>
      <c r="BK777" s="460"/>
      <c r="BL777" s="460"/>
      <c r="BM777" s="460"/>
      <c r="BN777" s="460"/>
      <c r="BO777" s="460"/>
      <c r="BP777" s="460"/>
      <c r="BQ777" s="460"/>
      <c r="BR777" s="460"/>
      <c r="BS777" s="460"/>
      <c r="BT777" s="460"/>
      <c r="BU777" s="460"/>
      <c r="BV777" s="460"/>
      <c r="BW777" s="460"/>
      <c r="BX777" s="460"/>
      <c r="BY777" s="460"/>
      <c r="BZ777" s="460"/>
      <c r="CA777" s="460"/>
      <c r="CB777" s="460"/>
      <c r="CC777" s="460"/>
      <c r="CD777" s="460"/>
      <c r="CE777" s="460"/>
      <c r="CF777" s="460"/>
      <c r="CG777" s="460"/>
      <c r="CH777" s="460"/>
      <c r="CI777" s="460"/>
      <c r="CJ777" s="460"/>
      <c r="CK777" s="460"/>
    </row>
    <row r="778" spans="1:89" s="329" customFormat="1" ht="36" customHeight="1" x14ac:dyDescent="0.25">
      <c r="A778" s="329">
        <v>1</v>
      </c>
      <c r="B778" s="39">
        <f>SUBTOTAL(103,$A$552:A778)</f>
        <v>220</v>
      </c>
      <c r="C778" s="33" t="s">
        <v>1591</v>
      </c>
      <c r="D778" s="330">
        <v>1972</v>
      </c>
      <c r="E778" s="330"/>
      <c r="F778" s="331" t="s">
        <v>1981</v>
      </c>
      <c r="G778" s="330" t="s">
        <v>56</v>
      </c>
      <c r="H778" s="330" t="s">
        <v>56</v>
      </c>
      <c r="I778" s="334">
        <v>770.7</v>
      </c>
      <c r="J778" s="334">
        <v>710.1</v>
      </c>
      <c r="K778" s="334">
        <v>710.1</v>
      </c>
      <c r="L778" s="332">
        <v>29</v>
      </c>
      <c r="M778" s="330" t="s">
        <v>46</v>
      </c>
      <c r="N778" s="330" t="s">
        <v>50</v>
      </c>
      <c r="O778" s="333" t="s">
        <v>2037</v>
      </c>
      <c r="P778" s="38">
        <v>3773671.0300000003</v>
      </c>
      <c r="Q778" s="38">
        <v>0</v>
      </c>
      <c r="R778" s="38">
        <v>0</v>
      </c>
      <c r="S778" s="38">
        <f t="shared" si="148"/>
        <v>3773671.0300000003</v>
      </c>
      <c r="T778" s="38">
        <f t="shared" si="137"/>
        <v>4896.4201764629561</v>
      </c>
      <c r="U778" s="38">
        <v>5715.9669170883608</v>
      </c>
      <c r="V778" s="458">
        <f t="shared" si="138"/>
        <v>819.54674062540471</v>
      </c>
      <c r="W778" s="458">
        <f t="shared" si="149"/>
        <v>6549.1960001297512</v>
      </c>
      <c r="X778" s="458">
        <v>0</v>
      </c>
      <c r="Y778" s="459">
        <v>0</v>
      </c>
      <c r="Z778" s="459">
        <v>0</v>
      </c>
      <c r="AA778" s="459">
        <v>0</v>
      </c>
      <c r="AB778" s="459">
        <v>0</v>
      </c>
      <c r="AC778" s="459">
        <v>0</v>
      </c>
      <c r="AD778" s="459">
        <v>0</v>
      </c>
      <c r="AE778" s="459">
        <v>809.03</v>
      </c>
      <c r="AF778" s="458">
        <f t="shared" si="150"/>
        <v>6549.1960001297512</v>
      </c>
      <c r="AG778" s="459">
        <v>0</v>
      </c>
      <c r="AH778" s="458">
        <v>0</v>
      </c>
      <c r="AI778" s="459">
        <v>0</v>
      </c>
      <c r="AJ778" s="458">
        <v>0</v>
      </c>
      <c r="AK778" s="459">
        <v>0</v>
      </c>
      <c r="AL778" s="459">
        <v>0</v>
      </c>
      <c r="AM778" s="459">
        <v>0</v>
      </c>
      <c r="AN778" s="459"/>
      <c r="AO778" s="459">
        <v>0</v>
      </c>
      <c r="AP778" s="460"/>
      <c r="AQ778" s="460"/>
      <c r="AR778" s="460"/>
      <c r="AS778" s="460"/>
      <c r="AT778" s="460"/>
      <c r="AU778" s="460"/>
      <c r="AV778" s="460"/>
      <c r="AW778" s="460"/>
      <c r="AX778" s="460"/>
      <c r="AY778" s="460"/>
      <c r="AZ778" s="460"/>
      <c r="BA778" s="460"/>
      <c r="BB778" s="460"/>
      <c r="BC778" s="460"/>
      <c r="BD778" s="460"/>
      <c r="BE778" s="460"/>
      <c r="BF778" s="460"/>
      <c r="BG778" s="460"/>
      <c r="BH778" s="460"/>
      <c r="BI778" s="460"/>
      <c r="BJ778" s="460"/>
      <c r="BK778" s="460"/>
      <c r="BL778" s="460"/>
      <c r="BM778" s="460"/>
      <c r="BN778" s="460"/>
      <c r="BO778" s="460"/>
      <c r="BP778" s="460"/>
      <c r="BQ778" s="460"/>
      <c r="BR778" s="460"/>
      <c r="BS778" s="460"/>
      <c r="BT778" s="460"/>
      <c r="BU778" s="460"/>
      <c r="BV778" s="460"/>
      <c r="BW778" s="460"/>
      <c r="BX778" s="460"/>
      <c r="BY778" s="460"/>
      <c r="BZ778" s="460"/>
      <c r="CA778" s="460"/>
      <c r="CB778" s="460"/>
      <c r="CC778" s="460"/>
      <c r="CD778" s="460"/>
      <c r="CE778" s="460"/>
      <c r="CF778" s="460"/>
      <c r="CG778" s="460"/>
      <c r="CH778" s="460"/>
      <c r="CI778" s="460"/>
      <c r="CJ778" s="460"/>
      <c r="CK778" s="460"/>
    </row>
    <row r="779" spans="1:89" s="329" customFormat="1" ht="36" customHeight="1" x14ac:dyDescent="0.25">
      <c r="A779" s="329">
        <v>1</v>
      </c>
      <c r="B779" s="39">
        <f>SUBTOTAL(103,$A$552:A779)</f>
        <v>221</v>
      </c>
      <c r="C779" s="33" t="s">
        <v>1592</v>
      </c>
      <c r="D779" s="330">
        <v>1959</v>
      </c>
      <c r="E779" s="330"/>
      <c r="F779" s="331" t="s">
        <v>1981</v>
      </c>
      <c r="G779" s="330" t="s">
        <v>61</v>
      </c>
      <c r="H779" s="330" t="s">
        <v>61</v>
      </c>
      <c r="I779" s="334">
        <v>1662.7</v>
      </c>
      <c r="J779" s="334">
        <v>1046.8</v>
      </c>
      <c r="K779" s="334">
        <v>950.1</v>
      </c>
      <c r="L779" s="332">
        <v>59</v>
      </c>
      <c r="M779" s="330" t="s">
        <v>46</v>
      </c>
      <c r="N779" s="330" t="s">
        <v>50</v>
      </c>
      <c r="O779" s="333" t="s">
        <v>2037</v>
      </c>
      <c r="P779" s="38">
        <v>3256927.5100000002</v>
      </c>
      <c r="Q779" s="38">
        <v>0</v>
      </c>
      <c r="R779" s="38">
        <v>0</v>
      </c>
      <c r="S779" s="38">
        <f t="shared" si="148"/>
        <v>3256927.5100000002</v>
      </c>
      <c r="T779" s="38">
        <f t="shared" si="137"/>
        <v>1958.8184940157576</v>
      </c>
      <c r="U779" s="38">
        <v>1958.8184940157576</v>
      </c>
      <c r="V779" s="458">
        <f t="shared" si="138"/>
        <v>0</v>
      </c>
      <c r="W779" s="458">
        <f t="shared" si="149"/>
        <v>2806.7027605701569</v>
      </c>
      <c r="X779" s="458">
        <v>0</v>
      </c>
      <c r="Y779" s="459">
        <v>0</v>
      </c>
      <c r="Z779" s="459">
        <v>0</v>
      </c>
      <c r="AA779" s="459">
        <v>0</v>
      </c>
      <c r="AB779" s="459">
        <v>0</v>
      </c>
      <c r="AC779" s="459">
        <v>0</v>
      </c>
      <c r="AD779" s="459">
        <v>0</v>
      </c>
      <c r="AE779" s="459">
        <v>748</v>
      </c>
      <c r="AF779" s="458">
        <f t="shared" si="150"/>
        <v>2806.7027605701569</v>
      </c>
      <c r="AG779" s="459">
        <v>0</v>
      </c>
      <c r="AH779" s="458">
        <v>0</v>
      </c>
      <c r="AI779" s="459">
        <v>0</v>
      </c>
      <c r="AJ779" s="458">
        <v>0</v>
      </c>
      <c r="AK779" s="459">
        <v>0</v>
      </c>
      <c r="AL779" s="459">
        <v>0</v>
      </c>
      <c r="AM779" s="459">
        <v>0</v>
      </c>
      <c r="AN779" s="459"/>
      <c r="AO779" s="459">
        <v>0</v>
      </c>
      <c r="AP779" s="460"/>
      <c r="AQ779" s="460"/>
      <c r="AR779" s="460"/>
      <c r="AS779" s="460"/>
      <c r="AT779" s="460"/>
      <c r="AU779" s="460"/>
      <c r="AV779" s="460"/>
      <c r="AW779" s="460"/>
      <c r="AX779" s="460"/>
      <c r="AY779" s="460"/>
      <c r="AZ779" s="460"/>
      <c r="BA779" s="460"/>
      <c r="BB779" s="460"/>
      <c r="BC779" s="460"/>
      <c r="BD779" s="460"/>
      <c r="BE779" s="460"/>
      <c r="BF779" s="460"/>
      <c r="BG779" s="460"/>
      <c r="BH779" s="460"/>
      <c r="BI779" s="460"/>
      <c r="BJ779" s="460"/>
      <c r="BK779" s="460"/>
      <c r="BL779" s="460"/>
      <c r="BM779" s="460"/>
      <c r="BN779" s="460"/>
      <c r="BO779" s="460"/>
      <c r="BP779" s="460"/>
      <c r="BQ779" s="460"/>
      <c r="BR779" s="460"/>
      <c r="BS779" s="460"/>
      <c r="BT779" s="460"/>
      <c r="BU779" s="460"/>
      <c r="BV779" s="460"/>
      <c r="BW779" s="460"/>
      <c r="BX779" s="460"/>
      <c r="BY779" s="460"/>
      <c r="BZ779" s="460"/>
      <c r="CA779" s="460"/>
      <c r="CB779" s="460"/>
      <c r="CC779" s="460"/>
      <c r="CD779" s="460"/>
      <c r="CE779" s="460"/>
      <c r="CF779" s="460"/>
      <c r="CG779" s="460"/>
      <c r="CH779" s="460"/>
      <c r="CI779" s="460"/>
      <c r="CJ779" s="460"/>
      <c r="CK779" s="460"/>
    </row>
    <row r="780" spans="1:89" s="329" customFormat="1" ht="36" customHeight="1" x14ac:dyDescent="0.25">
      <c r="A780" s="329">
        <v>1</v>
      </c>
      <c r="B780" s="39">
        <f>SUBTOTAL(103,$A$552:A780)</f>
        <v>222</v>
      </c>
      <c r="C780" s="33" t="s">
        <v>1593</v>
      </c>
      <c r="D780" s="330">
        <v>1933</v>
      </c>
      <c r="E780" s="330"/>
      <c r="F780" s="331" t="s">
        <v>68</v>
      </c>
      <c r="G780" s="330" t="s">
        <v>56</v>
      </c>
      <c r="H780" s="330" t="s">
        <v>56</v>
      </c>
      <c r="I780" s="334">
        <v>472.1</v>
      </c>
      <c r="J780" s="334">
        <v>426.9</v>
      </c>
      <c r="K780" s="334">
        <v>426.9</v>
      </c>
      <c r="L780" s="332">
        <v>31</v>
      </c>
      <c r="M780" s="330" t="s">
        <v>46</v>
      </c>
      <c r="N780" s="330" t="s">
        <v>47</v>
      </c>
      <c r="O780" s="333" t="s">
        <v>49</v>
      </c>
      <c r="P780" s="38">
        <v>2492026.9400000004</v>
      </c>
      <c r="Q780" s="38">
        <v>0</v>
      </c>
      <c r="R780" s="38">
        <v>0</v>
      </c>
      <c r="S780" s="38">
        <f t="shared" si="148"/>
        <v>2492026.9400000004</v>
      </c>
      <c r="T780" s="38">
        <f t="shared" si="137"/>
        <v>5278.5997458165648</v>
      </c>
      <c r="U780" s="38">
        <v>5063.6029231095117</v>
      </c>
      <c r="V780" s="458">
        <f t="shared" si="138"/>
        <v>-214.99682270705307</v>
      </c>
      <c r="W780" s="458">
        <f t="shared" si="149"/>
        <v>7944.9961703029021</v>
      </c>
      <c r="X780" s="458">
        <v>0</v>
      </c>
      <c r="Y780" s="459">
        <v>0</v>
      </c>
      <c r="Z780" s="459">
        <v>0</v>
      </c>
      <c r="AA780" s="459">
        <v>0</v>
      </c>
      <c r="AB780" s="459">
        <v>0</v>
      </c>
      <c r="AC780" s="459">
        <v>0</v>
      </c>
      <c r="AD780" s="459">
        <v>0</v>
      </c>
      <c r="AE780" s="459">
        <v>601.20000000000005</v>
      </c>
      <c r="AF780" s="458">
        <f t="shared" si="150"/>
        <v>7944.9961703029021</v>
      </c>
      <c r="AG780" s="459">
        <v>0</v>
      </c>
      <c r="AH780" s="458">
        <v>0</v>
      </c>
      <c r="AI780" s="459">
        <v>0</v>
      </c>
      <c r="AJ780" s="458">
        <v>0</v>
      </c>
      <c r="AK780" s="459">
        <v>0</v>
      </c>
      <c r="AL780" s="459">
        <v>0</v>
      </c>
      <c r="AM780" s="459">
        <v>0</v>
      </c>
      <c r="AN780" s="459"/>
      <c r="AO780" s="459">
        <v>0</v>
      </c>
      <c r="AP780" s="460"/>
      <c r="AQ780" s="460"/>
      <c r="AR780" s="460"/>
      <c r="AS780" s="460"/>
      <c r="AT780" s="460"/>
      <c r="AU780" s="460"/>
      <c r="AV780" s="460"/>
      <c r="AW780" s="460"/>
      <c r="AX780" s="460"/>
      <c r="AY780" s="460"/>
      <c r="AZ780" s="460"/>
      <c r="BA780" s="460"/>
      <c r="BB780" s="460"/>
      <c r="BC780" s="460"/>
      <c r="BD780" s="460"/>
      <c r="BE780" s="460"/>
      <c r="BF780" s="460"/>
      <c r="BG780" s="460"/>
      <c r="BH780" s="460"/>
      <c r="BI780" s="460"/>
      <c r="BJ780" s="460"/>
      <c r="BK780" s="460"/>
      <c r="BL780" s="460"/>
      <c r="BM780" s="460"/>
      <c r="BN780" s="460"/>
      <c r="BO780" s="460"/>
      <c r="BP780" s="460"/>
      <c r="BQ780" s="460"/>
      <c r="BR780" s="460"/>
      <c r="BS780" s="460"/>
      <c r="BT780" s="460"/>
      <c r="BU780" s="460"/>
      <c r="BV780" s="460"/>
      <c r="BW780" s="460"/>
      <c r="BX780" s="460"/>
      <c r="BY780" s="460"/>
      <c r="BZ780" s="460"/>
      <c r="CA780" s="460"/>
      <c r="CB780" s="460"/>
      <c r="CC780" s="460"/>
      <c r="CD780" s="460"/>
      <c r="CE780" s="460"/>
      <c r="CF780" s="460"/>
      <c r="CG780" s="460"/>
      <c r="CH780" s="460"/>
      <c r="CI780" s="460"/>
      <c r="CJ780" s="460"/>
      <c r="CK780" s="460"/>
    </row>
    <row r="781" spans="1:89" s="329" customFormat="1" ht="36" customHeight="1" x14ac:dyDescent="0.25">
      <c r="B781" s="33" t="s">
        <v>1258</v>
      </c>
      <c r="C781" s="33"/>
      <c r="D781" s="330" t="s">
        <v>131</v>
      </c>
      <c r="E781" s="330" t="s">
        <v>131</v>
      </c>
      <c r="F781" s="330" t="s">
        <v>131</v>
      </c>
      <c r="G781" s="330" t="s">
        <v>131</v>
      </c>
      <c r="H781" s="330" t="s">
        <v>131</v>
      </c>
      <c r="I781" s="334">
        <f>SUM(I782:I785)</f>
        <v>11803.32</v>
      </c>
      <c r="J781" s="334">
        <f>SUM(J782:J785)</f>
        <v>8101.62</v>
      </c>
      <c r="K781" s="334">
        <f>SUM(K782:K785)</f>
        <v>8101.62</v>
      </c>
      <c r="L781" s="332">
        <f>SUM(L782:L785)</f>
        <v>483</v>
      </c>
      <c r="M781" s="330" t="s">
        <v>131</v>
      </c>
      <c r="N781" s="330" t="s">
        <v>131</v>
      </c>
      <c r="O781" s="333" t="s">
        <v>131</v>
      </c>
      <c r="P781" s="334">
        <v>13606335.93</v>
      </c>
      <c r="Q781" s="334">
        <f>SUM(Q782:Q785)</f>
        <v>0</v>
      </c>
      <c r="R781" s="334">
        <f>SUM(R782:R785)</f>
        <v>0</v>
      </c>
      <c r="S781" s="334">
        <f>SUM(S782:S785)</f>
        <v>13606335.93</v>
      </c>
      <c r="T781" s="38">
        <f t="shared" si="137"/>
        <v>1152.7549816492308</v>
      </c>
      <c r="U781" s="38">
        <f>MAX(U782:U785)</f>
        <v>4269.38</v>
      </c>
      <c r="V781" s="458">
        <f t="shared" si="138"/>
        <v>3116.6250183507691</v>
      </c>
      <c r="W781" s="458"/>
      <c r="X781" s="458"/>
      <c r="Y781" s="459"/>
      <c r="Z781" s="459"/>
      <c r="AA781" s="459"/>
      <c r="AB781" s="459"/>
      <c r="AC781" s="459"/>
      <c r="AD781" s="459"/>
      <c r="AE781" s="459"/>
      <c r="AF781" s="459"/>
      <c r="AG781" s="459"/>
      <c r="AH781" s="459"/>
      <c r="AI781" s="459"/>
      <c r="AJ781" s="459"/>
      <c r="AK781" s="459"/>
      <c r="AL781" s="459"/>
      <c r="AM781" s="459"/>
      <c r="AN781" s="459"/>
      <c r="AO781" s="459"/>
      <c r="AP781" s="460"/>
      <c r="AQ781" s="460"/>
      <c r="AR781" s="460"/>
      <c r="AS781" s="460"/>
      <c r="AT781" s="460"/>
      <c r="AU781" s="460"/>
      <c r="AV781" s="460"/>
      <c r="AW781" s="460"/>
      <c r="AX781" s="460"/>
      <c r="AY781" s="460"/>
      <c r="AZ781" s="460"/>
      <c r="BA781" s="460"/>
      <c r="BB781" s="460"/>
      <c r="BC781" s="460"/>
      <c r="BD781" s="460"/>
      <c r="BE781" s="460"/>
      <c r="BF781" s="460"/>
      <c r="BG781" s="460"/>
      <c r="BH781" s="460"/>
      <c r="BI781" s="460"/>
      <c r="BJ781" s="460"/>
      <c r="BK781" s="460"/>
      <c r="BL781" s="460"/>
      <c r="BM781" s="460"/>
      <c r="BN781" s="460"/>
      <c r="BO781" s="460"/>
      <c r="BP781" s="460"/>
      <c r="BQ781" s="460"/>
      <c r="BR781" s="460"/>
      <c r="BS781" s="460"/>
      <c r="BT781" s="460"/>
      <c r="BU781" s="460"/>
      <c r="BV781" s="460"/>
      <c r="BW781" s="460"/>
      <c r="BX781" s="460"/>
      <c r="BY781" s="460"/>
      <c r="BZ781" s="460"/>
      <c r="CA781" s="460"/>
      <c r="CB781" s="460"/>
      <c r="CC781" s="460"/>
      <c r="CD781" s="460"/>
      <c r="CE781" s="460"/>
      <c r="CF781" s="460"/>
      <c r="CG781" s="460"/>
      <c r="CH781" s="460"/>
      <c r="CI781" s="460"/>
      <c r="CJ781" s="460"/>
      <c r="CK781" s="460"/>
    </row>
    <row r="782" spans="1:89" s="329" customFormat="1" ht="36" customHeight="1" x14ac:dyDescent="0.25">
      <c r="A782" s="329">
        <v>1</v>
      </c>
      <c r="B782" s="39">
        <f>SUBTOTAL(103,$A$552:A782)</f>
        <v>223</v>
      </c>
      <c r="C782" s="33" t="s">
        <v>1594</v>
      </c>
      <c r="D782" s="330">
        <v>1978</v>
      </c>
      <c r="E782" s="330"/>
      <c r="F782" s="331" t="s">
        <v>48</v>
      </c>
      <c r="G782" s="330">
        <v>3</v>
      </c>
      <c r="H782" s="330" t="s">
        <v>56</v>
      </c>
      <c r="I782" s="334">
        <v>1608.4</v>
      </c>
      <c r="J782" s="334">
        <v>1122.9000000000001</v>
      </c>
      <c r="K782" s="334">
        <v>1122.9000000000001</v>
      </c>
      <c r="L782" s="332">
        <v>53</v>
      </c>
      <c r="M782" s="330" t="s">
        <v>46</v>
      </c>
      <c r="N782" s="330" t="s">
        <v>50</v>
      </c>
      <c r="O782" s="333" t="s">
        <v>2040</v>
      </c>
      <c r="P782" s="38">
        <v>3550280</v>
      </c>
      <c r="Q782" s="38">
        <v>0</v>
      </c>
      <c r="R782" s="38">
        <v>0</v>
      </c>
      <c r="S782" s="38">
        <f>P782-Q782-R782</f>
        <v>3550280</v>
      </c>
      <c r="T782" s="38">
        <f t="shared" si="137"/>
        <v>2207.3364834618251</v>
      </c>
      <c r="U782" s="38">
        <v>2646.6856503357371</v>
      </c>
      <c r="V782" s="458">
        <f t="shared" si="138"/>
        <v>439.34916687391205</v>
      </c>
      <c r="W782" s="458">
        <f t="shared" ref="W782:W785" si="151">X782+Y782+Z782+AA782+AB782+AD782+AF782+AH782+AJ782+AL782+AN782+AO782</f>
        <v>2637.6888833623475</v>
      </c>
      <c r="X782" s="458">
        <v>0</v>
      </c>
      <c r="Y782" s="459">
        <v>0</v>
      </c>
      <c r="Z782" s="459">
        <v>0</v>
      </c>
      <c r="AA782" s="459">
        <v>0</v>
      </c>
      <c r="AB782" s="459">
        <v>0</v>
      </c>
      <c r="AC782" s="459">
        <v>0</v>
      </c>
      <c r="AD782" s="459">
        <v>0</v>
      </c>
      <c r="AE782" s="459">
        <v>680</v>
      </c>
      <c r="AF782" s="458">
        <f>6238.91*AE782/I782</f>
        <v>2637.6888833623475</v>
      </c>
      <c r="AG782" s="459">
        <v>0</v>
      </c>
      <c r="AH782" s="458">
        <v>0</v>
      </c>
      <c r="AI782" s="459">
        <v>0</v>
      </c>
      <c r="AJ782" s="458">
        <v>0</v>
      </c>
      <c r="AK782" s="459">
        <v>0</v>
      </c>
      <c r="AL782" s="459">
        <v>0</v>
      </c>
      <c r="AM782" s="459">
        <v>0</v>
      </c>
      <c r="AN782" s="459"/>
      <c r="AO782" s="459">
        <v>0</v>
      </c>
      <c r="AP782" s="460"/>
      <c r="AQ782" s="460"/>
      <c r="AR782" s="460"/>
      <c r="AS782" s="460"/>
      <c r="AT782" s="460"/>
      <c r="AU782" s="460"/>
      <c r="AV782" s="460"/>
      <c r="AW782" s="460"/>
      <c r="AX782" s="460"/>
      <c r="AY782" s="460"/>
      <c r="AZ782" s="460"/>
      <c r="BA782" s="460"/>
      <c r="BB782" s="460"/>
      <c r="BC782" s="460"/>
      <c r="BD782" s="460"/>
      <c r="BE782" s="460"/>
      <c r="BF782" s="460"/>
      <c r="BG782" s="460"/>
      <c r="BH782" s="460"/>
      <c r="BI782" s="460"/>
      <c r="BJ782" s="460"/>
      <c r="BK782" s="460"/>
      <c r="BL782" s="460"/>
      <c r="BM782" s="460"/>
      <c r="BN782" s="460"/>
      <c r="BO782" s="460"/>
      <c r="BP782" s="460"/>
      <c r="BQ782" s="460"/>
      <c r="BR782" s="460"/>
      <c r="BS782" s="460"/>
      <c r="BT782" s="460"/>
      <c r="BU782" s="460"/>
      <c r="BV782" s="460"/>
      <c r="BW782" s="460"/>
      <c r="BX782" s="460"/>
      <c r="BY782" s="460"/>
      <c r="BZ782" s="460"/>
      <c r="CA782" s="460"/>
      <c r="CB782" s="460"/>
      <c r="CC782" s="460"/>
      <c r="CD782" s="460"/>
      <c r="CE782" s="460"/>
      <c r="CF782" s="460"/>
      <c r="CG782" s="460"/>
      <c r="CH782" s="460"/>
      <c r="CI782" s="460"/>
      <c r="CJ782" s="460"/>
      <c r="CK782" s="460"/>
    </row>
    <row r="783" spans="1:89" s="329" customFormat="1" ht="36" customHeight="1" x14ac:dyDescent="0.25">
      <c r="A783" s="329">
        <v>1</v>
      </c>
      <c r="B783" s="39">
        <f>SUBTOTAL(103,$A$552:A783)</f>
        <v>224</v>
      </c>
      <c r="C783" s="33" t="s">
        <v>1595</v>
      </c>
      <c r="D783" s="330">
        <v>1986</v>
      </c>
      <c r="E783" s="330"/>
      <c r="F783" s="331" t="s">
        <v>48</v>
      </c>
      <c r="G783" s="330">
        <v>5</v>
      </c>
      <c r="H783" s="330" t="s">
        <v>1969</v>
      </c>
      <c r="I783" s="334">
        <v>5164.1000000000004</v>
      </c>
      <c r="J783" s="334">
        <v>3835.7</v>
      </c>
      <c r="K783" s="334">
        <v>3835.7</v>
      </c>
      <c r="L783" s="332">
        <v>196</v>
      </c>
      <c r="M783" s="330" t="s">
        <v>46</v>
      </c>
      <c r="N783" s="330" t="s">
        <v>50</v>
      </c>
      <c r="O783" s="333" t="s">
        <v>2147</v>
      </c>
      <c r="P783" s="38">
        <v>5495600.0099999998</v>
      </c>
      <c r="Q783" s="38">
        <v>0</v>
      </c>
      <c r="R783" s="38">
        <v>0</v>
      </c>
      <c r="S783" s="38">
        <f>P783-Q783-R783</f>
        <v>5495600.0099999998</v>
      </c>
      <c r="T783" s="38">
        <f t="shared" si="137"/>
        <v>1064.1931817741715</v>
      </c>
      <c r="U783" s="38">
        <v>1333.4770821633972</v>
      </c>
      <c r="V783" s="458">
        <f t="shared" si="138"/>
        <v>269.28390038922566</v>
      </c>
      <c r="W783" s="458">
        <f t="shared" si="151"/>
        <v>1328.9442497240564</v>
      </c>
      <c r="X783" s="458">
        <v>0</v>
      </c>
      <c r="Y783" s="459">
        <v>0</v>
      </c>
      <c r="Z783" s="459">
        <v>0</v>
      </c>
      <c r="AA783" s="459">
        <v>0</v>
      </c>
      <c r="AB783" s="459">
        <v>0</v>
      </c>
      <c r="AC783" s="459">
        <v>0</v>
      </c>
      <c r="AD783" s="459">
        <v>0</v>
      </c>
      <c r="AE783" s="459">
        <v>1100</v>
      </c>
      <c r="AF783" s="458">
        <f>6238.91*AE783/I783</f>
        <v>1328.9442497240564</v>
      </c>
      <c r="AG783" s="459">
        <v>0</v>
      </c>
      <c r="AH783" s="458">
        <v>0</v>
      </c>
      <c r="AI783" s="459">
        <v>0</v>
      </c>
      <c r="AJ783" s="458">
        <v>0</v>
      </c>
      <c r="AK783" s="459">
        <v>0</v>
      </c>
      <c r="AL783" s="459">
        <v>0</v>
      </c>
      <c r="AM783" s="459">
        <v>0</v>
      </c>
      <c r="AN783" s="459"/>
      <c r="AO783" s="459">
        <v>0</v>
      </c>
      <c r="AP783" s="460"/>
      <c r="AQ783" s="460"/>
      <c r="AR783" s="460"/>
      <c r="AS783" s="460"/>
      <c r="AT783" s="460"/>
      <c r="AU783" s="460"/>
      <c r="AV783" s="460"/>
      <c r="AW783" s="460"/>
      <c r="AX783" s="460"/>
      <c r="AY783" s="460"/>
      <c r="AZ783" s="460"/>
      <c r="BA783" s="460"/>
      <c r="BB783" s="460"/>
      <c r="BC783" s="460"/>
      <c r="BD783" s="460"/>
      <c r="BE783" s="460"/>
      <c r="BF783" s="460"/>
      <c r="BG783" s="460"/>
      <c r="BH783" s="460"/>
      <c r="BI783" s="460"/>
      <c r="BJ783" s="460"/>
      <c r="BK783" s="460"/>
      <c r="BL783" s="460"/>
      <c r="BM783" s="460"/>
      <c r="BN783" s="460"/>
      <c r="BO783" s="460"/>
      <c r="BP783" s="460"/>
      <c r="BQ783" s="460"/>
      <c r="BR783" s="460"/>
      <c r="BS783" s="460"/>
      <c r="BT783" s="460"/>
      <c r="BU783" s="460"/>
      <c r="BV783" s="460"/>
      <c r="BW783" s="460"/>
      <c r="BX783" s="460"/>
      <c r="BY783" s="460"/>
      <c r="BZ783" s="460"/>
      <c r="CA783" s="460"/>
      <c r="CB783" s="460"/>
      <c r="CC783" s="460"/>
      <c r="CD783" s="460"/>
      <c r="CE783" s="460"/>
      <c r="CF783" s="460"/>
      <c r="CG783" s="460"/>
      <c r="CH783" s="460"/>
      <c r="CI783" s="460"/>
      <c r="CJ783" s="460"/>
      <c r="CK783" s="460"/>
    </row>
    <row r="784" spans="1:89" s="329" customFormat="1" ht="36" customHeight="1" x14ac:dyDescent="0.25">
      <c r="A784" s="329">
        <v>1</v>
      </c>
      <c r="B784" s="39">
        <f>SUBTOTAL(103,$A$552:A784)</f>
        <v>225</v>
      </c>
      <c r="C784" s="33" t="s">
        <v>1596</v>
      </c>
      <c r="D784" s="330">
        <v>1965</v>
      </c>
      <c r="E784" s="330"/>
      <c r="F784" s="331" t="s">
        <v>48</v>
      </c>
      <c r="G784" s="330">
        <v>4</v>
      </c>
      <c r="H784" s="330" t="s">
        <v>61</v>
      </c>
      <c r="I784" s="334">
        <v>3674.31</v>
      </c>
      <c r="J784" s="334">
        <v>2209.41</v>
      </c>
      <c r="K784" s="334">
        <v>2209.41</v>
      </c>
      <c r="L784" s="332">
        <v>170</v>
      </c>
      <c r="M784" s="330" t="s">
        <v>46</v>
      </c>
      <c r="N784" s="330" t="s">
        <v>50</v>
      </c>
      <c r="O784" s="333" t="s">
        <v>2148</v>
      </c>
      <c r="P784" s="38">
        <v>3582812.32</v>
      </c>
      <c r="Q784" s="38">
        <v>0</v>
      </c>
      <c r="R784" s="38">
        <v>0</v>
      </c>
      <c r="S784" s="38">
        <f>P784-Q784-R784</f>
        <v>3582812.32</v>
      </c>
      <c r="T784" s="38">
        <f t="shared" ref="T784:T847" si="152">P784/I784</f>
        <v>975.09799663065985</v>
      </c>
      <c r="U784" s="38">
        <v>4269.38</v>
      </c>
      <c r="V784" s="458">
        <f t="shared" si="138"/>
        <v>3294.2820033693401</v>
      </c>
      <c r="W784" s="458">
        <f t="shared" si="151"/>
        <v>1867.7795286734108</v>
      </c>
      <c r="X784" s="458">
        <v>0</v>
      </c>
      <c r="Y784" s="459">
        <v>0</v>
      </c>
      <c r="Z784" s="459">
        <v>0</v>
      </c>
      <c r="AA784" s="459">
        <v>0</v>
      </c>
      <c r="AB784" s="459">
        <v>0</v>
      </c>
      <c r="AC784" s="459">
        <v>0</v>
      </c>
      <c r="AD784" s="459">
        <v>0</v>
      </c>
      <c r="AE784" s="459">
        <v>1100</v>
      </c>
      <c r="AF784" s="458">
        <f>6238.91*AE784/I784</f>
        <v>1867.7795286734108</v>
      </c>
      <c r="AG784" s="459">
        <v>0</v>
      </c>
      <c r="AH784" s="458">
        <v>0</v>
      </c>
      <c r="AI784" s="459">
        <v>0</v>
      </c>
      <c r="AJ784" s="458">
        <v>0</v>
      </c>
      <c r="AK784" s="459">
        <v>0</v>
      </c>
      <c r="AL784" s="459">
        <v>0</v>
      </c>
      <c r="AM784" s="459">
        <v>0</v>
      </c>
      <c r="AN784" s="459"/>
      <c r="AO784" s="459">
        <v>0</v>
      </c>
      <c r="AP784" s="460"/>
      <c r="AQ784" s="460"/>
      <c r="AR784" s="460"/>
      <c r="AS784" s="460"/>
      <c r="AT784" s="460"/>
      <c r="AU784" s="460"/>
      <c r="AV784" s="460"/>
      <c r="AW784" s="460"/>
      <c r="AX784" s="460"/>
      <c r="AY784" s="460"/>
      <c r="AZ784" s="460"/>
      <c r="BA784" s="460"/>
      <c r="BB784" s="460"/>
      <c r="BC784" s="460"/>
      <c r="BD784" s="460"/>
      <c r="BE784" s="460"/>
      <c r="BF784" s="460"/>
      <c r="BG784" s="460"/>
      <c r="BH784" s="460"/>
      <c r="BI784" s="460"/>
      <c r="BJ784" s="460"/>
      <c r="BK784" s="460"/>
      <c r="BL784" s="460"/>
      <c r="BM784" s="460"/>
      <c r="BN784" s="460"/>
      <c r="BO784" s="460"/>
      <c r="BP784" s="460"/>
      <c r="BQ784" s="460"/>
      <c r="BR784" s="460"/>
      <c r="BS784" s="460"/>
      <c r="BT784" s="460"/>
      <c r="BU784" s="460"/>
      <c r="BV784" s="460"/>
      <c r="BW784" s="460"/>
      <c r="BX784" s="460"/>
      <c r="BY784" s="460"/>
      <c r="BZ784" s="460"/>
      <c r="CA784" s="460"/>
      <c r="CB784" s="460"/>
      <c r="CC784" s="460"/>
      <c r="CD784" s="460"/>
      <c r="CE784" s="460"/>
      <c r="CF784" s="460"/>
      <c r="CG784" s="460"/>
      <c r="CH784" s="460"/>
      <c r="CI784" s="460"/>
      <c r="CJ784" s="460"/>
      <c r="CK784" s="460"/>
    </row>
    <row r="785" spans="1:191" s="329" customFormat="1" ht="36" customHeight="1" x14ac:dyDescent="0.25">
      <c r="A785" s="329">
        <v>1</v>
      </c>
      <c r="B785" s="39">
        <f>SUBTOTAL(103,$A$552:A785)</f>
        <v>226</v>
      </c>
      <c r="C785" s="33" t="s">
        <v>1597</v>
      </c>
      <c r="D785" s="330">
        <v>1962</v>
      </c>
      <c r="E785" s="330"/>
      <c r="F785" s="331" t="s">
        <v>1981</v>
      </c>
      <c r="G785" s="330" t="s">
        <v>61</v>
      </c>
      <c r="H785" s="330" t="s">
        <v>56</v>
      </c>
      <c r="I785" s="334">
        <v>1356.51</v>
      </c>
      <c r="J785" s="334">
        <v>933.61</v>
      </c>
      <c r="K785" s="334">
        <v>933.61</v>
      </c>
      <c r="L785" s="332">
        <v>64</v>
      </c>
      <c r="M785" s="330" t="s">
        <v>46</v>
      </c>
      <c r="N785" s="330" t="s">
        <v>50</v>
      </c>
      <c r="O785" s="333" t="s">
        <v>2043</v>
      </c>
      <c r="P785" s="38">
        <v>977643.6</v>
      </c>
      <c r="Q785" s="38">
        <v>0</v>
      </c>
      <c r="R785" s="38">
        <v>0</v>
      </c>
      <c r="S785" s="38">
        <f>P785-Q785-R785</f>
        <v>977643.6</v>
      </c>
      <c r="T785" s="38">
        <f t="shared" si="152"/>
        <v>720.70504456288563</v>
      </c>
      <c r="U785" s="38">
        <v>810.46</v>
      </c>
      <c r="V785" s="458">
        <f t="shared" ref="V785:V863" si="153">U785-T785</f>
        <v>89.754955437114404</v>
      </c>
      <c r="W785" s="458">
        <f t="shared" si="151"/>
        <v>4341.5</v>
      </c>
      <c r="X785" s="458">
        <v>101.55</v>
      </c>
      <c r="Y785" s="459">
        <v>0</v>
      </c>
      <c r="Z785" s="459">
        <v>3259.66</v>
      </c>
      <c r="AA785" s="459">
        <v>184.98</v>
      </c>
      <c r="AB785" s="459">
        <v>795.31</v>
      </c>
      <c r="AC785" s="459">
        <v>0</v>
      </c>
      <c r="AD785" s="459">
        <v>0</v>
      </c>
      <c r="AE785" s="459">
        <v>0</v>
      </c>
      <c r="AF785" s="458">
        <v>0</v>
      </c>
      <c r="AG785" s="459">
        <v>0</v>
      </c>
      <c r="AH785" s="458">
        <v>0</v>
      </c>
      <c r="AI785" s="459">
        <v>0</v>
      </c>
      <c r="AJ785" s="458">
        <v>0</v>
      </c>
      <c r="AK785" s="459">
        <v>0</v>
      </c>
      <c r="AL785" s="459">
        <v>0</v>
      </c>
      <c r="AM785" s="459">
        <v>0</v>
      </c>
      <c r="AN785" s="459"/>
      <c r="AO785" s="459">
        <v>0</v>
      </c>
      <c r="AP785" s="460"/>
      <c r="AQ785" s="460"/>
      <c r="AR785" s="460"/>
      <c r="AS785" s="460"/>
      <c r="AT785" s="460"/>
      <c r="AU785" s="460"/>
      <c r="AV785" s="460"/>
      <c r="AW785" s="460"/>
      <c r="AX785" s="460"/>
      <c r="AY785" s="460"/>
      <c r="AZ785" s="460"/>
      <c r="BA785" s="460"/>
      <c r="BB785" s="460"/>
      <c r="BC785" s="460"/>
      <c r="BD785" s="460"/>
      <c r="BE785" s="460"/>
      <c r="BF785" s="460"/>
      <c r="BG785" s="460"/>
      <c r="BH785" s="460"/>
      <c r="BI785" s="460"/>
      <c r="BJ785" s="460"/>
      <c r="BK785" s="460"/>
      <c r="BL785" s="460"/>
      <c r="BM785" s="460"/>
      <c r="BN785" s="460"/>
      <c r="BO785" s="460"/>
      <c r="BP785" s="460"/>
      <c r="BQ785" s="460"/>
      <c r="BR785" s="460"/>
      <c r="BS785" s="460"/>
      <c r="BT785" s="460"/>
      <c r="BU785" s="460"/>
      <c r="BV785" s="460"/>
      <c r="BW785" s="460"/>
      <c r="BX785" s="460"/>
      <c r="BY785" s="460"/>
      <c r="BZ785" s="460"/>
      <c r="CA785" s="460"/>
      <c r="CB785" s="460"/>
      <c r="CC785" s="460"/>
      <c r="CD785" s="460"/>
      <c r="CE785" s="460"/>
      <c r="CF785" s="460"/>
      <c r="CG785" s="460"/>
      <c r="CH785" s="460"/>
      <c r="CI785" s="460"/>
      <c r="CJ785" s="460"/>
      <c r="CK785" s="460"/>
    </row>
    <row r="786" spans="1:191" s="329" customFormat="1" ht="36" customHeight="1" x14ac:dyDescent="0.25">
      <c r="B786" s="33" t="s">
        <v>98</v>
      </c>
      <c r="C786" s="462"/>
      <c r="D786" s="330" t="s">
        <v>131</v>
      </c>
      <c r="E786" s="330" t="s">
        <v>131</v>
      </c>
      <c r="F786" s="330" t="s">
        <v>131</v>
      </c>
      <c r="G786" s="330" t="s">
        <v>131</v>
      </c>
      <c r="H786" s="330" t="s">
        <v>131</v>
      </c>
      <c r="I786" s="334">
        <f>SUM(I787:I787)</f>
        <v>2782.7</v>
      </c>
      <c r="J786" s="334">
        <f>SUM(J787:J787)</f>
        <v>2782.7</v>
      </c>
      <c r="K786" s="334">
        <f>SUM(K787:K787)</f>
        <v>2782.7</v>
      </c>
      <c r="L786" s="332">
        <f>SUM(L787:L787)</f>
        <v>103</v>
      </c>
      <c r="M786" s="330" t="s">
        <v>131</v>
      </c>
      <c r="N786" s="330" t="s">
        <v>131</v>
      </c>
      <c r="O786" s="333" t="s">
        <v>131</v>
      </c>
      <c r="P786" s="334">
        <v>2579501.7000000002</v>
      </c>
      <c r="Q786" s="334">
        <f>SUM(Q787:Q787)</f>
        <v>0</v>
      </c>
      <c r="R786" s="334">
        <f>SUM(R787:R787)</f>
        <v>0</v>
      </c>
      <c r="S786" s="334">
        <f>SUM(S787:S787)</f>
        <v>2579501.7000000002</v>
      </c>
      <c r="T786" s="38">
        <f t="shared" si="152"/>
        <v>926.97800697164632</v>
      </c>
      <c r="U786" s="38">
        <f>MAX(U787:U787)</f>
        <v>2339.6692421029934</v>
      </c>
      <c r="V786" s="458">
        <f t="shared" si="153"/>
        <v>1412.6912351313472</v>
      </c>
      <c r="W786" s="458"/>
      <c r="X786" s="458"/>
      <c r="Y786" s="459"/>
      <c r="Z786" s="459"/>
      <c r="AA786" s="459"/>
      <c r="AB786" s="459"/>
      <c r="AC786" s="459"/>
      <c r="AD786" s="459"/>
      <c r="AE786" s="459"/>
      <c r="AF786" s="459"/>
      <c r="AG786" s="459"/>
      <c r="AH786" s="459"/>
      <c r="AI786" s="459"/>
      <c r="AJ786" s="459"/>
      <c r="AK786" s="459"/>
      <c r="AL786" s="459"/>
      <c r="AM786" s="459"/>
      <c r="AN786" s="459"/>
      <c r="AO786" s="459"/>
      <c r="AP786" s="460"/>
      <c r="AQ786" s="460"/>
      <c r="AR786" s="460"/>
      <c r="AS786" s="460"/>
      <c r="AT786" s="460"/>
      <c r="AU786" s="460"/>
      <c r="AV786" s="460"/>
      <c r="AW786" s="460"/>
      <c r="AX786" s="460"/>
      <c r="AY786" s="460"/>
      <c r="AZ786" s="460"/>
      <c r="BA786" s="460"/>
      <c r="BB786" s="460"/>
      <c r="BC786" s="460"/>
      <c r="BD786" s="460"/>
      <c r="BE786" s="460"/>
      <c r="BF786" s="460"/>
      <c r="BG786" s="460"/>
      <c r="BH786" s="460"/>
      <c r="BI786" s="460"/>
      <c r="BJ786" s="460"/>
      <c r="BK786" s="460"/>
      <c r="BL786" s="460"/>
      <c r="BM786" s="460"/>
      <c r="BN786" s="460"/>
      <c r="BO786" s="460"/>
      <c r="BP786" s="460"/>
      <c r="BQ786" s="460"/>
      <c r="BR786" s="460"/>
      <c r="BS786" s="460"/>
      <c r="BT786" s="460"/>
      <c r="BU786" s="460"/>
      <c r="BV786" s="460"/>
      <c r="BW786" s="460"/>
      <c r="BX786" s="460"/>
      <c r="BY786" s="460"/>
      <c r="BZ786" s="460"/>
      <c r="CA786" s="460"/>
      <c r="CB786" s="460"/>
      <c r="CC786" s="460"/>
      <c r="CD786" s="460"/>
      <c r="CE786" s="460"/>
      <c r="CF786" s="460"/>
      <c r="CG786" s="460"/>
      <c r="CH786" s="460"/>
      <c r="CI786" s="460"/>
      <c r="CJ786" s="460"/>
      <c r="CK786" s="460"/>
    </row>
    <row r="787" spans="1:191" s="329" customFormat="1" ht="36" customHeight="1" x14ac:dyDescent="0.25">
      <c r="A787" s="329">
        <v>1</v>
      </c>
      <c r="B787" s="39">
        <f>SUBTOTAL(103,$A$552:A787)</f>
        <v>227</v>
      </c>
      <c r="C787" s="33" t="s">
        <v>1598</v>
      </c>
      <c r="D787" s="330">
        <v>1985</v>
      </c>
      <c r="E787" s="330"/>
      <c r="F787" s="331" t="s">
        <v>48</v>
      </c>
      <c r="G787" s="330">
        <v>5</v>
      </c>
      <c r="H787" s="330" t="s">
        <v>59</v>
      </c>
      <c r="I787" s="334">
        <v>2782.7</v>
      </c>
      <c r="J787" s="334">
        <v>2782.7</v>
      </c>
      <c r="K787" s="334">
        <v>2782.7</v>
      </c>
      <c r="L787" s="332">
        <v>103</v>
      </c>
      <c r="M787" s="330" t="s">
        <v>46</v>
      </c>
      <c r="N787" s="330" t="s">
        <v>71</v>
      </c>
      <c r="O787" s="333" t="s">
        <v>2149</v>
      </c>
      <c r="P787" s="38">
        <v>2579501.7000000002</v>
      </c>
      <c r="Q787" s="38">
        <v>0</v>
      </c>
      <c r="R787" s="38">
        <v>0</v>
      </c>
      <c r="S787" s="38">
        <f>P787-Q787-R787</f>
        <v>2579501.7000000002</v>
      </c>
      <c r="T787" s="38">
        <f t="shared" si="152"/>
        <v>926.97800697164632</v>
      </c>
      <c r="U787" s="38">
        <v>2339.6692421029934</v>
      </c>
      <c r="V787" s="458">
        <f>U787-T787</f>
        <v>1412.6912351313472</v>
      </c>
      <c r="W787" s="458">
        <f>X787+Y787+Z787+AA787+AB787+AD787+AF787+AH787+AJ787+AL787+AN787+AO787</f>
        <v>2331.7161030653683</v>
      </c>
      <c r="X787" s="458">
        <v>0</v>
      </c>
      <c r="Y787" s="459">
        <v>0</v>
      </c>
      <c r="Z787" s="459">
        <v>0</v>
      </c>
      <c r="AA787" s="459">
        <v>0</v>
      </c>
      <c r="AB787" s="459">
        <v>0</v>
      </c>
      <c r="AC787" s="459">
        <v>0</v>
      </c>
      <c r="AD787" s="459">
        <v>0</v>
      </c>
      <c r="AE787" s="459">
        <v>1040</v>
      </c>
      <c r="AF787" s="458">
        <f>6238.91*AE787/I787</f>
        <v>2331.7161030653683</v>
      </c>
      <c r="AG787" s="459">
        <v>0</v>
      </c>
      <c r="AH787" s="458">
        <v>0</v>
      </c>
      <c r="AI787" s="459">
        <v>0</v>
      </c>
      <c r="AJ787" s="458">
        <v>0</v>
      </c>
      <c r="AK787" s="459">
        <v>0</v>
      </c>
      <c r="AL787" s="459">
        <v>0</v>
      </c>
      <c r="AM787" s="459">
        <v>0</v>
      </c>
      <c r="AN787" s="459"/>
      <c r="AO787" s="459">
        <v>0</v>
      </c>
      <c r="AP787" s="460"/>
      <c r="AQ787" s="460"/>
      <c r="AR787" s="460"/>
      <c r="AS787" s="460"/>
      <c r="AT787" s="460"/>
      <c r="AU787" s="460"/>
      <c r="AV787" s="460"/>
      <c r="AW787" s="460"/>
      <c r="AX787" s="460"/>
      <c r="AY787" s="460"/>
      <c r="AZ787" s="460"/>
      <c r="BA787" s="460"/>
      <c r="BB787" s="460"/>
      <c r="BC787" s="460"/>
      <c r="BD787" s="460"/>
      <c r="BE787" s="460"/>
      <c r="BF787" s="460"/>
      <c r="BG787" s="460"/>
      <c r="BH787" s="460"/>
      <c r="BI787" s="460"/>
      <c r="BJ787" s="460"/>
      <c r="BK787" s="460"/>
      <c r="BL787" s="460"/>
      <c r="BM787" s="460"/>
      <c r="BN787" s="460"/>
      <c r="BO787" s="460"/>
      <c r="BP787" s="460"/>
      <c r="BQ787" s="460"/>
      <c r="BR787" s="460"/>
      <c r="BS787" s="460"/>
      <c r="BT787" s="460"/>
      <c r="BU787" s="460"/>
      <c r="BV787" s="460"/>
      <c r="BW787" s="460"/>
      <c r="BX787" s="460"/>
      <c r="BY787" s="460"/>
      <c r="BZ787" s="460"/>
      <c r="CA787" s="460"/>
      <c r="CB787" s="460"/>
      <c r="CC787" s="460"/>
      <c r="CD787" s="460"/>
      <c r="CE787" s="460"/>
      <c r="CF787" s="460"/>
      <c r="CG787" s="460"/>
      <c r="CH787" s="460"/>
      <c r="CI787" s="460"/>
      <c r="CJ787" s="460"/>
      <c r="CK787" s="460"/>
    </row>
    <row r="788" spans="1:191" s="329" customFormat="1" ht="36" customHeight="1" x14ac:dyDescent="0.25">
      <c r="B788" s="33" t="s">
        <v>1270</v>
      </c>
      <c r="C788" s="33"/>
      <c r="D788" s="330" t="s">
        <v>131</v>
      </c>
      <c r="E788" s="330" t="s">
        <v>131</v>
      </c>
      <c r="F788" s="330" t="s">
        <v>131</v>
      </c>
      <c r="G788" s="330" t="s">
        <v>131</v>
      </c>
      <c r="H788" s="330" t="s">
        <v>131</v>
      </c>
      <c r="I788" s="334">
        <f>SUM(I789:I791)</f>
        <v>1396.4</v>
      </c>
      <c r="J788" s="334">
        <f>SUM(J789:J791)</f>
        <v>1208.8</v>
      </c>
      <c r="K788" s="334">
        <f>SUM(K789:K791)</f>
        <v>1208.8</v>
      </c>
      <c r="L788" s="332">
        <f>SUM(L789:L791)</f>
        <v>54</v>
      </c>
      <c r="M788" s="330" t="s">
        <v>131</v>
      </c>
      <c r="N788" s="330" t="s">
        <v>131</v>
      </c>
      <c r="O788" s="333" t="s">
        <v>131</v>
      </c>
      <c r="P788" s="334">
        <v>3119161.9899999998</v>
      </c>
      <c r="Q788" s="334">
        <f>SUM(Q789:Q791)</f>
        <v>0</v>
      </c>
      <c r="R788" s="334">
        <f>SUM(R789:R791)</f>
        <v>0</v>
      </c>
      <c r="S788" s="334">
        <f>SUM(S789:S791)</f>
        <v>3119161.9899999998</v>
      </c>
      <c r="T788" s="38">
        <f t="shared" si="152"/>
        <v>2233.7166929246632</v>
      </c>
      <c r="U788" s="38">
        <f>MAX(U789:U791)</f>
        <v>4753.8294816033849</v>
      </c>
      <c r="V788" s="458">
        <f t="shared" si="153"/>
        <v>2520.1127886787217</v>
      </c>
      <c r="W788" s="458"/>
      <c r="X788" s="458"/>
      <c r="Y788" s="459"/>
      <c r="Z788" s="459"/>
      <c r="AA788" s="459"/>
      <c r="AB788" s="459"/>
      <c r="AC788" s="459"/>
      <c r="AD788" s="459"/>
      <c r="AE788" s="459"/>
      <c r="AF788" s="459"/>
      <c r="AG788" s="459"/>
      <c r="AH788" s="459"/>
      <c r="AI788" s="459"/>
      <c r="AJ788" s="459"/>
      <c r="AK788" s="459"/>
      <c r="AL788" s="459"/>
      <c r="AM788" s="459"/>
      <c r="AN788" s="459"/>
      <c r="AO788" s="459"/>
      <c r="AP788" s="460"/>
      <c r="AQ788" s="460"/>
      <c r="AR788" s="460"/>
      <c r="AS788" s="460"/>
      <c r="AT788" s="460"/>
      <c r="AU788" s="460"/>
      <c r="AV788" s="460"/>
      <c r="AW788" s="460"/>
      <c r="AX788" s="460"/>
      <c r="AY788" s="460"/>
      <c r="AZ788" s="460"/>
      <c r="BA788" s="460"/>
      <c r="BB788" s="460"/>
      <c r="BC788" s="460"/>
      <c r="BD788" s="460"/>
      <c r="BE788" s="460"/>
      <c r="BF788" s="460"/>
      <c r="BG788" s="460"/>
      <c r="BH788" s="460"/>
      <c r="BI788" s="460"/>
      <c r="BJ788" s="460"/>
      <c r="BK788" s="460"/>
      <c r="BL788" s="460"/>
      <c r="BM788" s="460"/>
      <c r="BN788" s="460"/>
      <c r="BO788" s="460"/>
      <c r="BP788" s="460"/>
      <c r="BQ788" s="460"/>
      <c r="BR788" s="460"/>
      <c r="BS788" s="460"/>
      <c r="BT788" s="460"/>
      <c r="BU788" s="460"/>
      <c r="BV788" s="460"/>
      <c r="BW788" s="460"/>
      <c r="BX788" s="460"/>
      <c r="BY788" s="460"/>
      <c r="BZ788" s="460"/>
      <c r="CA788" s="460"/>
      <c r="CB788" s="460"/>
      <c r="CC788" s="460"/>
      <c r="CD788" s="460"/>
      <c r="CE788" s="460"/>
      <c r="CF788" s="460"/>
      <c r="CG788" s="460"/>
      <c r="CH788" s="460"/>
      <c r="CI788" s="460"/>
      <c r="CJ788" s="460"/>
      <c r="CK788" s="460"/>
    </row>
    <row r="789" spans="1:191" s="329" customFormat="1" ht="36" customHeight="1" x14ac:dyDescent="0.25">
      <c r="A789" s="329">
        <v>1</v>
      </c>
      <c r="B789" s="39">
        <f>SUBTOTAL(103,$A$552:A789)</f>
        <v>228</v>
      </c>
      <c r="C789" s="33" t="s">
        <v>1599</v>
      </c>
      <c r="D789" s="330">
        <v>1975</v>
      </c>
      <c r="E789" s="330"/>
      <c r="F789" s="331" t="s">
        <v>48</v>
      </c>
      <c r="G789" s="330">
        <v>2</v>
      </c>
      <c r="H789" s="330" t="s">
        <v>56</v>
      </c>
      <c r="I789" s="334">
        <v>850.7</v>
      </c>
      <c r="J789" s="334">
        <v>705.9</v>
      </c>
      <c r="K789" s="334">
        <v>705.9</v>
      </c>
      <c r="L789" s="332">
        <v>22</v>
      </c>
      <c r="M789" s="330" t="s">
        <v>46</v>
      </c>
      <c r="N789" s="330" t="s">
        <v>47</v>
      </c>
      <c r="O789" s="333" t="s">
        <v>49</v>
      </c>
      <c r="P789" s="38">
        <v>2605803.73</v>
      </c>
      <c r="Q789" s="38">
        <v>0</v>
      </c>
      <c r="R789" s="38">
        <v>0</v>
      </c>
      <c r="S789" s="38">
        <f>P789-Q789-R789</f>
        <v>2605803.73</v>
      </c>
      <c r="T789" s="38">
        <f t="shared" si="152"/>
        <v>3063.128870342071</v>
      </c>
      <c r="U789" s="38">
        <v>4753.8294816033849</v>
      </c>
      <c r="V789" s="458">
        <f t="shared" si="153"/>
        <v>1690.700611261314</v>
      </c>
      <c r="W789" s="458">
        <f t="shared" ref="W789" si="154">X789+Y789+Z789+AA789+AB789+AD789+AF789+AH789+AJ789+AL789+AN789+AO789</f>
        <v>4737.6699894204767</v>
      </c>
      <c r="X789" s="458">
        <v>0</v>
      </c>
      <c r="Y789" s="459">
        <v>0</v>
      </c>
      <c r="Z789" s="459">
        <v>0</v>
      </c>
      <c r="AA789" s="459">
        <v>0</v>
      </c>
      <c r="AB789" s="459">
        <v>0</v>
      </c>
      <c r="AC789" s="459">
        <v>0</v>
      </c>
      <c r="AD789" s="459">
        <v>0</v>
      </c>
      <c r="AE789" s="459">
        <v>646</v>
      </c>
      <c r="AF789" s="458">
        <f>6238.91*AE789/I789</f>
        <v>4737.6699894204767</v>
      </c>
      <c r="AG789" s="459">
        <v>0</v>
      </c>
      <c r="AH789" s="458">
        <v>0</v>
      </c>
      <c r="AI789" s="459">
        <v>0</v>
      </c>
      <c r="AJ789" s="458">
        <v>0</v>
      </c>
      <c r="AK789" s="459">
        <v>0</v>
      </c>
      <c r="AL789" s="459">
        <v>0</v>
      </c>
      <c r="AM789" s="459">
        <v>0</v>
      </c>
      <c r="AN789" s="459"/>
      <c r="AO789" s="459">
        <v>0</v>
      </c>
      <c r="AP789" s="460"/>
      <c r="AQ789" s="460"/>
      <c r="AR789" s="460"/>
      <c r="AS789" s="460"/>
      <c r="AT789" s="460"/>
      <c r="AU789" s="460"/>
      <c r="AV789" s="460"/>
      <c r="AW789" s="460"/>
      <c r="AX789" s="460"/>
      <c r="AY789" s="460"/>
      <c r="AZ789" s="460"/>
      <c r="BA789" s="460"/>
      <c r="BB789" s="460"/>
      <c r="BC789" s="460"/>
      <c r="BD789" s="460"/>
      <c r="BE789" s="460"/>
      <c r="BF789" s="460"/>
      <c r="BG789" s="460"/>
      <c r="BH789" s="460"/>
      <c r="BI789" s="460"/>
      <c r="BJ789" s="460"/>
      <c r="BK789" s="460"/>
      <c r="BL789" s="460"/>
      <c r="BM789" s="460"/>
      <c r="BN789" s="460"/>
      <c r="BO789" s="460"/>
      <c r="BP789" s="460"/>
      <c r="BQ789" s="460"/>
      <c r="BR789" s="460"/>
      <c r="BS789" s="460"/>
      <c r="BT789" s="460"/>
      <c r="BU789" s="460"/>
      <c r="BV789" s="460"/>
      <c r="BW789" s="460"/>
      <c r="BX789" s="460"/>
      <c r="BY789" s="460"/>
      <c r="BZ789" s="460"/>
      <c r="CA789" s="460"/>
      <c r="CB789" s="460"/>
      <c r="CC789" s="460"/>
      <c r="CD789" s="460"/>
      <c r="CE789" s="460"/>
      <c r="CF789" s="460"/>
      <c r="CG789" s="460"/>
      <c r="CH789" s="460"/>
      <c r="CI789" s="460"/>
      <c r="CJ789" s="460"/>
      <c r="CK789" s="460"/>
    </row>
    <row r="790" spans="1:191" s="329" customFormat="1" ht="36" customHeight="1" x14ac:dyDescent="0.25">
      <c r="A790" s="329">
        <v>1</v>
      </c>
      <c r="B790" s="39">
        <f>SUBTOTAL(103,$A$552:A790)</f>
        <v>229</v>
      </c>
      <c r="C790" s="33" t="s">
        <v>1600</v>
      </c>
      <c r="D790" s="330">
        <v>1961</v>
      </c>
      <c r="E790" s="330"/>
      <c r="F790" s="331" t="s">
        <v>48</v>
      </c>
      <c r="G790" s="330">
        <v>2</v>
      </c>
      <c r="H790" s="330" t="s">
        <v>57</v>
      </c>
      <c r="I790" s="334">
        <v>300.8</v>
      </c>
      <c r="J790" s="334">
        <v>279</v>
      </c>
      <c r="K790" s="334">
        <v>279</v>
      </c>
      <c r="L790" s="332">
        <v>17</v>
      </c>
      <c r="M790" s="330" t="s">
        <v>46</v>
      </c>
      <c r="N790" s="330" t="s">
        <v>47</v>
      </c>
      <c r="O790" s="333" t="s">
        <v>49</v>
      </c>
      <c r="P790" s="38">
        <v>402763.69</v>
      </c>
      <c r="Q790" s="38">
        <v>0</v>
      </c>
      <c r="R790" s="38">
        <v>0</v>
      </c>
      <c r="S790" s="38">
        <f>P790-Q790-R790</f>
        <v>402763.69</v>
      </c>
      <c r="T790" s="38">
        <f t="shared" si="152"/>
        <v>1338.9750332446808</v>
      </c>
      <c r="U790" s="38">
        <v>1338.9750332446808</v>
      </c>
      <c r="V790" s="458">
        <f t="shared" si="153"/>
        <v>0</v>
      </c>
      <c r="W790" s="458">
        <f>T790</f>
        <v>1338.9750332446808</v>
      </c>
      <c r="X790" s="458">
        <v>0</v>
      </c>
      <c r="Y790" s="459">
        <v>0</v>
      </c>
      <c r="Z790" s="459">
        <v>0</v>
      </c>
      <c r="AA790" s="459">
        <v>0</v>
      </c>
      <c r="AB790" s="459">
        <v>810.46</v>
      </c>
      <c r="AC790" s="459">
        <v>0</v>
      </c>
      <c r="AD790" s="459">
        <v>0</v>
      </c>
      <c r="AE790" s="459">
        <v>0</v>
      </c>
      <c r="AF790" s="458">
        <v>0</v>
      </c>
      <c r="AG790" s="459">
        <v>0</v>
      </c>
      <c r="AH790" s="458">
        <v>0</v>
      </c>
      <c r="AI790" s="459">
        <v>0</v>
      </c>
      <c r="AJ790" s="458">
        <v>0</v>
      </c>
      <c r="AK790" s="459">
        <v>0</v>
      </c>
      <c r="AL790" s="459">
        <v>0</v>
      </c>
      <c r="AM790" s="459">
        <v>0</v>
      </c>
      <c r="AN790" s="459"/>
      <c r="AO790" s="459">
        <v>0</v>
      </c>
      <c r="AP790" s="460"/>
      <c r="AQ790" s="460"/>
      <c r="AR790" s="460"/>
      <c r="AS790" s="460"/>
      <c r="AT790" s="460"/>
      <c r="AU790" s="460"/>
      <c r="AV790" s="460"/>
      <c r="AW790" s="460"/>
      <c r="AX790" s="460"/>
      <c r="AY790" s="460"/>
      <c r="AZ790" s="460"/>
      <c r="BA790" s="460"/>
      <c r="BB790" s="460"/>
      <c r="BC790" s="460"/>
      <c r="BD790" s="460"/>
      <c r="BE790" s="460"/>
      <c r="BF790" s="460"/>
      <c r="BG790" s="460"/>
      <c r="BH790" s="460"/>
      <c r="BI790" s="460"/>
      <c r="BJ790" s="460"/>
      <c r="BK790" s="460"/>
      <c r="BL790" s="460"/>
      <c r="BM790" s="460"/>
      <c r="BN790" s="460"/>
      <c r="BO790" s="460"/>
      <c r="BP790" s="460"/>
      <c r="BQ790" s="460"/>
      <c r="BR790" s="460"/>
      <c r="BS790" s="460"/>
      <c r="BT790" s="460"/>
      <c r="BU790" s="460"/>
      <c r="BV790" s="460"/>
      <c r="BW790" s="460"/>
      <c r="BX790" s="460"/>
      <c r="BY790" s="460"/>
      <c r="BZ790" s="460"/>
      <c r="CA790" s="460"/>
      <c r="CB790" s="460"/>
      <c r="CC790" s="460"/>
      <c r="CD790" s="460"/>
      <c r="CE790" s="460"/>
      <c r="CF790" s="460"/>
      <c r="CG790" s="460"/>
      <c r="CH790" s="460"/>
      <c r="CI790" s="460"/>
      <c r="CJ790" s="460"/>
      <c r="CK790" s="460"/>
    </row>
    <row r="791" spans="1:191" s="329" customFormat="1" ht="36" customHeight="1" x14ac:dyDescent="0.25">
      <c r="A791" s="329">
        <v>1</v>
      </c>
      <c r="B791" s="39">
        <f>SUBTOTAL(103,$A$552:A791)</f>
        <v>230</v>
      </c>
      <c r="C791" s="33" t="s">
        <v>1272</v>
      </c>
      <c r="D791" s="330">
        <v>1938</v>
      </c>
      <c r="E791" s="330"/>
      <c r="F791" s="331" t="s">
        <v>68</v>
      </c>
      <c r="G791" s="330">
        <v>2</v>
      </c>
      <c r="H791" s="330" t="s">
        <v>57</v>
      </c>
      <c r="I791" s="334">
        <v>244.9</v>
      </c>
      <c r="J791" s="334">
        <v>223.9</v>
      </c>
      <c r="K791" s="334">
        <v>223.9</v>
      </c>
      <c r="L791" s="332">
        <v>15</v>
      </c>
      <c r="M791" s="330" t="s">
        <v>46</v>
      </c>
      <c r="N791" s="330" t="s">
        <v>47</v>
      </c>
      <c r="O791" s="333" t="s">
        <v>49</v>
      </c>
      <c r="P791" s="38">
        <v>110594.57</v>
      </c>
      <c r="Q791" s="38">
        <v>0</v>
      </c>
      <c r="R791" s="38">
        <v>0</v>
      </c>
      <c r="S791" s="38">
        <f>P791-Q791-R791</f>
        <v>110594.57</v>
      </c>
      <c r="T791" s="38">
        <f t="shared" si="152"/>
        <v>451.59073091057576</v>
      </c>
      <c r="U791" s="38">
        <v>810.46</v>
      </c>
      <c r="V791" s="458">
        <f t="shared" si="153"/>
        <v>358.86926908942428</v>
      </c>
      <c r="W791" s="458">
        <f>T791</f>
        <v>451.59073091057576</v>
      </c>
      <c r="X791" s="458">
        <v>0</v>
      </c>
      <c r="Y791" s="459">
        <v>0</v>
      </c>
      <c r="Z791" s="459">
        <v>0</v>
      </c>
      <c r="AA791" s="459">
        <v>0</v>
      </c>
      <c r="AB791" s="459">
        <v>810.46</v>
      </c>
      <c r="AC791" s="459">
        <v>0</v>
      </c>
      <c r="AD791" s="459">
        <v>0</v>
      </c>
      <c r="AE791" s="459">
        <v>0</v>
      </c>
      <c r="AF791" s="458">
        <v>0</v>
      </c>
      <c r="AG791" s="459">
        <v>0</v>
      </c>
      <c r="AH791" s="458">
        <v>0</v>
      </c>
      <c r="AI791" s="459">
        <v>0</v>
      </c>
      <c r="AJ791" s="458">
        <v>0</v>
      </c>
      <c r="AK791" s="459">
        <v>0</v>
      </c>
      <c r="AL791" s="459">
        <v>0</v>
      </c>
      <c r="AM791" s="459">
        <v>0</v>
      </c>
      <c r="AN791" s="459"/>
      <c r="AO791" s="459">
        <v>0</v>
      </c>
      <c r="AP791" s="460"/>
      <c r="AQ791" s="460"/>
      <c r="AR791" s="460"/>
      <c r="AS791" s="460"/>
      <c r="AT791" s="460"/>
      <c r="AU791" s="460"/>
      <c r="AV791" s="460"/>
      <c r="AW791" s="460"/>
      <c r="AX791" s="460"/>
      <c r="AY791" s="460"/>
      <c r="AZ791" s="460"/>
      <c r="BA791" s="460"/>
      <c r="BB791" s="460"/>
      <c r="BC791" s="460"/>
      <c r="BD791" s="460"/>
      <c r="BE791" s="460"/>
      <c r="BF791" s="460"/>
      <c r="BG791" s="460"/>
      <c r="BH791" s="460"/>
      <c r="BI791" s="460"/>
      <c r="BJ791" s="460"/>
      <c r="BK791" s="460"/>
      <c r="BL791" s="460"/>
      <c r="BM791" s="460"/>
      <c r="BN791" s="460"/>
      <c r="BO791" s="460"/>
      <c r="BP791" s="460"/>
      <c r="BQ791" s="460"/>
      <c r="BR791" s="460"/>
      <c r="BS791" s="460"/>
      <c r="BT791" s="460"/>
      <c r="BU791" s="460"/>
      <c r="BV791" s="460"/>
      <c r="BW791" s="460"/>
      <c r="BX791" s="460"/>
      <c r="BY791" s="460"/>
      <c r="BZ791" s="460"/>
      <c r="CA791" s="460"/>
      <c r="CB791" s="460"/>
      <c r="CC791" s="460"/>
      <c r="CD791" s="460"/>
      <c r="CE791" s="460"/>
      <c r="CF791" s="460"/>
      <c r="CG791" s="460"/>
      <c r="CH791" s="460"/>
      <c r="CI791" s="460"/>
      <c r="CJ791" s="460"/>
      <c r="CK791" s="460"/>
    </row>
    <row r="792" spans="1:191" s="329" customFormat="1" ht="36" customHeight="1" x14ac:dyDescent="0.25">
      <c r="B792" s="33" t="s">
        <v>1601</v>
      </c>
      <c r="C792" s="33"/>
      <c r="D792" s="330" t="s">
        <v>131</v>
      </c>
      <c r="E792" s="330" t="s">
        <v>131</v>
      </c>
      <c r="F792" s="330" t="s">
        <v>131</v>
      </c>
      <c r="G792" s="330" t="s">
        <v>131</v>
      </c>
      <c r="H792" s="330" t="s">
        <v>131</v>
      </c>
      <c r="I792" s="334">
        <f>I793</f>
        <v>618.29999999999995</v>
      </c>
      <c r="J792" s="334">
        <f>J793</f>
        <v>561.1</v>
      </c>
      <c r="K792" s="334">
        <f>K793</f>
        <v>561.1</v>
      </c>
      <c r="L792" s="332">
        <f>L793</f>
        <v>24</v>
      </c>
      <c r="M792" s="330" t="s">
        <v>131</v>
      </c>
      <c r="N792" s="330" t="s">
        <v>131</v>
      </c>
      <c r="O792" s="333" t="s">
        <v>131</v>
      </c>
      <c r="P792" s="334">
        <v>3080948</v>
      </c>
      <c r="Q792" s="334">
        <f>Q793</f>
        <v>0</v>
      </c>
      <c r="R792" s="334">
        <f>R793</f>
        <v>0</v>
      </c>
      <c r="S792" s="334">
        <f>S793</f>
        <v>3080948</v>
      </c>
      <c r="T792" s="38">
        <f t="shared" si="152"/>
        <v>4982.9338508814499</v>
      </c>
      <c r="U792" s="38">
        <f>U793</f>
        <v>5264.9180009704032</v>
      </c>
      <c r="V792" s="458">
        <f t="shared" si="153"/>
        <v>281.98415008895336</v>
      </c>
      <c r="W792" s="458"/>
      <c r="X792" s="458"/>
      <c r="Y792" s="459"/>
      <c r="Z792" s="459"/>
      <c r="AA792" s="459"/>
      <c r="AB792" s="459"/>
      <c r="AC792" s="459"/>
      <c r="AD792" s="459"/>
      <c r="AE792" s="459"/>
      <c r="AF792" s="459"/>
      <c r="AG792" s="459"/>
      <c r="AH792" s="459"/>
      <c r="AI792" s="459"/>
      <c r="AJ792" s="459"/>
      <c r="AK792" s="459"/>
      <c r="AL792" s="459"/>
      <c r="AM792" s="459"/>
      <c r="AN792" s="459"/>
      <c r="AO792" s="459"/>
      <c r="AP792" s="460"/>
      <c r="AQ792" s="460"/>
      <c r="AR792" s="460"/>
      <c r="AS792" s="460"/>
      <c r="AT792" s="460"/>
      <c r="AU792" s="460"/>
      <c r="AV792" s="460"/>
      <c r="AW792" s="460"/>
      <c r="AX792" s="460"/>
      <c r="AY792" s="460"/>
      <c r="AZ792" s="460"/>
      <c r="BA792" s="460"/>
      <c r="BB792" s="460"/>
      <c r="BC792" s="460"/>
      <c r="BD792" s="460"/>
      <c r="BE792" s="460"/>
      <c r="BF792" s="460"/>
      <c r="BG792" s="460"/>
      <c r="BH792" s="460"/>
      <c r="BI792" s="460"/>
      <c r="BJ792" s="460"/>
      <c r="BK792" s="460"/>
      <c r="BL792" s="460"/>
      <c r="BM792" s="460"/>
      <c r="BN792" s="460"/>
      <c r="BO792" s="460"/>
      <c r="BP792" s="460"/>
      <c r="BQ792" s="460"/>
      <c r="BR792" s="460"/>
      <c r="BS792" s="460"/>
      <c r="BT792" s="460"/>
      <c r="BU792" s="460"/>
      <c r="BV792" s="460"/>
      <c r="BW792" s="460"/>
      <c r="BX792" s="460"/>
      <c r="BY792" s="460"/>
      <c r="BZ792" s="460"/>
      <c r="CA792" s="460"/>
      <c r="CB792" s="460"/>
      <c r="CC792" s="460"/>
      <c r="CD792" s="460"/>
      <c r="CE792" s="460"/>
      <c r="CF792" s="460"/>
      <c r="CG792" s="460"/>
      <c r="CH792" s="460"/>
      <c r="CI792" s="460"/>
      <c r="CJ792" s="460"/>
      <c r="CK792" s="460"/>
    </row>
    <row r="793" spans="1:191" s="329" customFormat="1" ht="36" customHeight="1" x14ac:dyDescent="0.25">
      <c r="A793" s="329">
        <v>1</v>
      </c>
      <c r="B793" s="39">
        <f>SUBTOTAL(103,$A$552:A793)</f>
        <v>231</v>
      </c>
      <c r="C793" s="33" t="s">
        <v>1602</v>
      </c>
      <c r="D793" s="330">
        <v>1984</v>
      </c>
      <c r="E793" s="330"/>
      <c r="F793" s="331" t="s">
        <v>63</v>
      </c>
      <c r="G793" s="330">
        <v>2</v>
      </c>
      <c r="H793" s="330" t="s">
        <v>56</v>
      </c>
      <c r="I793" s="334">
        <v>618.29999999999995</v>
      </c>
      <c r="J793" s="334">
        <v>561.1</v>
      </c>
      <c r="K793" s="334">
        <v>561.1</v>
      </c>
      <c r="L793" s="332">
        <v>24</v>
      </c>
      <c r="M793" s="330" t="s">
        <v>46</v>
      </c>
      <c r="N793" s="330" t="s">
        <v>47</v>
      </c>
      <c r="O793" s="333" t="s">
        <v>49</v>
      </c>
      <c r="P793" s="38">
        <v>3080948</v>
      </c>
      <c r="Q793" s="38">
        <v>0</v>
      </c>
      <c r="R793" s="38">
        <v>0</v>
      </c>
      <c r="S793" s="38">
        <f>P793-Q793-R793</f>
        <v>3080948</v>
      </c>
      <c r="T793" s="38">
        <f t="shared" si="152"/>
        <v>4982.9338508814499</v>
      </c>
      <c r="U793" s="38">
        <v>5264.9180009704032</v>
      </c>
      <c r="V793" s="458">
        <f>U793-T793</f>
        <v>281.98415008895336</v>
      </c>
      <c r="W793" s="458">
        <f>X793+Y793+Z793+AA793+AB793+AD793+AF793+AH793+AJ793+AL793+AN793+AO793</f>
        <v>5247.0211871259908</v>
      </c>
      <c r="X793" s="458">
        <v>0</v>
      </c>
      <c r="Y793" s="459">
        <v>0</v>
      </c>
      <c r="Z793" s="459">
        <v>0</v>
      </c>
      <c r="AA793" s="459">
        <v>0</v>
      </c>
      <c r="AB793" s="459">
        <v>0</v>
      </c>
      <c r="AC793" s="459">
        <v>0</v>
      </c>
      <c r="AD793" s="459">
        <v>0</v>
      </c>
      <c r="AE793" s="459">
        <v>520</v>
      </c>
      <c r="AF793" s="458">
        <f>6238.91*AE793/I793</f>
        <v>5247.0211871259908</v>
      </c>
      <c r="AG793" s="459">
        <v>0</v>
      </c>
      <c r="AH793" s="458">
        <v>0</v>
      </c>
      <c r="AI793" s="459">
        <v>0</v>
      </c>
      <c r="AJ793" s="458">
        <v>0</v>
      </c>
      <c r="AK793" s="459">
        <v>0</v>
      </c>
      <c r="AL793" s="459">
        <v>0</v>
      </c>
      <c r="AM793" s="459">
        <v>0</v>
      </c>
      <c r="AN793" s="459"/>
      <c r="AO793" s="459">
        <v>0</v>
      </c>
      <c r="AP793" s="460"/>
      <c r="AQ793" s="460"/>
      <c r="AR793" s="460"/>
      <c r="AS793" s="460"/>
      <c r="AT793" s="460"/>
      <c r="AU793" s="460"/>
      <c r="AV793" s="460"/>
      <c r="AW793" s="460"/>
      <c r="AX793" s="460"/>
      <c r="AY793" s="460"/>
      <c r="AZ793" s="460"/>
      <c r="BA793" s="460"/>
      <c r="BB793" s="460"/>
      <c r="BC793" s="460"/>
      <c r="BD793" s="460"/>
      <c r="BE793" s="460"/>
      <c r="BF793" s="460"/>
      <c r="BG793" s="460"/>
      <c r="BH793" s="460"/>
      <c r="BI793" s="460"/>
      <c r="BJ793" s="460"/>
      <c r="BK793" s="460"/>
      <c r="BL793" s="460"/>
      <c r="BM793" s="460"/>
      <c r="BN793" s="460"/>
      <c r="BO793" s="460"/>
      <c r="BP793" s="460"/>
      <c r="BQ793" s="460"/>
      <c r="BR793" s="460"/>
      <c r="BS793" s="460"/>
      <c r="BT793" s="460"/>
      <c r="BU793" s="460"/>
      <c r="BV793" s="460"/>
      <c r="BW793" s="460"/>
      <c r="BX793" s="460"/>
      <c r="BY793" s="460"/>
      <c r="BZ793" s="460"/>
      <c r="CA793" s="460"/>
      <c r="CB793" s="460"/>
      <c r="CC793" s="460"/>
      <c r="CD793" s="460"/>
      <c r="CE793" s="460"/>
      <c r="CF793" s="460"/>
      <c r="CG793" s="460"/>
      <c r="CH793" s="460"/>
      <c r="CI793" s="460"/>
      <c r="CJ793" s="460"/>
      <c r="CK793" s="460"/>
    </row>
    <row r="794" spans="1:191" s="329" customFormat="1" ht="36" customHeight="1" x14ac:dyDescent="0.25">
      <c r="B794" s="33" t="s">
        <v>99</v>
      </c>
      <c r="C794" s="33"/>
      <c r="D794" s="330" t="s">
        <v>131</v>
      </c>
      <c r="E794" s="330" t="s">
        <v>131</v>
      </c>
      <c r="F794" s="330" t="s">
        <v>131</v>
      </c>
      <c r="G794" s="330" t="s">
        <v>131</v>
      </c>
      <c r="H794" s="330" t="s">
        <v>131</v>
      </c>
      <c r="I794" s="334">
        <f>I795</f>
        <v>4097</v>
      </c>
      <c r="J794" s="334">
        <f>J795</f>
        <v>3097</v>
      </c>
      <c r="K794" s="334">
        <f>K795</f>
        <v>3097</v>
      </c>
      <c r="L794" s="332">
        <f>L795</f>
        <v>158</v>
      </c>
      <c r="M794" s="330" t="s">
        <v>131</v>
      </c>
      <c r="N794" s="330" t="s">
        <v>131</v>
      </c>
      <c r="O794" s="333" t="s">
        <v>131</v>
      </c>
      <c r="P794" s="334">
        <v>2008998.15</v>
      </c>
      <c r="Q794" s="334">
        <f>Q795</f>
        <v>0</v>
      </c>
      <c r="R794" s="334">
        <f>R795</f>
        <v>0</v>
      </c>
      <c r="S794" s="334">
        <f>S795</f>
        <v>2008998.15</v>
      </c>
      <c r="T794" s="38">
        <f t="shared" si="152"/>
        <v>490.35834757139367</v>
      </c>
      <c r="U794" s="38">
        <f>U795</f>
        <v>1240.730846961191</v>
      </c>
      <c r="V794" s="458">
        <f t="shared" si="153"/>
        <v>750.37249938979733</v>
      </c>
      <c r="W794" s="458"/>
      <c r="X794" s="458"/>
      <c r="Y794" s="459"/>
      <c r="Z794" s="459"/>
      <c r="AA794" s="459"/>
      <c r="AB794" s="459"/>
      <c r="AC794" s="459"/>
      <c r="AD794" s="459"/>
      <c r="AE794" s="459"/>
      <c r="AF794" s="459"/>
      <c r="AG794" s="459"/>
      <c r="AH794" s="459"/>
      <c r="AI794" s="459"/>
      <c r="AJ794" s="459"/>
      <c r="AK794" s="459"/>
      <c r="AL794" s="459"/>
      <c r="AM794" s="459"/>
      <c r="AN794" s="459"/>
      <c r="AO794" s="459"/>
      <c r="AP794" s="460"/>
      <c r="AQ794" s="460"/>
      <c r="AR794" s="460"/>
      <c r="AS794" s="460"/>
      <c r="AT794" s="460"/>
      <c r="AU794" s="460"/>
      <c r="AV794" s="460"/>
      <c r="AW794" s="460"/>
      <c r="AX794" s="460"/>
      <c r="AY794" s="460"/>
      <c r="AZ794" s="460"/>
      <c r="BA794" s="460"/>
      <c r="BB794" s="460"/>
      <c r="BC794" s="460"/>
      <c r="BD794" s="460"/>
      <c r="BE794" s="460"/>
      <c r="BF794" s="460"/>
      <c r="BG794" s="460"/>
      <c r="BH794" s="460"/>
      <c r="BI794" s="460"/>
      <c r="BJ794" s="460"/>
      <c r="BK794" s="460"/>
      <c r="BL794" s="460"/>
      <c r="BM794" s="460"/>
      <c r="BN794" s="460"/>
      <c r="BO794" s="460"/>
      <c r="BP794" s="460"/>
      <c r="BQ794" s="460"/>
      <c r="BR794" s="460"/>
      <c r="BS794" s="460"/>
      <c r="BT794" s="460"/>
      <c r="BU794" s="460"/>
      <c r="BV794" s="460"/>
      <c r="BW794" s="460"/>
      <c r="BX794" s="460"/>
      <c r="BY794" s="460"/>
      <c r="BZ794" s="460"/>
      <c r="CA794" s="460"/>
      <c r="CB794" s="460"/>
      <c r="CC794" s="460"/>
      <c r="CD794" s="460"/>
      <c r="CE794" s="460"/>
      <c r="CF794" s="460"/>
      <c r="CG794" s="460"/>
      <c r="CH794" s="460"/>
      <c r="CI794" s="460"/>
      <c r="CJ794" s="460"/>
      <c r="CK794" s="460"/>
    </row>
    <row r="795" spans="1:191" s="266" customFormat="1" ht="36" customHeight="1" x14ac:dyDescent="0.25">
      <c r="A795" s="329">
        <v>1</v>
      </c>
      <c r="B795" s="39">
        <f>SUBTOTAL(103,$A$552:A795)</f>
        <v>232</v>
      </c>
      <c r="C795" s="336" t="s">
        <v>1603</v>
      </c>
      <c r="D795" s="330">
        <v>1979</v>
      </c>
      <c r="E795" s="330"/>
      <c r="F795" s="337" t="s">
        <v>2150</v>
      </c>
      <c r="G795" s="330">
        <v>5</v>
      </c>
      <c r="H795" s="330" t="s">
        <v>59</v>
      </c>
      <c r="I795" s="334">
        <v>4097</v>
      </c>
      <c r="J795" s="334">
        <v>3097</v>
      </c>
      <c r="K795" s="334">
        <v>3097</v>
      </c>
      <c r="L795" s="338">
        <v>158</v>
      </c>
      <c r="M795" s="330" t="s">
        <v>46</v>
      </c>
      <c r="N795" s="330" t="s">
        <v>50</v>
      </c>
      <c r="O795" s="330" t="s">
        <v>2151</v>
      </c>
      <c r="P795" s="334">
        <v>2008998.15</v>
      </c>
      <c r="Q795" s="334">
        <v>0</v>
      </c>
      <c r="R795" s="334">
        <v>0</v>
      </c>
      <c r="S795" s="334">
        <f>P795-Q795-R795</f>
        <v>2008998.15</v>
      </c>
      <c r="T795" s="38">
        <f t="shared" si="152"/>
        <v>490.35834757139367</v>
      </c>
      <c r="U795" s="38">
        <v>1240.730846961191</v>
      </c>
      <c r="V795" s="458">
        <f>U795-T795</f>
        <v>750.37249938979733</v>
      </c>
      <c r="W795" s="458">
        <f>X795+Y795+Z795+AA795+AB795+AD795+AF795+AH795+AJ795+AL795+AN795+AO795</f>
        <v>1236.5132828899195</v>
      </c>
      <c r="X795" s="458">
        <v>0</v>
      </c>
      <c r="Y795" s="459">
        <v>0</v>
      </c>
      <c r="Z795" s="459">
        <v>0</v>
      </c>
      <c r="AA795" s="459">
        <v>0</v>
      </c>
      <c r="AB795" s="459">
        <v>0</v>
      </c>
      <c r="AC795" s="459">
        <v>0</v>
      </c>
      <c r="AD795" s="459">
        <v>0</v>
      </c>
      <c r="AE795" s="459">
        <v>812</v>
      </c>
      <c r="AF795" s="458">
        <f>6238.91*AE795/I795</f>
        <v>1236.5132828899195</v>
      </c>
      <c r="AG795" s="459">
        <v>0</v>
      </c>
      <c r="AH795" s="458">
        <v>0</v>
      </c>
      <c r="AI795" s="459">
        <v>0</v>
      </c>
      <c r="AJ795" s="458">
        <v>0</v>
      </c>
      <c r="AK795" s="459">
        <v>0</v>
      </c>
      <c r="AL795" s="459">
        <v>0</v>
      </c>
      <c r="AM795" s="459">
        <v>0</v>
      </c>
      <c r="AN795" s="459"/>
      <c r="AO795" s="459">
        <v>0</v>
      </c>
      <c r="AP795" s="460"/>
      <c r="AQ795" s="250"/>
      <c r="AR795" s="250"/>
      <c r="AS795" s="250"/>
      <c r="AT795" s="250"/>
      <c r="AU795" s="250"/>
      <c r="AV795" s="250"/>
      <c r="AW795" s="250"/>
      <c r="AX795" s="250"/>
      <c r="AY795" s="250"/>
      <c r="AZ795" s="250"/>
      <c r="BA795" s="250"/>
      <c r="BB795" s="250"/>
      <c r="BC795" s="250"/>
      <c r="BD795" s="250"/>
      <c r="BE795" s="250"/>
      <c r="BF795" s="250"/>
      <c r="BG795" s="250"/>
      <c r="BH795" s="250"/>
      <c r="BI795" s="250"/>
      <c r="BJ795" s="250"/>
      <c r="BK795" s="250"/>
      <c r="BL795" s="250"/>
      <c r="BM795" s="250"/>
      <c r="BN795" s="250"/>
      <c r="BO795" s="250"/>
      <c r="BP795" s="250"/>
      <c r="BQ795" s="250"/>
      <c r="BR795" s="250"/>
      <c r="BS795" s="250"/>
      <c r="BT795" s="250"/>
      <c r="BU795" s="250"/>
      <c r="BV795" s="250"/>
      <c r="BW795" s="250"/>
      <c r="BX795" s="250"/>
      <c r="BY795" s="250"/>
      <c r="BZ795" s="250"/>
      <c r="CA795" s="250"/>
      <c r="CB795" s="250"/>
      <c r="CC795" s="250"/>
      <c r="CD795" s="250"/>
      <c r="CE795" s="250"/>
      <c r="CF795" s="250"/>
      <c r="CG795" s="250"/>
      <c r="CH795" s="250"/>
      <c r="CI795" s="250"/>
      <c r="CJ795" s="250"/>
      <c r="CK795" s="250"/>
      <c r="DQ795" s="339"/>
      <c r="DR795" s="339"/>
      <c r="DS795" s="339"/>
      <c r="EP795" s="340"/>
      <c r="FS795" s="341"/>
      <c r="GI795" s="342"/>
    </row>
    <row r="796" spans="1:191" s="329" customFormat="1" ht="36" customHeight="1" x14ac:dyDescent="0.25">
      <c r="B796" s="33" t="s">
        <v>100</v>
      </c>
      <c r="C796" s="33"/>
      <c r="D796" s="330" t="s">
        <v>131</v>
      </c>
      <c r="E796" s="330" t="s">
        <v>131</v>
      </c>
      <c r="F796" s="330" t="s">
        <v>131</v>
      </c>
      <c r="G796" s="330" t="s">
        <v>131</v>
      </c>
      <c r="H796" s="330" t="s">
        <v>131</v>
      </c>
      <c r="I796" s="334">
        <f>SUM(I797:I810)</f>
        <v>21313.599999999999</v>
      </c>
      <c r="J796" s="334">
        <f>SUM(J797:J810)</f>
        <v>19650.099999999995</v>
      </c>
      <c r="K796" s="334">
        <f>SUM(K797:K810)</f>
        <v>19342</v>
      </c>
      <c r="L796" s="332">
        <f>SUM(L797:L810)</f>
        <v>1017</v>
      </c>
      <c r="M796" s="330" t="s">
        <v>131</v>
      </c>
      <c r="N796" s="330" t="s">
        <v>131</v>
      </c>
      <c r="O796" s="333" t="s">
        <v>131</v>
      </c>
      <c r="P796" s="334">
        <v>48634728.759999998</v>
      </c>
      <c r="Q796" s="334">
        <f>SUM(Q797:Q810)</f>
        <v>0</v>
      </c>
      <c r="R796" s="334">
        <f>SUM(R797:R810)</f>
        <v>0</v>
      </c>
      <c r="S796" s="334">
        <f>SUM(S797:S810)</f>
        <v>48634728.759999998</v>
      </c>
      <c r="T796" s="38">
        <f t="shared" si="152"/>
        <v>2281.8636344869005</v>
      </c>
      <c r="U796" s="38">
        <f>MAX(U797:U810)</f>
        <v>18806.533031088082</v>
      </c>
      <c r="V796" s="458">
        <f t="shared" si="153"/>
        <v>16524.669396601181</v>
      </c>
      <c r="W796" s="458"/>
      <c r="X796" s="458"/>
      <c r="Y796" s="459"/>
      <c r="Z796" s="459"/>
      <c r="AA796" s="459"/>
      <c r="AB796" s="459"/>
      <c r="AC796" s="459"/>
      <c r="AD796" s="459"/>
      <c r="AE796" s="459"/>
      <c r="AF796" s="459"/>
      <c r="AG796" s="459"/>
      <c r="AH796" s="459"/>
      <c r="AI796" s="459"/>
      <c r="AJ796" s="459"/>
      <c r="AK796" s="459"/>
      <c r="AL796" s="459"/>
      <c r="AM796" s="459"/>
      <c r="AN796" s="459"/>
      <c r="AO796" s="459"/>
      <c r="AP796" s="460"/>
      <c r="AQ796" s="460"/>
      <c r="AR796" s="460"/>
      <c r="AS796" s="460"/>
      <c r="AT796" s="460"/>
      <c r="AU796" s="460"/>
      <c r="AV796" s="460"/>
      <c r="AW796" s="460"/>
      <c r="AX796" s="460"/>
      <c r="AY796" s="460"/>
      <c r="AZ796" s="460"/>
      <c r="BA796" s="460"/>
      <c r="BB796" s="460"/>
      <c r="BC796" s="460"/>
      <c r="BD796" s="460"/>
      <c r="BE796" s="460"/>
      <c r="BF796" s="460"/>
      <c r="BG796" s="460"/>
      <c r="BH796" s="460"/>
      <c r="BI796" s="460"/>
      <c r="BJ796" s="460"/>
      <c r="BK796" s="460"/>
      <c r="BL796" s="460"/>
      <c r="BM796" s="460"/>
      <c r="BN796" s="460"/>
      <c r="BO796" s="460"/>
      <c r="BP796" s="460"/>
      <c r="BQ796" s="460"/>
      <c r="BR796" s="460"/>
      <c r="BS796" s="460"/>
      <c r="BT796" s="460"/>
      <c r="BU796" s="460"/>
      <c r="BV796" s="460"/>
      <c r="BW796" s="460"/>
      <c r="BX796" s="460"/>
      <c r="BY796" s="460"/>
      <c r="BZ796" s="460"/>
      <c r="CA796" s="460"/>
      <c r="CB796" s="460"/>
      <c r="CC796" s="460"/>
      <c r="CD796" s="460"/>
      <c r="CE796" s="460"/>
      <c r="CF796" s="460"/>
      <c r="CG796" s="460"/>
      <c r="CH796" s="460"/>
      <c r="CI796" s="460"/>
      <c r="CJ796" s="460"/>
      <c r="CK796" s="460"/>
    </row>
    <row r="797" spans="1:191" s="329" customFormat="1" ht="36" customHeight="1" x14ac:dyDescent="0.25">
      <c r="A797" s="329">
        <v>1</v>
      </c>
      <c r="B797" s="39">
        <f>SUBTOTAL(103,$A$552:A797)</f>
        <v>233</v>
      </c>
      <c r="C797" s="33" t="s">
        <v>945</v>
      </c>
      <c r="D797" s="330">
        <v>1993</v>
      </c>
      <c r="E797" s="330"/>
      <c r="F797" s="331" t="s">
        <v>60</v>
      </c>
      <c r="G797" s="330">
        <v>5</v>
      </c>
      <c r="H797" s="330" t="s">
        <v>61</v>
      </c>
      <c r="I797" s="334">
        <v>3247.3</v>
      </c>
      <c r="J797" s="334">
        <v>3247.3</v>
      </c>
      <c r="K797" s="334">
        <v>3247.3</v>
      </c>
      <c r="L797" s="332">
        <v>133</v>
      </c>
      <c r="M797" s="330" t="s">
        <v>46</v>
      </c>
      <c r="N797" s="330" t="s">
        <v>71</v>
      </c>
      <c r="O797" s="333" t="s">
        <v>2152</v>
      </c>
      <c r="P797" s="38">
        <v>2492137.06</v>
      </c>
      <c r="Q797" s="38">
        <v>0</v>
      </c>
      <c r="R797" s="38">
        <v>0</v>
      </c>
      <c r="S797" s="38">
        <f t="shared" ref="S797:S810" si="155">P797-Q797-R797</f>
        <v>2492137.06</v>
      </c>
      <c r="T797" s="38">
        <f t="shared" si="152"/>
        <v>767.44897607242933</v>
      </c>
      <c r="U797" s="38">
        <v>6342.237658978228</v>
      </c>
      <c r="V797" s="458">
        <f t="shared" si="153"/>
        <v>5574.7886829057989</v>
      </c>
      <c r="W797" s="458">
        <f t="shared" ref="W797:W810" si="156">X797+Y797+Z797+AA797+AB797+AD797+AF797+AH797+AJ797+AL797+AN797+AO797</f>
        <v>6652.1497197671906</v>
      </c>
      <c r="X797" s="458">
        <v>0</v>
      </c>
      <c r="Y797" s="459">
        <v>0</v>
      </c>
      <c r="Z797" s="459">
        <v>0</v>
      </c>
      <c r="AA797" s="459">
        <v>0</v>
      </c>
      <c r="AB797" s="459">
        <v>0</v>
      </c>
      <c r="AC797" s="459">
        <v>0</v>
      </c>
      <c r="AD797" s="459">
        <v>0</v>
      </c>
      <c r="AE797" s="459">
        <v>0</v>
      </c>
      <c r="AF797" s="458">
        <v>0</v>
      </c>
      <c r="AG797" s="459">
        <v>0</v>
      </c>
      <c r="AH797" s="458">
        <v>0</v>
      </c>
      <c r="AI797" s="459">
        <v>2768.5</v>
      </c>
      <c r="AJ797" s="458">
        <f>7802.61*AI797/I797</f>
        <v>6652.1497197671906</v>
      </c>
      <c r="AK797" s="459">
        <v>0</v>
      </c>
      <c r="AL797" s="459">
        <v>0</v>
      </c>
      <c r="AM797" s="459">
        <v>0</v>
      </c>
      <c r="AN797" s="459"/>
      <c r="AO797" s="459">
        <v>0</v>
      </c>
      <c r="AP797" s="460"/>
      <c r="AQ797" s="460"/>
      <c r="AR797" s="460"/>
      <c r="AS797" s="460"/>
      <c r="AT797" s="460"/>
      <c r="AU797" s="460"/>
      <c r="AV797" s="460"/>
      <c r="AW797" s="460"/>
      <c r="AX797" s="460"/>
      <c r="AY797" s="460"/>
      <c r="AZ797" s="460"/>
      <c r="BA797" s="460"/>
      <c r="BB797" s="460"/>
      <c r="BC797" s="460"/>
      <c r="BD797" s="460"/>
      <c r="BE797" s="460"/>
      <c r="BF797" s="460"/>
      <c r="BG797" s="460"/>
      <c r="BH797" s="460"/>
      <c r="BI797" s="460"/>
      <c r="BJ797" s="460"/>
      <c r="BK797" s="460"/>
      <c r="BL797" s="460"/>
      <c r="BM797" s="460"/>
      <c r="BN797" s="460"/>
      <c r="BO797" s="460"/>
      <c r="BP797" s="460"/>
      <c r="BQ797" s="460"/>
      <c r="BR797" s="460"/>
      <c r="BS797" s="460"/>
      <c r="BT797" s="460"/>
      <c r="BU797" s="460"/>
      <c r="BV797" s="460"/>
      <c r="BW797" s="460"/>
      <c r="BX797" s="460"/>
      <c r="BY797" s="460"/>
      <c r="BZ797" s="460"/>
      <c r="CA797" s="460"/>
      <c r="CB797" s="460"/>
      <c r="CC797" s="460"/>
      <c r="CD797" s="460"/>
      <c r="CE797" s="460"/>
      <c r="CF797" s="460"/>
      <c r="CG797" s="460"/>
      <c r="CH797" s="460"/>
      <c r="CI797" s="460"/>
      <c r="CJ797" s="460"/>
      <c r="CK797" s="460"/>
    </row>
    <row r="798" spans="1:191" s="329" customFormat="1" ht="36" customHeight="1" x14ac:dyDescent="0.25">
      <c r="A798" s="329">
        <v>1</v>
      </c>
      <c r="B798" s="39">
        <f>SUBTOTAL(103,$A$552:A798)</f>
        <v>234</v>
      </c>
      <c r="C798" s="33" t="s">
        <v>1604</v>
      </c>
      <c r="D798" s="330">
        <v>1972</v>
      </c>
      <c r="E798" s="330"/>
      <c r="F798" s="331" t="s">
        <v>48</v>
      </c>
      <c r="G798" s="330">
        <v>5</v>
      </c>
      <c r="H798" s="330" t="s">
        <v>1969</v>
      </c>
      <c r="I798" s="334">
        <v>4860.8999999999996</v>
      </c>
      <c r="J798" s="334">
        <v>4466.5</v>
      </c>
      <c r="K798" s="334">
        <v>4344.3</v>
      </c>
      <c r="L798" s="332">
        <v>257</v>
      </c>
      <c r="M798" s="330" t="s">
        <v>46</v>
      </c>
      <c r="N798" s="330" t="s">
        <v>50</v>
      </c>
      <c r="O798" s="333" t="s">
        <v>2153</v>
      </c>
      <c r="P798" s="38">
        <v>5311274.96</v>
      </c>
      <c r="Q798" s="38">
        <v>0</v>
      </c>
      <c r="R798" s="38">
        <v>0</v>
      </c>
      <c r="S798" s="38">
        <f t="shared" si="155"/>
        <v>5311274.96</v>
      </c>
      <c r="T798" s="38">
        <f t="shared" si="152"/>
        <v>1092.6525869694913</v>
      </c>
      <c r="U798" s="38">
        <v>1703.8473060544343</v>
      </c>
      <c r="V798" s="458">
        <f t="shared" si="153"/>
        <v>611.19471908494302</v>
      </c>
      <c r="W798" s="458">
        <f t="shared" si="156"/>
        <v>1698.0554897241252</v>
      </c>
      <c r="X798" s="458">
        <v>0</v>
      </c>
      <c r="Y798" s="459">
        <v>0</v>
      </c>
      <c r="Z798" s="459">
        <v>0</v>
      </c>
      <c r="AA798" s="459">
        <v>0</v>
      </c>
      <c r="AB798" s="459">
        <v>0</v>
      </c>
      <c r="AC798" s="459">
        <v>0</v>
      </c>
      <c r="AD798" s="459">
        <v>0</v>
      </c>
      <c r="AE798" s="459">
        <v>1323</v>
      </c>
      <c r="AF798" s="458">
        <f t="shared" ref="AF798:AF810" si="157">6238.91*AE798/I798</f>
        <v>1698.0554897241252</v>
      </c>
      <c r="AG798" s="459">
        <v>0</v>
      </c>
      <c r="AH798" s="458">
        <v>0</v>
      </c>
      <c r="AI798" s="459">
        <v>0</v>
      </c>
      <c r="AJ798" s="458">
        <v>0</v>
      </c>
      <c r="AK798" s="459">
        <v>0</v>
      </c>
      <c r="AL798" s="459">
        <v>0</v>
      </c>
      <c r="AM798" s="459">
        <v>0</v>
      </c>
      <c r="AN798" s="459"/>
      <c r="AO798" s="459">
        <v>0</v>
      </c>
      <c r="AP798" s="460"/>
      <c r="AQ798" s="460"/>
      <c r="AR798" s="460"/>
      <c r="AS798" s="460"/>
      <c r="AT798" s="460"/>
      <c r="AU798" s="460"/>
      <c r="AV798" s="460"/>
      <c r="AW798" s="460"/>
      <c r="AX798" s="460"/>
      <c r="AY798" s="460"/>
      <c r="AZ798" s="460"/>
      <c r="BA798" s="460"/>
      <c r="BB798" s="460"/>
      <c r="BC798" s="460"/>
      <c r="BD798" s="460"/>
      <c r="BE798" s="460"/>
      <c r="BF798" s="460"/>
      <c r="BG798" s="460"/>
      <c r="BH798" s="460"/>
      <c r="BI798" s="460"/>
      <c r="BJ798" s="460"/>
      <c r="BK798" s="460"/>
      <c r="BL798" s="460"/>
      <c r="BM798" s="460"/>
      <c r="BN798" s="460"/>
      <c r="BO798" s="460"/>
      <c r="BP798" s="460"/>
      <c r="BQ798" s="460"/>
      <c r="BR798" s="460"/>
      <c r="BS798" s="460"/>
      <c r="BT798" s="460"/>
      <c r="BU798" s="460"/>
      <c r="BV798" s="460"/>
      <c r="BW798" s="460"/>
      <c r="BX798" s="460"/>
      <c r="BY798" s="460"/>
      <c r="BZ798" s="460"/>
      <c r="CA798" s="460"/>
      <c r="CB798" s="460"/>
      <c r="CC798" s="460"/>
      <c r="CD798" s="460"/>
      <c r="CE798" s="460"/>
      <c r="CF798" s="460"/>
      <c r="CG798" s="460"/>
      <c r="CH798" s="460"/>
      <c r="CI798" s="460"/>
      <c r="CJ798" s="460"/>
      <c r="CK798" s="460"/>
    </row>
    <row r="799" spans="1:191" s="329" customFormat="1" ht="36" customHeight="1" x14ac:dyDescent="0.25">
      <c r="A799" s="329">
        <v>1</v>
      </c>
      <c r="B799" s="39">
        <f>SUBTOTAL(103,$A$552:A799)</f>
        <v>235</v>
      </c>
      <c r="C799" s="33" t="s">
        <v>1605</v>
      </c>
      <c r="D799" s="330">
        <v>1981</v>
      </c>
      <c r="E799" s="330"/>
      <c r="F799" s="331" t="s">
        <v>48</v>
      </c>
      <c r="G799" s="330">
        <v>2</v>
      </c>
      <c r="H799" s="330">
        <v>3</v>
      </c>
      <c r="I799" s="334">
        <v>843.1</v>
      </c>
      <c r="J799" s="334">
        <v>843.1</v>
      </c>
      <c r="K799" s="334">
        <v>843.1</v>
      </c>
      <c r="L799" s="332">
        <v>47</v>
      </c>
      <c r="M799" s="330" t="s">
        <v>46</v>
      </c>
      <c r="N799" s="330" t="s">
        <v>47</v>
      </c>
      <c r="O799" s="333" t="s">
        <v>49</v>
      </c>
      <c r="P799" s="38">
        <v>4042067.3</v>
      </c>
      <c r="Q799" s="38">
        <v>0</v>
      </c>
      <c r="R799" s="38">
        <v>0</v>
      </c>
      <c r="S799" s="38">
        <f t="shared" si="155"/>
        <v>4042067.3</v>
      </c>
      <c r="T799" s="38">
        <f t="shared" si="152"/>
        <v>4794.2916617245874</v>
      </c>
      <c r="U799" s="38">
        <v>6355.9751393666229</v>
      </c>
      <c r="V799" s="458">
        <f t="shared" si="153"/>
        <v>1561.6834776420355</v>
      </c>
      <c r="W799" s="458">
        <f t="shared" si="156"/>
        <v>6334.3695409797174</v>
      </c>
      <c r="X799" s="458">
        <v>0</v>
      </c>
      <c r="Y799" s="459">
        <v>0</v>
      </c>
      <c r="Z799" s="459">
        <v>0</v>
      </c>
      <c r="AA799" s="459">
        <v>0</v>
      </c>
      <c r="AB799" s="459">
        <v>0</v>
      </c>
      <c r="AC799" s="459">
        <v>0</v>
      </c>
      <c r="AD799" s="459">
        <v>0</v>
      </c>
      <c r="AE799" s="459">
        <v>856</v>
      </c>
      <c r="AF799" s="458">
        <f t="shared" si="157"/>
        <v>6334.3695409797174</v>
      </c>
      <c r="AG799" s="459">
        <v>0</v>
      </c>
      <c r="AH799" s="458">
        <v>0</v>
      </c>
      <c r="AI799" s="459">
        <v>0</v>
      </c>
      <c r="AJ799" s="458">
        <v>0</v>
      </c>
      <c r="AK799" s="459">
        <v>0</v>
      </c>
      <c r="AL799" s="459">
        <v>0</v>
      </c>
      <c r="AM799" s="459">
        <v>0</v>
      </c>
      <c r="AN799" s="459"/>
      <c r="AO799" s="459">
        <v>0</v>
      </c>
      <c r="AP799" s="460"/>
      <c r="AQ799" s="460"/>
      <c r="AR799" s="460"/>
      <c r="AS799" s="460"/>
      <c r="AT799" s="460"/>
      <c r="AU799" s="460"/>
      <c r="AV799" s="460"/>
      <c r="AW799" s="460"/>
      <c r="AX799" s="460"/>
      <c r="AY799" s="460"/>
      <c r="AZ799" s="460"/>
      <c r="BA799" s="460"/>
      <c r="BB799" s="460"/>
      <c r="BC799" s="460"/>
      <c r="BD799" s="460"/>
      <c r="BE799" s="460"/>
      <c r="BF799" s="460"/>
      <c r="BG799" s="460"/>
      <c r="BH799" s="460"/>
      <c r="BI799" s="460"/>
      <c r="BJ799" s="460"/>
      <c r="BK799" s="460"/>
      <c r="BL799" s="460"/>
      <c r="BM799" s="460"/>
      <c r="BN799" s="460"/>
      <c r="BO799" s="460"/>
      <c r="BP799" s="460"/>
      <c r="BQ799" s="460"/>
      <c r="BR799" s="460"/>
      <c r="BS799" s="460"/>
      <c r="BT799" s="460"/>
      <c r="BU799" s="460"/>
      <c r="BV799" s="460"/>
      <c r="BW799" s="460"/>
      <c r="BX799" s="460"/>
      <c r="BY799" s="460"/>
      <c r="BZ799" s="460"/>
      <c r="CA799" s="460"/>
      <c r="CB799" s="460"/>
      <c r="CC799" s="460"/>
      <c r="CD799" s="460"/>
      <c r="CE799" s="460"/>
      <c r="CF799" s="460"/>
      <c r="CG799" s="460"/>
      <c r="CH799" s="460"/>
      <c r="CI799" s="460"/>
      <c r="CJ799" s="460"/>
      <c r="CK799" s="460"/>
    </row>
    <row r="800" spans="1:191" s="329" customFormat="1" ht="36" customHeight="1" x14ac:dyDescent="0.25">
      <c r="A800" s="329">
        <v>1</v>
      </c>
      <c r="B800" s="39">
        <f>SUBTOTAL(103,$A$552:A800)</f>
        <v>236</v>
      </c>
      <c r="C800" s="33" t="s">
        <v>1606</v>
      </c>
      <c r="D800" s="330">
        <v>1940</v>
      </c>
      <c r="E800" s="330"/>
      <c r="F800" s="331" t="s">
        <v>48</v>
      </c>
      <c r="G800" s="330" t="s">
        <v>59</v>
      </c>
      <c r="H800" s="330">
        <v>3</v>
      </c>
      <c r="I800" s="334">
        <v>2521.1999999999998</v>
      </c>
      <c r="J800" s="334">
        <v>2421.1999999999998</v>
      </c>
      <c r="K800" s="334">
        <v>2421.1999999999998</v>
      </c>
      <c r="L800" s="332">
        <v>94</v>
      </c>
      <c r="M800" s="330" t="s">
        <v>46</v>
      </c>
      <c r="N800" s="330" t="s">
        <v>71</v>
      </c>
      <c r="O800" s="333" t="s">
        <v>2154</v>
      </c>
      <c r="P800" s="38">
        <v>4517254.16</v>
      </c>
      <c r="Q800" s="38">
        <v>0</v>
      </c>
      <c r="R800" s="38">
        <v>0</v>
      </c>
      <c r="S800" s="38">
        <f t="shared" si="155"/>
        <v>4517254.16</v>
      </c>
      <c r="T800" s="38">
        <f t="shared" si="152"/>
        <v>1791.7079803268286</v>
      </c>
      <c r="U800" s="38">
        <v>3069.0127082341742</v>
      </c>
      <c r="V800" s="458">
        <f t="shared" si="153"/>
        <v>1277.3047279073455</v>
      </c>
      <c r="W800" s="458">
        <f t="shared" si="156"/>
        <v>3058.5803426939556</v>
      </c>
      <c r="X800" s="458">
        <v>0</v>
      </c>
      <c r="Y800" s="459">
        <v>0</v>
      </c>
      <c r="Z800" s="459">
        <v>0</v>
      </c>
      <c r="AA800" s="459">
        <v>0</v>
      </c>
      <c r="AB800" s="459">
        <v>0</v>
      </c>
      <c r="AC800" s="459">
        <v>0</v>
      </c>
      <c r="AD800" s="459">
        <v>0</v>
      </c>
      <c r="AE800" s="459">
        <v>1236</v>
      </c>
      <c r="AF800" s="458">
        <f t="shared" si="157"/>
        <v>3058.5803426939556</v>
      </c>
      <c r="AG800" s="459">
        <v>0</v>
      </c>
      <c r="AH800" s="458">
        <v>0</v>
      </c>
      <c r="AI800" s="459">
        <v>0</v>
      </c>
      <c r="AJ800" s="458">
        <v>0</v>
      </c>
      <c r="AK800" s="459">
        <v>0</v>
      </c>
      <c r="AL800" s="459">
        <v>0</v>
      </c>
      <c r="AM800" s="459">
        <v>0</v>
      </c>
      <c r="AN800" s="459"/>
      <c r="AO800" s="459">
        <v>0</v>
      </c>
      <c r="AP800" s="460"/>
      <c r="AQ800" s="460"/>
      <c r="AR800" s="460"/>
      <c r="AS800" s="460"/>
      <c r="AT800" s="460"/>
      <c r="AU800" s="460"/>
      <c r="AV800" s="460"/>
      <c r="AW800" s="460"/>
      <c r="AX800" s="460"/>
      <c r="AY800" s="460"/>
      <c r="AZ800" s="460"/>
      <c r="BA800" s="460"/>
      <c r="BB800" s="460"/>
      <c r="BC800" s="460"/>
      <c r="BD800" s="460"/>
      <c r="BE800" s="460"/>
      <c r="BF800" s="460"/>
      <c r="BG800" s="460"/>
      <c r="BH800" s="460"/>
      <c r="BI800" s="460"/>
      <c r="BJ800" s="460"/>
      <c r="BK800" s="460"/>
      <c r="BL800" s="460"/>
      <c r="BM800" s="460"/>
      <c r="BN800" s="460"/>
      <c r="BO800" s="460"/>
      <c r="BP800" s="460"/>
      <c r="BQ800" s="460"/>
      <c r="BR800" s="460"/>
      <c r="BS800" s="460"/>
      <c r="BT800" s="460"/>
      <c r="BU800" s="460"/>
      <c r="BV800" s="460"/>
      <c r="BW800" s="460"/>
      <c r="BX800" s="460"/>
      <c r="BY800" s="460"/>
      <c r="BZ800" s="460"/>
      <c r="CA800" s="460"/>
      <c r="CB800" s="460"/>
      <c r="CC800" s="460"/>
      <c r="CD800" s="460"/>
      <c r="CE800" s="460"/>
      <c r="CF800" s="460"/>
      <c r="CG800" s="460"/>
      <c r="CH800" s="460"/>
      <c r="CI800" s="460"/>
      <c r="CJ800" s="460"/>
      <c r="CK800" s="460"/>
    </row>
    <row r="801" spans="1:89" s="329" customFormat="1" ht="36" customHeight="1" x14ac:dyDescent="0.25">
      <c r="A801" s="329">
        <v>1</v>
      </c>
      <c r="B801" s="39">
        <f>SUBTOTAL(103,$A$552:A801)</f>
        <v>237</v>
      </c>
      <c r="C801" s="33" t="s">
        <v>1607</v>
      </c>
      <c r="D801" s="330">
        <v>1979</v>
      </c>
      <c r="E801" s="330"/>
      <c r="F801" s="331" t="s">
        <v>48</v>
      </c>
      <c r="G801" s="330">
        <v>2</v>
      </c>
      <c r="H801" s="330" t="s">
        <v>61</v>
      </c>
      <c r="I801" s="334">
        <v>1052.4000000000001</v>
      </c>
      <c r="J801" s="334">
        <v>934.4</v>
      </c>
      <c r="K801" s="334">
        <v>934.4</v>
      </c>
      <c r="L801" s="332">
        <v>57</v>
      </c>
      <c r="M801" s="330" t="s">
        <v>46</v>
      </c>
      <c r="N801" s="330" t="s">
        <v>2155</v>
      </c>
      <c r="O801" s="333" t="s">
        <v>2156</v>
      </c>
      <c r="P801" s="38">
        <v>3875480.82</v>
      </c>
      <c r="Q801" s="38">
        <v>0</v>
      </c>
      <c r="R801" s="38">
        <v>0</v>
      </c>
      <c r="S801" s="38">
        <f t="shared" si="155"/>
        <v>3875480.82</v>
      </c>
      <c r="T801" s="38">
        <f t="shared" si="152"/>
        <v>3682.5169327251992</v>
      </c>
      <c r="U801" s="38">
        <v>5645.1162200684139</v>
      </c>
      <c r="V801" s="458">
        <f t="shared" si="153"/>
        <v>1962.5992873432147</v>
      </c>
      <c r="W801" s="458">
        <f t="shared" si="156"/>
        <v>5625.9270144431766</v>
      </c>
      <c r="X801" s="458">
        <v>0</v>
      </c>
      <c r="Y801" s="459">
        <v>0</v>
      </c>
      <c r="Z801" s="459">
        <v>0</v>
      </c>
      <c r="AA801" s="459">
        <v>0</v>
      </c>
      <c r="AB801" s="459">
        <v>0</v>
      </c>
      <c r="AC801" s="459">
        <v>0</v>
      </c>
      <c r="AD801" s="459">
        <v>0</v>
      </c>
      <c r="AE801" s="459">
        <v>949</v>
      </c>
      <c r="AF801" s="458">
        <f t="shared" si="157"/>
        <v>5625.9270144431766</v>
      </c>
      <c r="AG801" s="459">
        <v>0</v>
      </c>
      <c r="AH801" s="458">
        <v>0</v>
      </c>
      <c r="AI801" s="459">
        <v>0</v>
      </c>
      <c r="AJ801" s="458">
        <v>0</v>
      </c>
      <c r="AK801" s="459">
        <v>0</v>
      </c>
      <c r="AL801" s="459">
        <v>0</v>
      </c>
      <c r="AM801" s="459">
        <v>0</v>
      </c>
      <c r="AN801" s="459"/>
      <c r="AO801" s="459">
        <v>0</v>
      </c>
      <c r="AP801" s="460"/>
      <c r="AQ801" s="460"/>
      <c r="AR801" s="460"/>
      <c r="AS801" s="460"/>
      <c r="AT801" s="460"/>
      <c r="AU801" s="460"/>
      <c r="AV801" s="460"/>
      <c r="AW801" s="460"/>
      <c r="AX801" s="460"/>
      <c r="AY801" s="460"/>
      <c r="AZ801" s="460"/>
      <c r="BA801" s="460"/>
      <c r="BB801" s="460"/>
      <c r="BC801" s="460"/>
      <c r="BD801" s="460"/>
      <c r="BE801" s="460"/>
      <c r="BF801" s="460"/>
      <c r="BG801" s="460"/>
      <c r="BH801" s="460"/>
      <c r="BI801" s="460"/>
      <c r="BJ801" s="460"/>
      <c r="BK801" s="460"/>
      <c r="BL801" s="460"/>
      <c r="BM801" s="460"/>
      <c r="BN801" s="460"/>
      <c r="BO801" s="460"/>
      <c r="BP801" s="460"/>
      <c r="BQ801" s="460"/>
      <c r="BR801" s="460"/>
      <c r="BS801" s="460"/>
      <c r="BT801" s="460"/>
      <c r="BU801" s="460"/>
      <c r="BV801" s="460"/>
      <c r="BW801" s="460"/>
      <c r="BX801" s="460"/>
      <c r="BY801" s="460"/>
      <c r="BZ801" s="460"/>
      <c r="CA801" s="460"/>
      <c r="CB801" s="460"/>
      <c r="CC801" s="460"/>
      <c r="CD801" s="460"/>
      <c r="CE801" s="460"/>
      <c r="CF801" s="460"/>
      <c r="CG801" s="460"/>
      <c r="CH801" s="460"/>
      <c r="CI801" s="460"/>
      <c r="CJ801" s="460"/>
      <c r="CK801" s="460"/>
    </row>
    <row r="802" spans="1:89" s="329" customFormat="1" ht="36" customHeight="1" x14ac:dyDescent="0.25">
      <c r="A802" s="329">
        <v>1</v>
      </c>
      <c r="B802" s="39">
        <f>SUBTOTAL(103,$A$552:A802)</f>
        <v>238</v>
      </c>
      <c r="C802" s="33" t="s">
        <v>1608</v>
      </c>
      <c r="D802" s="330">
        <v>1977</v>
      </c>
      <c r="E802" s="330"/>
      <c r="F802" s="331" t="s">
        <v>48</v>
      </c>
      <c r="G802" s="330">
        <v>5</v>
      </c>
      <c r="H802" s="330" t="s">
        <v>59</v>
      </c>
      <c r="I802" s="334">
        <v>2827.6</v>
      </c>
      <c r="J802" s="334">
        <v>2827.6</v>
      </c>
      <c r="K802" s="334">
        <v>2827.6</v>
      </c>
      <c r="L802" s="332">
        <v>156</v>
      </c>
      <c r="M802" s="330" t="s">
        <v>46</v>
      </c>
      <c r="N802" s="330" t="s">
        <v>50</v>
      </c>
      <c r="O802" s="333" t="s">
        <v>2052</v>
      </c>
      <c r="P802" s="38">
        <v>3103798.52</v>
      </c>
      <c r="Q802" s="38">
        <v>0</v>
      </c>
      <c r="R802" s="38">
        <v>0</v>
      </c>
      <c r="S802" s="38">
        <f t="shared" si="155"/>
        <v>3103798.52</v>
      </c>
      <c r="T802" s="38">
        <f t="shared" si="152"/>
        <v>1097.6794879049371</v>
      </c>
      <c r="U802" s="38">
        <v>1859.7254208516056</v>
      </c>
      <c r="V802" s="458">
        <f t="shared" si="153"/>
        <v>762.04593294666847</v>
      </c>
      <c r="W802" s="458">
        <f t="shared" si="156"/>
        <v>1853.4037346159287</v>
      </c>
      <c r="X802" s="458">
        <v>0</v>
      </c>
      <c r="Y802" s="459">
        <v>0</v>
      </c>
      <c r="Z802" s="459">
        <v>0</v>
      </c>
      <c r="AA802" s="459">
        <v>0</v>
      </c>
      <c r="AB802" s="459">
        <v>0</v>
      </c>
      <c r="AC802" s="459">
        <v>0</v>
      </c>
      <c r="AD802" s="459">
        <v>0</v>
      </c>
      <c r="AE802" s="459">
        <v>840</v>
      </c>
      <c r="AF802" s="458">
        <f t="shared" si="157"/>
        <v>1853.4037346159287</v>
      </c>
      <c r="AG802" s="459">
        <v>0</v>
      </c>
      <c r="AH802" s="458">
        <v>0</v>
      </c>
      <c r="AI802" s="459">
        <v>0</v>
      </c>
      <c r="AJ802" s="458">
        <v>0</v>
      </c>
      <c r="AK802" s="459">
        <v>0</v>
      </c>
      <c r="AL802" s="459">
        <v>0</v>
      </c>
      <c r="AM802" s="459">
        <v>0</v>
      </c>
      <c r="AN802" s="459"/>
      <c r="AO802" s="459">
        <v>0</v>
      </c>
      <c r="AP802" s="460"/>
      <c r="AQ802" s="460"/>
      <c r="AR802" s="460"/>
      <c r="AS802" s="460"/>
      <c r="AT802" s="460"/>
      <c r="AU802" s="460"/>
      <c r="AV802" s="460"/>
      <c r="AW802" s="460"/>
      <c r="AX802" s="460"/>
      <c r="AY802" s="460"/>
      <c r="AZ802" s="460"/>
      <c r="BA802" s="460"/>
      <c r="BB802" s="460"/>
      <c r="BC802" s="460"/>
      <c r="BD802" s="460"/>
      <c r="BE802" s="460"/>
      <c r="BF802" s="460"/>
      <c r="BG802" s="460"/>
      <c r="BH802" s="460"/>
      <c r="BI802" s="460"/>
      <c r="BJ802" s="460"/>
      <c r="BK802" s="460"/>
      <c r="BL802" s="460"/>
      <c r="BM802" s="460"/>
      <c r="BN802" s="460"/>
      <c r="BO802" s="460"/>
      <c r="BP802" s="460"/>
      <c r="BQ802" s="460"/>
      <c r="BR802" s="460"/>
      <c r="BS802" s="460"/>
      <c r="BT802" s="460"/>
      <c r="BU802" s="460"/>
      <c r="BV802" s="460"/>
      <c r="BW802" s="460"/>
      <c r="BX802" s="460"/>
      <c r="BY802" s="460"/>
      <c r="BZ802" s="460"/>
      <c r="CA802" s="460"/>
      <c r="CB802" s="460"/>
      <c r="CC802" s="460"/>
      <c r="CD802" s="460"/>
      <c r="CE802" s="460"/>
      <c r="CF802" s="460"/>
      <c r="CG802" s="460"/>
      <c r="CH802" s="460"/>
      <c r="CI802" s="460"/>
      <c r="CJ802" s="460"/>
      <c r="CK802" s="460"/>
    </row>
    <row r="803" spans="1:89" s="329" customFormat="1" ht="36" customHeight="1" x14ac:dyDescent="0.25">
      <c r="A803" s="329">
        <v>1</v>
      </c>
      <c r="B803" s="39">
        <f>SUBTOTAL(103,$A$552:A803)</f>
        <v>239</v>
      </c>
      <c r="C803" s="33" t="s">
        <v>1027</v>
      </c>
      <c r="D803" s="330">
        <v>1927</v>
      </c>
      <c r="E803" s="330"/>
      <c r="F803" s="331" t="s">
        <v>48</v>
      </c>
      <c r="G803" s="330">
        <v>2</v>
      </c>
      <c r="H803" s="330" t="s">
        <v>56</v>
      </c>
      <c r="I803" s="38">
        <v>462</v>
      </c>
      <c r="J803" s="38">
        <v>344</v>
      </c>
      <c r="K803" s="38">
        <v>344</v>
      </c>
      <c r="L803" s="332">
        <v>25</v>
      </c>
      <c r="M803" s="330" t="s">
        <v>46</v>
      </c>
      <c r="N803" s="330" t="s">
        <v>50</v>
      </c>
      <c r="O803" s="333" t="s">
        <v>2157</v>
      </c>
      <c r="P803" s="38">
        <v>1859292.57</v>
      </c>
      <c r="Q803" s="38">
        <v>0</v>
      </c>
      <c r="R803" s="38">
        <v>0</v>
      </c>
      <c r="S803" s="38">
        <f t="shared" si="155"/>
        <v>1859292.57</v>
      </c>
      <c r="T803" s="38">
        <f t="shared" si="152"/>
        <v>4024.4427922077925</v>
      </c>
      <c r="U803" s="38">
        <v>5525.769441558441</v>
      </c>
      <c r="V803" s="458">
        <f t="shared" si="153"/>
        <v>1501.3266493506485</v>
      </c>
      <c r="W803" s="458">
        <f t="shared" si="156"/>
        <v>5506.9859264069264</v>
      </c>
      <c r="X803" s="458">
        <v>0</v>
      </c>
      <c r="Y803" s="459">
        <v>0</v>
      </c>
      <c r="Z803" s="459">
        <v>0</v>
      </c>
      <c r="AA803" s="459">
        <v>0</v>
      </c>
      <c r="AB803" s="459">
        <v>0</v>
      </c>
      <c r="AC803" s="459">
        <v>0</v>
      </c>
      <c r="AD803" s="459">
        <v>0</v>
      </c>
      <c r="AE803" s="459">
        <v>407.8</v>
      </c>
      <c r="AF803" s="458">
        <f t="shared" si="157"/>
        <v>5506.9859264069264</v>
      </c>
      <c r="AG803" s="459">
        <v>0</v>
      </c>
      <c r="AH803" s="458">
        <v>0</v>
      </c>
      <c r="AI803" s="459">
        <v>0</v>
      </c>
      <c r="AJ803" s="458">
        <v>0</v>
      </c>
      <c r="AK803" s="459">
        <v>0</v>
      </c>
      <c r="AL803" s="459">
        <v>0</v>
      </c>
      <c r="AM803" s="459">
        <v>0</v>
      </c>
      <c r="AN803" s="459"/>
      <c r="AO803" s="459">
        <v>0</v>
      </c>
      <c r="AP803" s="460"/>
      <c r="AQ803" s="460"/>
      <c r="AR803" s="460"/>
      <c r="AS803" s="460"/>
      <c r="AT803" s="460"/>
      <c r="AU803" s="460"/>
      <c r="AV803" s="460"/>
      <c r="AW803" s="460"/>
      <c r="AX803" s="460"/>
      <c r="AY803" s="460"/>
      <c r="AZ803" s="460"/>
      <c r="BA803" s="460"/>
      <c r="BB803" s="460"/>
      <c r="BC803" s="460"/>
      <c r="BD803" s="460"/>
      <c r="BE803" s="460"/>
      <c r="BF803" s="460"/>
      <c r="BG803" s="460"/>
      <c r="BH803" s="460"/>
      <c r="BI803" s="460"/>
      <c r="BJ803" s="460"/>
      <c r="BK803" s="460"/>
      <c r="BL803" s="460"/>
      <c r="BM803" s="460"/>
      <c r="BN803" s="460"/>
      <c r="BO803" s="460"/>
      <c r="BP803" s="460"/>
      <c r="BQ803" s="460"/>
      <c r="BR803" s="460"/>
      <c r="BS803" s="460"/>
      <c r="BT803" s="460"/>
      <c r="BU803" s="460"/>
      <c r="BV803" s="460"/>
      <c r="BW803" s="460"/>
      <c r="BX803" s="460"/>
      <c r="BY803" s="460"/>
      <c r="BZ803" s="460"/>
      <c r="CA803" s="460"/>
      <c r="CB803" s="460"/>
      <c r="CC803" s="460"/>
      <c r="CD803" s="460"/>
      <c r="CE803" s="460"/>
      <c r="CF803" s="460"/>
      <c r="CG803" s="460"/>
      <c r="CH803" s="460"/>
      <c r="CI803" s="460"/>
      <c r="CJ803" s="460"/>
      <c r="CK803" s="460"/>
    </row>
    <row r="804" spans="1:89" s="329" customFormat="1" ht="36" customHeight="1" x14ac:dyDescent="0.25">
      <c r="A804" s="329">
        <v>1</v>
      </c>
      <c r="B804" s="39">
        <f>SUBTOTAL(103,$A$552:A804)</f>
        <v>240</v>
      </c>
      <c r="C804" s="33" t="s">
        <v>1281</v>
      </c>
      <c r="D804" s="330">
        <v>1917</v>
      </c>
      <c r="E804" s="330"/>
      <c r="F804" s="331" t="s">
        <v>48</v>
      </c>
      <c r="G804" s="330">
        <v>2</v>
      </c>
      <c r="H804" s="330" t="s">
        <v>56</v>
      </c>
      <c r="I804" s="38">
        <v>722.2</v>
      </c>
      <c r="J804" s="38">
        <v>514</v>
      </c>
      <c r="K804" s="38">
        <v>514</v>
      </c>
      <c r="L804" s="332">
        <v>21</v>
      </c>
      <c r="M804" s="330" t="s">
        <v>46</v>
      </c>
      <c r="N804" s="330" t="s">
        <v>47</v>
      </c>
      <c r="O804" s="333" t="s">
        <v>49</v>
      </c>
      <c r="P804" s="38">
        <v>2567424.7199999997</v>
      </c>
      <c r="Q804" s="38">
        <v>0</v>
      </c>
      <c r="R804" s="38">
        <v>0</v>
      </c>
      <c r="S804" s="38">
        <f t="shared" si="155"/>
        <v>2567424.7199999997</v>
      </c>
      <c r="T804" s="38">
        <f t="shared" si="152"/>
        <v>3555.0051509277205</v>
      </c>
      <c r="U804" s="38">
        <v>4510.9427803932422</v>
      </c>
      <c r="V804" s="458">
        <f t="shared" si="153"/>
        <v>955.9376294655217</v>
      </c>
      <c r="W804" s="458">
        <f t="shared" si="156"/>
        <v>4495.6089227360835</v>
      </c>
      <c r="X804" s="458">
        <v>0</v>
      </c>
      <c r="Y804" s="459">
        <v>0</v>
      </c>
      <c r="Z804" s="459">
        <v>0</v>
      </c>
      <c r="AA804" s="459">
        <v>0</v>
      </c>
      <c r="AB804" s="459">
        <v>0</v>
      </c>
      <c r="AC804" s="459">
        <v>0</v>
      </c>
      <c r="AD804" s="459">
        <v>0</v>
      </c>
      <c r="AE804" s="459">
        <v>520.4</v>
      </c>
      <c r="AF804" s="458">
        <f t="shared" si="157"/>
        <v>4495.6089227360835</v>
      </c>
      <c r="AG804" s="459">
        <v>0</v>
      </c>
      <c r="AH804" s="458">
        <v>0</v>
      </c>
      <c r="AI804" s="459">
        <v>0</v>
      </c>
      <c r="AJ804" s="458">
        <v>0</v>
      </c>
      <c r="AK804" s="459">
        <v>0</v>
      </c>
      <c r="AL804" s="459">
        <v>0</v>
      </c>
      <c r="AM804" s="459">
        <v>0</v>
      </c>
      <c r="AN804" s="459"/>
      <c r="AO804" s="459">
        <v>0</v>
      </c>
      <c r="AP804" s="460"/>
      <c r="AQ804" s="460"/>
      <c r="AR804" s="460"/>
      <c r="AS804" s="460"/>
      <c r="AT804" s="460"/>
      <c r="AU804" s="460"/>
      <c r="AV804" s="460"/>
      <c r="AW804" s="460"/>
      <c r="AX804" s="460"/>
      <c r="AY804" s="460"/>
      <c r="AZ804" s="460"/>
      <c r="BA804" s="460"/>
      <c r="BB804" s="460"/>
      <c r="BC804" s="460"/>
      <c r="BD804" s="460"/>
      <c r="BE804" s="460"/>
      <c r="BF804" s="460"/>
      <c r="BG804" s="460"/>
      <c r="BH804" s="460"/>
      <c r="BI804" s="460"/>
      <c r="BJ804" s="460"/>
      <c r="BK804" s="460"/>
      <c r="BL804" s="460"/>
      <c r="BM804" s="460"/>
      <c r="BN804" s="460"/>
      <c r="BO804" s="460"/>
      <c r="BP804" s="460"/>
      <c r="BQ804" s="460"/>
      <c r="BR804" s="460"/>
      <c r="BS804" s="460"/>
      <c r="BT804" s="460"/>
      <c r="BU804" s="460"/>
      <c r="BV804" s="460"/>
      <c r="BW804" s="460"/>
      <c r="BX804" s="460"/>
      <c r="BY804" s="460"/>
      <c r="BZ804" s="460"/>
      <c r="CA804" s="460"/>
      <c r="CB804" s="460"/>
      <c r="CC804" s="460"/>
      <c r="CD804" s="460"/>
      <c r="CE804" s="460"/>
      <c r="CF804" s="460"/>
      <c r="CG804" s="460"/>
      <c r="CH804" s="460"/>
      <c r="CI804" s="460"/>
      <c r="CJ804" s="460"/>
      <c r="CK804" s="460"/>
    </row>
    <row r="805" spans="1:89" s="329" customFormat="1" ht="36" customHeight="1" x14ac:dyDescent="0.25">
      <c r="A805" s="329">
        <v>1</v>
      </c>
      <c r="B805" s="39">
        <f>SUBTOTAL(103,$A$552:A805)</f>
        <v>241</v>
      </c>
      <c r="C805" s="33" t="s">
        <v>1277</v>
      </c>
      <c r="D805" s="330">
        <v>1981</v>
      </c>
      <c r="E805" s="330"/>
      <c r="F805" s="331" t="s">
        <v>48</v>
      </c>
      <c r="G805" s="330">
        <v>2</v>
      </c>
      <c r="H805" s="330">
        <v>3</v>
      </c>
      <c r="I805" s="334">
        <v>975</v>
      </c>
      <c r="J805" s="334">
        <v>975</v>
      </c>
      <c r="K805" s="334">
        <v>975</v>
      </c>
      <c r="L805" s="332">
        <v>47</v>
      </c>
      <c r="M805" s="330" t="s">
        <v>46</v>
      </c>
      <c r="N805" s="330" t="s">
        <v>47</v>
      </c>
      <c r="O805" s="333" t="s">
        <v>49</v>
      </c>
      <c r="P805" s="38">
        <v>4559283.37</v>
      </c>
      <c r="Q805" s="38">
        <v>0</v>
      </c>
      <c r="R805" s="38">
        <v>0</v>
      </c>
      <c r="S805" s="38">
        <f t="shared" si="155"/>
        <v>4559283.37</v>
      </c>
      <c r="T805" s="38">
        <f t="shared" si="152"/>
        <v>4676.1880717948716</v>
      </c>
      <c r="U805" s="38">
        <v>5586.015692307692</v>
      </c>
      <c r="V805" s="458">
        <f t="shared" si="153"/>
        <v>909.82762051282043</v>
      </c>
      <c r="W805" s="458">
        <f t="shared" si="156"/>
        <v>5477.4430358974359</v>
      </c>
      <c r="X805" s="458">
        <v>0</v>
      </c>
      <c r="Y805" s="459">
        <v>0</v>
      </c>
      <c r="Z805" s="459">
        <v>0</v>
      </c>
      <c r="AA805" s="459">
        <v>0</v>
      </c>
      <c r="AB805" s="459">
        <v>0</v>
      </c>
      <c r="AC805" s="459">
        <v>0</v>
      </c>
      <c r="AD805" s="459">
        <v>0</v>
      </c>
      <c r="AE805" s="459">
        <v>856</v>
      </c>
      <c r="AF805" s="458">
        <f t="shared" si="157"/>
        <v>5477.4430358974359</v>
      </c>
      <c r="AG805" s="459">
        <v>0</v>
      </c>
      <c r="AH805" s="458">
        <v>0</v>
      </c>
      <c r="AI805" s="459">
        <v>0</v>
      </c>
      <c r="AJ805" s="458">
        <v>0</v>
      </c>
      <c r="AK805" s="459">
        <v>0</v>
      </c>
      <c r="AL805" s="459">
        <v>0</v>
      </c>
      <c r="AM805" s="459">
        <v>0</v>
      </c>
      <c r="AN805" s="459"/>
      <c r="AO805" s="459">
        <v>0</v>
      </c>
      <c r="AP805" s="460"/>
      <c r="AQ805" s="460"/>
      <c r="AR805" s="460"/>
      <c r="AS805" s="460"/>
      <c r="AT805" s="460"/>
      <c r="AU805" s="460"/>
      <c r="AV805" s="460"/>
      <c r="AW805" s="460"/>
      <c r="AX805" s="460"/>
      <c r="AY805" s="460"/>
      <c r="AZ805" s="460"/>
      <c r="BA805" s="460"/>
      <c r="BB805" s="460"/>
      <c r="BC805" s="460"/>
      <c r="BD805" s="460"/>
      <c r="BE805" s="460"/>
      <c r="BF805" s="460"/>
      <c r="BG805" s="460"/>
      <c r="BH805" s="460"/>
      <c r="BI805" s="460"/>
      <c r="BJ805" s="460"/>
      <c r="BK805" s="460"/>
      <c r="BL805" s="460"/>
      <c r="BM805" s="460"/>
      <c r="BN805" s="460"/>
      <c r="BO805" s="460"/>
      <c r="BP805" s="460"/>
      <c r="BQ805" s="460"/>
      <c r="BR805" s="460"/>
      <c r="BS805" s="460"/>
      <c r="BT805" s="460"/>
      <c r="BU805" s="460"/>
      <c r="BV805" s="460"/>
      <c r="BW805" s="460"/>
      <c r="BX805" s="460"/>
      <c r="BY805" s="460"/>
      <c r="BZ805" s="460"/>
      <c r="CA805" s="460"/>
      <c r="CB805" s="460"/>
      <c r="CC805" s="460"/>
      <c r="CD805" s="460"/>
      <c r="CE805" s="460"/>
      <c r="CF805" s="460"/>
      <c r="CG805" s="460"/>
      <c r="CH805" s="460"/>
      <c r="CI805" s="460"/>
      <c r="CJ805" s="460"/>
      <c r="CK805" s="460"/>
    </row>
    <row r="806" spans="1:89" s="329" customFormat="1" ht="36" customHeight="1" x14ac:dyDescent="0.25">
      <c r="A806" s="329">
        <v>1</v>
      </c>
      <c r="B806" s="39">
        <f>SUBTOTAL(103,$A$552:A806)</f>
        <v>242</v>
      </c>
      <c r="C806" s="33" t="s">
        <v>1282</v>
      </c>
      <c r="D806" s="330">
        <v>1963</v>
      </c>
      <c r="E806" s="330"/>
      <c r="F806" s="331" t="s">
        <v>48</v>
      </c>
      <c r="G806" s="330">
        <v>3</v>
      </c>
      <c r="H806" s="330" t="s">
        <v>56</v>
      </c>
      <c r="I806" s="334">
        <v>1703.8</v>
      </c>
      <c r="J806" s="334">
        <v>1339.8</v>
      </c>
      <c r="K806" s="334">
        <v>1339.8</v>
      </c>
      <c r="L806" s="332">
        <v>62</v>
      </c>
      <c r="M806" s="330" t="s">
        <v>46</v>
      </c>
      <c r="N806" s="330" t="s">
        <v>50</v>
      </c>
      <c r="O806" s="333" t="s">
        <v>2052</v>
      </c>
      <c r="P806" s="38">
        <v>5405855.4900000002</v>
      </c>
      <c r="Q806" s="38">
        <v>0</v>
      </c>
      <c r="R806" s="38">
        <v>0</v>
      </c>
      <c r="S806" s="38">
        <f t="shared" si="155"/>
        <v>5405855.4900000002</v>
      </c>
      <c r="T806" s="38">
        <f t="shared" si="152"/>
        <v>3172.8228019720627</v>
      </c>
      <c r="U806" s="38">
        <v>3643.0205335133232</v>
      </c>
      <c r="V806" s="458">
        <f t="shared" si="153"/>
        <v>470.19773154126051</v>
      </c>
      <c r="W806" s="458">
        <f t="shared" si="156"/>
        <v>4525.9377626481983</v>
      </c>
      <c r="X806" s="458">
        <v>0</v>
      </c>
      <c r="Y806" s="459">
        <v>0</v>
      </c>
      <c r="Z806" s="459">
        <v>0</v>
      </c>
      <c r="AA806" s="459">
        <v>0</v>
      </c>
      <c r="AB806" s="459">
        <v>0</v>
      </c>
      <c r="AC806" s="459">
        <v>0</v>
      </c>
      <c r="AD806" s="459">
        <v>0</v>
      </c>
      <c r="AE806" s="459">
        <v>1236</v>
      </c>
      <c r="AF806" s="458">
        <f t="shared" si="157"/>
        <v>4525.9377626481983</v>
      </c>
      <c r="AG806" s="459">
        <v>0</v>
      </c>
      <c r="AH806" s="458">
        <v>0</v>
      </c>
      <c r="AI806" s="459">
        <v>0</v>
      </c>
      <c r="AJ806" s="458">
        <v>0</v>
      </c>
      <c r="AK806" s="459">
        <v>0</v>
      </c>
      <c r="AL806" s="459">
        <v>0</v>
      </c>
      <c r="AM806" s="459">
        <v>0</v>
      </c>
      <c r="AN806" s="459"/>
      <c r="AO806" s="459">
        <v>0</v>
      </c>
      <c r="AP806" s="460"/>
      <c r="AQ806" s="460"/>
      <c r="AR806" s="460"/>
      <c r="AS806" s="460"/>
      <c r="AT806" s="460"/>
      <c r="AU806" s="460"/>
      <c r="AV806" s="460"/>
      <c r="AW806" s="460"/>
      <c r="AX806" s="460"/>
      <c r="AY806" s="460"/>
      <c r="AZ806" s="460"/>
      <c r="BA806" s="460"/>
      <c r="BB806" s="460"/>
      <c r="BC806" s="460"/>
      <c r="BD806" s="460"/>
      <c r="BE806" s="460"/>
      <c r="BF806" s="460"/>
      <c r="BG806" s="460"/>
      <c r="BH806" s="460"/>
      <c r="BI806" s="460"/>
      <c r="BJ806" s="460"/>
      <c r="BK806" s="460"/>
      <c r="BL806" s="460"/>
      <c r="BM806" s="460"/>
      <c r="BN806" s="460"/>
      <c r="BO806" s="460"/>
      <c r="BP806" s="460"/>
      <c r="BQ806" s="460"/>
      <c r="BR806" s="460"/>
      <c r="BS806" s="460"/>
      <c r="BT806" s="460"/>
      <c r="BU806" s="460"/>
      <c r="BV806" s="460"/>
      <c r="BW806" s="460"/>
      <c r="BX806" s="460"/>
      <c r="BY806" s="460"/>
      <c r="BZ806" s="460"/>
      <c r="CA806" s="460"/>
      <c r="CB806" s="460"/>
      <c r="CC806" s="460"/>
      <c r="CD806" s="460"/>
      <c r="CE806" s="460"/>
      <c r="CF806" s="460"/>
      <c r="CG806" s="460"/>
      <c r="CH806" s="460"/>
      <c r="CI806" s="460"/>
      <c r="CJ806" s="460"/>
      <c r="CK806" s="460"/>
    </row>
    <row r="807" spans="1:89" s="329" customFormat="1" ht="36" customHeight="1" x14ac:dyDescent="0.25">
      <c r="A807" s="329">
        <v>1</v>
      </c>
      <c r="B807" s="39">
        <f>SUBTOTAL(103,$A$552:A807)</f>
        <v>243</v>
      </c>
      <c r="C807" s="33" t="s">
        <v>1031</v>
      </c>
      <c r="D807" s="330">
        <v>1957</v>
      </c>
      <c r="E807" s="330"/>
      <c r="F807" s="331" t="s">
        <v>48</v>
      </c>
      <c r="G807" s="330" t="s">
        <v>61</v>
      </c>
      <c r="H807" s="330" t="s">
        <v>61</v>
      </c>
      <c r="I807" s="334">
        <v>988</v>
      </c>
      <c r="J807" s="334">
        <v>627.1</v>
      </c>
      <c r="K807" s="334">
        <v>627.1</v>
      </c>
      <c r="L807" s="332">
        <v>55</v>
      </c>
      <c r="M807" s="330" t="s">
        <v>46</v>
      </c>
      <c r="N807" s="330" t="s">
        <v>50</v>
      </c>
      <c r="O807" s="333" t="s">
        <v>227</v>
      </c>
      <c r="P807" s="38">
        <v>3122749.9699999997</v>
      </c>
      <c r="Q807" s="38">
        <v>0</v>
      </c>
      <c r="R807" s="38">
        <v>0</v>
      </c>
      <c r="S807" s="38">
        <f t="shared" si="155"/>
        <v>3122749.9699999997</v>
      </c>
      <c r="T807" s="38">
        <f t="shared" si="152"/>
        <v>3160.6781072874492</v>
      </c>
      <c r="U807" s="38">
        <v>4681.9631526315779</v>
      </c>
      <c r="V807" s="458">
        <f t="shared" si="153"/>
        <v>1521.2850453441288</v>
      </c>
      <c r="W807" s="458">
        <f t="shared" si="156"/>
        <v>5992.6372368421053</v>
      </c>
      <c r="X807" s="458">
        <v>0</v>
      </c>
      <c r="Y807" s="459">
        <v>0</v>
      </c>
      <c r="Z807" s="459">
        <v>0</v>
      </c>
      <c r="AA807" s="459">
        <v>0</v>
      </c>
      <c r="AB807" s="459">
        <v>0</v>
      </c>
      <c r="AC807" s="459">
        <v>0</v>
      </c>
      <c r="AD807" s="459">
        <v>0</v>
      </c>
      <c r="AE807" s="459">
        <v>949</v>
      </c>
      <c r="AF807" s="458">
        <f t="shared" si="157"/>
        <v>5992.6372368421053</v>
      </c>
      <c r="AG807" s="459">
        <v>0</v>
      </c>
      <c r="AH807" s="458">
        <v>0</v>
      </c>
      <c r="AI807" s="459">
        <v>0</v>
      </c>
      <c r="AJ807" s="458">
        <v>0</v>
      </c>
      <c r="AK807" s="459">
        <v>0</v>
      </c>
      <c r="AL807" s="459">
        <v>0</v>
      </c>
      <c r="AM807" s="459">
        <v>0</v>
      </c>
      <c r="AN807" s="459"/>
      <c r="AO807" s="459">
        <v>0</v>
      </c>
      <c r="AP807" s="460"/>
      <c r="AQ807" s="460"/>
      <c r="AR807" s="460"/>
      <c r="AS807" s="460"/>
      <c r="AT807" s="460"/>
      <c r="AU807" s="460"/>
      <c r="AV807" s="460"/>
      <c r="AW807" s="460"/>
      <c r="AX807" s="460"/>
      <c r="AY807" s="460"/>
      <c r="AZ807" s="460"/>
      <c r="BA807" s="460"/>
      <c r="BB807" s="460"/>
      <c r="BC807" s="460"/>
      <c r="BD807" s="460"/>
      <c r="BE807" s="460"/>
      <c r="BF807" s="460"/>
      <c r="BG807" s="460"/>
      <c r="BH807" s="460"/>
      <c r="BI807" s="460"/>
      <c r="BJ807" s="460"/>
      <c r="BK807" s="460"/>
      <c r="BL807" s="460"/>
      <c r="BM807" s="460"/>
      <c r="BN807" s="460"/>
      <c r="BO807" s="460"/>
      <c r="BP807" s="460"/>
      <c r="BQ807" s="460"/>
      <c r="BR807" s="460"/>
      <c r="BS807" s="460"/>
      <c r="BT807" s="460"/>
      <c r="BU807" s="460"/>
      <c r="BV807" s="460"/>
      <c r="BW807" s="460"/>
      <c r="BX807" s="460"/>
      <c r="BY807" s="460"/>
      <c r="BZ807" s="460"/>
      <c r="CA807" s="460"/>
      <c r="CB807" s="460"/>
      <c r="CC807" s="460"/>
      <c r="CD807" s="460"/>
      <c r="CE807" s="460"/>
      <c r="CF807" s="460"/>
      <c r="CG807" s="460"/>
      <c r="CH807" s="460"/>
      <c r="CI807" s="460"/>
      <c r="CJ807" s="460"/>
      <c r="CK807" s="460"/>
    </row>
    <row r="808" spans="1:89" s="329" customFormat="1" ht="36" customHeight="1" x14ac:dyDescent="0.25">
      <c r="A808" s="329">
        <v>1</v>
      </c>
      <c r="B808" s="39">
        <f>SUBTOTAL(103,$A$552:A808)</f>
        <v>244</v>
      </c>
      <c r="C808" s="33" t="s">
        <v>1609</v>
      </c>
      <c r="D808" s="330">
        <v>1947</v>
      </c>
      <c r="E808" s="330"/>
      <c r="F808" s="331" t="s">
        <v>48</v>
      </c>
      <c r="G808" s="330">
        <v>2</v>
      </c>
      <c r="H808" s="330" t="s">
        <v>57</v>
      </c>
      <c r="I808" s="334">
        <v>511.5</v>
      </c>
      <c r="J808" s="334">
        <v>511.5</v>
      </c>
      <c r="K808" s="334">
        <f>J808</f>
        <v>511.5</v>
      </c>
      <c r="L808" s="332">
        <v>31</v>
      </c>
      <c r="M808" s="330" t="s">
        <v>46</v>
      </c>
      <c r="N808" s="330" t="s">
        <v>47</v>
      </c>
      <c r="O808" s="333" t="s">
        <v>49</v>
      </c>
      <c r="P808" s="38">
        <v>2259579.75</v>
      </c>
      <c r="Q808" s="38">
        <v>0</v>
      </c>
      <c r="R808" s="38">
        <v>0</v>
      </c>
      <c r="S808" s="38">
        <f t="shared" si="155"/>
        <v>2259579.75</v>
      </c>
      <c r="T808" s="38">
        <f t="shared" si="152"/>
        <v>4417.5557184750733</v>
      </c>
      <c r="U808" s="38">
        <v>5835.5006686217002</v>
      </c>
      <c r="V808" s="458">
        <f t="shared" si="153"/>
        <v>1417.944950146627</v>
      </c>
      <c r="W808" s="458">
        <f t="shared" si="156"/>
        <v>10245.717302052784</v>
      </c>
      <c r="X808" s="458">
        <v>0</v>
      </c>
      <c r="Y808" s="459">
        <v>0</v>
      </c>
      <c r="Z808" s="459">
        <v>0</v>
      </c>
      <c r="AA808" s="459">
        <v>0</v>
      </c>
      <c r="AB808" s="459">
        <v>0</v>
      </c>
      <c r="AC808" s="459">
        <v>0</v>
      </c>
      <c r="AD808" s="459">
        <v>0</v>
      </c>
      <c r="AE808" s="459">
        <v>840</v>
      </c>
      <c r="AF808" s="458">
        <f t="shared" si="157"/>
        <v>10245.717302052784</v>
      </c>
      <c r="AG808" s="459">
        <v>0</v>
      </c>
      <c r="AH808" s="458">
        <v>0</v>
      </c>
      <c r="AI808" s="459">
        <v>0</v>
      </c>
      <c r="AJ808" s="458">
        <v>0</v>
      </c>
      <c r="AK808" s="459">
        <v>0</v>
      </c>
      <c r="AL808" s="459">
        <v>0</v>
      </c>
      <c r="AM808" s="459">
        <v>0</v>
      </c>
      <c r="AN808" s="459"/>
      <c r="AO808" s="459">
        <v>0</v>
      </c>
      <c r="AP808" s="460"/>
      <c r="AQ808" s="460"/>
      <c r="AR808" s="460"/>
      <c r="AS808" s="460"/>
      <c r="AT808" s="460"/>
      <c r="AU808" s="460"/>
      <c r="AV808" s="460"/>
      <c r="AW808" s="460"/>
      <c r="AX808" s="460"/>
      <c r="AY808" s="460"/>
      <c r="AZ808" s="460"/>
      <c r="BA808" s="460"/>
      <c r="BB808" s="460"/>
      <c r="BC808" s="460"/>
      <c r="BD808" s="460"/>
      <c r="BE808" s="460"/>
      <c r="BF808" s="460"/>
      <c r="BG808" s="460"/>
      <c r="BH808" s="460"/>
      <c r="BI808" s="460"/>
      <c r="BJ808" s="460"/>
      <c r="BK808" s="460"/>
      <c r="BL808" s="460"/>
      <c r="BM808" s="460"/>
      <c r="BN808" s="460"/>
      <c r="BO808" s="460"/>
      <c r="BP808" s="460"/>
      <c r="BQ808" s="460"/>
      <c r="BR808" s="460"/>
      <c r="BS808" s="460"/>
      <c r="BT808" s="460"/>
      <c r="BU808" s="460"/>
      <c r="BV808" s="460"/>
      <c r="BW808" s="460"/>
      <c r="BX808" s="460"/>
      <c r="BY808" s="460"/>
      <c r="BZ808" s="460"/>
      <c r="CA808" s="460"/>
      <c r="CB808" s="460"/>
      <c r="CC808" s="460"/>
      <c r="CD808" s="460"/>
      <c r="CE808" s="460"/>
      <c r="CF808" s="460"/>
      <c r="CG808" s="460"/>
      <c r="CH808" s="460"/>
      <c r="CI808" s="460"/>
      <c r="CJ808" s="460"/>
      <c r="CK808" s="460"/>
    </row>
    <row r="809" spans="1:89" s="329" customFormat="1" ht="36" customHeight="1" x14ac:dyDescent="0.25">
      <c r="A809" s="329">
        <v>1</v>
      </c>
      <c r="B809" s="39">
        <f>SUBTOTAL(103,$A$552:A809)</f>
        <v>245</v>
      </c>
      <c r="C809" s="33" t="s">
        <v>1610</v>
      </c>
      <c r="D809" s="330">
        <v>1955</v>
      </c>
      <c r="E809" s="330"/>
      <c r="F809" s="331" t="s">
        <v>68</v>
      </c>
      <c r="G809" s="330">
        <v>2</v>
      </c>
      <c r="H809" s="330" t="s">
        <v>57</v>
      </c>
      <c r="I809" s="38">
        <v>367</v>
      </c>
      <c r="J809" s="38">
        <v>367</v>
      </c>
      <c r="K809" s="38">
        <f>J809-56</f>
        <v>311</v>
      </c>
      <c r="L809" s="332">
        <v>21</v>
      </c>
      <c r="M809" s="330" t="s">
        <v>46</v>
      </c>
      <c r="N809" s="330" t="s">
        <v>47</v>
      </c>
      <c r="O809" s="333" t="s">
        <v>49</v>
      </c>
      <c r="P809" s="38">
        <v>2460182.5699999998</v>
      </c>
      <c r="Q809" s="38">
        <v>0</v>
      </c>
      <c r="R809" s="38">
        <v>0</v>
      </c>
      <c r="S809" s="38">
        <f t="shared" si="155"/>
        <v>2460182.5699999998</v>
      </c>
      <c r="T809" s="38">
        <f t="shared" si="152"/>
        <v>6703.4947411444136</v>
      </c>
      <c r="U809" s="38">
        <v>12969.828991825614</v>
      </c>
      <c r="V809" s="458">
        <f t="shared" si="153"/>
        <v>6266.3342506812005</v>
      </c>
      <c r="W809" s="458">
        <f t="shared" si="156"/>
        <v>6932.4999945504087</v>
      </c>
      <c r="X809" s="458">
        <v>0</v>
      </c>
      <c r="Y809" s="459">
        <v>0</v>
      </c>
      <c r="Z809" s="459">
        <v>0</v>
      </c>
      <c r="AA809" s="459">
        <v>0</v>
      </c>
      <c r="AB809" s="459">
        <v>0</v>
      </c>
      <c r="AC809" s="459">
        <v>0</v>
      </c>
      <c r="AD809" s="459">
        <v>0</v>
      </c>
      <c r="AE809" s="459">
        <v>407.8</v>
      </c>
      <c r="AF809" s="458">
        <f t="shared" si="157"/>
        <v>6932.4999945504087</v>
      </c>
      <c r="AG809" s="459">
        <v>0</v>
      </c>
      <c r="AH809" s="458">
        <v>0</v>
      </c>
      <c r="AI809" s="459">
        <v>0</v>
      </c>
      <c r="AJ809" s="458">
        <v>0</v>
      </c>
      <c r="AK809" s="459">
        <v>0</v>
      </c>
      <c r="AL809" s="459">
        <v>0</v>
      </c>
      <c r="AM809" s="459">
        <v>0</v>
      </c>
      <c r="AN809" s="459"/>
      <c r="AO809" s="459">
        <v>0</v>
      </c>
      <c r="AP809" s="460"/>
      <c r="AQ809" s="460"/>
      <c r="AR809" s="460"/>
      <c r="AS809" s="460"/>
      <c r="AT809" s="460"/>
      <c r="AU809" s="460"/>
      <c r="AV809" s="460"/>
      <c r="AW809" s="460"/>
      <c r="AX809" s="460"/>
      <c r="AY809" s="460"/>
      <c r="AZ809" s="460"/>
      <c r="BA809" s="460"/>
      <c r="BB809" s="460"/>
      <c r="BC809" s="460"/>
      <c r="BD809" s="460"/>
      <c r="BE809" s="460"/>
      <c r="BF809" s="460"/>
      <c r="BG809" s="460"/>
      <c r="BH809" s="460"/>
      <c r="BI809" s="460"/>
      <c r="BJ809" s="460"/>
      <c r="BK809" s="460"/>
      <c r="BL809" s="460"/>
      <c r="BM809" s="460"/>
      <c r="BN809" s="460"/>
      <c r="BO809" s="460"/>
      <c r="BP809" s="460"/>
      <c r="BQ809" s="460"/>
      <c r="BR809" s="460"/>
      <c r="BS809" s="460"/>
      <c r="BT809" s="460"/>
      <c r="BU809" s="460"/>
      <c r="BV809" s="460"/>
      <c r="BW809" s="460"/>
      <c r="BX809" s="460"/>
      <c r="BY809" s="460"/>
      <c r="BZ809" s="460"/>
      <c r="CA809" s="460"/>
      <c r="CB809" s="460"/>
      <c r="CC809" s="460"/>
      <c r="CD809" s="460"/>
      <c r="CE809" s="460"/>
      <c r="CF809" s="460"/>
      <c r="CG809" s="460"/>
      <c r="CH809" s="460"/>
      <c r="CI809" s="460"/>
      <c r="CJ809" s="460"/>
      <c r="CK809" s="460"/>
    </row>
    <row r="810" spans="1:89" s="329" customFormat="1" ht="36" customHeight="1" x14ac:dyDescent="0.25">
      <c r="A810" s="329">
        <v>1</v>
      </c>
      <c r="B810" s="39">
        <f>SUBTOTAL(103,$A$552:A810)</f>
        <v>246</v>
      </c>
      <c r="C810" s="33" t="s">
        <v>1611</v>
      </c>
      <c r="D810" s="330">
        <v>1917</v>
      </c>
      <c r="E810" s="330"/>
      <c r="F810" s="331" t="s">
        <v>48</v>
      </c>
      <c r="G810" s="330">
        <v>2</v>
      </c>
      <c r="H810" s="330" t="s">
        <v>56</v>
      </c>
      <c r="I810" s="38">
        <v>231.6</v>
      </c>
      <c r="J810" s="38">
        <v>231.6</v>
      </c>
      <c r="K810" s="38">
        <v>101.7</v>
      </c>
      <c r="L810" s="332">
        <v>11</v>
      </c>
      <c r="M810" s="330" t="s">
        <v>46</v>
      </c>
      <c r="N810" s="330" t="s">
        <v>47</v>
      </c>
      <c r="O810" s="333" t="s">
        <v>49</v>
      </c>
      <c r="P810" s="38">
        <v>3058347.5</v>
      </c>
      <c r="Q810" s="38">
        <v>0</v>
      </c>
      <c r="R810" s="38">
        <v>0</v>
      </c>
      <c r="S810" s="38">
        <f t="shared" si="155"/>
        <v>3058347.5</v>
      </c>
      <c r="T810" s="38">
        <f t="shared" si="152"/>
        <v>13205.300086355786</v>
      </c>
      <c r="U810" s="38">
        <v>18806.533031088082</v>
      </c>
      <c r="V810" s="458">
        <f t="shared" si="153"/>
        <v>5601.2329447322954</v>
      </c>
      <c r="W810" s="458">
        <f t="shared" si="156"/>
        <v>14018.690690846286</v>
      </c>
      <c r="X810" s="458">
        <v>0</v>
      </c>
      <c r="Y810" s="459">
        <v>0</v>
      </c>
      <c r="Z810" s="459">
        <v>0</v>
      </c>
      <c r="AA810" s="459">
        <v>0</v>
      </c>
      <c r="AB810" s="459">
        <v>0</v>
      </c>
      <c r="AC810" s="459">
        <v>0</v>
      </c>
      <c r="AD810" s="459">
        <v>0</v>
      </c>
      <c r="AE810" s="459">
        <v>520.4</v>
      </c>
      <c r="AF810" s="458">
        <f t="shared" si="157"/>
        <v>14018.690690846286</v>
      </c>
      <c r="AG810" s="459">
        <v>0</v>
      </c>
      <c r="AH810" s="458">
        <v>0</v>
      </c>
      <c r="AI810" s="459">
        <v>0</v>
      </c>
      <c r="AJ810" s="458">
        <v>0</v>
      </c>
      <c r="AK810" s="459">
        <v>0</v>
      </c>
      <c r="AL810" s="459">
        <v>0</v>
      </c>
      <c r="AM810" s="459">
        <v>0</v>
      </c>
      <c r="AN810" s="459"/>
      <c r="AO810" s="459">
        <v>0</v>
      </c>
      <c r="AP810" s="460"/>
      <c r="AQ810" s="460"/>
      <c r="AR810" s="460"/>
      <c r="AS810" s="460"/>
      <c r="AT810" s="460"/>
      <c r="AU810" s="460"/>
      <c r="AV810" s="460"/>
      <c r="AW810" s="460"/>
      <c r="AX810" s="460"/>
      <c r="AY810" s="460"/>
      <c r="AZ810" s="460"/>
      <c r="BA810" s="460"/>
      <c r="BB810" s="460"/>
      <c r="BC810" s="460"/>
      <c r="BD810" s="460"/>
      <c r="BE810" s="460"/>
      <c r="BF810" s="460"/>
      <c r="BG810" s="460"/>
      <c r="BH810" s="460"/>
      <c r="BI810" s="460"/>
      <c r="BJ810" s="460"/>
      <c r="BK810" s="460"/>
      <c r="BL810" s="460"/>
      <c r="BM810" s="460"/>
      <c r="BN810" s="460"/>
      <c r="BO810" s="460"/>
      <c r="BP810" s="460"/>
      <c r="BQ810" s="460"/>
      <c r="BR810" s="460"/>
      <c r="BS810" s="460"/>
      <c r="BT810" s="460"/>
      <c r="BU810" s="460"/>
      <c r="BV810" s="460"/>
      <c r="BW810" s="460"/>
      <c r="BX810" s="460"/>
      <c r="BY810" s="460"/>
      <c r="BZ810" s="460"/>
      <c r="CA810" s="460"/>
      <c r="CB810" s="460"/>
      <c r="CC810" s="460"/>
      <c r="CD810" s="460"/>
      <c r="CE810" s="460"/>
      <c r="CF810" s="460"/>
      <c r="CG810" s="460"/>
      <c r="CH810" s="460"/>
      <c r="CI810" s="460"/>
      <c r="CJ810" s="460"/>
      <c r="CK810" s="460"/>
    </row>
    <row r="811" spans="1:89" s="329" customFormat="1" ht="36" customHeight="1" x14ac:dyDescent="0.25">
      <c r="B811" s="33" t="s">
        <v>101</v>
      </c>
      <c r="C811" s="462"/>
      <c r="D811" s="330" t="s">
        <v>131</v>
      </c>
      <c r="E811" s="330" t="s">
        <v>131</v>
      </c>
      <c r="F811" s="330" t="s">
        <v>131</v>
      </c>
      <c r="G811" s="330" t="s">
        <v>131</v>
      </c>
      <c r="H811" s="330" t="s">
        <v>131</v>
      </c>
      <c r="I811" s="334">
        <f>SUM(I812:I821)</f>
        <v>12858.21</v>
      </c>
      <c r="J811" s="334">
        <f>SUM(J812:J821)</f>
        <v>11743.61</v>
      </c>
      <c r="K811" s="334">
        <f>SUM(K812:K821)</f>
        <v>9302.41</v>
      </c>
      <c r="L811" s="332">
        <f>SUM(L812:L821)</f>
        <v>844</v>
      </c>
      <c r="M811" s="330" t="s">
        <v>131</v>
      </c>
      <c r="N811" s="330" t="s">
        <v>131</v>
      </c>
      <c r="O811" s="333" t="s">
        <v>131</v>
      </c>
      <c r="P811" s="334">
        <v>25570376.100000001</v>
      </c>
      <c r="Q811" s="334">
        <f>SUM(Q812:Q821)</f>
        <v>0</v>
      </c>
      <c r="R811" s="334">
        <f>SUM(R812:R821)</f>
        <v>0</v>
      </c>
      <c r="S811" s="334">
        <f>SUM(S812:S821)</f>
        <v>25570376.100000001</v>
      </c>
      <c r="T811" s="38">
        <f t="shared" si="152"/>
        <v>1988.6419727162647</v>
      </c>
      <c r="U811" s="38">
        <f>MAX(U812:U821)</f>
        <v>5900.6680414507764</v>
      </c>
      <c r="V811" s="458">
        <f t="shared" si="153"/>
        <v>3912.0260687345117</v>
      </c>
      <c r="W811" s="458"/>
      <c r="X811" s="458"/>
      <c r="Y811" s="459"/>
      <c r="Z811" s="459"/>
      <c r="AA811" s="459"/>
      <c r="AB811" s="459"/>
      <c r="AC811" s="459"/>
      <c r="AD811" s="459"/>
      <c r="AE811" s="459"/>
      <c r="AF811" s="459"/>
      <c r="AG811" s="459"/>
      <c r="AH811" s="459"/>
      <c r="AI811" s="459"/>
      <c r="AJ811" s="459"/>
      <c r="AK811" s="459"/>
      <c r="AL811" s="459"/>
      <c r="AM811" s="459"/>
      <c r="AN811" s="459"/>
      <c r="AO811" s="459"/>
      <c r="AP811" s="460"/>
      <c r="AQ811" s="460"/>
      <c r="AR811" s="460"/>
      <c r="AS811" s="460"/>
      <c r="AT811" s="460"/>
      <c r="AU811" s="460"/>
      <c r="AV811" s="460"/>
      <c r="AW811" s="460"/>
      <c r="AX811" s="460"/>
      <c r="AY811" s="460"/>
      <c r="AZ811" s="460"/>
      <c r="BA811" s="460"/>
      <c r="BB811" s="460"/>
      <c r="BC811" s="460"/>
      <c r="BD811" s="460"/>
      <c r="BE811" s="460"/>
      <c r="BF811" s="460"/>
      <c r="BG811" s="460"/>
      <c r="BH811" s="460"/>
      <c r="BI811" s="460"/>
      <c r="BJ811" s="460"/>
      <c r="BK811" s="460"/>
      <c r="BL811" s="460"/>
      <c r="BM811" s="460"/>
      <c r="BN811" s="460"/>
      <c r="BO811" s="460"/>
      <c r="BP811" s="460"/>
      <c r="BQ811" s="460"/>
      <c r="BR811" s="460"/>
      <c r="BS811" s="460"/>
      <c r="BT811" s="460"/>
      <c r="BU811" s="460"/>
      <c r="BV811" s="460"/>
      <c r="BW811" s="460"/>
      <c r="BX811" s="460"/>
      <c r="BY811" s="460"/>
      <c r="BZ811" s="460"/>
      <c r="CA811" s="460"/>
      <c r="CB811" s="460"/>
      <c r="CC811" s="460"/>
      <c r="CD811" s="460"/>
      <c r="CE811" s="460"/>
      <c r="CF811" s="460"/>
      <c r="CG811" s="460"/>
      <c r="CH811" s="460"/>
      <c r="CI811" s="460"/>
      <c r="CJ811" s="460"/>
      <c r="CK811" s="460"/>
    </row>
    <row r="812" spans="1:89" s="329" customFormat="1" ht="36" customHeight="1" x14ac:dyDescent="0.25">
      <c r="A812" s="329">
        <v>1</v>
      </c>
      <c r="B812" s="39">
        <f>SUBTOTAL(103,$A$552:A812)</f>
        <v>247</v>
      </c>
      <c r="C812" s="33" t="s">
        <v>931</v>
      </c>
      <c r="D812" s="330">
        <v>1973</v>
      </c>
      <c r="E812" s="330"/>
      <c r="F812" s="331" t="s">
        <v>48</v>
      </c>
      <c r="G812" s="330">
        <v>5</v>
      </c>
      <c r="H812" s="330" t="s">
        <v>1969</v>
      </c>
      <c r="I812" s="334">
        <v>4741.1099999999997</v>
      </c>
      <c r="J812" s="334">
        <v>4403.51</v>
      </c>
      <c r="K812" s="334">
        <v>4403.51</v>
      </c>
      <c r="L812" s="332">
        <v>260</v>
      </c>
      <c r="M812" s="330" t="s">
        <v>46</v>
      </c>
      <c r="N812" s="330" t="s">
        <v>50</v>
      </c>
      <c r="O812" s="333" t="s">
        <v>2057</v>
      </c>
      <c r="P812" s="38">
        <v>7386727.6500000004</v>
      </c>
      <c r="Q812" s="38">
        <v>0</v>
      </c>
      <c r="R812" s="38">
        <v>0</v>
      </c>
      <c r="S812" s="38">
        <f t="shared" ref="S812:S821" si="158">P812-Q812-R812</f>
        <v>7386727.6500000004</v>
      </c>
      <c r="T812" s="38">
        <f t="shared" si="152"/>
        <v>1558.0165087922451</v>
      </c>
      <c r="U812" s="38">
        <v>1992.4926251447446</v>
      </c>
      <c r="V812" s="458">
        <f t="shared" si="153"/>
        <v>434.4761163524995</v>
      </c>
      <c r="W812" s="458">
        <f t="shared" ref="W812:W821" si="159">X812+Y812+Z812+AA812+AB812+AD812+AF812+AH812+AJ812+AL812+AN812+AO812</f>
        <v>1985.7196289476515</v>
      </c>
      <c r="X812" s="458">
        <v>0</v>
      </c>
      <c r="Y812" s="459">
        <v>0</v>
      </c>
      <c r="Z812" s="459">
        <v>0</v>
      </c>
      <c r="AA812" s="459">
        <v>0</v>
      </c>
      <c r="AB812" s="459">
        <v>0</v>
      </c>
      <c r="AC812" s="459">
        <v>0</v>
      </c>
      <c r="AD812" s="459">
        <v>0</v>
      </c>
      <c r="AE812" s="459">
        <v>1509</v>
      </c>
      <c r="AF812" s="458">
        <f>6238.91*AE812/I812</f>
        <v>1985.7196289476515</v>
      </c>
      <c r="AG812" s="459">
        <v>0</v>
      </c>
      <c r="AH812" s="458">
        <v>0</v>
      </c>
      <c r="AI812" s="459">
        <v>0</v>
      </c>
      <c r="AJ812" s="458">
        <v>0</v>
      </c>
      <c r="AK812" s="459">
        <v>0</v>
      </c>
      <c r="AL812" s="459">
        <v>0</v>
      </c>
      <c r="AM812" s="459">
        <v>0</v>
      </c>
      <c r="AN812" s="459"/>
      <c r="AO812" s="459">
        <v>0</v>
      </c>
      <c r="AP812" s="460"/>
      <c r="AQ812" s="460"/>
      <c r="AR812" s="460"/>
      <c r="AS812" s="460"/>
      <c r="AT812" s="460"/>
      <c r="AU812" s="460"/>
      <c r="AV812" s="460"/>
      <c r="AW812" s="460"/>
      <c r="AX812" s="460"/>
      <c r="AY812" s="460"/>
      <c r="AZ812" s="460"/>
      <c r="BA812" s="460"/>
      <c r="BB812" s="460"/>
      <c r="BC812" s="460"/>
      <c r="BD812" s="460"/>
      <c r="BE812" s="460"/>
      <c r="BF812" s="460"/>
      <c r="BG812" s="460"/>
      <c r="BH812" s="460"/>
      <c r="BI812" s="460"/>
      <c r="BJ812" s="460"/>
      <c r="BK812" s="460"/>
      <c r="BL812" s="460"/>
      <c r="BM812" s="460"/>
      <c r="BN812" s="460"/>
      <c r="BO812" s="460"/>
      <c r="BP812" s="460"/>
      <c r="BQ812" s="460"/>
      <c r="BR812" s="460"/>
      <c r="BS812" s="460"/>
      <c r="BT812" s="460"/>
      <c r="BU812" s="460"/>
      <c r="BV812" s="460"/>
      <c r="BW812" s="460"/>
      <c r="BX812" s="460"/>
      <c r="BY812" s="460"/>
      <c r="BZ812" s="460"/>
      <c r="CA812" s="460"/>
      <c r="CB812" s="460"/>
      <c r="CC812" s="460"/>
      <c r="CD812" s="460"/>
      <c r="CE812" s="460"/>
      <c r="CF812" s="460"/>
      <c r="CG812" s="460"/>
      <c r="CH812" s="460"/>
      <c r="CI812" s="460"/>
      <c r="CJ812" s="460"/>
      <c r="CK812" s="460"/>
    </row>
    <row r="813" spans="1:89" s="329" customFormat="1" ht="36" customHeight="1" x14ac:dyDescent="0.25">
      <c r="A813" s="329">
        <v>1</v>
      </c>
      <c r="B813" s="39">
        <f>SUBTOTAL(103,$A$552:A813)</f>
        <v>248</v>
      </c>
      <c r="C813" s="33" t="s">
        <v>1612</v>
      </c>
      <c r="D813" s="330">
        <v>1989</v>
      </c>
      <c r="E813" s="330"/>
      <c r="F813" s="331" t="s">
        <v>48</v>
      </c>
      <c r="G813" s="330">
        <v>2</v>
      </c>
      <c r="H813" s="330" t="s">
        <v>61</v>
      </c>
      <c r="I813" s="334">
        <v>946.8</v>
      </c>
      <c r="J813" s="334">
        <v>859.3</v>
      </c>
      <c r="K813" s="334">
        <v>816</v>
      </c>
      <c r="L813" s="332">
        <v>40</v>
      </c>
      <c r="M813" s="330" t="s">
        <v>46</v>
      </c>
      <c r="N813" s="330" t="s">
        <v>50</v>
      </c>
      <c r="O813" s="333" t="s">
        <v>69</v>
      </c>
      <c r="P813" s="38">
        <v>4229794.2699999996</v>
      </c>
      <c r="Q813" s="38">
        <v>0</v>
      </c>
      <c r="R813" s="38">
        <v>0</v>
      </c>
      <c r="S813" s="38">
        <f t="shared" si="158"/>
        <v>4229794.2699999996</v>
      </c>
      <c r="T813" s="38">
        <f t="shared" si="152"/>
        <v>4467.4633185466837</v>
      </c>
      <c r="U813" s="38">
        <v>4728.6410223912135</v>
      </c>
      <c r="V813" s="458">
        <f t="shared" si="153"/>
        <v>261.17770384452979</v>
      </c>
      <c r="W813" s="458">
        <f t="shared" si="159"/>
        <v>4728.6410223912135</v>
      </c>
      <c r="X813" s="458">
        <v>0</v>
      </c>
      <c r="Y813" s="459">
        <v>0</v>
      </c>
      <c r="Z813" s="459">
        <v>0</v>
      </c>
      <c r="AA813" s="459">
        <v>0</v>
      </c>
      <c r="AB813" s="459">
        <v>0</v>
      </c>
      <c r="AC813" s="459">
        <v>0</v>
      </c>
      <c r="AD813" s="459">
        <v>0</v>
      </c>
      <c r="AE813" s="459">
        <v>0</v>
      </c>
      <c r="AF813" s="458">
        <v>0</v>
      </c>
      <c r="AG813" s="459">
        <v>0</v>
      </c>
      <c r="AH813" s="458">
        <v>0</v>
      </c>
      <c r="AI813" s="459">
        <v>0</v>
      </c>
      <c r="AJ813" s="458">
        <v>0</v>
      </c>
      <c r="AK813" s="459">
        <v>0</v>
      </c>
      <c r="AL813" s="459">
        <v>0</v>
      </c>
      <c r="AM813" s="459">
        <v>641</v>
      </c>
      <c r="AN813" s="459">
        <f>6984.52*AM813/I813</f>
        <v>4728.6410223912135</v>
      </c>
      <c r="AO813" s="459">
        <v>0</v>
      </c>
      <c r="AP813" s="460"/>
      <c r="AQ813" s="460"/>
      <c r="AR813" s="460"/>
      <c r="AS813" s="460"/>
      <c r="AT813" s="460"/>
      <c r="AU813" s="460"/>
      <c r="AV813" s="460"/>
      <c r="AW813" s="460"/>
      <c r="AX813" s="460"/>
      <c r="AY813" s="460"/>
      <c r="AZ813" s="460"/>
      <c r="BA813" s="460"/>
      <c r="BB813" s="460"/>
      <c r="BC813" s="460"/>
      <c r="BD813" s="460"/>
      <c r="BE813" s="460"/>
      <c r="BF813" s="460"/>
      <c r="BG813" s="460"/>
      <c r="BH813" s="460"/>
      <c r="BI813" s="460"/>
      <c r="BJ813" s="460"/>
      <c r="BK813" s="460"/>
      <c r="BL813" s="460"/>
      <c r="BM813" s="460"/>
      <c r="BN813" s="460"/>
      <c r="BO813" s="460"/>
      <c r="BP813" s="460"/>
      <c r="BQ813" s="460"/>
      <c r="BR813" s="460"/>
      <c r="BS813" s="460"/>
      <c r="BT813" s="460"/>
      <c r="BU813" s="460"/>
      <c r="BV813" s="460"/>
      <c r="BW813" s="460"/>
      <c r="BX813" s="460"/>
      <c r="BY813" s="460"/>
      <c r="BZ813" s="460"/>
      <c r="CA813" s="460"/>
      <c r="CB813" s="460"/>
      <c r="CC813" s="460"/>
      <c r="CD813" s="460"/>
      <c r="CE813" s="460"/>
      <c r="CF813" s="460"/>
      <c r="CG813" s="460"/>
      <c r="CH813" s="460"/>
      <c r="CI813" s="460"/>
      <c r="CJ813" s="460"/>
      <c r="CK813" s="460"/>
    </row>
    <row r="814" spans="1:89" s="329" customFormat="1" ht="36" customHeight="1" x14ac:dyDescent="0.25">
      <c r="A814" s="329">
        <v>1</v>
      </c>
      <c r="B814" s="39">
        <f>SUBTOTAL(103,$A$552:A814)</f>
        <v>249</v>
      </c>
      <c r="C814" s="33" t="s">
        <v>1613</v>
      </c>
      <c r="D814" s="330">
        <v>1940</v>
      </c>
      <c r="E814" s="330"/>
      <c r="F814" s="331" t="s">
        <v>68</v>
      </c>
      <c r="G814" s="330">
        <v>2</v>
      </c>
      <c r="H814" s="330" t="s">
        <v>57</v>
      </c>
      <c r="I814" s="334">
        <v>324</v>
      </c>
      <c r="J814" s="334">
        <v>303.10000000000002</v>
      </c>
      <c r="K814" s="334">
        <v>250.5</v>
      </c>
      <c r="L814" s="332">
        <v>15</v>
      </c>
      <c r="M814" s="330" t="s">
        <v>46</v>
      </c>
      <c r="N814" s="330" t="s">
        <v>50</v>
      </c>
      <c r="O814" s="333" t="s">
        <v>69</v>
      </c>
      <c r="P814" s="38">
        <v>1438527.14</v>
      </c>
      <c r="Q814" s="38">
        <v>0</v>
      </c>
      <c r="R814" s="38">
        <v>0</v>
      </c>
      <c r="S814" s="38">
        <f t="shared" si="158"/>
        <v>1438527.14</v>
      </c>
      <c r="T814" s="38">
        <f t="shared" si="152"/>
        <v>4439.8985802469133</v>
      </c>
      <c r="U814" s="38">
        <v>5410.0407407407401</v>
      </c>
      <c r="V814" s="458">
        <f t="shared" si="153"/>
        <v>970.14216049382685</v>
      </c>
      <c r="W814" s="458">
        <f t="shared" si="159"/>
        <v>5391.6506172839509</v>
      </c>
      <c r="X814" s="458">
        <v>0</v>
      </c>
      <c r="Y814" s="459">
        <v>0</v>
      </c>
      <c r="Z814" s="459">
        <v>0</v>
      </c>
      <c r="AA814" s="459">
        <v>0</v>
      </c>
      <c r="AB814" s="459">
        <v>0</v>
      </c>
      <c r="AC814" s="459">
        <v>0</v>
      </c>
      <c r="AD814" s="459">
        <v>0</v>
      </c>
      <c r="AE814" s="459">
        <v>280</v>
      </c>
      <c r="AF814" s="458">
        <f>6238.91*AE814/I814</f>
        <v>5391.6506172839509</v>
      </c>
      <c r="AG814" s="459">
        <v>0</v>
      </c>
      <c r="AH814" s="458">
        <v>0</v>
      </c>
      <c r="AI814" s="459">
        <v>0</v>
      </c>
      <c r="AJ814" s="458">
        <v>0</v>
      </c>
      <c r="AK814" s="459">
        <v>0</v>
      </c>
      <c r="AL814" s="459">
        <v>0</v>
      </c>
      <c r="AM814" s="459">
        <v>0</v>
      </c>
      <c r="AN814" s="459"/>
      <c r="AO814" s="459">
        <v>0</v>
      </c>
      <c r="AP814" s="460"/>
      <c r="AQ814" s="460"/>
      <c r="AR814" s="460"/>
      <c r="AS814" s="460"/>
      <c r="AT814" s="460"/>
      <c r="AU814" s="460"/>
      <c r="AV814" s="460"/>
      <c r="AW814" s="460"/>
      <c r="AX814" s="460"/>
      <c r="AY814" s="460"/>
      <c r="AZ814" s="460"/>
      <c r="BA814" s="460"/>
      <c r="BB814" s="460"/>
      <c r="BC814" s="460"/>
      <c r="BD814" s="460"/>
      <c r="BE814" s="460"/>
      <c r="BF814" s="460"/>
      <c r="BG814" s="460"/>
      <c r="BH814" s="460"/>
      <c r="BI814" s="460"/>
      <c r="BJ814" s="460"/>
      <c r="BK814" s="460"/>
      <c r="BL814" s="460"/>
      <c r="BM814" s="460"/>
      <c r="BN814" s="460"/>
      <c r="BO814" s="460"/>
      <c r="BP814" s="460"/>
      <c r="BQ814" s="460"/>
      <c r="BR814" s="460"/>
      <c r="BS814" s="460"/>
      <c r="BT814" s="460"/>
      <c r="BU814" s="460"/>
      <c r="BV814" s="460"/>
      <c r="BW814" s="460"/>
      <c r="BX814" s="460"/>
      <c r="BY814" s="460"/>
      <c r="BZ814" s="460"/>
      <c r="CA814" s="460"/>
      <c r="CB814" s="460"/>
      <c r="CC814" s="460"/>
      <c r="CD814" s="460"/>
      <c r="CE814" s="460"/>
      <c r="CF814" s="460"/>
      <c r="CG814" s="460"/>
      <c r="CH814" s="460"/>
      <c r="CI814" s="460"/>
      <c r="CJ814" s="460"/>
      <c r="CK814" s="460"/>
    </row>
    <row r="815" spans="1:89" s="329" customFormat="1" ht="36" customHeight="1" x14ac:dyDescent="0.25">
      <c r="A815" s="329">
        <v>1</v>
      </c>
      <c r="B815" s="39">
        <f>SUBTOTAL(103,$A$552:A815)</f>
        <v>250</v>
      </c>
      <c r="C815" s="33" t="s">
        <v>1296</v>
      </c>
      <c r="D815" s="330">
        <v>1955</v>
      </c>
      <c r="E815" s="330"/>
      <c r="F815" s="331" t="s">
        <v>2060</v>
      </c>
      <c r="G815" s="330">
        <v>2</v>
      </c>
      <c r="H815" s="330" t="s">
        <v>56</v>
      </c>
      <c r="I815" s="334">
        <v>805.7</v>
      </c>
      <c r="J815" s="334">
        <v>731</v>
      </c>
      <c r="K815" s="334">
        <v>705.2</v>
      </c>
      <c r="L815" s="332">
        <v>37</v>
      </c>
      <c r="M815" s="330" t="s">
        <v>46</v>
      </c>
      <c r="N815" s="330" t="s">
        <v>50</v>
      </c>
      <c r="O815" s="333" t="s">
        <v>69</v>
      </c>
      <c r="P815" s="38">
        <v>2302763.91</v>
      </c>
      <c r="Q815" s="38">
        <v>0</v>
      </c>
      <c r="R815" s="38">
        <v>0</v>
      </c>
      <c r="S815" s="38">
        <f t="shared" si="158"/>
        <v>2302763.91</v>
      </c>
      <c r="T815" s="38">
        <f t="shared" si="152"/>
        <v>2858.0909892019363</v>
      </c>
      <c r="U815" s="38">
        <v>5166.9682884448303</v>
      </c>
      <c r="V815" s="458">
        <f t="shared" si="153"/>
        <v>2308.877299242894</v>
      </c>
      <c r="W815" s="458">
        <f t="shared" si="159"/>
        <v>10862.758197840389</v>
      </c>
      <c r="X815" s="458">
        <v>0</v>
      </c>
      <c r="Y815" s="459">
        <v>0</v>
      </c>
      <c r="Z815" s="459">
        <v>0</v>
      </c>
      <c r="AA815" s="459">
        <v>0</v>
      </c>
      <c r="AB815" s="459">
        <v>0</v>
      </c>
      <c r="AC815" s="459">
        <v>0</v>
      </c>
      <c r="AD815" s="459">
        <v>0</v>
      </c>
      <c r="AE815" s="459">
        <v>0</v>
      </c>
      <c r="AF815" s="458">
        <v>0</v>
      </c>
      <c r="AG815" s="459">
        <v>0</v>
      </c>
      <c r="AH815" s="458">
        <v>0</v>
      </c>
      <c r="AI815" s="459">
        <v>0</v>
      </c>
      <c r="AJ815" s="458">
        <v>0</v>
      </c>
      <c r="AK815" s="459">
        <v>114</v>
      </c>
      <c r="AL815" s="458">
        <f>76773.02*AK815/I815</f>
        <v>10862.758197840389</v>
      </c>
      <c r="AM815" s="459">
        <v>0</v>
      </c>
      <c r="AN815" s="459"/>
      <c r="AO815" s="459">
        <v>0</v>
      </c>
      <c r="AP815" s="460"/>
      <c r="AQ815" s="460"/>
      <c r="AR815" s="460"/>
      <c r="AS815" s="460"/>
      <c r="AT815" s="460"/>
      <c r="AU815" s="460"/>
      <c r="AV815" s="460"/>
      <c r="AW815" s="460"/>
      <c r="AX815" s="460"/>
      <c r="AY815" s="460"/>
      <c r="AZ815" s="460"/>
      <c r="BA815" s="460"/>
      <c r="BB815" s="460"/>
      <c r="BC815" s="460"/>
      <c r="BD815" s="460"/>
      <c r="BE815" s="460"/>
      <c r="BF815" s="460"/>
      <c r="BG815" s="460"/>
      <c r="BH815" s="460"/>
      <c r="BI815" s="460"/>
      <c r="BJ815" s="460"/>
      <c r="BK815" s="460"/>
      <c r="BL815" s="460"/>
      <c r="BM815" s="460"/>
      <c r="BN815" s="460"/>
      <c r="BO815" s="460"/>
      <c r="BP815" s="460"/>
      <c r="BQ815" s="460"/>
      <c r="BR815" s="460"/>
      <c r="BS815" s="460"/>
      <c r="BT815" s="460"/>
      <c r="BU815" s="460"/>
      <c r="BV815" s="460"/>
      <c r="BW815" s="460"/>
      <c r="BX815" s="460"/>
      <c r="BY815" s="460"/>
      <c r="BZ815" s="460"/>
      <c r="CA815" s="460"/>
      <c r="CB815" s="460"/>
      <c r="CC815" s="460"/>
      <c r="CD815" s="460"/>
      <c r="CE815" s="460"/>
      <c r="CF815" s="460"/>
      <c r="CG815" s="460"/>
      <c r="CH815" s="460"/>
      <c r="CI815" s="460"/>
      <c r="CJ815" s="460"/>
      <c r="CK815" s="460"/>
    </row>
    <row r="816" spans="1:89" s="329" customFormat="1" ht="36" customHeight="1" x14ac:dyDescent="0.25">
      <c r="A816" s="329">
        <v>1</v>
      </c>
      <c r="B816" s="39">
        <f>SUBTOTAL(103,$A$552:A816)</f>
        <v>251</v>
      </c>
      <c r="C816" s="33" t="s">
        <v>1287</v>
      </c>
      <c r="D816" s="330">
        <v>1964</v>
      </c>
      <c r="E816" s="330"/>
      <c r="F816" s="331" t="s">
        <v>48</v>
      </c>
      <c r="G816" s="330">
        <v>2</v>
      </c>
      <c r="H816" s="330" t="s">
        <v>56</v>
      </c>
      <c r="I816" s="334">
        <v>645.4</v>
      </c>
      <c r="J816" s="334">
        <v>597.4</v>
      </c>
      <c r="K816" s="334">
        <v>596.20000000000005</v>
      </c>
      <c r="L816" s="332">
        <v>42</v>
      </c>
      <c r="M816" s="330" t="s">
        <v>46</v>
      </c>
      <c r="N816" s="330" t="s">
        <v>50</v>
      </c>
      <c r="O816" s="333" t="s">
        <v>2057</v>
      </c>
      <c r="P816" s="38">
        <v>2244110.73</v>
      </c>
      <c r="Q816" s="38">
        <v>0</v>
      </c>
      <c r="R816" s="38">
        <v>0</v>
      </c>
      <c r="S816" s="38">
        <f t="shared" si="158"/>
        <v>2244110.73</v>
      </c>
      <c r="T816" s="38">
        <f t="shared" si="152"/>
        <v>3477.0851100092968</v>
      </c>
      <c r="U816" s="38">
        <v>5184.5478462968704</v>
      </c>
      <c r="V816" s="458">
        <f t="shared" si="153"/>
        <v>1707.4627362875735</v>
      </c>
      <c r="W816" s="458">
        <f t="shared" si="159"/>
        <v>6936.9031918190276</v>
      </c>
      <c r="X816" s="458">
        <v>0</v>
      </c>
      <c r="Y816" s="459">
        <v>0</v>
      </c>
      <c r="Z816" s="459">
        <v>0</v>
      </c>
      <c r="AA816" s="459">
        <v>0</v>
      </c>
      <c r="AB816" s="459">
        <v>0</v>
      </c>
      <c r="AC816" s="459">
        <v>0</v>
      </c>
      <c r="AD816" s="459">
        <v>0</v>
      </c>
      <c r="AE816" s="459">
        <v>0</v>
      </c>
      <c r="AF816" s="458">
        <v>0</v>
      </c>
      <c r="AG816" s="459">
        <v>0</v>
      </c>
      <c r="AH816" s="458">
        <v>0</v>
      </c>
      <c r="AI816" s="459">
        <v>0</v>
      </c>
      <c r="AJ816" s="458">
        <v>0</v>
      </c>
      <c r="AK816" s="459">
        <v>0</v>
      </c>
      <c r="AL816" s="459">
        <v>0</v>
      </c>
      <c r="AM816" s="459">
        <v>641</v>
      </c>
      <c r="AN816" s="459">
        <f>6984.52*AM816/I816</f>
        <v>6936.9031918190276</v>
      </c>
      <c r="AO816" s="459">
        <v>0</v>
      </c>
      <c r="AP816" s="460"/>
      <c r="AQ816" s="460"/>
      <c r="AR816" s="460"/>
      <c r="AS816" s="460"/>
      <c r="AT816" s="460"/>
      <c r="AU816" s="460"/>
      <c r="AV816" s="460"/>
      <c r="AW816" s="460"/>
      <c r="AX816" s="460"/>
      <c r="AY816" s="460"/>
      <c r="AZ816" s="460"/>
      <c r="BA816" s="460"/>
      <c r="BB816" s="460"/>
      <c r="BC816" s="460"/>
      <c r="BD816" s="460"/>
      <c r="BE816" s="460"/>
      <c r="BF816" s="460"/>
      <c r="BG816" s="460"/>
      <c r="BH816" s="460"/>
      <c r="BI816" s="460"/>
      <c r="BJ816" s="460"/>
      <c r="BK816" s="460"/>
      <c r="BL816" s="460"/>
      <c r="BM816" s="460"/>
      <c r="BN816" s="460"/>
      <c r="BO816" s="460"/>
      <c r="BP816" s="460"/>
      <c r="BQ816" s="460"/>
      <c r="BR816" s="460"/>
      <c r="BS816" s="460"/>
      <c r="BT816" s="460"/>
      <c r="BU816" s="460"/>
      <c r="BV816" s="460"/>
      <c r="BW816" s="460"/>
      <c r="BX816" s="460"/>
      <c r="BY816" s="460"/>
      <c r="BZ816" s="460"/>
      <c r="CA816" s="460"/>
      <c r="CB816" s="460"/>
      <c r="CC816" s="460"/>
      <c r="CD816" s="460"/>
      <c r="CE816" s="460"/>
      <c r="CF816" s="460"/>
      <c r="CG816" s="460"/>
      <c r="CH816" s="460"/>
      <c r="CI816" s="460"/>
      <c r="CJ816" s="460"/>
      <c r="CK816" s="460"/>
    </row>
    <row r="817" spans="1:89" s="329" customFormat="1" ht="36" customHeight="1" x14ac:dyDescent="0.25">
      <c r="A817" s="329">
        <v>1</v>
      </c>
      <c r="B817" s="39">
        <f>SUBTOTAL(103,$A$552:A817)</f>
        <v>252</v>
      </c>
      <c r="C817" s="33" t="s">
        <v>1289</v>
      </c>
      <c r="D817" s="330">
        <v>1963</v>
      </c>
      <c r="E817" s="330"/>
      <c r="F817" s="331" t="s">
        <v>48</v>
      </c>
      <c r="G817" s="330">
        <v>2</v>
      </c>
      <c r="H817" s="330" t="s">
        <v>57</v>
      </c>
      <c r="I817" s="334">
        <v>336.7</v>
      </c>
      <c r="J817" s="334">
        <v>304.3</v>
      </c>
      <c r="K817" s="334">
        <v>304.3</v>
      </c>
      <c r="L817" s="332">
        <v>15</v>
      </c>
      <c r="M817" s="330" t="s">
        <v>46</v>
      </c>
      <c r="N817" s="330" t="s">
        <v>50</v>
      </c>
      <c r="O817" s="333" t="s">
        <v>69</v>
      </c>
      <c r="P817" s="38">
        <v>1262100</v>
      </c>
      <c r="Q817" s="38">
        <v>0</v>
      </c>
      <c r="R817" s="38">
        <v>0</v>
      </c>
      <c r="S817" s="38">
        <f t="shared" si="158"/>
        <v>1262100</v>
      </c>
      <c r="T817" s="38">
        <f t="shared" si="152"/>
        <v>3748.4407484407484</v>
      </c>
      <c r="U817" s="38">
        <v>5038.6441639441637</v>
      </c>
      <c r="V817" s="458">
        <f t="shared" si="153"/>
        <v>1290.2034155034153</v>
      </c>
      <c r="W817" s="458">
        <f t="shared" si="159"/>
        <v>5188.2827442827447</v>
      </c>
      <c r="X817" s="458">
        <v>0</v>
      </c>
      <c r="Y817" s="459">
        <v>0</v>
      </c>
      <c r="Z817" s="459">
        <v>0</v>
      </c>
      <c r="AA817" s="459">
        <v>0</v>
      </c>
      <c r="AB817" s="459">
        <v>0</v>
      </c>
      <c r="AC817" s="459">
        <v>0</v>
      </c>
      <c r="AD817" s="459">
        <v>0</v>
      </c>
      <c r="AE817" s="459">
        <v>280</v>
      </c>
      <c r="AF817" s="458">
        <f>6238.91*AE817/I817</f>
        <v>5188.2827442827447</v>
      </c>
      <c r="AG817" s="459">
        <v>0</v>
      </c>
      <c r="AH817" s="458">
        <v>0</v>
      </c>
      <c r="AI817" s="459">
        <v>0</v>
      </c>
      <c r="AJ817" s="458">
        <v>0</v>
      </c>
      <c r="AK817" s="459">
        <v>0</v>
      </c>
      <c r="AL817" s="459">
        <v>0</v>
      </c>
      <c r="AM817" s="459">
        <v>0</v>
      </c>
      <c r="AN817" s="459"/>
      <c r="AO817" s="459">
        <v>0</v>
      </c>
      <c r="AP817" s="460"/>
      <c r="AQ817" s="460"/>
      <c r="AR817" s="460"/>
      <c r="AS817" s="460"/>
      <c r="AT817" s="460"/>
      <c r="AU817" s="460"/>
      <c r="AV817" s="460"/>
      <c r="AW817" s="460"/>
      <c r="AX817" s="460"/>
      <c r="AY817" s="460"/>
      <c r="AZ817" s="460"/>
      <c r="BA817" s="460"/>
      <c r="BB817" s="460"/>
      <c r="BC817" s="460"/>
      <c r="BD817" s="460"/>
      <c r="BE817" s="460"/>
      <c r="BF817" s="460"/>
      <c r="BG817" s="460"/>
      <c r="BH817" s="460"/>
      <c r="BI817" s="460"/>
      <c r="BJ817" s="460"/>
      <c r="BK817" s="460"/>
      <c r="BL817" s="460"/>
      <c r="BM817" s="460"/>
      <c r="BN817" s="460"/>
      <c r="BO817" s="460"/>
      <c r="BP817" s="460"/>
      <c r="BQ817" s="460"/>
      <c r="BR817" s="460"/>
      <c r="BS817" s="460"/>
      <c r="BT817" s="460"/>
      <c r="BU817" s="460"/>
      <c r="BV817" s="460"/>
      <c r="BW817" s="460"/>
      <c r="BX817" s="460"/>
      <c r="BY817" s="460"/>
      <c r="BZ817" s="460"/>
      <c r="CA817" s="460"/>
      <c r="CB817" s="460"/>
      <c r="CC817" s="460"/>
      <c r="CD817" s="460"/>
      <c r="CE817" s="460"/>
      <c r="CF817" s="460"/>
      <c r="CG817" s="460"/>
      <c r="CH817" s="460"/>
      <c r="CI817" s="460"/>
      <c r="CJ817" s="460"/>
      <c r="CK817" s="460"/>
    </row>
    <row r="818" spans="1:89" s="329" customFormat="1" ht="36" customHeight="1" x14ac:dyDescent="0.25">
      <c r="A818" s="329">
        <v>1</v>
      </c>
      <c r="B818" s="39">
        <f>SUBTOTAL(103,$A$552:A818)</f>
        <v>253</v>
      </c>
      <c r="C818" s="33" t="s">
        <v>1291</v>
      </c>
      <c r="D818" s="330">
        <v>1972</v>
      </c>
      <c r="E818" s="330"/>
      <c r="F818" s="331" t="s">
        <v>48</v>
      </c>
      <c r="G818" s="330">
        <v>2</v>
      </c>
      <c r="H818" s="330" t="s">
        <v>61</v>
      </c>
      <c r="I818" s="334">
        <v>899</v>
      </c>
      <c r="J818" s="334">
        <v>845</v>
      </c>
      <c r="K818" s="334">
        <v>845</v>
      </c>
      <c r="L818" s="332">
        <v>54</v>
      </c>
      <c r="M818" s="330" t="s">
        <v>46</v>
      </c>
      <c r="N818" s="330" t="s">
        <v>50</v>
      </c>
      <c r="O818" s="333" t="s">
        <v>69</v>
      </c>
      <c r="P818" s="38">
        <v>2600940</v>
      </c>
      <c r="Q818" s="38">
        <v>0</v>
      </c>
      <c r="R818" s="38">
        <v>0</v>
      </c>
      <c r="S818" s="38">
        <f t="shared" si="158"/>
        <v>2600940</v>
      </c>
      <c r="T818" s="38">
        <f t="shared" si="152"/>
        <v>2893.1479421579534</v>
      </c>
      <c r="U818" s="38">
        <v>3756.1139999999996</v>
      </c>
      <c r="V818" s="458">
        <f t="shared" si="153"/>
        <v>862.96605784204621</v>
      </c>
      <c r="W818" s="458">
        <f t="shared" si="159"/>
        <v>9735.3996440489445</v>
      </c>
      <c r="X818" s="458">
        <v>0</v>
      </c>
      <c r="Y818" s="459">
        <v>0</v>
      </c>
      <c r="Z818" s="459">
        <v>0</v>
      </c>
      <c r="AA818" s="459">
        <v>0</v>
      </c>
      <c r="AB818" s="459">
        <v>0</v>
      </c>
      <c r="AC818" s="459">
        <v>0</v>
      </c>
      <c r="AD818" s="459">
        <v>0</v>
      </c>
      <c r="AE818" s="459">
        <v>0</v>
      </c>
      <c r="AF818" s="458">
        <v>0</v>
      </c>
      <c r="AG818" s="459">
        <v>0</v>
      </c>
      <c r="AH818" s="458">
        <v>0</v>
      </c>
      <c r="AI818" s="459">
        <v>0</v>
      </c>
      <c r="AJ818" s="458">
        <v>0</v>
      </c>
      <c r="AK818" s="459">
        <v>114</v>
      </c>
      <c r="AL818" s="458">
        <f>76773.02*AK818/I818</f>
        <v>9735.3996440489445</v>
      </c>
      <c r="AM818" s="459">
        <v>0</v>
      </c>
      <c r="AN818" s="459"/>
      <c r="AO818" s="459">
        <v>0</v>
      </c>
      <c r="AP818" s="460"/>
      <c r="AQ818" s="460"/>
      <c r="AR818" s="460"/>
      <c r="AS818" s="460"/>
      <c r="AT818" s="460"/>
      <c r="AU818" s="460"/>
      <c r="AV818" s="460"/>
      <c r="AW818" s="460"/>
      <c r="AX818" s="460"/>
      <c r="AY818" s="460"/>
      <c r="AZ818" s="460"/>
      <c r="BA818" s="460"/>
      <c r="BB818" s="460"/>
      <c r="BC818" s="460"/>
      <c r="BD818" s="460"/>
      <c r="BE818" s="460"/>
      <c r="BF818" s="460"/>
      <c r="BG818" s="460"/>
      <c r="BH818" s="460"/>
      <c r="BI818" s="460"/>
      <c r="BJ818" s="460"/>
      <c r="BK818" s="460"/>
      <c r="BL818" s="460"/>
      <c r="BM818" s="460"/>
      <c r="BN818" s="460"/>
      <c r="BO818" s="460"/>
      <c r="BP818" s="460"/>
      <c r="BQ818" s="460"/>
      <c r="BR818" s="460"/>
      <c r="BS818" s="460"/>
      <c r="BT818" s="460"/>
      <c r="BU818" s="460"/>
      <c r="BV818" s="460"/>
      <c r="BW818" s="460"/>
      <c r="BX818" s="460"/>
      <c r="BY818" s="460"/>
      <c r="BZ818" s="460"/>
      <c r="CA818" s="460"/>
      <c r="CB818" s="460"/>
      <c r="CC818" s="460"/>
      <c r="CD818" s="460"/>
      <c r="CE818" s="460"/>
      <c r="CF818" s="460"/>
      <c r="CG818" s="460"/>
      <c r="CH818" s="460"/>
      <c r="CI818" s="460"/>
      <c r="CJ818" s="460"/>
      <c r="CK818" s="460"/>
    </row>
    <row r="819" spans="1:89" s="329" customFormat="1" ht="36" customHeight="1" x14ac:dyDescent="0.25">
      <c r="A819" s="329">
        <v>1</v>
      </c>
      <c r="B819" s="39">
        <f>SUBTOTAL(103,$A$552:A819)</f>
        <v>254</v>
      </c>
      <c r="C819" s="33" t="s">
        <v>1293</v>
      </c>
      <c r="D819" s="330">
        <v>1977</v>
      </c>
      <c r="E819" s="330"/>
      <c r="F819" s="331" t="s">
        <v>48</v>
      </c>
      <c r="G819" s="330">
        <v>5</v>
      </c>
      <c r="H819" s="330" t="s">
        <v>57</v>
      </c>
      <c r="I819" s="334">
        <v>3019</v>
      </c>
      <c r="J819" s="334">
        <v>3019</v>
      </c>
      <c r="K819" s="334">
        <v>764.2</v>
      </c>
      <c r="L819" s="332">
        <v>333</v>
      </c>
      <c r="M819" s="330" t="s">
        <v>46</v>
      </c>
      <c r="N819" s="330" t="s">
        <v>50</v>
      </c>
      <c r="O819" s="333" t="s">
        <v>2059</v>
      </c>
      <c r="P819" s="38">
        <v>878254.32000000007</v>
      </c>
      <c r="Q819" s="38">
        <v>0</v>
      </c>
      <c r="R819" s="38">
        <v>0</v>
      </c>
      <c r="S819" s="38">
        <f t="shared" si="158"/>
        <v>878254.32000000007</v>
      </c>
      <c r="T819" s="38">
        <f t="shared" si="152"/>
        <v>290.90901623053992</v>
      </c>
      <c r="U819" s="38">
        <v>290.90901623053992</v>
      </c>
      <c r="V819" s="458">
        <f t="shared" si="153"/>
        <v>0</v>
      </c>
      <c r="W819" s="458">
        <f t="shared" si="159"/>
        <v>578.63358728055653</v>
      </c>
      <c r="X819" s="458">
        <v>0</v>
      </c>
      <c r="Y819" s="459">
        <v>0</v>
      </c>
      <c r="Z819" s="459">
        <v>0</v>
      </c>
      <c r="AA819" s="459">
        <v>0</v>
      </c>
      <c r="AB819" s="459">
        <v>0</v>
      </c>
      <c r="AC819" s="459">
        <v>0</v>
      </c>
      <c r="AD819" s="459">
        <v>0</v>
      </c>
      <c r="AE819" s="459">
        <v>280</v>
      </c>
      <c r="AF819" s="458">
        <f>6238.91*AE819/I819</f>
        <v>578.63358728055653</v>
      </c>
      <c r="AG819" s="459">
        <v>0</v>
      </c>
      <c r="AH819" s="458">
        <v>0</v>
      </c>
      <c r="AI819" s="459">
        <v>0</v>
      </c>
      <c r="AJ819" s="458">
        <v>0</v>
      </c>
      <c r="AK819" s="459">
        <v>0</v>
      </c>
      <c r="AL819" s="459">
        <v>0</v>
      </c>
      <c r="AM819" s="459">
        <v>0</v>
      </c>
      <c r="AN819" s="459"/>
      <c r="AO819" s="459">
        <v>0</v>
      </c>
      <c r="AP819" s="460"/>
      <c r="AQ819" s="460"/>
      <c r="AR819" s="460"/>
      <c r="AS819" s="460"/>
      <c r="AT819" s="460"/>
      <c r="AU819" s="460"/>
      <c r="AV819" s="460"/>
      <c r="AW819" s="460"/>
      <c r="AX819" s="460"/>
      <c r="AY819" s="460"/>
      <c r="AZ819" s="460"/>
      <c r="BA819" s="460"/>
      <c r="BB819" s="460"/>
      <c r="BC819" s="460"/>
      <c r="BD819" s="460"/>
      <c r="BE819" s="460"/>
      <c r="BF819" s="460"/>
      <c r="BG819" s="460"/>
      <c r="BH819" s="460"/>
      <c r="BI819" s="460"/>
      <c r="BJ819" s="460"/>
      <c r="BK819" s="460"/>
      <c r="BL819" s="460"/>
      <c r="BM819" s="460"/>
      <c r="BN819" s="460"/>
      <c r="BO819" s="460"/>
      <c r="BP819" s="460"/>
      <c r="BQ819" s="460"/>
      <c r="BR819" s="460"/>
      <c r="BS819" s="460"/>
      <c r="BT819" s="460"/>
      <c r="BU819" s="460"/>
      <c r="BV819" s="460"/>
      <c r="BW819" s="460"/>
      <c r="BX819" s="460"/>
      <c r="BY819" s="460"/>
      <c r="BZ819" s="460"/>
      <c r="CA819" s="460"/>
      <c r="CB819" s="460"/>
      <c r="CC819" s="460"/>
      <c r="CD819" s="460"/>
      <c r="CE819" s="460"/>
      <c r="CF819" s="460"/>
      <c r="CG819" s="460"/>
      <c r="CH819" s="460"/>
      <c r="CI819" s="460"/>
      <c r="CJ819" s="460"/>
      <c r="CK819" s="460"/>
    </row>
    <row r="820" spans="1:89" s="329" customFormat="1" ht="36" customHeight="1" x14ac:dyDescent="0.25">
      <c r="A820" s="329">
        <v>1</v>
      </c>
      <c r="B820" s="39">
        <f>SUBTOTAL(103,$A$552:A820)</f>
        <v>255</v>
      </c>
      <c r="C820" s="33" t="s">
        <v>1614</v>
      </c>
      <c r="D820" s="330">
        <v>1958</v>
      </c>
      <c r="E820" s="330"/>
      <c r="F820" s="331" t="s">
        <v>48</v>
      </c>
      <c r="G820" s="330">
        <v>2</v>
      </c>
      <c r="H820" s="330" t="s">
        <v>56</v>
      </c>
      <c r="I820" s="334">
        <v>482.5</v>
      </c>
      <c r="J820" s="334">
        <v>430.9</v>
      </c>
      <c r="K820" s="334">
        <v>367.4</v>
      </c>
      <c r="L820" s="332">
        <v>27</v>
      </c>
      <c r="M820" s="330" t="s">
        <v>46</v>
      </c>
      <c r="N820" s="330" t="s">
        <v>50</v>
      </c>
      <c r="O820" s="333" t="s">
        <v>69</v>
      </c>
      <c r="P820" s="38">
        <v>1811384.8699999999</v>
      </c>
      <c r="Q820" s="38">
        <v>0</v>
      </c>
      <c r="R820" s="38">
        <v>0</v>
      </c>
      <c r="S820" s="38">
        <f t="shared" si="158"/>
        <v>1811384.8699999999</v>
      </c>
      <c r="T820" s="38">
        <f t="shared" si="152"/>
        <v>3754.1655336787562</v>
      </c>
      <c r="U820" s="38">
        <v>5900.6680414507764</v>
      </c>
      <c r="V820" s="458">
        <f t="shared" si="153"/>
        <v>2146.5025077720202</v>
      </c>
      <c r="W820" s="458">
        <f t="shared" si="159"/>
        <v>18139.11767875648</v>
      </c>
      <c r="X820" s="458">
        <v>0</v>
      </c>
      <c r="Y820" s="459">
        <v>0</v>
      </c>
      <c r="Z820" s="459">
        <v>0</v>
      </c>
      <c r="AA820" s="459">
        <v>0</v>
      </c>
      <c r="AB820" s="459">
        <v>0</v>
      </c>
      <c r="AC820" s="459">
        <v>0</v>
      </c>
      <c r="AD820" s="459">
        <v>0</v>
      </c>
      <c r="AE820" s="459">
        <v>0</v>
      </c>
      <c r="AF820" s="458">
        <v>0</v>
      </c>
      <c r="AG820" s="459">
        <v>0</v>
      </c>
      <c r="AH820" s="458">
        <v>0</v>
      </c>
      <c r="AI820" s="459">
        <v>0</v>
      </c>
      <c r="AJ820" s="458">
        <v>0</v>
      </c>
      <c r="AK820" s="459">
        <v>114</v>
      </c>
      <c r="AL820" s="458">
        <f>76773.02*AK820/I820</f>
        <v>18139.11767875648</v>
      </c>
      <c r="AM820" s="459">
        <v>0</v>
      </c>
      <c r="AN820" s="459"/>
      <c r="AO820" s="459">
        <v>0</v>
      </c>
      <c r="AP820" s="460"/>
      <c r="AQ820" s="460"/>
      <c r="AR820" s="460"/>
      <c r="AS820" s="460"/>
      <c r="AT820" s="460"/>
      <c r="AU820" s="460"/>
      <c r="AV820" s="460"/>
      <c r="AW820" s="460"/>
      <c r="AX820" s="460"/>
      <c r="AY820" s="460"/>
      <c r="AZ820" s="460"/>
      <c r="BA820" s="460"/>
      <c r="BB820" s="460"/>
      <c r="BC820" s="460"/>
      <c r="BD820" s="460"/>
      <c r="BE820" s="460"/>
      <c r="BF820" s="460"/>
      <c r="BG820" s="460"/>
      <c r="BH820" s="460"/>
      <c r="BI820" s="460"/>
      <c r="BJ820" s="460"/>
      <c r="BK820" s="460"/>
      <c r="BL820" s="460"/>
      <c r="BM820" s="460"/>
      <c r="BN820" s="460"/>
      <c r="BO820" s="460"/>
      <c r="BP820" s="460"/>
      <c r="BQ820" s="460"/>
      <c r="BR820" s="460"/>
      <c r="BS820" s="460"/>
      <c r="BT820" s="460"/>
      <c r="BU820" s="460"/>
      <c r="BV820" s="460"/>
      <c r="BW820" s="460"/>
      <c r="BX820" s="460"/>
      <c r="BY820" s="460"/>
      <c r="BZ820" s="460"/>
      <c r="CA820" s="460"/>
      <c r="CB820" s="460"/>
      <c r="CC820" s="460"/>
      <c r="CD820" s="460"/>
      <c r="CE820" s="460"/>
      <c r="CF820" s="460"/>
      <c r="CG820" s="460"/>
      <c r="CH820" s="460"/>
      <c r="CI820" s="460"/>
      <c r="CJ820" s="460"/>
      <c r="CK820" s="460"/>
    </row>
    <row r="821" spans="1:89" s="329" customFormat="1" ht="36" customHeight="1" x14ac:dyDescent="0.25">
      <c r="A821" s="329">
        <v>1</v>
      </c>
      <c r="B821" s="39">
        <f>SUBTOTAL(103,$A$552:A821)</f>
        <v>256</v>
      </c>
      <c r="C821" s="33" t="s">
        <v>1295</v>
      </c>
      <c r="D821" s="330">
        <v>1958</v>
      </c>
      <c r="E821" s="330"/>
      <c r="F821" s="331" t="s">
        <v>68</v>
      </c>
      <c r="G821" s="330">
        <v>2</v>
      </c>
      <c r="H821" s="330" t="s">
        <v>57</v>
      </c>
      <c r="I821" s="38">
        <v>658</v>
      </c>
      <c r="J821" s="38">
        <v>250.1</v>
      </c>
      <c r="K821" s="38">
        <v>250.1</v>
      </c>
      <c r="L821" s="332">
        <v>21</v>
      </c>
      <c r="M821" s="330" t="s">
        <v>46</v>
      </c>
      <c r="N821" s="330" t="s">
        <v>50</v>
      </c>
      <c r="O821" s="333" t="s">
        <v>69</v>
      </c>
      <c r="P821" s="38">
        <v>1415773.2100000002</v>
      </c>
      <c r="Q821" s="38">
        <v>0</v>
      </c>
      <c r="R821" s="38">
        <v>0</v>
      </c>
      <c r="S821" s="38">
        <f t="shared" si="158"/>
        <v>1415773.2100000002</v>
      </c>
      <c r="T821" s="38">
        <f t="shared" si="152"/>
        <v>2151.6310182370826</v>
      </c>
      <c r="U821" s="38">
        <v>2285.4679848024316</v>
      </c>
      <c r="V821" s="458">
        <f t="shared" si="153"/>
        <v>133.83696656534903</v>
      </c>
      <c r="W821" s="458">
        <f t="shared" si="159"/>
        <v>6305.2813829787228</v>
      </c>
      <c r="X821" s="458">
        <v>0</v>
      </c>
      <c r="Y821" s="459">
        <v>0</v>
      </c>
      <c r="Z821" s="459">
        <v>0</v>
      </c>
      <c r="AA821" s="459">
        <v>0</v>
      </c>
      <c r="AB821" s="459">
        <v>0</v>
      </c>
      <c r="AC821" s="459">
        <v>0</v>
      </c>
      <c r="AD821" s="459">
        <v>0</v>
      </c>
      <c r="AE821" s="459">
        <v>665</v>
      </c>
      <c r="AF821" s="458">
        <f>6238.91*AE821/I821</f>
        <v>6305.2813829787228</v>
      </c>
      <c r="AG821" s="459">
        <v>0</v>
      </c>
      <c r="AH821" s="458">
        <v>0</v>
      </c>
      <c r="AI821" s="459">
        <v>0</v>
      </c>
      <c r="AJ821" s="458">
        <v>0</v>
      </c>
      <c r="AK821" s="459">
        <v>0</v>
      </c>
      <c r="AL821" s="459">
        <v>0</v>
      </c>
      <c r="AM821" s="459">
        <v>0</v>
      </c>
      <c r="AN821" s="459"/>
      <c r="AO821" s="459">
        <v>0</v>
      </c>
      <c r="AP821" s="460"/>
      <c r="AQ821" s="460"/>
      <c r="AR821" s="460"/>
      <c r="AS821" s="460"/>
      <c r="AT821" s="460"/>
      <c r="AU821" s="460"/>
      <c r="AV821" s="460"/>
      <c r="AW821" s="460"/>
      <c r="AX821" s="460"/>
      <c r="AY821" s="460"/>
      <c r="AZ821" s="460"/>
      <c r="BA821" s="460"/>
      <c r="BB821" s="460"/>
      <c r="BC821" s="460"/>
      <c r="BD821" s="460"/>
      <c r="BE821" s="460"/>
      <c r="BF821" s="460"/>
      <c r="BG821" s="460"/>
      <c r="BH821" s="460"/>
      <c r="BI821" s="460"/>
      <c r="BJ821" s="460"/>
      <c r="BK821" s="460"/>
      <c r="BL821" s="460"/>
      <c r="BM821" s="460"/>
      <c r="BN821" s="460"/>
      <c r="BO821" s="460"/>
      <c r="BP821" s="460"/>
      <c r="BQ821" s="460"/>
      <c r="BR821" s="460"/>
      <c r="BS821" s="460"/>
      <c r="BT821" s="460"/>
      <c r="BU821" s="460"/>
      <c r="BV821" s="460"/>
      <c r="BW821" s="460"/>
      <c r="BX821" s="460"/>
      <c r="BY821" s="460"/>
      <c r="BZ821" s="460"/>
      <c r="CA821" s="460"/>
      <c r="CB821" s="460"/>
      <c r="CC821" s="460"/>
      <c r="CD821" s="460"/>
      <c r="CE821" s="460"/>
      <c r="CF821" s="460"/>
      <c r="CG821" s="460"/>
      <c r="CH821" s="460"/>
      <c r="CI821" s="460"/>
      <c r="CJ821" s="460"/>
      <c r="CK821" s="460"/>
    </row>
    <row r="822" spans="1:89" s="329" customFormat="1" ht="36" customHeight="1" x14ac:dyDescent="0.25">
      <c r="B822" s="33" t="s">
        <v>1615</v>
      </c>
      <c r="C822" s="33"/>
      <c r="D822" s="330" t="s">
        <v>131</v>
      </c>
      <c r="E822" s="330" t="s">
        <v>131</v>
      </c>
      <c r="F822" s="330" t="s">
        <v>131</v>
      </c>
      <c r="G822" s="330" t="s">
        <v>131</v>
      </c>
      <c r="H822" s="330" t="s">
        <v>131</v>
      </c>
      <c r="I822" s="334">
        <f>SUM(I823:I824)</f>
        <v>1813.6000000000001</v>
      </c>
      <c r="J822" s="334">
        <f t="shared" ref="J822:L822" si="160">SUM(J823:J824)</f>
        <v>1627.1000000000001</v>
      </c>
      <c r="K822" s="334">
        <f t="shared" si="160"/>
        <v>1572.5000000000002</v>
      </c>
      <c r="L822" s="332">
        <f t="shared" si="160"/>
        <v>68</v>
      </c>
      <c r="M822" s="330" t="s">
        <v>131</v>
      </c>
      <c r="N822" s="330" t="s">
        <v>131</v>
      </c>
      <c r="O822" s="333" t="s">
        <v>131</v>
      </c>
      <c r="P822" s="38">
        <v>5788982.2599999998</v>
      </c>
      <c r="Q822" s="38">
        <f t="shared" ref="Q822:S822" si="161">SUM(Q823:Q824)</f>
        <v>0</v>
      </c>
      <c r="R822" s="38">
        <f t="shared" si="161"/>
        <v>0</v>
      </c>
      <c r="S822" s="38">
        <f t="shared" si="161"/>
        <v>5788982.2599999998</v>
      </c>
      <c r="T822" s="38">
        <f t="shared" si="152"/>
        <v>3191.9840427878248</v>
      </c>
      <c r="U822" s="38">
        <f>MAX(U823:U824)</f>
        <v>7527.0909833061887</v>
      </c>
      <c r="V822" s="458">
        <f t="shared" si="153"/>
        <v>4335.1069405183644</v>
      </c>
      <c r="W822" s="458"/>
      <c r="X822" s="458"/>
      <c r="Y822" s="459"/>
      <c r="Z822" s="459"/>
      <c r="AA822" s="459"/>
      <c r="AB822" s="459"/>
      <c r="AC822" s="459"/>
      <c r="AD822" s="459"/>
      <c r="AE822" s="459"/>
      <c r="AF822" s="459"/>
      <c r="AG822" s="459"/>
      <c r="AH822" s="459"/>
      <c r="AI822" s="459"/>
      <c r="AJ822" s="459"/>
      <c r="AK822" s="459"/>
      <c r="AL822" s="459"/>
      <c r="AM822" s="459"/>
      <c r="AN822" s="459"/>
      <c r="AO822" s="459"/>
      <c r="AP822" s="460"/>
      <c r="AQ822" s="460"/>
      <c r="AR822" s="460"/>
      <c r="AS822" s="460"/>
      <c r="AT822" s="460"/>
      <c r="AU822" s="460"/>
      <c r="AV822" s="460"/>
      <c r="AW822" s="460"/>
      <c r="AX822" s="460"/>
      <c r="AY822" s="460"/>
      <c r="AZ822" s="460"/>
      <c r="BA822" s="460"/>
      <c r="BB822" s="460"/>
      <c r="BC822" s="460"/>
      <c r="BD822" s="460"/>
      <c r="BE822" s="460"/>
      <c r="BF822" s="460"/>
      <c r="BG822" s="460"/>
      <c r="BH822" s="460"/>
      <c r="BI822" s="460"/>
      <c r="BJ822" s="460"/>
      <c r="BK822" s="460"/>
      <c r="BL822" s="460"/>
      <c r="BM822" s="460"/>
      <c r="BN822" s="460"/>
      <c r="BO822" s="460"/>
      <c r="BP822" s="460"/>
      <c r="BQ822" s="460"/>
      <c r="BR822" s="460"/>
      <c r="BS822" s="460"/>
      <c r="BT822" s="460"/>
      <c r="BU822" s="460"/>
      <c r="BV822" s="460"/>
      <c r="BW822" s="460"/>
      <c r="BX822" s="460"/>
      <c r="BY822" s="460"/>
      <c r="BZ822" s="460"/>
      <c r="CA822" s="460"/>
      <c r="CB822" s="460"/>
      <c r="CC822" s="460"/>
      <c r="CD822" s="460"/>
      <c r="CE822" s="460"/>
      <c r="CF822" s="460"/>
      <c r="CG822" s="460"/>
      <c r="CH822" s="460"/>
      <c r="CI822" s="460"/>
      <c r="CJ822" s="460"/>
      <c r="CK822" s="460"/>
    </row>
    <row r="823" spans="1:89" s="329" customFormat="1" ht="36" customHeight="1" x14ac:dyDescent="0.25">
      <c r="A823" s="329">
        <v>1</v>
      </c>
      <c r="B823" s="39">
        <f>SUBTOTAL(103,$A$552:A823)</f>
        <v>257</v>
      </c>
      <c r="C823" s="33" t="s">
        <v>1616</v>
      </c>
      <c r="D823" s="330">
        <v>1981</v>
      </c>
      <c r="E823" s="330"/>
      <c r="F823" s="331" t="s">
        <v>63</v>
      </c>
      <c r="G823" s="330">
        <v>2</v>
      </c>
      <c r="H823" s="330" t="s">
        <v>59</v>
      </c>
      <c r="I823" s="334">
        <v>1322.4</v>
      </c>
      <c r="J823" s="334">
        <v>1191.4000000000001</v>
      </c>
      <c r="K823" s="334">
        <v>1136.8000000000002</v>
      </c>
      <c r="L823" s="332">
        <v>36</v>
      </c>
      <c r="M823" s="330" t="s">
        <v>46</v>
      </c>
      <c r="N823" s="330" t="s">
        <v>47</v>
      </c>
      <c r="O823" s="333" t="s">
        <v>49</v>
      </c>
      <c r="P823" s="38">
        <v>3254609.94</v>
      </c>
      <c r="Q823" s="38">
        <v>0</v>
      </c>
      <c r="R823" s="38">
        <v>0</v>
      </c>
      <c r="S823" s="38">
        <f>P823-Q823-R823</f>
        <v>3254609.94</v>
      </c>
      <c r="T823" s="38">
        <f t="shared" si="152"/>
        <v>2461.1387931034483</v>
      </c>
      <c r="U823" s="38">
        <v>4738.6571960072597</v>
      </c>
      <c r="V823" s="458">
        <f t="shared" si="153"/>
        <v>2277.5184029038114</v>
      </c>
      <c r="W823" s="458">
        <f t="shared" ref="W823:W824" si="162">X823+Y823+Z823+AA823+AB823+AD823+AF823+AH823+AJ823+AL823+AN823+AO823</f>
        <v>4970.2106470054441</v>
      </c>
      <c r="X823" s="458">
        <v>0</v>
      </c>
      <c r="Y823" s="459">
        <v>0</v>
      </c>
      <c r="Z823" s="459">
        <v>0</v>
      </c>
      <c r="AA823" s="459">
        <v>0</v>
      </c>
      <c r="AB823" s="459">
        <v>0</v>
      </c>
      <c r="AC823" s="459">
        <v>0</v>
      </c>
      <c r="AD823" s="459">
        <v>0</v>
      </c>
      <c r="AE823" s="459">
        <v>0</v>
      </c>
      <c r="AF823" s="458">
        <v>0</v>
      </c>
      <c r="AG823" s="459">
        <v>0</v>
      </c>
      <c r="AH823" s="458">
        <v>0</v>
      </c>
      <c r="AI823" s="459">
        <v>842.36</v>
      </c>
      <c r="AJ823" s="458">
        <f>7802.61*AI823/I823</f>
        <v>4970.2106470054441</v>
      </c>
      <c r="AK823" s="459">
        <v>0</v>
      </c>
      <c r="AL823" s="459">
        <v>0</v>
      </c>
      <c r="AM823" s="459">
        <v>0</v>
      </c>
      <c r="AN823" s="459"/>
      <c r="AO823" s="459">
        <v>0</v>
      </c>
      <c r="AP823" s="460"/>
      <c r="AQ823" s="460"/>
      <c r="AR823" s="460"/>
      <c r="AS823" s="460"/>
      <c r="AT823" s="460"/>
      <c r="AU823" s="460"/>
      <c r="AV823" s="460"/>
      <c r="AW823" s="460"/>
      <c r="AX823" s="460"/>
      <c r="AY823" s="460"/>
      <c r="AZ823" s="460"/>
      <c r="BA823" s="460"/>
      <c r="BB823" s="460"/>
      <c r="BC823" s="460"/>
      <c r="BD823" s="460"/>
      <c r="BE823" s="460"/>
      <c r="BF823" s="460"/>
      <c r="BG823" s="460"/>
      <c r="BH823" s="460"/>
      <c r="BI823" s="460"/>
      <c r="BJ823" s="460"/>
      <c r="BK823" s="460"/>
      <c r="BL823" s="460"/>
      <c r="BM823" s="460"/>
      <c r="BN823" s="460"/>
      <c r="BO823" s="460"/>
      <c r="BP823" s="460"/>
      <c r="BQ823" s="460"/>
      <c r="BR823" s="460"/>
      <c r="BS823" s="460"/>
      <c r="BT823" s="460"/>
      <c r="BU823" s="460"/>
      <c r="BV823" s="460"/>
      <c r="BW823" s="460"/>
      <c r="BX823" s="460"/>
      <c r="BY823" s="460"/>
      <c r="BZ823" s="460"/>
      <c r="CA823" s="460"/>
      <c r="CB823" s="460"/>
      <c r="CC823" s="460"/>
      <c r="CD823" s="460"/>
      <c r="CE823" s="460"/>
      <c r="CF823" s="460"/>
      <c r="CG823" s="460"/>
      <c r="CH823" s="460"/>
      <c r="CI823" s="460"/>
      <c r="CJ823" s="460"/>
      <c r="CK823" s="460"/>
    </row>
    <row r="824" spans="1:89" s="329" customFormat="1" ht="36" customHeight="1" x14ac:dyDescent="0.25">
      <c r="A824" s="329">
        <v>1</v>
      </c>
      <c r="B824" s="39">
        <f>SUBTOTAL(103,$A$552:A824)</f>
        <v>258</v>
      </c>
      <c r="C824" s="33" t="s">
        <v>1617</v>
      </c>
      <c r="D824" s="330">
        <v>1967</v>
      </c>
      <c r="E824" s="330"/>
      <c r="F824" s="331" t="s">
        <v>48</v>
      </c>
      <c r="G824" s="330">
        <v>2</v>
      </c>
      <c r="H824" s="330" t="s">
        <v>56</v>
      </c>
      <c r="I824" s="38">
        <v>491.2</v>
      </c>
      <c r="J824" s="38">
        <v>435.7</v>
      </c>
      <c r="K824" s="38">
        <v>435.7</v>
      </c>
      <c r="L824" s="332">
        <v>32</v>
      </c>
      <c r="M824" s="330" t="s">
        <v>46</v>
      </c>
      <c r="N824" s="330" t="s">
        <v>47</v>
      </c>
      <c r="O824" s="333" t="s">
        <v>49</v>
      </c>
      <c r="P824" s="38">
        <v>2534372.3199999998</v>
      </c>
      <c r="Q824" s="38">
        <v>0</v>
      </c>
      <c r="R824" s="38">
        <v>0</v>
      </c>
      <c r="S824" s="38">
        <f>P824-Q824-R824</f>
        <v>2534372.3199999998</v>
      </c>
      <c r="T824" s="38">
        <f t="shared" si="152"/>
        <v>5159.5527687296417</v>
      </c>
      <c r="U824" s="38">
        <v>7527.0909833061887</v>
      </c>
      <c r="V824" s="458">
        <f t="shared" si="153"/>
        <v>2367.538214576547</v>
      </c>
      <c r="W824" s="458">
        <f t="shared" si="162"/>
        <v>7526.9395358306192</v>
      </c>
      <c r="X824" s="458">
        <v>0</v>
      </c>
      <c r="Y824" s="459">
        <v>0</v>
      </c>
      <c r="Z824" s="459">
        <v>0</v>
      </c>
      <c r="AA824" s="459">
        <v>0</v>
      </c>
      <c r="AB824" s="459">
        <v>0</v>
      </c>
      <c r="AC824" s="459">
        <v>0</v>
      </c>
      <c r="AD824" s="459">
        <v>0</v>
      </c>
      <c r="AE824" s="459">
        <v>0</v>
      </c>
      <c r="AF824" s="458">
        <v>0</v>
      </c>
      <c r="AG824" s="459">
        <v>0</v>
      </c>
      <c r="AH824" s="458">
        <v>0</v>
      </c>
      <c r="AI824" s="459">
        <v>497</v>
      </c>
      <c r="AJ824" s="458">
        <f>7439.1*AI824/I824</f>
        <v>7526.9395358306192</v>
      </c>
      <c r="AK824" s="459">
        <v>0</v>
      </c>
      <c r="AL824" s="459">
        <v>0</v>
      </c>
      <c r="AM824" s="459">
        <v>0</v>
      </c>
      <c r="AN824" s="459"/>
      <c r="AO824" s="459">
        <v>0</v>
      </c>
      <c r="AP824" s="460"/>
      <c r="AQ824" s="460"/>
      <c r="AR824" s="460"/>
      <c r="AS824" s="460"/>
      <c r="AT824" s="460"/>
      <c r="AU824" s="460"/>
      <c r="AV824" s="460"/>
      <c r="AW824" s="460"/>
      <c r="AX824" s="460"/>
      <c r="AY824" s="460"/>
      <c r="AZ824" s="460"/>
      <c r="BA824" s="460"/>
      <c r="BB824" s="460"/>
      <c r="BC824" s="460"/>
      <c r="BD824" s="460"/>
      <c r="BE824" s="460"/>
      <c r="BF824" s="460"/>
      <c r="BG824" s="460"/>
      <c r="BH824" s="460"/>
      <c r="BI824" s="460"/>
      <c r="BJ824" s="460"/>
      <c r="BK824" s="460"/>
      <c r="BL824" s="460"/>
      <c r="BM824" s="460"/>
      <c r="BN824" s="460"/>
      <c r="BO824" s="460"/>
      <c r="BP824" s="460"/>
      <c r="BQ824" s="460"/>
      <c r="BR824" s="460"/>
      <c r="BS824" s="460"/>
      <c r="BT824" s="460"/>
      <c r="BU824" s="460"/>
      <c r="BV824" s="460"/>
      <c r="BW824" s="460"/>
      <c r="BX824" s="460"/>
      <c r="BY824" s="460"/>
      <c r="BZ824" s="460"/>
      <c r="CA824" s="460"/>
      <c r="CB824" s="460"/>
      <c r="CC824" s="460"/>
      <c r="CD824" s="460"/>
      <c r="CE824" s="460"/>
      <c r="CF824" s="460"/>
      <c r="CG824" s="460"/>
      <c r="CH824" s="460"/>
      <c r="CI824" s="460"/>
      <c r="CJ824" s="460"/>
      <c r="CK824" s="460"/>
    </row>
    <row r="825" spans="1:89" s="329" customFormat="1" ht="36" customHeight="1" x14ac:dyDescent="0.25">
      <c r="B825" s="33" t="s">
        <v>102</v>
      </c>
      <c r="C825" s="33"/>
      <c r="D825" s="330" t="s">
        <v>131</v>
      </c>
      <c r="E825" s="330" t="s">
        <v>131</v>
      </c>
      <c r="F825" s="330" t="s">
        <v>131</v>
      </c>
      <c r="G825" s="330" t="s">
        <v>131</v>
      </c>
      <c r="H825" s="330" t="s">
        <v>131</v>
      </c>
      <c r="I825" s="334">
        <f>SUM(I826:I828)</f>
        <v>1142</v>
      </c>
      <c r="J825" s="334">
        <f t="shared" ref="J825:L825" si="163">SUM(J826:J828)</f>
        <v>1037.3</v>
      </c>
      <c r="K825" s="334">
        <f t="shared" si="163"/>
        <v>822.19999999999993</v>
      </c>
      <c r="L825" s="332">
        <f t="shared" si="163"/>
        <v>43</v>
      </c>
      <c r="M825" s="330" t="s">
        <v>131</v>
      </c>
      <c r="N825" s="330" t="s">
        <v>131</v>
      </c>
      <c r="O825" s="333" t="s">
        <v>131</v>
      </c>
      <c r="P825" s="38">
        <v>1900027.6800000002</v>
      </c>
      <c r="Q825" s="38">
        <f t="shared" ref="Q825:S825" si="164">SUM(Q826:Q828)</f>
        <v>0</v>
      </c>
      <c r="R825" s="38">
        <f t="shared" si="164"/>
        <v>0</v>
      </c>
      <c r="S825" s="38">
        <f t="shared" si="164"/>
        <v>1900027.6800000002</v>
      </c>
      <c r="T825" s="38">
        <f t="shared" si="152"/>
        <v>1663.7720490367776</v>
      </c>
      <c r="U825" s="38">
        <f>MAX(U826:U828)</f>
        <v>8321.4112350182386</v>
      </c>
      <c r="V825" s="458">
        <f t="shared" si="153"/>
        <v>6657.6391859814612</v>
      </c>
      <c r="W825" s="458"/>
      <c r="X825" s="458"/>
      <c r="Y825" s="459"/>
      <c r="Z825" s="459"/>
      <c r="AA825" s="459"/>
      <c r="AB825" s="459"/>
      <c r="AC825" s="459"/>
      <c r="AD825" s="459"/>
      <c r="AE825" s="459"/>
      <c r="AF825" s="459"/>
      <c r="AG825" s="459"/>
      <c r="AH825" s="459"/>
      <c r="AI825" s="459"/>
      <c r="AJ825" s="459"/>
      <c r="AK825" s="459"/>
      <c r="AL825" s="459"/>
      <c r="AM825" s="459"/>
      <c r="AN825" s="459"/>
      <c r="AO825" s="459"/>
      <c r="AP825" s="460"/>
      <c r="AQ825" s="460"/>
      <c r="AR825" s="460"/>
      <c r="AS825" s="460"/>
      <c r="AT825" s="460"/>
      <c r="AU825" s="460"/>
      <c r="AV825" s="460"/>
      <c r="AW825" s="460"/>
      <c r="AX825" s="460"/>
      <c r="AY825" s="460"/>
      <c r="AZ825" s="460"/>
      <c r="BA825" s="460"/>
      <c r="BB825" s="460"/>
      <c r="BC825" s="460"/>
      <c r="BD825" s="460"/>
      <c r="BE825" s="460"/>
      <c r="BF825" s="460"/>
      <c r="BG825" s="460"/>
      <c r="BH825" s="460"/>
      <c r="BI825" s="460"/>
      <c r="BJ825" s="460"/>
      <c r="BK825" s="460"/>
      <c r="BL825" s="460"/>
      <c r="BM825" s="460"/>
      <c r="BN825" s="460"/>
      <c r="BO825" s="460"/>
      <c r="BP825" s="460"/>
      <c r="BQ825" s="460"/>
      <c r="BR825" s="460"/>
      <c r="BS825" s="460"/>
      <c r="BT825" s="460"/>
      <c r="BU825" s="460"/>
      <c r="BV825" s="460"/>
      <c r="BW825" s="460"/>
      <c r="BX825" s="460"/>
      <c r="BY825" s="460"/>
      <c r="BZ825" s="460"/>
      <c r="CA825" s="460"/>
      <c r="CB825" s="460"/>
      <c r="CC825" s="460"/>
      <c r="CD825" s="460"/>
      <c r="CE825" s="460"/>
      <c r="CF825" s="460"/>
      <c r="CG825" s="460"/>
      <c r="CH825" s="460"/>
      <c r="CI825" s="460"/>
      <c r="CJ825" s="460"/>
      <c r="CK825" s="460"/>
    </row>
    <row r="826" spans="1:89" s="329" customFormat="1" ht="36" customHeight="1" x14ac:dyDescent="0.25">
      <c r="A826" s="329">
        <v>1</v>
      </c>
      <c r="B826" s="39">
        <f>SUBTOTAL(103,$A$552:A826)</f>
        <v>259</v>
      </c>
      <c r="C826" s="33" t="s">
        <v>1298</v>
      </c>
      <c r="D826" s="330">
        <v>1954</v>
      </c>
      <c r="E826" s="330"/>
      <c r="F826" s="331" t="s">
        <v>48</v>
      </c>
      <c r="G826" s="330">
        <v>2</v>
      </c>
      <c r="H826" s="330" t="s">
        <v>57</v>
      </c>
      <c r="I826" s="334">
        <v>373.6</v>
      </c>
      <c r="J826" s="334">
        <v>342.5</v>
      </c>
      <c r="K826" s="334">
        <v>160.1</v>
      </c>
      <c r="L826" s="332">
        <v>9</v>
      </c>
      <c r="M826" s="330" t="s">
        <v>46</v>
      </c>
      <c r="N826" s="330" t="s">
        <v>47</v>
      </c>
      <c r="O826" s="333" t="s">
        <v>49</v>
      </c>
      <c r="P826" s="38">
        <v>136194.91</v>
      </c>
      <c r="Q826" s="38">
        <v>0</v>
      </c>
      <c r="R826" s="38">
        <v>0</v>
      </c>
      <c r="S826" s="38">
        <f>P826-Q826-R826</f>
        <v>136194.91</v>
      </c>
      <c r="T826" s="38">
        <f t="shared" si="152"/>
        <v>364.54740364025696</v>
      </c>
      <c r="U826" s="38">
        <v>364.54740364025696</v>
      </c>
      <c r="V826" s="458">
        <f t="shared" si="153"/>
        <v>0</v>
      </c>
      <c r="W826" s="458">
        <f t="shared" ref="W826:W828" si="165">X826+Y826+Z826+AA826+AB826+AD826+AF826+AH826+AJ826+AL826+AN826+AO826</f>
        <v>17592.629977516059</v>
      </c>
      <c r="X826" s="458">
        <v>0</v>
      </c>
      <c r="Y826" s="459">
        <v>0</v>
      </c>
      <c r="Z826" s="459">
        <v>0</v>
      </c>
      <c r="AA826" s="459">
        <v>0</v>
      </c>
      <c r="AB826" s="459">
        <v>0</v>
      </c>
      <c r="AC826" s="459">
        <v>0</v>
      </c>
      <c r="AD826" s="459">
        <v>0</v>
      </c>
      <c r="AE826" s="459">
        <v>0</v>
      </c>
      <c r="AF826" s="458">
        <v>0</v>
      </c>
      <c r="AG826" s="459">
        <v>0</v>
      </c>
      <c r="AH826" s="458">
        <v>0</v>
      </c>
      <c r="AI826" s="459">
        <v>842.36</v>
      </c>
      <c r="AJ826" s="458">
        <f>7802.61*AI826/I826</f>
        <v>17592.629977516059</v>
      </c>
      <c r="AK826" s="459">
        <v>0</v>
      </c>
      <c r="AL826" s="459">
        <v>0</v>
      </c>
      <c r="AM826" s="459">
        <v>0</v>
      </c>
      <c r="AN826" s="459"/>
      <c r="AO826" s="459">
        <v>0</v>
      </c>
      <c r="AP826" s="460"/>
      <c r="AQ826" s="460"/>
      <c r="AR826" s="460"/>
      <c r="AS826" s="460"/>
      <c r="AT826" s="460"/>
      <c r="AU826" s="460"/>
      <c r="AV826" s="460"/>
      <c r="AW826" s="460"/>
      <c r="AX826" s="460"/>
      <c r="AY826" s="460"/>
      <c r="AZ826" s="460"/>
      <c r="BA826" s="460"/>
      <c r="BB826" s="460"/>
      <c r="BC826" s="460"/>
      <c r="BD826" s="460"/>
      <c r="BE826" s="460"/>
      <c r="BF826" s="460"/>
      <c r="BG826" s="460"/>
      <c r="BH826" s="460"/>
      <c r="BI826" s="460"/>
      <c r="BJ826" s="460"/>
      <c r="BK826" s="460"/>
      <c r="BL826" s="460"/>
      <c r="BM826" s="460"/>
      <c r="BN826" s="460"/>
      <c r="BO826" s="460"/>
      <c r="BP826" s="460"/>
      <c r="BQ826" s="460"/>
      <c r="BR826" s="460"/>
      <c r="BS826" s="460"/>
      <c r="BT826" s="460"/>
      <c r="BU826" s="460"/>
      <c r="BV826" s="460"/>
      <c r="BW826" s="460"/>
      <c r="BX826" s="460"/>
      <c r="BY826" s="460"/>
      <c r="BZ826" s="460"/>
      <c r="CA826" s="460"/>
      <c r="CB826" s="460"/>
      <c r="CC826" s="460"/>
      <c r="CD826" s="460"/>
      <c r="CE826" s="460"/>
      <c r="CF826" s="460"/>
      <c r="CG826" s="460"/>
      <c r="CH826" s="460"/>
      <c r="CI826" s="460"/>
      <c r="CJ826" s="460"/>
      <c r="CK826" s="460"/>
    </row>
    <row r="827" spans="1:89" s="329" customFormat="1" ht="36" customHeight="1" x14ac:dyDescent="0.25">
      <c r="A827" s="329">
        <v>1</v>
      </c>
      <c r="B827" s="39">
        <f>SUBTOTAL(103,$A$552:A827)</f>
        <v>260</v>
      </c>
      <c r="C827" s="33" t="s">
        <v>1618</v>
      </c>
      <c r="D827" s="330">
        <v>1973</v>
      </c>
      <c r="E827" s="330"/>
      <c r="F827" s="331" t="s">
        <v>48</v>
      </c>
      <c r="G827" s="330">
        <v>2</v>
      </c>
      <c r="H827" s="330" t="s">
        <v>57</v>
      </c>
      <c r="I827" s="38">
        <v>383.8</v>
      </c>
      <c r="J827" s="38">
        <v>334.9</v>
      </c>
      <c r="K827" s="38">
        <v>302.2</v>
      </c>
      <c r="L827" s="332">
        <v>16</v>
      </c>
      <c r="M827" s="330" t="s">
        <v>46</v>
      </c>
      <c r="N827" s="330" t="s">
        <v>47</v>
      </c>
      <c r="O827" s="333" t="s">
        <v>49</v>
      </c>
      <c r="P827" s="38">
        <v>383818.77</v>
      </c>
      <c r="Q827" s="38">
        <v>0</v>
      </c>
      <c r="R827" s="38">
        <v>0</v>
      </c>
      <c r="S827" s="38">
        <f>P827-Q827-R827</f>
        <v>383818.77</v>
      </c>
      <c r="T827" s="38">
        <f t="shared" si="152"/>
        <v>1000.0489056800417</v>
      </c>
      <c r="U827" s="38">
        <v>8321.4112350182386</v>
      </c>
      <c r="V827" s="458">
        <f t="shared" si="153"/>
        <v>7321.362329338197</v>
      </c>
      <c r="W827" s="458">
        <f t="shared" si="165"/>
        <v>9633.2274622199056</v>
      </c>
      <c r="X827" s="458">
        <v>0</v>
      </c>
      <c r="Y827" s="459">
        <v>0</v>
      </c>
      <c r="Z827" s="459">
        <v>0</v>
      </c>
      <c r="AA827" s="459">
        <v>0</v>
      </c>
      <c r="AB827" s="459">
        <v>0</v>
      </c>
      <c r="AC827" s="459">
        <v>0</v>
      </c>
      <c r="AD827" s="459">
        <v>0</v>
      </c>
      <c r="AE827" s="459">
        <v>0</v>
      </c>
      <c r="AF827" s="458">
        <v>0</v>
      </c>
      <c r="AG827" s="459">
        <v>0</v>
      </c>
      <c r="AH827" s="458">
        <v>0</v>
      </c>
      <c r="AI827" s="459">
        <v>497</v>
      </c>
      <c r="AJ827" s="458">
        <f>7439.1*AI827/I827</f>
        <v>9633.2274622199056</v>
      </c>
      <c r="AK827" s="459">
        <v>0</v>
      </c>
      <c r="AL827" s="459">
        <v>0</v>
      </c>
      <c r="AM827" s="459">
        <v>0</v>
      </c>
      <c r="AN827" s="459"/>
      <c r="AO827" s="459">
        <v>0</v>
      </c>
      <c r="AP827" s="460"/>
      <c r="AQ827" s="460"/>
      <c r="AR827" s="460"/>
      <c r="AS827" s="460"/>
      <c r="AT827" s="460"/>
      <c r="AU827" s="460"/>
      <c r="AV827" s="460"/>
      <c r="AW827" s="460"/>
      <c r="AX827" s="460"/>
      <c r="AY827" s="460"/>
      <c r="AZ827" s="460"/>
      <c r="BA827" s="460"/>
      <c r="BB827" s="460"/>
      <c r="BC827" s="460"/>
      <c r="BD827" s="460"/>
      <c r="BE827" s="460"/>
      <c r="BF827" s="460"/>
      <c r="BG827" s="460"/>
      <c r="BH827" s="460"/>
      <c r="BI827" s="460"/>
      <c r="BJ827" s="460"/>
      <c r="BK827" s="460"/>
      <c r="BL827" s="460"/>
      <c r="BM827" s="460"/>
      <c r="BN827" s="460"/>
      <c r="BO827" s="460"/>
      <c r="BP827" s="460"/>
      <c r="BQ827" s="460"/>
      <c r="BR827" s="460"/>
      <c r="BS827" s="460"/>
      <c r="BT827" s="460"/>
      <c r="BU827" s="460"/>
      <c r="BV827" s="460"/>
      <c r="BW827" s="460"/>
      <c r="BX827" s="460"/>
      <c r="BY827" s="460"/>
      <c r="BZ827" s="460"/>
      <c r="CA827" s="460"/>
      <c r="CB827" s="460"/>
      <c r="CC827" s="460"/>
      <c r="CD827" s="460"/>
      <c r="CE827" s="460"/>
      <c r="CF827" s="460"/>
      <c r="CG827" s="460"/>
      <c r="CH827" s="460"/>
      <c r="CI827" s="460"/>
      <c r="CJ827" s="460"/>
      <c r="CK827" s="460"/>
    </row>
    <row r="828" spans="1:89" s="329" customFormat="1" ht="36" customHeight="1" x14ac:dyDescent="0.25">
      <c r="A828" s="329">
        <v>1</v>
      </c>
      <c r="B828" s="39">
        <f>SUBTOTAL(103,$A$552:A828)</f>
        <v>261</v>
      </c>
      <c r="C828" s="33" t="s">
        <v>1299</v>
      </c>
      <c r="D828" s="330">
        <v>1969</v>
      </c>
      <c r="E828" s="330"/>
      <c r="F828" s="331" t="s">
        <v>48</v>
      </c>
      <c r="G828" s="330">
        <v>2</v>
      </c>
      <c r="H828" s="330" t="s">
        <v>57</v>
      </c>
      <c r="I828" s="38">
        <v>384.6</v>
      </c>
      <c r="J828" s="38">
        <v>359.9</v>
      </c>
      <c r="K828" s="38">
        <v>359.9</v>
      </c>
      <c r="L828" s="332">
        <v>18</v>
      </c>
      <c r="M828" s="330" t="s">
        <v>46</v>
      </c>
      <c r="N828" s="330" t="s">
        <v>47</v>
      </c>
      <c r="O828" s="333" t="s">
        <v>49</v>
      </c>
      <c r="P828" s="38">
        <v>1380014</v>
      </c>
      <c r="Q828" s="38">
        <v>0</v>
      </c>
      <c r="R828" s="38">
        <v>0</v>
      </c>
      <c r="S828" s="38">
        <f>P828-Q828-R828</f>
        <v>1380014</v>
      </c>
      <c r="T828" s="38">
        <f t="shared" si="152"/>
        <v>3588.1799271970876</v>
      </c>
      <c r="U828" s="38">
        <v>7139.2922776911082</v>
      </c>
      <c r="V828" s="458">
        <f t="shared" si="153"/>
        <v>3551.1123504940206</v>
      </c>
      <c r="W828" s="458">
        <f t="shared" si="165"/>
        <v>9613.1895475819038</v>
      </c>
      <c r="X828" s="458">
        <v>0</v>
      </c>
      <c r="Y828" s="459">
        <v>0</v>
      </c>
      <c r="Z828" s="459">
        <v>0</v>
      </c>
      <c r="AA828" s="459">
        <v>0</v>
      </c>
      <c r="AB828" s="459">
        <v>0</v>
      </c>
      <c r="AC828" s="459">
        <v>0</v>
      </c>
      <c r="AD828" s="459">
        <v>0</v>
      </c>
      <c r="AE828" s="459">
        <v>0</v>
      </c>
      <c r="AF828" s="458">
        <v>0</v>
      </c>
      <c r="AG828" s="459">
        <v>0</v>
      </c>
      <c r="AH828" s="458">
        <v>0</v>
      </c>
      <c r="AI828" s="459">
        <v>497</v>
      </c>
      <c r="AJ828" s="458">
        <f>7439.1*AI828/I828</f>
        <v>9613.1895475819038</v>
      </c>
      <c r="AK828" s="459">
        <v>0</v>
      </c>
      <c r="AL828" s="459">
        <v>0</v>
      </c>
      <c r="AM828" s="459">
        <v>0</v>
      </c>
      <c r="AN828" s="459"/>
      <c r="AO828" s="459">
        <v>0</v>
      </c>
      <c r="AP828" s="460"/>
      <c r="AQ828" s="460"/>
      <c r="AR828" s="460"/>
      <c r="AS828" s="460"/>
      <c r="AT828" s="460"/>
      <c r="AU828" s="460"/>
      <c r="AV828" s="460"/>
      <c r="AW828" s="460"/>
      <c r="AX828" s="460"/>
      <c r="AY828" s="460"/>
      <c r="AZ828" s="460"/>
      <c r="BA828" s="460"/>
      <c r="BB828" s="460"/>
      <c r="BC828" s="460"/>
      <c r="BD828" s="460"/>
      <c r="BE828" s="460"/>
      <c r="BF828" s="460"/>
      <c r="BG828" s="460"/>
      <c r="BH828" s="460"/>
      <c r="BI828" s="460"/>
      <c r="BJ828" s="460"/>
      <c r="BK828" s="460"/>
      <c r="BL828" s="460"/>
      <c r="BM828" s="460"/>
      <c r="BN828" s="460"/>
      <c r="BO828" s="460"/>
      <c r="BP828" s="460"/>
      <c r="BQ828" s="460"/>
      <c r="BR828" s="460"/>
      <c r="BS828" s="460"/>
      <c r="BT828" s="460"/>
      <c r="BU828" s="460"/>
      <c r="BV828" s="460"/>
      <c r="BW828" s="460"/>
      <c r="BX828" s="460"/>
      <c r="BY828" s="460"/>
      <c r="BZ828" s="460"/>
      <c r="CA828" s="460"/>
      <c r="CB828" s="460"/>
      <c r="CC828" s="460"/>
      <c r="CD828" s="460"/>
      <c r="CE828" s="460"/>
      <c r="CF828" s="460"/>
      <c r="CG828" s="460"/>
      <c r="CH828" s="460"/>
      <c r="CI828" s="460"/>
      <c r="CJ828" s="460"/>
      <c r="CK828" s="460"/>
    </row>
    <row r="829" spans="1:89" s="329" customFormat="1" ht="36" customHeight="1" x14ac:dyDescent="0.25">
      <c r="B829" s="33" t="s">
        <v>124</v>
      </c>
      <c r="C829" s="33"/>
      <c r="D829" s="330" t="s">
        <v>131</v>
      </c>
      <c r="E829" s="330" t="s">
        <v>131</v>
      </c>
      <c r="F829" s="330" t="s">
        <v>131</v>
      </c>
      <c r="G829" s="330" t="s">
        <v>131</v>
      </c>
      <c r="H829" s="330" t="s">
        <v>131</v>
      </c>
      <c r="I829" s="334">
        <f>I830</f>
        <v>924.3</v>
      </c>
      <c r="J829" s="334">
        <f>J830</f>
        <v>558.9</v>
      </c>
      <c r="K829" s="334">
        <f>K830</f>
        <v>527.1</v>
      </c>
      <c r="L829" s="332">
        <f>L830</f>
        <v>22</v>
      </c>
      <c r="M829" s="330" t="s">
        <v>131</v>
      </c>
      <c r="N829" s="330" t="s">
        <v>131</v>
      </c>
      <c r="O829" s="333" t="s">
        <v>131</v>
      </c>
      <c r="P829" s="38">
        <v>2205555.96</v>
      </c>
      <c r="Q829" s="38">
        <f>Q830</f>
        <v>0</v>
      </c>
      <c r="R829" s="38">
        <f>R830</f>
        <v>0</v>
      </c>
      <c r="S829" s="38">
        <f>S830</f>
        <v>2205555.96</v>
      </c>
      <c r="T829" s="38">
        <f t="shared" si="152"/>
        <v>2386.1905874716003</v>
      </c>
      <c r="U829" s="38">
        <f>U830</f>
        <v>2994.9756767283347</v>
      </c>
      <c r="V829" s="458">
        <f t="shared" si="153"/>
        <v>608.78508925673441</v>
      </c>
      <c r="W829" s="458"/>
      <c r="X829" s="458"/>
      <c r="Y829" s="459"/>
      <c r="Z829" s="459"/>
      <c r="AA829" s="459"/>
      <c r="AB829" s="459"/>
      <c r="AC829" s="459"/>
      <c r="AD829" s="459"/>
      <c r="AE829" s="459"/>
      <c r="AF829" s="459"/>
      <c r="AG829" s="459"/>
      <c r="AH829" s="459"/>
      <c r="AI829" s="459"/>
      <c r="AJ829" s="459"/>
      <c r="AK829" s="459"/>
      <c r="AL829" s="459"/>
      <c r="AM829" s="459"/>
      <c r="AN829" s="459"/>
      <c r="AO829" s="459"/>
      <c r="AP829" s="460"/>
      <c r="AQ829" s="460"/>
      <c r="AR829" s="460"/>
      <c r="AS829" s="460"/>
      <c r="AT829" s="460"/>
      <c r="AU829" s="460"/>
      <c r="AV829" s="460"/>
      <c r="AW829" s="460"/>
      <c r="AX829" s="460"/>
      <c r="AY829" s="460"/>
      <c r="AZ829" s="460"/>
      <c r="BA829" s="460"/>
      <c r="BB829" s="460"/>
      <c r="BC829" s="460"/>
      <c r="BD829" s="460"/>
      <c r="BE829" s="460"/>
      <c r="BF829" s="460"/>
      <c r="BG829" s="460"/>
      <c r="BH829" s="460"/>
      <c r="BI829" s="460"/>
      <c r="BJ829" s="460"/>
      <c r="BK829" s="460"/>
      <c r="BL829" s="460"/>
      <c r="BM829" s="460"/>
      <c r="BN829" s="460"/>
      <c r="BO829" s="460"/>
      <c r="BP829" s="460"/>
      <c r="BQ829" s="460"/>
      <c r="BR829" s="460"/>
      <c r="BS829" s="460"/>
      <c r="BT829" s="460"/>
      <c r="BU829" s="460"/>
      <c r="BV829" s="460"/>
      <c r="BW829" s="460"/>
      <c r="BX829" s="460"/>
      <c r="BY829" s="460"/>
      <c r="BZ829" s="460"/>
      <c r="CA829" s="460"/>
      <c r="CB829" s="460"/>
      <c r="CC829" s="460"/>
      <c r="CD829" s="460"/>
      <c r="CE829" s="460"/>
      <c r="CF829" s="460"/>
      <c r="CG829" s="460"/>
      <c r="CH829" s="460"/>
      <c r="CI829" s="460"/>
      <c r="CJ829" s="460"/>
      <c r="CK829" s="460"/>
    </row>
    <row r="830" spans="1:89" s="329" customFormat="1" ht="36" customHeight="1" x14ac:dyDescent="0.25">
      <c r="A830" s="329">
        <v>1</v>
      </c>
      <c r="B830" s="39">
        <f>SUBTOTAL(103,$A$552:A830)</f>
        <v>262</v>
      </c>
      <c r="C830" s="33" t="s">
        <v>1619</v>
      </c>
      <c r="D830" s="330">
        <v>1986</v>
      </c>
      <c r="E830" s="330"/>
      <c r="F830" s="331" t="s">
        <v>60</v>
      </c>
      <c r="G830" s="330">
        <v>2</v>
      </c>
      <c r="H830" s="330" t="s">
        <v>56</v>
      </c>
      <c r="I830" s="334">
        <v>924.3</v>
      </c>
      <c r="J830" s="334">
        <v>558.9</v>
      </c>
      <c r="K830" s="334">
        <v>527.1</v>
      </c>
      <c r="L830" s="332">
        <v>22</v>
      </c>
      <c r="M830" s="330" t="s">
        <v>46</v>
      </c>
      <c r="N830" s="330" t="s">
        <v>47</v>
      </c>
      <c r="O830" s="333" t="s">
        <v>49</v>
      </c>
      <c r="P830" s="38">
        <v>2205555.96</v>
      </c>
      <c r="Q830" s="38">
        <v>0</v>
      </c>
      <c r="R830" s="38">
        <v>0</v>
      </c>
      <c r="S830" s="38">
        <f>P830-Q830-R830</f>
        <v>2205555.96</v>
      </c>
      <c r="T830" s="38">
        <f t="shared" si="152"/>
        <v>2386.1905874716003</v>
      </c>
      <c r="U830" s="38">
        <v>2994.9756767283347</v>
      </c>
      <c r="V830" s="458">
        <f>U830-T830</f>
        <v>608.78508925673441</v>
      </c>
      <c r="W830" s="458">
        <f>X830+Y830+Z830+AA830+AB830+AD830+AF830+AH830+AJ830+AL830+AN830+AO830</f>
        <v>2984.7949821486532</v>
      </c>
      <c r="X830" s="458">
        <v>0</v>
      </c>
      <c r="Y830" s="459">
        <v>0</v>
      </c>
      <c r="Z830" s="459">
        <v>0</v>
      </c>
      <c r="AA830" s="459">
        <v>0</v>
      </c>
      <c r="AB830" s="459">
        <v>0</v>
      </c>
      <c r="AC830" s="459">
        <v>0</v>
      </c>
      <c r="AD830" s="459">
        <v>0</v>
      </c>
      <c r="AE830" s="459">
        <v>442.2</v>
      </c>
      <c r="AF830" s="458">
        <f>6238.91*AE830/I830</f>
        <v>2984.7949821486532</v>
      </c>
      <c r="AG830" s="459">
        <v>0</v>
      </c>
      <c r="AH830" s="458">
        <v>0</v>
      </c>
      <c r="AI830" s="459">
        <v>0</v>
      </c>
      <c r="AJ830" s="458">
        <v>0</v>
      </c>
      <c r="AK830" s="459">
        <v>0</v>
      </c>
      <c r="AL830" s="459">
        <v>0</v>
      </c>
      <c r="AM830" s="459">
        <v>0</v>
      </c>
      <c r="AN830" s="459"/>
      <c r="AO830" s="459">
        <v>0</v>
      </c>
      <c r="AP830" s="460"/>
      <c r="AQ830" s="460"/>
      <c r="AR830" s="460"/>
      <c r="AS830" s="460"/>
      <c r="AT830" s="460"/>
      <c r="AU830" s="460"/>
      <c r="AV830" s="460"/>
      <c r="AW830" s="460"/>
      <c r="AX830" s="460"/>
      <c r="AY830" s="460"/>
      <c r="AZ830" s="460"/>
      <c r="BA830" s="460"/>
      <c r="BB830" s="460"/>
      <c r="BC830" s="460"/>
      <c r="BD830" s="460"/>
      <c r="BE830" s="460"/>
      <c r="BF830" s="460"/>
      <c r="BG830" s="460"/>
      <c r="BH830" s="460"/>
      <c r="BI830" s="460"/>
      <c r="BJ830" s="460"/>
      <c r="BK830" s="460"/>
      <c r="BL830" s="460"/>
      <c r="BM830" s="460"/>
      <c r="BN830" s="460"/>
      <c r="BO830" s="460"/>
      <c r="BP830" s="460"/>
      <c r="BQ830" s="460"/>
      <c r="BR830" s="460"/>
      <c r="BS830" s="460"/>
      <c r="BT830" s="460"/>
      <c r="BU830" s="460"/>
      <c r="BV830" s="460"/>
      <c r="BW830" s="460"/>
      <c r="BX830" s="460"/>
      <c r="BY830" s="460"/>
      <c r="BZ830" s="460"/>
      <c r="CA830" s="460"/>
      <c r="CB830" s="460"/>
      <c r="CC830" s="460"/>
      <c r="CD830" s="460"/>
      <c r="CE830" s="460"/>
      <c r="CF830" s="460"/>
      <c r="CG830" s="460"/>
      <c r="CH830" s="460"/>
      <c r="CI830" s="460"/>
      <c r="CJ830" s="460"/>
      <c r="CK830" s="460"/>
    </row>
    <row r="831" spans="1:89" s="329" customFormat="1" ht="36" customHeight="1" x14ac:dyDescent="0.25">
      <c r="B831" s="33" t="s">
        <v>1620</v>
      </c>
      <c r="C831" s="463"/>
      <c r="D831" s="330" t="s">
        <v>131</v>
      </c>
      <c r="E831" s="330" t="s">
        <v>131</v>
      </c>
      <c r="F831" s="330" t="s">
        <v>131</v>
      </c>
      <c r="G831" s="330" t="s">
        <v>131</v>
      </c>
      <c r="H831" s="330" t="s">
        <v>131</v>
      </c>
      <c r="I831" s="334">
        <f>I832</f>
        <v>672</v>
      </c>
      <c r="J831" s="334">
        <f>J832</f>
        <v>625.9</v>
      </c>
      <c r="K831" s="334">
        <f>K832</f>
        <v>453.4</v>
      </c>
      <c r="L831" s="332">
        <f>L832</f>
        <v>35</v>
      </c>
      <c r="M831" s="330" t="s">
        <v>131</v>
      </c>
      <c r="N831" s="330" t="s">
        <v>131</v>
      </c>
      <c r="O831" s="333" t="s">
        <v>131</v>
      </c>
      <c r="P831" s="38">
        <v>2610900</v>
      </c>
      <c r="Q831" s="38">
        <f>Q832</f>
        <v>0</v>
      </c>
      <c r="R831" s="38">
        <f>R832</f>
        <v>0</v>
      </c>
      <c r="S831" s="38">
        <f>S832</f>
        <v>2610900</v>
      </c>
      <c r="T831" s="38">
        <f t="shared" si="152"/>
        <v>3885.2678571428573</v>
      </c>
      <c r="U831" s="38">
        <f>U832</f>
        <v>4657.8794642857147</v>
      </c>
      <c r="V831" s="458">
        <f t="shared" si="153"/>
        <v>772.61160714285734</v>
      </c>
      <c r="W831" s="458"/>
      <c r="X831" s="458"/>
      <c r="Y831" s="459"/>
      <c r="Z831" s="459"/>
      <c r="AA831" s="459"/>
      <c r="AB831" s="459"/>
      <c r="AC831" s="459"/>
      <c r="AD831" s="459"/>
      <c r="AE831" s="459"/>
      <c r="AF831" s="459"/>
      <c r="AG831" s="459"/>
      <c r="AH831" s="459"/>
      <c r="AI831" s="459"/>
      <c r="AJ831" s="459"/>
      <c r="AK831" s="459"/>
      <c r="AL831" s="459"/>
      <c r="AM831" s="459"/>
      <c r="AN831" s="459"/>
      <c r="AO831" s="459"/>
      <c r="AP831" s="460"/>
      <c r="AQ831" s="460"/>
      <c r="AR831" s="460"/>
      <c r="AS831" s="460"/>
      <c r="AT831" s="460"/>
      <c r="AU831" s="460"/>
      <c r="AV831" s="460"/>
      <c r="AW831" s="460"/>
      <c r="AX831" s="460"/>
      <c r="AY831" s="460"/>
      <c r="AZ831" s="460"/>
      <c r="BA831" s="460"/>
      <c r="BB831" s="460"/>
      <c r="BC831" s="460"/>
      <c r="BD831" s="460"/>
      <c r="BE831" s="460"/>
      <c r="BF831" s="460"/>
      <c r="BG831" s="460"/>
      <c r="BH831" s="460"/>
      <c r="BI831" s="460"/>
      <c r="BJ831" s="460"/>
      <c r="BK831" s="460"/>
      <c r="BL831" s="460"/>
      <c r="BM831" s="460"/>
      <c r="BN831" s="460"/>
      <c r="BO831" s="460"/>
      <c r="BP831" s="460"/>
      <c r="BQ831" s="460"/>
      <c r="BR831" s="460"/>
      <c r="BS831" s="460"/>
      <c r="BT831" s="460"/>
      <c r="BU831" s="460"/>
      <c r="BV831" s="460"/>
      <c r="BW831" s="460"/>
      <c r="BX831" s="460"/>
      <c r="BY831" s="460"/>
      <c r="BZ831" s="460"/>
      <c r="CA831" s="460"/>
      <c r="CB831" s="460"/>
      <c r="CC831" s="460"/>
      <c r="CD831" s="460"/>
      <c r="CE831" s="460"/>
      <c r="CF831" s="460"/>
      <c r="CG831" s="460"/>
      <c r="CH831" s="460"/>
      <c r="CI831" s="460"/>
      <c r="CJ831" s="460"/>
      <c r="CK831" s="460"/>
    </row>
    <row r="832" spans="1:89" s="329" customFormat="1" ht="36" customHeight="1" x14ac:dyDescent="0.25">
      <c r="A832" s="329">
        <v>1</v>
      </c>
      <c r="B832" s="39">
        <f>SUBTOTAL(103,$A$552:A832)</f>
        <v>263</v>
      </c>
      <c r="C832" s="343" t="s">
        <v>1621</v>
      </c>
      <c r="D832" s="330">
        <v>1963</v>
      </c>
      <c r="E832" s="330"/>
      <c r="F832" s="331" t="s">
        <v>48</v>
      </c>
      <c r="G832" s="330">
        <v>2</v>
      </c>
      <c r="H832" s="330" t="s">
        <v>56</v>
      </c>
      <c r="I832" s="334">
        <v>672</v>
      </c>
      <c r="J832" s="334">
        <v>625.9</v>
      </c>
      <c r="K832" s="334">
        <v>453.4</v>
      </c>
      <c r="L832" s="332">
        <v>35</v>
      </c>
      <c r="M832" s="330" t="s">
        <v>46</v>
      </c>
      <c r="N832" s="330" t="s">
        <v>47</v>
      </c>
      <c r="O832" s="333" t="s">
        <v>49</v>
      </c>
      <c r="P832" s="38">
        <v>2610900</v>
      </c>
      <c r="Q832" s="38">
        <v>0</v>
      </c>
      <c r="R832" s="38">
        <v>0</v>
      </c>
      <c r="S832" s="38">
        <f>P832-Q832-R832</f>
        <v>2610900</v>
      </c>
      <c r="T832" s="38">
        <f t="shared" si="152"/>
        <v>3885.2678571428573</v>
      </c>
      <c r="U832" s="38">
        <v>4657.8794642857147</v>
      </c>
      <c r="V832" s="458">
        <f>U832-T832</f>
        <v>772.61160714285734</v>
      </c>
      <c r="W832" s="458">
        <f>X832+Y832+Z832+AA832+AB832+AD832+AF832+AH832+AJ832+AL832+AN832+AO832</f>
        <v>4642.0461309523807</v>
      </c>
      <c r="X832" s="458">
        <v>0</v>
      </c>
      <c r="Y832" s="459">
        <v>0</v>
      </c>
      <c r="Z832" s="459">
        <v>0</v>
      </c>
      <c r="AA832" s="459">
        <v>0</v>
      </c>
      <c r="AB832" s="459">
        <v>0</v>
      </c>
      <c r="AC832" s="459">
        <v>0</v>
      </c>
      <c r="AD832" s="459">
        <v>0</v>
      </c>
      <c r="AE832" s="459">
        <v>500</v>
      </c>
      <c r="AF832" s="458">
        <f>6238.91*AE832/I832</f>
        <v>4642.0461309523807</v>
      </c>
      <c r="AG832" s="459">
        <v>0</v>
      </c>
      <c r="AH832" s="458">
        <v>0</v>
      </c>
      <c r="AI832" s="459">
        <v>0</v>
      </c>
      <c r="AJ832" s="458">
        <v>0</v>
      </c>
      <c r="AK832" s="459">
        <v>0</v>
      </c>
      <c r="AL832" s="459">
        <v>0</v>
      </c>
      <c r="AM832" s="459">
        <v>0</v>
      </c>
      <c r="AN832" s="459"/>
      <c r="AO832" s="459">
        <v>0</v>
      </c>
      <c r="AP832" s="460"/>
      <c r="AQ832" s="460"/>
      <c r="AR832" s="460"/>
      <c r="AS832" s="460"/>
      <c r="AT832" s="460"/>
      <c r="AU832" s="460"/>
      <c r="AV832" s="460"/>
      <c r="AW832" s="460"/>
      <c r="AX832" s="460"/>
      <c r="AY832" s="460"/>
      <c r="AZ832" s="460"/>
      <c r="BA832" s="460"/>
      <c r="BB832" s="460"/>
      <c r="BC832" s="460"/>
      <c r="BD832" s="460"/>
      <c r="BE832" s="460"/>
      <c r="BF832" s="460"/>
      <c r="BG832" s="460"/>
      <c r="BH832" s="460"/>
      <c r="BI832" s="460"/>
      <c r="BJ832" s="460"/>
      <c r="BK832" s="460"/>
      <c r="BL832" s="460"/>
      <c r="BM832" s="460"/>
      <c r="BN832" s="460"/>
      <c r="BO832" s="460"/>
      <c r="BP832" s="460"/>
      <c r="BQ832" s="460"/>
      <c r="BR832" s="460"/>
      <c r="BS832" s="460"/>
      <c r="BT832" s="460"/>
      <c r="BU832" s="460"/>
      <c r="BV832" s="460"/>
      <c r="BW832" s="460"/>
      <c r="BX832" s="460"/>
      <c r="BY832" s="460"/>
      <c r="BZ832" s="460"/>
      <c r="CA832" s="460"/>
      <c r="CB832" s="460"/>
      <c r="CC832" s="460"/>
      <c r="CD832" s="460"/>
      <c r="CE832" s="460"/>
      <c r="CF832" s="460"/>
      <c r="CG832" s="460"/>
      <c r="CH832" s="460"/>
      <c r="CI832" s="460"/>
      <c r="CJ832" s="460"/>
      <c r="CK832" s="460"/>
    </row>
    <row r="833" spans="1:89" s="329" customFormat="1" ht="36" customHeight="1" x14ac:dyDescent="0.25">
      <c r="B833" s="33" t="s">
        <v>1622</v>
      </c>
      <c r="C833" s="343"/>
      <c r="D833" s="330" t="s">
        <v>131</v>
      </c>
      <c r="E833" s="330" t="s">
        <v>131</v>
      </c>
      <c r="F833" s="330" t="s">
        <v>131</v>
      </c>
      <c r="G833" s="330" t="s">
        <v>131</v>
      </c>
      <c r="H833" s="330" t="s">
        <v>131</v>
      </c>
      <c r="I833" s="334">
        <f>I834</f>
        <v>531.9</v>
      </c>
      <c r="J833" s="334">
        <f>J834</f>
        <v>471.5</v>
      </c>
      <c r="K833" s="334">
        <f>K834</f>
        <v>438.4</v>
      </c>
      <c r="L833" s="332">
        <f>L834</f>
        <v>14</v>
      </c>
      <c r="M833" s="330" t="s">
        <v>131</v>
      </c>
      <c r="N833" s="330" t="s">
        <v>131</v>
      </c>
      <c r="O833" s="333" t="s">
        <v>131</v>
      </c>
      <c r="P833" s="38">
        <v>3133080</v>
      </c>
      <c r="Q833" s="38">
        <f>Q834</f>
        <v>0</v>
      </c>
      <c r="R833" s="38">
        <f>R834</f>
        <v>0</v>
      </c>
      <c r="S833" s="38">
        <f>S834</f>
        <v>3133080</v>
      </c>
      <c r="T833" s="38">
        <f t="shared" si="152"/>
        <v>5890.3553299492387</v>
      </c>
      <c r="U833" s="38">
        <f>U834</f>
        <v>7061.6920473773262</v>
      </c>
      <c r="V833" s="458">
        <f t="shared" si="153"/>
        <v>1171.3367174280875</v>
      </c>
      <c r="W833" s="458"/>
      <c r="X833" s="458"/>
      <c r="Y833" s="459"/>
      <c r="Z833" s="459"/>
      <c r="AA833" s="459"/>
      <c r="AB833" s="459"/>
      <c r="AC833" s="459"/>
      <c r="AD833" s="459"/>
      <c r="AE833" s="459"/>
      <c r="AF833" s="459"/>
      <c r="AG833" s="459"/>
      <c r="AH833" s="459"/>
      <c r="AI833" s="459"/>
      <c r="AJ833" s="459"/>
      <c r="AK833" s="459"/>
      <c r="AL833" s="459"/>
      <c r="AM833" s="459"/>
      <c r="AN833" s="459"/>
      <c r="AO833" s="459"/>
      <c r="AP833" s="460"/>
      <c r="AQ833" s="460"/>
      <c r="AR833" s="460"/>
      <c r="AS833" s="460"/>
      <c r="AT833" s="460"/>
      <c r="AU833" s="460"/>
      <c r="AV833" s="460"/>
      <c r="AW833" s="460"/>
      <c r="AX833" s="460"/>
      <c r="AY833" s="460"/>
      <c r="AZ833" s="460"/>
      <c r="BA833" s="460"/>
      <c r="BB833" s="460"/>
      <c r="BC833" s="460"/>
      <c r="BD833" s="460"/>
      <c r="BE833" s="460"/>
      <c r="BF833" s="460"/>
      <c r="BG833" s="460"/>
      <c r="BH833" s="460"/>
      <c r="BI833" s="460"/>
      <c r="BJ833" s="460"/>
      <c r="BK833" s="460"/>
      <c r="BL833" s="460"/>
      <c r="BM833" s="460"/>
      <c r="BN833" s="460"/>
      <c r="BO833" s="460"/>
      <c r="BP833" s="460"/>
      <c r="BQ833" s="460"/>
      <c r="BR833" s="460"/>
      <c r="BS833" s="460"/>
      <c r="BT833" s="460"/>
      <c r="BU833" s="460"/>
      <c r="BV833" s="460"/>
      <c r="BW833" s="460"/>
      <c r="BX833" s="460"/>
      <c r="BY833" s="460"/>
      <c r="BZ833" s="460"/>
      <c r="CA833" s="460"/>
      <c r="CB833" s="460"/>
      <c r="CC833" s="460"/>
      <c r="CD833" s="460"/>
      <c r="CE833" s="460"/>
      <c r="CF833" s="460"/>
      <c r="CG833" s="460"/>
      <c r="CH833" s="460"/>
      <c r="CI833" s="460"/>
      <c r="CJ833" s="460"/>
      <c r="CK833" s="460"/>
    </row>
    <row r="834" spans="1:89" s="329" customFormat="1" ht="36" customHeight="1" x14ac:dyDescent="0.25">
      <c r="A834" s="329">
        <v>1</v>
      </c>
      <c r="B834" s="39">
        <f>SUBTOTAL(103,$A$552:A834)</f>
        <v>264</v>
      </c>
      <c r="C834" s="343" t="s">
        <v>1623</v>
      </c>
      <c r="D834" s="330">
        <v>1962</v>
      </c>
      <c r="E834" s="330"/>
      <c r="F834" s="331" t="s">
        <v>48</v>
      </c>
      <c r="G834" s="330">
        <v>2</v>
      </c>
      <c r="H834" s="330" t="s">
        <v>56</v>
      </c>
      <c r="I834" s="334">
        <v>531.9</v>
      </c>
      <c r="J834" s="334">
        <v>471.5</v>
      </c>
      <c r="K834" s="334">
        <v>438.4</v>
      </c>
      <c r="L834" s="332">
        <v>14</v>
      </c>
      <c r="M834" s="330" t="s">
        <v>46</v>
      </c>
      <c r="N834" s="330" t="s">
        <v>47</v>
      </c>
      <c r="O834" s="333" t="s">
        <v>49</v>
      </c>
      <c r="P834" s="38">
        <v>3133080</v>
      </c>
      <c r="Q834" s="38">
        <v>0</v>
      </c>
      <c r="R834" s="38">
        <v>0</v>
      </c>
      <c r="S834" s="38">
        <f>P834-Q834-R834</f>
        <v>3133080</v>
      </c>
      <c r="T834" s="38">
        <f t="shared" si="152"/>
        <v>5890.3553299492387</v>
      </c>
      <c r="U834" s="38">
        <v>7061.6920473773262</v>
      </c>
      <c r="V834" s="458">
        <f>U834-T834</f>
        <v>1171.3367174280875</v>
      </c>
      <c r="W834" s="458">
        <f>X834+Y834+Z834+AA834+AB834+AD834+AF834+AH834+AJ834+AL834+AN834+AO834</f>
        <v>7037.6875352509869</v>
      </c>
      <c r="X834" s="458">
        <v>0</v>
      </c>
      <c r="Y834" s="459">
        <v>0</v>
      </c>
      <c r="Z834" s="459">
        <v>0</v>
      </c>
      <c r="AA834" s="459">
        <v>0</v>
      </c>
      <c r="AB834" s="459">
        <v>0</v>
      </c>
      <c r="AC834" s="459">
        <v>0</v>
      </c>
      <c r="AD834" s="459">
        <v>0</v>
      </c>
      <c r="AE834" s="459">
        <v>600</v>
      </c>
      <c r="AF834" s="458">
        <f>6238.91*AE834/I834</f>
        <v>7037.6875352509869</v>
      </c>
      <c r="AG834" s="459">
        <v>0</v>
      </c>
      <c r="AH834" s="458">
        <v>0</v>
      </c>
      <c r="AI834" s="459">
        <v>0</v>
      </c>
      <c r="AJ834" s="458">
        <v>0</v>
      </c>
      <c r="AK834" s="459">
        <v>0</v>
      </c>
      <c r="AL834" s="459">
        <v>0</v>
      </c>
      <c r="AM834" s="459">
        <v>0</v>
      </c>
      <c r="AN834" s="459"/>
      <c r="AO834" s="459">
        <v>0</v>
      </c>
      <c r="AP834" s="460"/>
      <c r="AQ834" s="460"/>
      <c r="AR834" s="460"/>
      <c r="AS834" s="460"/>
      <c r="AT834" s="460"/>
      <c r="AU834" s="460"/>
      <c r="AV834" s="460"/>
      <c r="AW834" s="460"/>
      <c r="AX834" s="460"/>
      <c r="AY834" s="460"/>
      <c r="AZ834" s="460"/>
      <c r="BA834" s="460"/>
      <c r="BB834" s="460"/>
      <c r="BC834" s="460"/>
      <c r="BD834" s="460"/>
      <c r="BE834" s="460"/>
      <c r="BF834" s="460"/>
      <c r="BG834" s="460"/>
      <c r="BH834" s="460"/>
      <c r="BI834" s="460"/>
      <c r="BJ834" s="460"/>
      <c r="BK834" s="460"/>
      <c r="BL834" s="460"/>
      <c r="BM834" s="460"/>
      <c r="BN834" s="460"/>
      <c r="BO834" s="460"/>
      <c r="BP834" s="460"/>
      <c r="BQ834" s="460"/>
      <c r="BR834" s="460"/>
      <c r="BS834" s="460"/>
      <c r="BT834" s="460"/>
      <c r="BU834" s="460"/>
      <c r="BV834" s="460"/>
      <c r="BW834" s="460"/>
      <c r="BX834" s="460"/>
      <c r="BY834" s="460"/>
      <c r="BZ834" s="460"/>
      <c r="CA834" s="460"/>
      <c r="CB834" s="460"/>
      <c r="CC834" s="460"/>
      <c r="CD834" s="460"/>
      <c r="CE834" s="460"/>
      <c r="CF834" s="460"/>
      <c r="CG834" s="460"/>
      <c r="CH834" s="460"/>
      <c r="CI834" s="460"/>
      <c r="CJ834" s="460"/>
      <c r="CK834" s="460"/>
    </row>
    <row r="835" spans="1:89" s="329" customFormat="1" ht="36" customHeight="1" x14ac:dyDescent="0.25">
      <c r="B835" s="33" t="s">
        <v>103</v>
      </c>
      <c r="C835" s="462"/>
      <c r="D835" s="330" t="s">
        <v>131</v>
      </c>
      <c r="E835" s="330" t="s">
        <v>131</v>
      </c>
      <c r="F835" s="330" t="s">
        <v>131</v>
      </c>
      <c r="G835" s="330" t="s">
        <v>131</v>
      </c>
      <c r="H835" s="330" t="s">
        <v>131</v>
      </c>
      <c r="I835" s="334">
        <f>I836</f>
        <v>7845.75</v>
      </c>
      <c r="J835" s="334">
        <f>J836</f>
        <v>6103.15</v>
      </c>
      <c r="K835" s="334">
        <f>K836</f>
        <v>5920.85</v>
      </c>
      <c r="L835" s="332">
        <f>L836</f>
        <v>252</v>
      </c>
      <c r="M835" s="330" t="s">
        <v>131</v>
      </c>
      <c r="N835" s="330" t="s">
        <v>131</v>
      </c>
      <c r="O835" s="333" t="s">
        <v>131</v>
      </c>
      <c r="P835" s="38">
        <v>8458120</v>
      </c>
      <c r="Q835" s="38">
        <f>Q836</f>
        <v>0</v>
      </c>
      <c r="R835" s="38">
        <f>R836</f>
        <v>0</v>
      </c>
      <c r="S835" s="38">
        <f>S836</f>
        <v>8458120</v>
      </c>
      <c r="T835" s="38">
        <f t="shared" si="152"/>
        <v>1078.0511742025938</v>
      </c>
      <c r="U835" s="38">
        <f>U836</f>
        <v>1595.8168435140044</v>
      </c>
      <c r="V835" s="458">
        <f t="shared" si="153"/>
        <v>517.76566931141065</v>
      </c>
      <c r="W835" s="458"/>
      <c r="X835" s="458"/>
      <c r="Y835" s="459"/>
      <c r="Z835" s="459"/>
      <c r="AA835" s="459"/>
      <c r="AB835" s="459"/>
      <c r="AC835" s="459"/>
      <c r="AD835" s="459"/>
      <c r="AE835" s="459"/>
      <c r="AF835" s="459"/>
      <c r="AG835" s="459"/>
      <c r="AH835" s="459"/>
      <c r="AI835" s="459"/>
      <c r="AJ835" s="459"/>
      <c r="AK835" s="459"/>
      <c r="AL835" s="459"/>
      <c r="AM835" s="459"/>
      <c r="AN835" s="459"/>
      <c r="AO835" s="459"/>
      <c r="AP835" s="460"/>
      <c r="AQ835" s="460"/>
      <c r="AR835" s="460"/>
      <c r="AS835" s="460"/>
      <c r="AT835" s="460"/>
      <c r="AU835" s="460"/>
      <c r="AV835" s="460"/>
      <c r="AW835" s="460"/>
      <c r="AX835" s="460"/>
      <c r="AY835" s="460"/>
      <c r="AZ835" s="460"/>
      <c r="BA835" s="460"/>
      <c r="BB835" s="460"/>
      <c r="BC835" s="460"/>
      <c r="BD835" s="460"/>
      <c r="BE835" s="460"/>
      <c r="BF835" s="460"/>
      <c r="BG835" s="460"/>
      <c r="BH835" s="460"/>
      <c r="BI835" s="460"/>
      <c r="BJ835" s="460"/>
      <c r="BK835" s="460"/>
      <c r="BL835" s="460"/>
      <c r="BM835" s="460"/>
      <c r="BN835" s="460"/>
      <c r="BO835" s="460"/>
      <c r="BP835" s="460"/>
      <c r="BQ835" s="460"/>
      <c r="BR835" s="460"/>
      <c r="BS835" s="460"/>
      <c r="BT835" s="460"/>
      <c r="BU835" s="460"/>
      <c r="BV835" s="460"/>
      <c r="BW835" s="460"/>
      <c r="BX835" s="460"/>
      <c r="BY835" s="460"/>
      <c r="BZ835" s="460"/>
      <c r="CA835" s="460"/>
      <c r="CB835" s="460"/>
      <c r="CC835" s="460"/>
      <c r="CD835" s="460"/>
      <c r="CE835" s="460"/>
      <c r="CF835" s="460"/>
      <c r="CG835" s="460"/>
      <c r="CH835" s="460"/>
      <c r="CI835" s="460"/>
      <c r="CJ835" s="460"/>
      <c r="CK835" s="460"/>
    </row>
    <row r="836" spans="1:89" s="329" customFormat="1" ht="36" customHeight="1" x14ac:dyDescent="0.25">
      <c r="A836" s="329">
        <v>1</v>
      </c>
      <c r="B836" s="39">
        <f>SUBTOTAL(103,$A$552:A836)</f>
        <v>265</v>
      </c>
      <c r="C836" s="33" t="s">
        <v>1624</v>
      </c>
      <c r="D836" s="330">
        <v>1973</v>
      </c>
      <c r="E836" s="330">
        <v>1973</v>
      </c>
      <c r="F836" s="331" t="s">
        <v>63</v>
      </c>
      <c r="G836" s="330">
        <v>5</v>
      </c>
      <c r="H836" s="330" t="s">
        <v>1961</v>
      </c>
      <c r="I836" s="334">
        <v>7845.75</v>
      </c>
      <c r="J836" s="334">
        <v>6103.15</v>
      </c>
      <c r="K836" s="334">
        <v>5920.85</v>
      </c>
      <c r="L836" s="332">
        <v>252</v>
      </c>
      <c r="M836" s="330" t="s">
        <v>46</v>
      </c>
      <c r="N836" s="330" t="s">
        <v>50</v>
      </c>
      <c r="O836" s="333" t="s">
        <v>2158</v>
      </c>
      <c r="P836" s="38">
        <v>8458120</v>
      </c>
      <c r="Q836" s="38">
        <v>0</v>
      </c>
      <c r="R836" s="38">
        <v>0</v>
      </c>
      <c r="S836" s="38">
        <f>P836-Q836-R836</f>
        <v>8458120</v>
      </c>
      <c r="T836" s="38">
        <f t="shared" si="152"/>
        <v>1078.0511742025938</v>
      </c>
      <c r="U836" s="38">
        <v>1595.8168435140044</v>
      </c>
      <c r="V836" s="458">
        <f>U836-T836</f>
        <v>517.76566931141065</v>
      </c>
      <c r="W836" s="458">
        <f>X836+Y836+Z836+AA836+AB836+AD836+AF836+AH836+AJ836+AL836+AN836+AO836</f>
        <v>1590.3922505815251</v>
      </c>
      <c r="X836" s="458">
        <v>0</v>
      </c>
      <c r="Y836" s="459">
        <v>0</v>
      </c>
      <c r="Z836" s="459">
        <v>0</v>
      </c>
      <c r="AA836" s="459">
        <v>0</v>
      </c>
      <c r="AB836" s="459">
        <v>0</v>
      </c>
      <c r="AC836" s="459">
        <v>0</v>
      </c>
      <c r="AD836" s="459">
        <v>0</v>
      </c>
      <c r="AE836" s="459">
        <v>2000</v>
      </c>
      <c r="AF836" s="458">
        <f>6238.91*AE836/I836</f>
        <v>1590.3922505815251</v>
      </c>
      <c r="AG836" s="459">
        <v>0</v>
      </c>
      <c r="AH836" s="458">
        <v>0</v>
      </c>
      <c r="AI836" s="459">
        <v>0</v>
      </c>
      <c r="AJ836" s="458">
        <v>0</v>
      </c>
      <c r="AK836" s="459">
        <v>0</v>
      </c>
      <c r="AL836" s="459">
        <v>0</v>
      </c>
      <c r="AM836" s="459">
        <v>0</v>
      </c>
      <c r="AN836" s="459"/>
      <c r="AO836" s="459">
        <v>0</v>
      </c>
      <c r="AP836" s="460"/>
      <c r="AQ836" s="460"/>
      <c r="AR836" s="460"/>
      <c r="AS836" s="460"/>
      <c r="AT836" s="460"/>
      <c r="AU836" s="460"/>
      <c r="AV836" s="460"/>
      <c r="AW836" s="460"/>
      <c r="AX836" s="460"/>
      <c r="AY836" s="460"/>
      <c r="AZ836" s="460"/>
      <c r="BA836" s="460"/>
      <c r="BB836" s="460"/>
      <c r="BC836" s="460"/>
      <c r="BD836" s="460"/>
      <c r="BE836" s="460"/>
      <c r="BF836" s="460"/>
      <c r="BG836" s="460"/>
      <c r="BH836" s="460"/>
      <c r="BI836" s="460"/>
      <c r="BJ836" s="460"/>
      <c r="BK836" s="460"/>
      <c r="BL836" s="460"/>
      <c r="BM836" s="460"/>
      <c r="BN836" s="460"/>
      <c r="BO836" s="460"/>
      <c r="BP836" s="460"/>
      <c r="BQ836" s="460"/>
      <c r="BR836" s="460"/>
      <c r="BS836" s="460"/>
      <c r="BT836" s="460"/>
      <c r="BU836" s="460"/>
      <c r="BV836" s="460"/>
      <c r="BW836" s="460"/>
      <c r="BX836" s="460"/>
      <c r="BY836" s="460"/>
      <c r="BZ836" s="460"/>
      <c r="CA836" s="460"/>
      <c r="CB836" s="460"/>
      <c r="CC836" s="460"/>
      <c r="CD836" s="460"/>
      <c r="CE836" s="460"/>
      <c r="CF836" s="460"/>
      <c r="CG836" s="460"/>
      <c r="CH836" s="460"/>
      <c r="CI836" s="460"/>
      <c r="CJ836" s="460"/>
      <c r="CK836" s="460"/>
    </row>
    <row r="837" spans="1:89" s="329" customFormat="1" ht="36" customHeight="1" x14ac:dyDescent="0.25">
      <c r="B837" s="33" t="s">
        <v>125</v>
      </c>
      <c r="C837" s="33"/>
      <c r="D837" s="330" t="s">
        <v>131</v>
      </c>
      <c r="E837" s="330" t="s">
        <v>131</v>
      </c>
      <c r="F837" s="330" t="s">
        <v>131</v>
      </c>
      <c r="G837" s="330" t="s">
        <v>131</v>
      </c>
      <c r="H837" s="330" t="s">
        <v>131</v>
      </c>
      <c r="I837" s="334">
        <f>I838</f>
        <v>550.20000000000005</v>
      </c>
      <c r="J837" s="334">
        <f>J838</f>
        <v>517.6</v>
      </c>
      <c r="K837" s="334">
        <f>K838</f>
        <v>517.6</v>
      </c>
      <c r="L837" s="332">
        <f>L838</f>
        <v>20</v>
      </c>
      <c r="M837" s="330" t="s">
        <v>131</v>
      </c>
      <c r="N837" s="330" t="s">
        <v>131</v>
      </c>
      <c r="O837" s="333" t="s">
        <v>131</v>
      </c>
      <c r="P837" s="38">
        <v>2537436</v>
      </c>
      <c r="Q837" s="38">
        <f>Q838</f>
        <v>0</v>
      </c>
      <c r="R837" s="38">
        <f>R838</f>
        <v>0</v>
      </c>
      <c r="S837" s="38">
        <f>S838</f>
        <v>2537436</v>
      </c>
      <c r="T837" s="38">
        <f t="shared" si="152"/>
        <v>4611.8429661941109</v>
      </c>
      <c r="U837" s="38">
        <f>U838</f>
        <v>6826.8157033805874</v>
      </c>
      <c r="V837" s="458">
        <f t="shared" si="153"/>
        <v>2214.9727371864765</v>
      </c>
      <c r="W837" s="458"/>
      <c r="X837" s="458"/>
      <c r="Y837" s="459"/>
      <c r="Z837" s="459"/>
      <c r="AA837" s="459"/>
      <c r="AB837" s="459"/>
      <c r="AC837" s="459"/>
      <c r="AD837" s="459"/>
      <c r="AE837" s="459"/>
      <c r="AF837" s="459"/>
      <c r="AG837" s="459"/>
      <c r="AH837" s="459"/>
      <c r="AI837" s="459"/>
      <c r="AJ837" s="459"/>
      <c r="AK837" s="459"/>
      <c r="AL837" s="459"/>
      <c r="AM837" s="459"/>
      <c r="AN837" s="459"/>
      <c r="AO837" s="459"/>
      <c r="AP837" s="460"/>
      <c r="AQ837" s="460"/>
      <c r="AR837" s="460"/>
      <c r="AS837" s="460"/>
      <c r="AT837" s="460"/>
      <c r="AU837" s="460"/>
      <c r="AV837" s="460"/>
      <c r="AW837" s="460"/>
      <c r="AX837" s="460"/>
      <c r="AY837" s="460"/>
      <c r="AZ837" s="460"/>
      <c r="BA837" s="460"/>
      <c r="BB837" s="460"/>
      <c r="BC837" s="460"/>
      <c r="BD837" s="460"/>
      <c r="BE837" s="460"/>
      <c r="BF837" s="460"/>
      <c r="BG837" s="460"/>
      <c r="BH837" s="460"/>
      <c r="BI837" s="460"/>
      <c r="BJ837" s="460"/>
      <c r="BK837" s="460"/>
      <c r="BL837" s="460"/>
      <c r="BM837" s="460"/>
      <c r="BN837" s="460"/>
      <c r="BO837" s="460"/>
      <c r="BP837" s="460"/>
      <c r="BQ837" s="460"/>
      <c r="BR837" s="460"/>
      <c r="BS837" s="460"/>
      <c r="BT837" s="460"/>
      <c r="BU837" s="460"/>
      <c r="BV837" s="460"/>
      <c r="BW837" s="460"/>
      <c r="BX837" s="460"/>
      <c r="BY837" s="460"/>
      <c r="BZ837" s="460"/>
      <c r="CA837" s="460"/>
      <c r="CB837" s="460"/>
      <c r="CC837" s="460"/>
      <c r="CD837" s="460"/>
      <c r="CE837" s="460"/>
      <c r="CF837" s="460"/>
      <c r="CG837" s="460"/>
      <c r="CH837" s="460"/>
      <c r="CI837" s="460"/>
      <c r="CJ837" s="460"/>
      <c r="CK837" s="460"/>
    </row>
    <row r="838" spans="1:89" s="329" customFormat="1" ht="36" customHeight="1" x14ac:dyDescent="0.25">
      <c r="A838" s="329">
        <v>1</v>
      </c>
      <c r="B838" s="39">
        <f>SUBTOTAL(103,$A$552:A838)</f>
        <v>266</v>
      </c>
      <c r="C838" s="33" t="s">
        <v>1625</v>
      </c>
      <c r="D838" s="330">
        <v>1970</v>
      </c>
      <c r="E838" s="330"/>
      <c r="F838" s="331" t="s">
        <v>48</v>
      </c>
      <c r="G838" s="330">
        <v>2</v>
      </c>
      <c r="H838" s="330" t="s">
        <v>56</v>
      </c>
      <c r="I838" s="334">
        <v>550.20000000000005</v>
      </c>
      <c r="J838" s="334">
        <v>517.6</v>
      </c>
      <c r="K838" s="334">
        <v>517.6</v>
      </c>
      <c r="L838" s="332">
        <v>20</v>
      </c>
      <c r="M838" s="330" t="s">
        <v>46</v>
      </c>
      <c r="N838" s="330" t="s">
        <v>47</v>
      </c>
      <c r="O838" s="333" t="s">
        <v>49</v>
      </c>
      <c r="P838" s="38">
        <v>2537436</v>
      </c>
      <c r="Q838" s="38">
        <v>0</v>
      </c>
      <c r="R838" s="38">
        <v>0</v>
      </c>
      <c r="S838" s="38">
        <f>P838-Q838-R838</f>
        <v>2537436</v>
      </c>
      <c r="T838" s="38">
        <f t="shared" si="152"/>
        <v>4611.8429661941109</v>
      </c>
      <c r="U838" s="38">
        <v>6826.8157033805874</v>
      </c>
      <c r="V838" s="458">
        <f>U838-T838</f>
        <v>2214.9727371864765</v>
      </c>
      <c r="W838" s="458">
        <f>X838+Y838+Z838+AA838+AB838+AD838+AF838+AH838+AJ838+AL838+AN838+AO838</f>
        <v>6803.6095965103596</v>
      </c>
      <c r="X838" s="458">
        <v>0</v>
      </c>
      <c r="Y838" s="459">
        <v>0</v>
      </c>
      <c r="Z838" s="459">
        <v>0</v>
      </c>
      <c r="AA838" s="459">
        <v>0</v>
      </c>
      <c r="AB838" s="459">
        <v>0</v>
      </c>
      <c r="AC838" s="459">
        <v>0</v>
      </c>
      <c r="AD838" s="459">
        <v>0</v>
      </c>
      <c r="AE838" s="459">
        <v>600</v>
      </c>
      <c r="AF838" s="458">
        <f>6238.91*AE838/I838</f>
        <v>6803.6095965103596</v>
      </c>
      <c r="AG838" s="459">
        <v>0</v>
      </c>
      <c r="AH838" s="458">
        <v>0</v>
      </c>
      <c r="AI838" s="459">
        <v>0</v>
      </c>
      <c r="AJ838" s="458">
        <v>0</v>
      </c>
      <c r="AK838" s="459">
        <v>0</v>
      </c>
      <c r="AL838" s="459">
        <v>0</v>
      </c>
      <c r="AM838" s="459">
        <v>0</v>
      </c>
      <c r="AN838" s="459"/>
      <c r="AO838" s="459">
        <v>0</v>
      </c>
      <c r="AP838" s="460"/>
      <c r="AQ838" s="460"/>
      <c r="AR838" s="460"/>
      <c r="AS838" s="460"/>
      <c r="AT838" s="460"/>
      <c r="AU838" s="460"/>
      <c r="AV838" s="460"/>
      <c r="AW838" s="460"/>
      <c r="AX838" s="460"/>
      <c r="AY838" s="460"/>
      <c r="AZ838" s="460"/>
      <c r="BA838" s="460"/>
      <c r="BB838" s="460"/>
      <c r="BC838" s="460"/>
      <c r="BD838" s="460"/>
      <c r="BE838" s="460"/>
      <c r="BF838" s="460"/>
      <c r="BG838" s="460"/>
      <c r="BH838" s="460"/>
      <c r="BI838" s="460"/>
      <c r="BJ838" s="460"/>
      <c r="BK838" s="460"/>
      <c r="BL838" s="460"/>
      <c r="BM838" s="460"/>
      <c r="BN838" s="460"/>
      <c r="BO838" s="460"/>
      <c r="BP838" s="460"/>
      <c r="BQ838" s="460"/>
      <c r="BR838" s="460"/>
      <c r="BS838" s="460"/>
      <c r="BT838" s="460"/>
      <c r="BU838" s="460"/>
      <c r="BV838" s="460"/>
      <c r="BW838" s="460"/>
      <c r="BX838" s="460"/>
      <c r="BY838" s="460"/>
      <c r="BZ838" s="460"/>
      <c r="CA838" s="460"/>
      <c r="CB838" s="460"/>
      <c r="CC838" s="460"/>
      <c r="CD838" s="460"/>
      <c r="CE838" s="460"/>
      <c r="CF838" s="460"/>
      <c r="CG838" s="460"/>
      <c r="CH838" s="460"/>
      <c r="CI838" s="460"/>
      <c r="CJ838" s="460"/>
      <c r="CK838" s="460"/>
    </row>
    <row r="839" spans="1:89" s="329" customFormat="1" ht="36" customHeight="1" x14ac:dyDescent="0.25">
      <c r="B839" s="33" t="s">
        <v>104</v>
      </c>
      <c r="C839" s="33"/>
      <c r="D839" s="330" t="s">
        <v>131</v>
      </c>
      <c r="E839" s="330" t="s">
        <v>131</v>
      </c>
      <c r="F839" s="330" t="s">
        <v>131</v>
      </c>
      <c r="G839" s="330" t="s">
        <v>131</v>
      </c>
      <c r="H839" s="330" t="s">
        <v>131</v>
      </c>
      <c r="I839" s="334">
        <f>SUM(I840:I843)</f>
        <v>10202.299999999999</v>
      </c>
      <c r="J839" s="334">
        <f>SUM(J840:J843)</f>
        <v>8322.1999999999989</v>
      </c>
      <c r="K839" s="334">
        <f>SUM(K840:K843)</f>
        <v>7052.6</v>
      </c>
      <c r="L839" s="332">
        <f>SUM(L840:L843)</f>
        <v>360</v>
      </c>
      <c r="M839" s="330" t="s">
        <v>131</v>
      </c>
      <c r="N839" s="330" t="s">
        <v>131</v>
      </c>
      <c r="O839" s="333" t="s">
        <v>131</v>
      </c>
      <c r="P839" s="38">
        <v>7263627.54</v>
      </c>
      <c r="Q839" s="38">
        <f>SUM(Q840:Q843)</f>
        <v>0</v>
      </c>
      <c r="R839" s="38">
        <f>SUM(R840:R843)</f>
        <v>0</v>
      </c>
      <c r="S839" s="38">
        <f>SUM(S840:S843)</f>
        <v>7263627.54</v>
      </c>
      <c r="T839" s="38">
        <f t="shared" si="152"/>
        <v>711.95980710232016</v>
      </c>
      <c r="U839" s="38">
        <f>MAX(U840:U843)</f>
        <v>4025.3194588969823</v>
      </c>
      <c r="V839" s="458">
        <f t="shared" si="153"/>
        <v>3313.3596517946621</v>
      </c>
      <c r="W839" s="458"/>
      <c r="X839" s="458"/>
      <c r="Y839" s="459"/>
      <c r="Z839" s="459"/>
      <c r="AA839" s="459"/>
      <c r="AB839" s="459"/>
      <c r="AC839" s="459"/>
      <c r="AD839" s="459"/>
      <c r="AE839" s="459"/>
      <c r="AF839" s="459"/>
      <c r="AG839" s="459"/>
      <c r="AH839" s="459"/>
      <c r="AI839" s="459"/>
      <c r="AJ839" s="459"/>
      <c r="AK839" s="459"/>
      <c r="AL839" s="459"/>
      <c r="AM839" s="459"/>
      <c r="AN839" s="459"/>
      <c r="AO839" s="459"/>
      <c r="AP839" s="460"/>
      <c r="AQ839" s="460"/>
      <c r="AR839" s="460"/>
      <c r="AS839" s="460"/>
      <c r="AT839" s="460"/>
      <c r="AU839" s="460"/>
      <c r="AV839" s="460"/>
      <c r="AW839" s="460"/>
      <c r="AX839" s="460"/>
      <c r="AY839" s="460"/>
      <c r="AZ839" s="460"/>
      <c r="BA839" s="460"/>
      <c r="BB839" s="460"/>
      <c r="BC839" s="460"/>
      <c r="BD839" s="460"/>
      <c r="BE839" s="460"/>
      <c r="BF839" s="460"/>
      <c r="BG839" s="460"/>
      <c r="BH839" s="460"/>
      <c r="BI839" s="460"/>
      <c r="BJ839" s="460"/>
      <c r="BK839" s="460"/>
      <c r="BL839" s="460"/>
      <c r="BM839" s="460"/>
      <c r="BN839" s="460"/>
      <c r="BO839" s="460"/>
      <c r="BP839" s="460"/>
      <c r="BQ839" s="460"/>
      <c r="BR839" s="460"/>
      <c r="BS839" s="460"/>
      <c r="BT839" s="460"/>
      <c r="BU839" s="460"/>
      <c r="BV839" s="460"/>
      <c r="BW839" s="460"/>
      <c r="BX839" s="460"/>
      <c r="BY839" s="460"/>
      <c r="BZ839" s="460"/>
      <c r="CA839" s="460"/>
      <c r="CB839" s="460"/>
      <c r="CC839" s="460"/>
      <c r="CD839" s="460"/>
      <c r="CE839" s="460"/>
      <c r="CF839" s="460"/>
      <c r="CG839" s="460"/>
      <c r="CH839" s="460"/>
      <c r="CI839" s="460"/>
      <c r="CJ839" s="460"/>
      <c r="CK839" s="460"/>
    </row>
    <row r="840" spans="1:89" s="329" customFormat="1" ht="36" customHeight="1" x14ac:dyDescent="0.25">
      <c r="A840" s="329">
        <v>1</v>
      </c>
      <c r="B840" s="39">
        <f>SUBTOTAL(103,$A$552:A840)</f>
        <v>267</v>
      </c>
      <c r="C840" s="33" t="s">
        <v>1626</v>
      </c>
      <c r="D840" s="330">
        <v>1973</v>
      </c>
      <c r="E840" s="330">
        <v>2006</v>
      </c>
      <c r="F840" s="331" t="s">
        <v>48</v>
      </c>
      <c r="G840" s="330">
        <v>3</v>
      </c>
      <c r="H840" s="330" t="s">
        <v>56</v>
      </c>
      <c r="I840" s="334">
        <v>1206.8</v>
      </c>
      <c r="J840" s="334">
        <v>1107.8</v>
      </c>
      <c r="K840" s="334">
        <v>1107.8</v>
      </c>
      <c r="L840" s="332">
        <v>30</v>
      </c>
      <c r="M840" s="330" t="s">
        <v>46</v>
      </c>
      <c r="N840" s="330" t="s">
        <v>50</v>
      </c>
      <c r="O840" s="333" t="s">
        <v>2159</v>
      </c>
      <c r="P840" s="38">
        <v>2968784.92</v>
      </c>
      <c r="Q840" s="38">
        <v>0</v>
      </c>
      <c r="R840" s="38">
        <v>0</v>
      </c>
      <c r="S840" s="38">
        <f>P840-Q840-R840</f>
        <v>2968784.92</v>
      </c>
      <c r="T840" s="38">
        <f t="shared" si="152"/>
        <v>2460.0471660589992</v>
      </c>
      <c r="U840" s="38">
        <v>3641.5755551872721</v>
      </c>
      <c r="V840" s="458">
        <f t="shared" si="153"/>
        <v>1181.5283891282729</v>
      </c>
      <c r="W840" s="458">
        <f t="shared" ref="W840:W843" si="166">X840+Y840+Z840+AA840+AB840+AD840+AF840+AH840+AJ840+AL840+AN840+AO840</f>
        <v>3629.1969008949291</v>
      </c>
      <c r="X840" s="458">
        <v>0</v>
      </c>
      <c r="Y840" s="459">
        <v>0</v>
      </c>
      <c r="Z840" s="459">
        <v>0</v>
      </c>
      <c r="AA840" s="459">
        <v>0</v>
      </c>
      <c r="AB840" s="459">
        <v>0</v>
      </c>
      <c r="AC840" s="459">
        <v>0</v>
      </c>
      <c r="AD840" s="459">
        <v>0</v>
      </c>
      <c r="AE840" s="459">
        <v>702</v>
      </c>
      <c r="AF840" s="458">
        <f>6238.91*AE840/I840</f>
        <v>3629.1969008949291</v>
      </c>
      <c r="AG840" s="459">
        <v>0</v>
      </c>
      <c r="AH840" s="458">
        <v>0</v>
      </c>
      <c r="AI840" s="459">
        <v>0</v>
      </c>
      <c r="AJ840" s="458">
        <v>0</v>
      </c>
      <c r="AK840" s="459">
        <v>0</v>
      </c>
      <c r="AL840" s="459">
        <v>0</v>
      </c>
      <c r="AM840" s="459">
        <v>0</v>
      </c>
      <c r="AN840" s="459"/>
      <c r="AO840" s="459">
        <v>0</v>
      </c>
      <c r="AP840" s="460"/>
      <c r="AQ840" s="460"/>
      <c r="AR840" s="460"/>
      <c r="AS840" s="460"/>
      <c r="AT840" s="460"/>
      <c r="AU840" s="460"/>
      <c r="AV840" s="460"/>
      <c r="AW840" s="460"/>
      <c r="AX840" s="460"/>
      <c r="AY840" s="460"/>
      <c r="AZ840" s="460"/>
      <c r="BA840" s="460"/>
      <c r="BB840" s="460"/>
      <c r="BC840" s="460"/>
      <c r="BD840" s="460"/>
      <c r="BE840" s="460"/>
      <c r="BF840" s="460"/>
      <c r="BG840" s="460"/>
      <c r="BH840" s="460"/>
      <c r="BI840" s="460"/>
      <c r="BJ840" s="460"/>
      <c r="BK840" s="460"/>
      <c r="BL840" s="460"/>
      <c r="BM840" s="460"/>
      <c r="BN840" s="460"/>
      <c r="BO840" s="460"/>
      <c r="BP840" s="460"/>
      <c r="BQ840" s="460"/>
      <c r="BR840" s="460"/>
      <c r="BS840" s="460"/>
      <c r="BT840" s="460"/>
      <c r="BU840" s="460"/>
      <c r="BV840" s="460"/>
      <c r="BW840" s="460"/>
      <c r="BX840" s="460"/>
      <c r="BY840" s="460"/>
      <c r="BZ840" s="460"/>
      <c r="CA840" s="460"/>
      <c r="CB840" s="460"/>
      <c r="CC840" s="460"/>
      <c r="CD840" s="460"/>
      <c r="CE840" s="460"/>
      <c r="CF840" s="460"/>
      <c r="CG840" s="460"/>
      <c r="CH840" s="460"/>
      <c r="CI840" s="460"/>
      <c r="CJ840" s="460"/>
      <c r="CK840" s="460"/>
    </row>
    <row r="841" spans="1:89" s="329" customFormat="1" ht="36" customHeight="1" x14ac:dyDescent="0.25">
      <c r="A841" s="329">
        <v>1</v>
      </c>
      <c r="B841" s="39">
        <f>SUBTOTAL(103,$A$552:A841)</f>
        <v>268</v>
      </c>
      <c r="C841" s="33" t="s">
        <v>1048</v>
      </c>
      <c r="D841" s="330">
        <v>1978</v>
      </c>
      <c r="E841" s="330"/>
      <c r="F841" s="331" t="s">
        <v>63</v>
      </c>
      <c r="G841" s="330">
        <v>5</v>
      </c>
      <c r="H841" s="330" t="s">
        <v>59</v>
      </c>
      <c r="I841" s="334">
        <v>3092.4</v>
      </c>
      <c r="J841" s="334">
        <v>3092.4</v>
      </c>
      <c r="K841" s="334">
        <v>3092.4</v>
      </c>
      <c r="L841" s="332">
        <v>151</v>
      </c>
      <c r="M841" s="330" t="s">
        <v>46</v>
      </c>
      <c r="N841" s="330" t="s">
        <v>50</v>
      </c>
      <c r="O841" s="333" t="s">
        <v>2160</v>
      </c>
      <c r="P841" s="38">
        <v>3040224.4400000004</v>
      </c>
      <c r="Q841" s="38">
        <v>0</v>
      </c>
      <c r="R841" s="38">
        <v>0</v>
      </c>
      <c r="S841" s="38">
        <f>P841-R841-Q841</f>
        <v>3040224.4400000004</v>
      </c>
      <c r="T841" s="38">
        <f t="shared" si="152"/>
        <v>983.12781011512106</v>
      </c>
      <c r="U841" s="38">
        <v>1544.1963950329837</v>
      </c>
      <c r="V841" s="458">
        <f t="shared" si="153"/>
        <v>561.06858491786261</v>
      </c>
      <c r="W841" s="458">
        <f t="shared" si="166"/>
        <v>1538.9472733152243</v>
      </c>
      <c r="X841" s="458">
        <v>0</v>
      </c>
      <c r="Y841" s="459">
        <v>0</v>
      </c>
      <c r="Z841" s="459">
        <v>0</v>
      </c>
      <c r="AA841" s="459">
        <v>0</v>
      </c>
      <c r="AB841" s="459">
        <v>0</v>
      </c>
      <c r="AC841" s="459">
        <v>0</v>
      </c>
      <c r="AD841" s="459">
        <v>0</v>
      </c>
      <c r="AE841" s="459">
        <v>762.8</v>
      </c>
      <c r="AF841" s="458">
        <f>6238.91*AE841/I841</f>
        <v>1538.9472733152243</v>
      </c>
      <c r="AG841" s="459">
        <v>0</v>
      </c>
      <c r="AH841" s="458">
        <v>0</v>
      </c>
      <c r="AI841" s="459">
        <v>0</v>
      </c>
      <c r="AJ841" s="458">
        <v>0</v>
      </c>
      <c r="AK841" s="459">
        <v>0</v>
      </c>
      <c r="AL841" s="459">
        <v>0</v>
      </c>
      <c r="AM841" s="459">
        <v>0</v>
      </c>
      <c r="AN841" s="459"/>
      <c r="AO841" s="459">
        <v>0</v>
      </c>
      <c r="AP841" s="460"/>
      <c r="AQ841" s="460"/>
      <c r="AR841" s="460"/>
      <c r="AS841" s="460"/>
      <c r="AT841" s="460"/>
      <c r="AU841" s="460"/>
      <c r="AV841" s="460"/>
      <c r="AW841" s="460"/>
      <c r="AX841" s="460"/>
      <c r="AY841" s="460"/>
      <c r="AZ841" s="460"/>
      <c r="BA841" s="460"/>
      <c r="BB841" s="460"/>
      <c r="BC841" s="460"/>
      <c r="BD841" s="460"/>
      <c r="BE841" s="460"/>
      <c r="BF841" s="460"/>
      <c r="BG841" s="460"/>
      <c r="BH841" s="460"/>
      <c r="BI841" s="460"/>
      <c r="BJ841" s="460"/>
      <c r="BK841" s="460"/>
      <c r="BL841" s="460"/>
      <c r="BM841" s="460"/>
      <c r="BN841" s="460"/>
      <c r="BO841" s="460"/>
      <c r="BP841" s="460"/>
      <c r="BQ841" s="460"/>
      <c r="BR841" s="460"/>
      <c r="BS841" s="460"/>
      <c r="BT841" s="460"/>
      <c r="BU841" s="460"/>
      <c r="BV841" s="460"/>
      <c r="BW841" s="460"/>
      <c r="BX841" s="460"/>
      <c r="BY841" s="460"/>
      <c r="BZ841" s="460"/>
      <c r="CA841" s="460"/>
      <c r="CB841" s="460"/>
      <c r="CC841" s="460"/>
      <c r="CD841" s="460"/>
      <c r="CE841" s="460"/>
      <c r="CF841" s="460"/>
      <c r="CG841" s="460"/>
      <c r="CH841" s="460"/>
      <c r="CI841" s="460"/>
      <c r="CJ841" s="460"/>
      <c r="CK841" s="460"/>
    </row>
    <row r="842" spans="1:89" s="329" customFormat="1" ht="36" customHeight="1" x14ac:dyDescent="0.25">
      <c r="A842" s="329">
        <v>1</v>
      </c>
      <c r="B842" s="39">
        <f>SUBTOTAL(103,$A$552:A842)</f>
        <v>269</v>
      </c>
      <c r="C842" s="33" t="s">
        <v>1309</v>
      </c>
      <c r="D842" s="330">
        <v>1975</v>
      </c>
      <c r="E842" s="330">
        <v>2015</v>
      </c>
      <c r="F842" s="331" t="s">
        <v>48</v>
      </c>
      <c r="G842" s="330">
        <v>3</v>
      </c>
      <c r="H842" s="330" t="s">
        <v>56</v>
      </c>
      <c r="I842" s="334">
        <v>3981.1</v>
      </c>
      <c r="J842" s="334">
        <v>2548.6</v>
      </c>
      <c r="K842" s="334">
        <v>1279</v>
      </c>
      <c r="L842" s="332">
        <v>138</v>
      </c>
      <c r="M842" s="330" t="s">
        <v>46</v>
      </c>
      <c r="N842" s="330" t="s">
        <v>50</v>
      </c>
      <c r="O842" s="333" t="s">
        <v>2062</v>
      </c>
      <c r="P842" s="38">
        <v>485250</v>
      </c>
      <c r="Q842" s="38">
        <v>0</v>
      </c>
      <c r="R842" s="38">
        <v>0</v>
      </c>
      <c r="S842" s="38">
        <f>P842-R842-Q842</f>
        <v>485250</v>
      </c>
      <c r="T842" s="38">
        <f t="shared" si="152"/>
        <v>121.88842279771923</v>
      </c>
      <c r="U842" s="38">
        <v>121.88842279771923</v>
      </c>
      <c r="V842" s="458">
        <f t="shared" si="153"/>
        <v>0</v>
      </c>
      <c r="W842" s="458">
        <f t="shared" si="166"/>
        <v>1195.4084418879204</v>
      </c>
      <c r="X842" s="458">
        <v>0</v>
      </c>
      <c r="Y842" s="459">
        <v>0</v>
      </c>
      <c r="Z842" s="459">
        <v>0</v>
      </c>
      <c r="AA842" s="459">
        <v>0</v>
      </c>
      <c r="AB842" s="459">
        <v>0</v>
      </c>
      <c r="AC842" s="459">
        <v>0</v>
      </c>
      <c r="AD842" s="459">
        <v>0</v>
      </c>
      <c r="AE842" s="459">
        <v>762.8</v>
      </c>
      <c r="AF842" s="458">
        <f>6238.91*AE842/I842</f>
        <v>1195.4084418879204</v>
      </c>
      <c r="AG842" s="459">
        <v>0</v>
      </c>
      <c r="AH842" s="458">
        <v>0</v>
      </c>
      <c r="AI842" s="459">
        <v>0</v>
      </c>
      <c r="AJ842" s="458">
        <v>0</v>
      </c>
      <c r="AK842" s="459">
        <v>0</v>
      </c>
      <c r="AL842" s="459">
        <v>0</v>
      </c>
      <c r="AM842" s="459">
        <v>0</v>
      </c>
      <c r="AN842" s="459"/>
      <c r="AO842" s="459">
        <v>0</v>
      </c>
      <c r="AP842" s="460"/>
      <c r="AQ842" s="460"/>
      <c r="AR842" s="460"/>
      <c r="AS842" s="460"/>
      <c r="AT842" s="460"/>
      <c r="AU842" s="460"/>
      <c r="AV842" s="460"/>
      <c r="AW842" s="460"/>
      <c r="AX842" s="460"/>
      <c r="AY842" s="460"/>
      <c r="AZ842" s="460"/>
      <c r="BA842" s="460"/>
      <c r="BB842" s="460"/>
      <c r="BC842" s="460"/>
      <c r="BD842" s="460"/>
      <c r="BE842" s="460"/>
      <c r="BF842" s="460"/>
      <c r="BG842" s="460"/>
      <c r="BH842" s="460"/>
      <c r="BI842" s="460"/>
      <c r="BJ842" s="460"/>
      <c r="BK842" s="460"/>
      <c r="BL842" s="460"/>
      <c r="BM842" s="460"/>
      <c r="BN842" s="460"/>
      <c r="BO842" s="460"/>
      <c r="BP842" s="460"/>
      <c r="BQ842" s="460"/>
      <c r="BR842" s="460"/>
      <c r="BS842" s="460"/>
      <c r="BT842" s="460"/>
      <c r="BU842" s="460"/>
      <c r="BV842" s="460"/>
      <c r="BW842" s="460"/>
      <c r="BX842" s="460"/>
      <c r="BY842" s="460"/>
      <c r="BZ842" s="460"/>
      <c r="CA842" s="460"/>
      <c r="CB842" s="460"/>
      <c r="CC842" s="460"/>
      <c r="CD842" s="460"/>
      <c r="CE842" s="460"/>
      <c r="CF842" s="460"/>
      <c r="CG842" s="460"/>
      <c r="CH842" s="460"/>
      <c r="CI842" s="460"/>
      <c r="CJ842" s="460"/>
      <c r="CK842" s="460"/>
    </row>
    <row r="843" spans="1:89" s="329" customFormat="1" ht="36" customHeight="1" x14ac:dyDescent="0.25">
      <c r="A843" s="329">
        <v>1</v>
      </c>
      <c r="B843" s="39">
        <f>SUBTOTAL(103,$A$552:A843)</f>
        <v>270</v>
      </c>
      <c r="C843" s="33" t="s">
        <v>1627</v>
      </c>
      <c r="D843" s="330">
        <v>1994</v>
      </c>
      <c r="E843" s="330"/>
      <c r="F843" s="331" t="s">
        <v>1981</v>
      </c>
      <c r="G843" s="330" t="s">
        <v>56</v>
      </c>
      <c r="H843" s="330" t="s">
        <v>59</v>
      </c>
      <c r="I843" s="334">
        <v>1922</v>
      </c>
      <c r="J843" s="334">
        <v>1573.4</v>
      </c>
      <c r="K843" s="334">
        <v>1573.4</v>
      </c>
      <c r="L843" s="332">
        <v>41</v>
      </c>
      <c r="M843" s="330" t="s">
        <v>46</v>
      </c>
      <c r="N843" s="330" t="s">
        <v>50</v>
      </c>
      <c r="O843" s="333" t="s">
        <v>2161</v>
      </c>
      <c r="P843" s="38">
        <v>769368.18</v>
      </c>
      <c r="Q843" s="38">
        <v>0</v>
      </c>
      <c r="R843" s="38">
        <v>0</v>
      </c>
      <c r="S843" s="38">
        <f>P843-R843-Q843</f>
        <v>769368.18</v>
      </c>
      <c r="T843" s="38">
        <f t="shared" si="152"/>
        <v>400.29561914672217</v>
      </c>
      <c r="U843" s="38">
        <v>4025.3194588969823</v>
      </c>
      <c r="V843" s="458">
        <f t="shared" si="153"/>
        <v>3625.0238397502599</v>
      </c>
      <c r="W843" s="458">
        <f t="shared" si="166"/>
        <v>2476.087694068678</v>
      </c>
      <c r="X843" s="458">
        <v>0</v>
      </c>
      <c r="Y843" s="459">
        <v>0</v>
      </c>
      <c r="Z843" s="459">
        <v>0</v>
      </c>
      <c r="AA843" s="459">
        <v>0</v>
      </c>
      <c r="AB843" s="459">
        <v>0</v>
      </c>
      <c r="AC843" s="459">
        <v>0</v>
      </c>
      <c r="AD843" s="459">
        <v>0</v>
      </c>
      <c r="AE843" s="459">
        <v>762.8</v>
      </c>
      <c r="AF843" s="458">
        <f>6238.91*AE843/I843</f>
        <v>2476.087694068678</v>
      </c>
      <c r="AG843" s="459">
        <v>0</v>
      </c>
      <c r="AH843" s="458">
        <v>0</v>
      </c>
      <c r="AI843" s="459">
        <v>0</v>
      </c>
      <c r="AJ843" s="458">
        <v>0</v>
      </c>
      <c r="AK843" s="459">
        <v>0</v>
      </c>
      <c r="AL843" s="459">
        <v>0</v>
      </c>
      <c r="AM843" s="459">
        <v>0</v>
      </c>
      <c r="AN843" s="459"/>
      <c r="AO843" s="459">
        <v>0</v>
      </c>
      <c r="AP843" s="460"/>
      <c r="AQ843" s="460"/>
      <c r="AR843" s="460"/>
      <c r="AS843" s="460"/>
      <c r="AT843" s="460"/>
      <c r="AU843" s="460"/>
      <c r="AV843" s="460"/>
      <c r="AW843" s="460"/>
      <c r="AX843" s="460"/>
      <c r="AY843" s="460"/>
      <c r="AZ843" s="460"/>
      <c r="BA843" s="460"/>
      <c r="BB843" s="460"/>
      <c r="BC843" s="460"/>
      <c r="BD843" s="460"/>
      <c r="BE843" s="460"/>
      <c r="BF843" s="460"/>
      <c r="BG843" s="460"/>
      <c r="BH843" s="460"/>
      <c r="BI843" s="460"/>
      <c r="BJ843" s="460"/>
      <c r="BK843" s="460"/>
      <c r="BL843" s="460"/>
      <c r="BM843" s="460"/>
      <c r="BN843" s="460"/>
      <c r="BO843" s="460"/>
      <c r="BP843" s="460"/>
      <c r="BQ843" s="460"/>
      <c r="BR843" s="460"/>
      <c r="BS843" s="460"/>
      <c r="BT843" s="460"/>
      <c r="BU843" s="460"/>
      <c r="BV843" s="460"/>
      <c r="BW843" s="460"/>
      <c r="BX843" s="460"/>
      <c r="BY843" s="460"/>
      <c r="BZ843" s="460"/>
      <c r="CA843" s="460"/>
      <c r="CB843" s="460"/>
      <c r="CC843" s="460"/>
      <c r="CD843" s="460"/>
      <c r="CE843" s="460"/>
      <c r="CF843" s="460"/>
      <c r="CG843" s="460"/>
      <c r="CH843" s="460"/>
      <c r="CI843" s="460"/>
      <c r="CJ843" s="460"/>
      <c r="CK843" s="460"/>
    </row>
    <row r="844" spans="1:89" s="329" customFormat="1" ht="36" customHeight="1" x14ac:dyDescent="0.25">
      <c r="B844" s="33" t="s">
        <v>1310</v>
      </c>
      <c r="C844" s="33"/>
      <c r="D844" s="330" t="s">
        <v>131</v>
      </c>
      <c r="E844" s="330" t="s">
        <v>131</v>
      </c>
      <c r="F844" s="330" t="s">
        <v>131</v>
      </c>
      <c r="G844" s="330" t="s">
        <v>131</v>
      </c>
      <c r="H844" s="330" t="s">
        <v>131</v>
      </c>
      <c r="I844" s="334">
        <f>I845</f>
        <v>846.4</v>
      </c>
      <c r="J844" s="334">
        <f>J845</f>
        <v>794.7</v>
      </c>
      <c r="K844" s="334">
        <f>K845</f>
        <v>794.7</v>
      </c>
      <c r="L844" s="332">
        <f>L845</f>
        <v>26</v>
      </c>
      <c r="M844" s="330" t="s">
        <v>131</v>
      </c>
      <c r="N844" s="330" t="s">
        <v>131</v>
      </c>
      <c r="O844" s="333" t="s">
        <v>131</v>
      </c>
      <c r="P844" s="38">
        <v>4024889.9</v>
      </c>
      <c r="Q844" s="38">
        <f>Q845</f>
        <v>0</v>
      </c>
      <c r="R844" s="38">
        <f>R845</f>
        <v>0</v>
      </c>
      <c r="S844" s="38">
        <f>S845</f>
        <v>4024889.9</v>
      </c>
      <c r="T844" s="38">
        <f t="shared" si="152"/>
        <v>4755.3047022684314</v>
      </c>
      <c r="U844" s="38">
        <f>U845</f>
        <v>6297.3071349243864</v>
      </c>
      <c r="V844" s="458">
        <f t="shared" si="153"/>
        <v>1542.0024326559551</v>
      </c>
      <c r="W844" s="458"/>
      <c r="X844" s="458"/>
      <c r="Y844" s="459"/>
      <c r="Z844" s="459"/>
      <c r="AA844" s="459"/>
      <c r="AB844" s="459"/>
      <c r="AC844" s="459"/>
      <c r="AD844" s="459"/>
      <c r="AE844" s="459"/>
      <c r="AF844" s="459"/>
      <c r="AG844" s="459"/>
      <c r="AH844" s="459"/>
      <c r="AI844" s="459"/>
      <c r="AJ844" s="459"/>
      <c r="AK844" s="459"/>
      <c r="AL844" s="459"/>
      <c r="AM844" s="459"/>
      <c r="AN844" s="459"/>
      <c r="AO844" s="459"/>
      <c r="AP844" s="460"/>
      <c r="AQ844" s="460"/>
      <c r="AR844" s="460"/>
      <c r="AS844" s="460"/>
      <c r="AT844" s="460"/>
      <c r="AU844" s="460"/>
      <c r="AV844" s="460"/>
      <c r="AW844" s="460"/>
      <c r="AX844" s="460"/>
      <c r="AY844" s="460"/>
      <c r="AZ844" s="460"/>
      <c r="BA844" s="460"/>
      <c r="BB844" s="460"/>
      <c r="BC844" s="460"/>
      <c r="BD844" s="460"/>
      <c r="BE844" s="460"/>
      <c r="BF844" s="460"/>
      <c r="BG844" s="460"/>
      <c r="BH844" s="460"/>
      <c r="BI844" s="460"/>
      <c r="BJ844" s="460"/>
      <c r="BK844" s="460"/>
      <c r="BL844" s="460"/>
      <c r="BM844" s="460"/>
      <c r="BN844" s="460"/>
      <c r="BO844" s="460"/>
      <c r="BP844" s="460"/>
      <c r="BQ844" s="460"/>
      <c r="BR844" s="460"/>
      <c r="BS844" s="460"/>
      <c r="BT844" s="460"/>
      <c r="BU844" s="460"/>
      <c r="BV844" s="460"/>
      <c r="BW844" s="460"/>
      <c r="BX844" s="460"/>
      <c r="BY844" s="460"/>
      <c r="BZ844" s="460"/>
      <c r="CA844" s="460"/>
      <c r="CB844" s="460"/>
      <c r="CC844" s="460"/>
      <c r="CD844" s="460"/>
      <c r="CE844" s="460"/>
      <c r="CF844" s="460"/>
      <c r="CG844" s="460"/>
      <c r="CH844" s="460"/>
      <c r="CI844" s="460"/>
      <c r="CJ844" s="460"/>
      <c r="CK844" s="460"/>
    </row>
    <row r="845" spans="1:89" s="329" customFormat="1" ht="36" customHeight="1" x14ac:dyDescent="0.25">
      <c r="A845" s="329">
        <v>1</v>
      </c>
      <c r="B845" s="39">
        <f>SUBTOTAL(103,$A$552:A845)</f>
        <v>271</v>
      </c>
      <c r="C845" s="33" t="s">
        <v>1311</v>
      </c>
      <c r="D845" s="330">
        <v>1981</v>
      </c>
      <c r="E845" s="330"/>
      <c r="F845" s="331" t="s">
        <v>48</v>
      </c>
      <c r="G845" s="330">
        <v>2</v>
      </c>
      <c r="H845" s="330" t="s">
        <v>61</v>
      </c>
      <c r="I845" s="334">
        <v>846.4</v>
      </c>
      <c r="J845" s="334">
        <v>794.7</v>
      </c>
      <c r="K845" s="334">
        <v>794.7</v>
      </c>
      <c r="L845" s="332">
        <v>26</v>
      </c>
      <c r="M845" s="330" t="s">
        <v>46</v>
      </c>
      <c r="N845" s="330" t="s">
        <v>50</v>
      </c>
      <c r="O845" s="333" t="s">
        <v>2062</v>
      </c>
      <c r="P845" s="38">
        <v>4024889.9</v>
      </c>
      <c r="Q845" s="38">
        <v>0</v>
      </c>
      <c r="R845" s="38">
        <v>0</v>
      </c>
      <c r="S845" s="38">
        <f>P845-Q845-R845</f>
        <v>4024889.9</v>
      </c>
      <c r="T845" s="38">
        <f t="shared" si="152"/>
        <v>4755.3047022684314</v>
      </c>
      <c r="U845" s="38">
        <v>6297.3071349243864</v>
      </c>
      <c r="V845" s="458">
        <f>U845-T845</f>
        <v>1542.0024326559551</v>
      </c>
      <c r="W845" s="458">
        <f>X845+Y845+Z845+AA845+AB845+AD845+AF845+AH845+AJ845+AL845+AN845+AO845</f>
        <v>4422.6677693761812</v>
      </c>
      <c r="X845" s="458">
        <v>0</v>
      </c>
      <c r="Y845" s="459">
        <v>0</v>
      </c>
      <c r="Z845" s="459">
        <v>0</v>
      </c>
      <c r="AA845" s="459">
        <v>0</v>
      </c>
      <c r="AB845" s="459">
        <v>0</v>
      </c>
      <c r="AC845" s="459">
        <v>0</v>
      </c>
      <c r="AD845" s="459">
        <v>0</v>
      </c>
      <c r="AE845" s="459">
        <v>600</v>
      </c>
      <c r="AF845" s="458">
        <f>6238.91*AE845/I845</f>
        <v>4422.6677693761812</v>
      </c>
      <c r="AG845" s="459">
        <v>0</v>
      </c>
      <c r="AH845" s="458">
        <v>0</v>
      </c>
      <c r="AI845" s="459">
        <v>0</v>
      </c>
      <c r="AJ845" s="458">
        <v>0</v>
      </c>
      <c r="AK845" s="459">
        <v>0</v>
      </c>
      <c r="AL845" s="459">
        <v>0</v>
      </c>
      <c r="AM845" s="459">
        <v>0</v>
      </c>
      <c r="AN845" s="459"/>
      <c r="AO845" s="459">
        <v>0</v>
      </c>
      <c r="AP845" s="460"/>
      <c r="AQ845" s="460"/>
      <c r="AR845" s="460"/>
      <c r="AS845" s="460"/>
      <c r="AT845" s="460"/>
      <c r="AU845" s="460"/>
      <c r="AV845" s="460"/>
      <c r="AW845" s="460"/>
      <c r="AX845" s="460"/>
      <c r="AY845" s="460"/>
      <c r="AZ845" s="460"/>
      <c r="BA845" s="460"/>
      <c r="BB845" s="460"/>
      <c r="BC845" s="460"/>
      <c r="BD845" s="460"/>
      <c r="BE845" s="460"/>
      <c r="BF845" s="460"/>
      <c r="BG845" s="460"/>
      <c r="BH845" s="460"/>
      <c r="BI845" s="460"/>
      <c r="BJ845" s="460"/>
      <c r="BK845" s="460"/>
      <c r="BL845" s="460"/>
      <c r="BM845" s="460"/>
      <c r="BN845" s="460"/>
      <c r="BO845" s="460"/>
      <c r="BP845" s="460"/>
      <c r="BQ845" s="460"/>
      <c r="BR845" s="460"/>
      <c r="BS845" s="460"/>
      <c r="BT845" s="460"/>
      <c r="BU845" s="460"/>
      <c r="BV845" s="460"/>
      <c r="BW845" s="460"/>
      <c r="BX845" s="460"/>
      <c r="BY845" s="460"/>
      <c r="BZ845" s="460"/>
      <c r="CA845" s="460"/>
      <c r="CB845" s="460"/>
      <c r="CC845" s="460"/>
      <c r="CD845" s="460"/>
      <c r="CE845" s="460"/>
      <c r="CF845" s="460"/>
      <c r="CG845" s="460"/>
      <c r="CH845" s="460"/>
      <c r="CI845" s="460"/>
      <c r="CJ845" s="460"/>
      <c r="CK845" s="460"/>
    </row>
    <row r="846" spans="1:89" s="329" customFormat="1" ht="36" customHeight="1" x14ac:dyDescent="0.25">
      <c r="B846" s="33" t="s">
        <v>105</v>
      </c>
      <c r="C846" s="462"/>
      <c r="D846" s="330" t="s">
        <v>131</v>
      </c>
      <c r="E846" s="330" t="s">
        <v>131</v>
      </c>
      <c r="F846" s="330" t="s">
        <v>131</v>
      </c>
      <c r="G846" s="330" t="s">
        <v>131</v>
      </c>
      <c r="H846" s="330" t="s">
        <v>131</v>
      </c>
      <c r="I846" s="334">
        <f>SUM(I847:I857)</f>
        <v>17568.899999999998</v>
      </c>
      <c r="J846" s="334">
        <f>SUM(J847:J857)</f>
        <v>14747.800000000001</v>
      </c>
      <c r="K846" s="334">
        <f>SUM(K847:K857)</f>
        <v>14357.32</v>
      </c>
      <c r="L846" s="332">
        <f>SUM(L847:L857)</f>
        <v>700</v>
      </c>
      <c r="M846" s="330" t="s">
        <v>131</v>
      </c>
      <c r="N846" s="330" t="s">
        <v>131</v>
      </c>
      <c r="O846" s="333" t="s">
        <v>131</v>
      </c>
      <c r="P846" s="38">
        <v>40418787.889999993</v>
      </c>
      <c r="Q846" s="38">
        <f>SUM(Q847:Q857)</f>
        <v>0</v>
      </c>
      <c r="R846" s="38">
        <f>SUM(R847:R857)</f>
        <v>0</v>
      </c>
      <c r="S846" s="38">
        <f>SUM(S847:S857)</f>
        <v>40418787.889999993</v>
      </c>
      <c r="T846" s="38">
        <f t="shared" si="152"/>
        <v>2300.5872815031107</v>
      </c>
      <c r="U846" s="38">
        <f>MAX(U847:U857)</f>
        <v>8661.6925974846745</v>
      </c>
      <c r="V846" s="458">
        <f t="shared" si="153"/>
        <v>6361.1053159815638</v>
      </c>
      <c r="W846" s="458"/>
      <c r="X846" s="458"/>
      <c r="Y846" s="459"/>
      <c r="Z846" s="459"/>
      <c r="AA846" s="459"/>
      <c r="AB846" s="459"/>
      <c r="AC846" s="459"/>
      <c r="AD846" s="459"/>
      <c r="AE846" s="459"/>
      <c r="AF846" s="459"/>
      <c r="AG846" s="459"/>
      <c r="AH846" s="459"/>
      <c r="AI846" s="459"/>
      <c r="AJ846" s="459"/>
      <c r="AK846" s="459"/>
      <c r="AL846" s="459"/>
      <c r="AM846" s="459"/>
      <c r="AN846" s="459"/>
      <c r="AO846" s="459"/>
      <c r="AP846" s="460"/>
      <c r="AQ846" s="460"/>
      <c r="AR846" s="460"/>
      <c r="AS846" s="460"/>
      <c r="AT846" s="460"/>
      <c r="AU846" s="460"/>
      <c r="AV846" s="460"/>
      <c r="AW846" s="460"/>
      <c r="AX846" s="460"/>
      <c r="AY846" s="460"/>
      <c r="AZ846" s="460"/>
      <c r="BA846" s="460"/>
      <c r="BB846" s="460"/>
      <c r="BC846" s="460"/>
      <c r="BD846" s="460"/>
      <c r="BE846" s="460"/>
      <c r="BF846" s="460"/>
      <c r="BG846" s="460"/>
      <c r="BH846" s="460"/>
      <c r="BI846" s="460"/>
      <c r="BJ846" s="460"/>
      <c r="BK846" s="460"/>
      <c r="BL846" s="460"/>
      <c r="BM846" s="460"/>
      <c r="BN846" s="460"/>
      <c r="BO846" s="460"/>
      <c r="BP846" s="460"/>
      <c r="BQ846" s="460"/>
      <c r="BR846" s="460"/>
      <c r="BS846" s="460"/>
      <c r="BT846" s="460"/>
      <c r="BU846" s="460"/>
      <c r="BV846" s="460"/>
      <c r="BW846" s="460"/>
      <c r="BX846" s="460"/>
      <c r="BY846" s="460"/>
      <c r="BZ846" s="460"/>
      <c r="CA846" s="460"/>
      <c r="CB846" s="460"/>
      <c r="CC846" s="460"/>
      <c r="CD846" s="460"/>
      <c r="CE846" s="460"/>
      <c r="CF846" s="460"/>
      <c r="CG846" s="460"/>
      <c r="CH846" s="460"/>
      <c r="CI846" s="460"/>
      <c r="CJ846" s="460"/>
      <c r="CK846" s="460"/>
    </row>
    <row r="847" spans="1:89" s="329" customFormat="1" ht="36" customHeight="1" x14ac:dyDescent="0.25">
      <c r="A847" s="329">
        <v>1</v>
      </c>
      <c r="B847" s="39">
        <f>SUBTOTAL(103,$A$552:A847)</f>
        <v>272</v>
      </c>
      <c r="C847" s="33" t="s">
        <v>1628</v>
      </c>
      <c r="D847" s="330">
        <v>1992</v>
      </c>
      <c r="E847" s="330"/>
      <c r="F847" s="331" t="s">
        <v>48</v>
      </c>
      <c r="G847" s="330">
        <v>3</v>
      </c>
      <c r="H847" s="330" t="s">
        <v>56</v>
      </c>
      <c r="I847" s="334">
        <v>1555.9</v>
      </c>
      <c r="J847" s="334">
        <v>1062.8</v>
      </c>
      <c r="K847" s="334">
        <v>1019.8</v>
      </c>
      <c r="L847" s="332">
        <v>50</v>
      </c>
      <c r="M847" s="330" t="s">
        <v>46</v>
      </c>
      <c r="N847" s="330" t="s">
        <v>50</v>
      </c>
      <c r="O847" s="333" t="s">
        <v>2065</v>
      </c>
      <c r="P847" s="38">
        <v>3282441.93</v>
      </c>
      <c r="Q847" s="38">
        <v>0</v>
      </c>
      <c r="R847" s="38">
        <v>0</v>
      </c>
      <c r="S847" s="38">
        <f t="shared" ref="S847:S857" si="167">P847-Q847-R847</f>
        <v>3282441.93</v>
      </c>
      <c r="T847" s="38">
        <f t="shared" si="152"/>
        <v>2109.6740985924544</v>
      </c>
      <c r="U847" s="38">
        <v>2665.5799697924026</v>
      </c>
      <c r="V847" s="458">
        <f t="shared" si="153"/>
        <v>555.90587119994825</v>
      </c>
      <c r="W847" s="458">
        <f t="shared" ref="W847:W857" si="168">X847+Y847+Z847+AA847+AB847+AD847+AF847+AH847+AJ847+AL847+AN847+AO847</f>
        <v>2656.5189761552797</v>
      </c>
      <c r="X847" s="458">
        <v>0</v>
      </c>
      <c r="Y847" s="459">
        <v>0</v>
      </c>
      <c r="Z847" s="459">
        <v>0</v>
      </c>
      <c r="AA847" s="459">
        <v>0</v>
      </c>
      <c r="AB847" s="459">
        <v>0</v>
      </c>
      <c r="AC847" s="459">
        <v>0</v>
      </c>
      <c r="AD847" s="459">
        <v>0</v>
      </c>
      <c r="AE847" s="459">
        <v>662.5</v>
      </c>
      <c r="AF847" s="458">
        <f>6238.91*AE847/I847</f>
        <v>2656.5189761552797</v>
      </c>
      <c r="AG847" s="459">
        <v>0</v>
      </c>
      <c r="AH847" s="458">
        <v>0</v>
      </c>
      <c r="AI847" s="459">
        <v>0</v>
      </c>
      <c r="AJ847" s="458">
        <v>0</v>
      </c>
      <c r="AK847" s="459">
        <v>0</v>
      </c>
      <c r="AL847" s="459">
        <v>0</v>
      </c>
      <c r="AM847" s="459">
        <v>0</v>
      </c>
      <c r="AN847" s="459"/>
      <c r="AO847" s="459">
        <v>0</v>
      </c>
      <c r="AP847" s="460"/>
      <c r="AQ847" s="460"/>
      <c r="AR847" s="460"/>
      <c r="AS847" s="460"/>
      <c r="AT847" s="460"/>
      <c r="AU847" s="460"/>
      <c r="AV847" s="460"/>
      <c r="AW847" s="460"/>
      <c r="AX847" s="460"/>
      <c r="AY847" s="460"/>
      <c r="AZ847" s="460"/>
      <c r="BA847" s="460"/>
      <c r="BB847" s="460"/>
      <c r="BC847" s="460"/>
      <c r="BD847" s="460"/>
      <c r="BE847" s="460"/>
      <c r="BF847" s="460"/>
      <c r="BG847" s="460"/>
      <c r="BH847" s="460"/>
      <c r="BI847" s="460"/>
      <c r="BJ847" s="460"/>
      <c r="BK847" s="460"/>
      <c r="BL847" s="460"/>
      <c r="BM847" s="460"/>
      <c r="BN847" s="460"/>
      <c r="BO847" s="460"/>
      <c r="BP847" s="460"/>
      <c r="BQ847" s="460"/>
      <c r="BR847" s="460"/>
      <c r="BS847" s="460"/>
      <c r="BT847" s="460"/>
      <c r="BU847" s="460"/>
      <c r="BV847" s="460"/>
      <c r="BW847" s="460"/>
      <c r="BX847" s="460"/>
      <c r="BY847" s="460"/>
      <c r="BZ847" s="460"/>
      <c r="CA847" s="460"/>
      <c r="CB847" s="460"/>
      <c r="CC847" s="460"/>
      <c r="CD847" s="460"/>
      <c r="CE847" s="460"/>
      <c r="CF847" s="460"/>
      <c r="CG847" s="460"/>
      <c r="CH847" s="460"/>
      <c r="CI847" s="460"/>
      <c r="CJ847" s="460"/>
      <c r="CK847" s="460"/>
    </row>
    <row r="848" spans="1:89" s="329" customFormat="1" ht="36" customHeight="1" x14ac:dyDescent="0.25">
      <c r="A848" s="329">
        <v>1</v>
      </c>
      <c r="B848" s="39">
        <f>SUBTOTAL(103,$A$552:A848)</f>
        <v>273</v>
      </c>
      <c r="C848" s="33" t="s">
        <v>1629</v>
      </c>
      <c r="D848" s="330">
        <v>1983</v>
      </c>
      <c r="E848" s="330"/>
      <c r="F848" s="331" t="s">
        <v>48</v>
      </c>
      <c r="G848" s="330">
        <v>2</v>
      </c>
      <c r="H848" s="330" t="s">
        <v>61</v>
      </c>
      <c r="I848" s="334">
        <v>1039.7</v>
      </c>
      <c r="J848" s="334">
        <v>968.1</v>
      </c>
      <c r="K848" s="334">
        <v>908.6</v>
      </c>
      <c r="L848" s="332">
        <v>39</v>
      </c>
      <c r="M848" s="330" t="s">
        <v>46</v>
      </c>
      <c r="N848" s="330" t="s">
        <v>50</v>
      </c>
      <c r="O848" s="333" t="s">
        <v>2065</v>
      </c>
      <c r="P848" s="38">
        <v>5113507.6399999997</v>
      </c>
      <c r="Q848" s="38">
        <v>0</v>
      </c>
      <c r="R848" s="38">
        <v>0</v>
      </c>
      <c r="S848" s="38">
        <f t="shared" si="167"/>
        <v>5113507.6399999997</v>
      </c>
      <c r="T848" s="38">
        <f t="shared" ref="T848:T912" si="169">P848/I848</f>
        <v>4918.2529960565544</v>
      </c>
      <c r="U848" s="38">
        <v>5066.5816908723682</v>
      </c>
      <c r="V848" s="458">
        <f t="shared" si="153"/>
        <v>148.32869481581383</v>
      </c>
      <c r="W848" s="458">
        <f>T848</f>
        <v>4918.2529960565544</v>
      </c>
      <c r="X848" s="458">
        <v>0</v>
      </c>
      <c r="Y848" s="459">
        <v>0</v>
      </c>
      <c r="Z848" s="459">
        <v>0</v>
      </c>
      <c r="AA848" s="459">
        <v>0</v>
      </c>
      <c r="AB848" s="459">
        <v>0</v>
      </c>
      <c r="AC848" s="459">
        <v>0</v>
      </c>
      <c r="AD848" s="459">
        <v>0</v>
      </c>
      <c r="AE848" s="459">
        <v>0</v>
      </c>
      <c r="AF848" s="458">
        <v>0</v>
      </c>
      <c r="AG848" s="459">
        <v>0</v>
      </c>
      <c r="AH848" s="458">
        <v>0</v>
      </c>
      <c r="AI848" s="459">
        <v>0</v>
      </c>
      <c r="AJ848" s="458">
        <v>0</v>
      </c>
      <c r="AK848" s="459">
        <v>0</v>
      </c>
      <c r="AL848" s="459">
        <v>0</v>
      </c>
      <c r="AM848" s="459">
        <v>334.1</v>
      </c>
      <c r="AN848" s="459">
        <f>6984.52*AM848/I848</f>
        <v>2244.4244801385016</v>
      </c>
      <c r="AO848" s="459">
        <v>0</v>
      </c>
      <c r="AP848" s="460"/>
      <c r="AQ848" s="460"/>
      <c r="AR848" s="460"/>
      <c r="AS848" s="460"/>
      <c r="AT848" s="460"/>
      <c r="AU848" s="460"/>
      <c r="AV848" s="460"/>
      <c r="AW848" s="460"/>
      <c r="AX848" s="460"/>
      <c r="AY848" s="460"/>
      <c r="AZ848" s="460"/>
      <c r="BA848" s="460"/>
      <c r="BB848" s="460"/>
      <c r="BC848" s="460"/>
      <c r="BD848" s="460"/>
      <c r="BE848" s="460"/>
      <c r="BF848" s="460"/>
      <c r="BG848" s="460"/>
      <c r="BH848" s="460"/>
      <c r="BI848" s="460"/>
      <c r="BJ848" s="460"/>
      <c r="BK848" s="460"/>
      <c r="BL848" s="460"/>
      <c r="BM848" s="460"/>
      <c r="BN848" s="460"/>
      <c r="BO848" s="460"/>
      <c r="BP848" s="460"/>
      <c r="BQ848" s="460"/>
      <c r="BR848" s="460"/>
      <c r="BS848" s="460"/>
      <c r="BT848" s="460"/>
      <c r="BU848" s="460"/>
      <c r="BV848" s="460"/>
      <c r="BW848" s="460"/>
      <c r="BX848" s="460"/>
      <c r="BY848" s="460"/>
      <c r="BZ848" s="460"/>
      <c r="CA848" s="460"/>
      <c r="CB848" s="460"/>
      <c r="CC848" s="460"/>
      <c r="CD848" s="460"/>
      <c r="CE848" s="460"/>
      <c r="CF848" s="460"/>
      <c r="CG848" s="460"/>
      <c r="CH848" s="460"/>
      <c r="CI848" s="460"/>
      <c r="CJ848" s="460"/>
      <c r="CK848" s="460"/>
    </row>
    <row r="849" spans="1:89" s="329" customFormat="1" ht="36" customHeight="1" x14ac:dyDescent="0.25">
      <c r="A849" s="329">
        <v>1</v>
      </c>
      <c r="B849" s="39">
        <f>SUBTOTAL(103,$A$552:A849)</f>
        <v>274</v>
      </c>
      <c r="C849" s="33" t="s">
        <v>1630</v>
      </c>
      <c r="D849" s="330">
        <v>1981</v>
      </c>
      <c r="E849" s="330"/>
      <c r="F849" s="331" t="s">
        <v>48</v>
      </c>
      <c r="G849" s="330">
        <v>2</v>
      </c>
      <c r="H849" s="330" t="s">
        <v>61</v>
      </c>
      <c r="I849" s="334">
        <v>1572.8</v>
      </c>
      <c r="J849" s="334">
        <v>986.3</v>
      </c>
      <c r="K849" s="334">
        <v>925.2</v>
      </c>
      <c r="L849" s="332">
        <v>49</v>
      </c>
      <c r="M849" s="330" t="s">
        <v>46</v>
      </c>
      <c r="N849" s="330" t="s">
        <v>50</v>
      </c>
      <c r="O849" s="333" t="s">
        <v>2065</v>
      </c>
      <c r="P849" s="38">
        <v>4388130.57</v>
      </c>
      <c r="Q849" s="38">
        <v>0</v>
      </c>
      <c r="R849" s="38">
        <v>0</v>
      </c>
      <c r="S849" s="38">
        <f t="shared" si="167"/>
        <v>4388130.57</v>
      </c>
      <c r="T849" s="38">
        <f t="shared" si="169"/>
        <v>2790.011806968464</v>
      </c>
      <c r="U849" s="38">
        <v>3526.5312436419126</v>
      </c>
      <c r="V849" s="458">
        <f t="shared" si="153"/>
        <v>736.51943667344858</v>
      </c>
      <c r="W849" s="458">
        <f t="shared" si="168"/>
        <v>3514.5436546286878</v>
      </c>
      <c r="X849" s="458">
        <v>0</v>
      </c>
      <c r="Y849" s="459">
        <v>0</v>
      </c>
      <c r="Z849" s="459">
        <v>0</v>
      </c>
      <c r="AA849" s="459">
        <v>0</v>
      </c>
      <c r="AB849" s="459">
        <v>0</v>
      </c>
      <c r="AC849" s="459">
        <v>0</v>
      </c>
      <c r="AD849" s="459">
        <v>0</v>
      </c>
      <c r="AE849" s="459">
        <v>886</v>
      </c>
      <c r="AF849" s="458">
        <f t="shared" ref="AF849:AF857" si="170">6238.91*AE849/I849</f>
        <v>3514.5436546286878</v>
      </c>
      <c r="AG849" s="459">
        <v>0</v>
      </c>
      <c r="AH849" s="458">
        <v>0</v>
      </c>
      <c r="AI849" s="459">
        <v>0</v>
      </c>
      <c r="AJ849" s="458">
        <v>0</v>
      </c>
      <c r="AK849" s="459">
        <v>0</v>
      </c>
      <c r="AL849" s="459">
        <v>0</v>
      </c>
      <c r="AM849" s="459">
        <v>0</v>
      </c>
      <c r="AN849" s="459"/>
      <c r="AO849" s="459">
        <v>0</v>
      </c>
      <c r="AP849" s="460"/>
      <c r="AQ849" s="460"/>
      <c r="AR849" s="460"/>
      <c r="AS849" s="460"/>
      <c r="AT849" s="460"/>
      <c r="AU849" s="460"/>
      <c r="AV849" s="460"/>
      <c r="AW849" s="460"/>
      <c r="AX849" s="460"/>
      <c r="AY849" s="460"/>
      <c r="AZ849" s="460"/>
      <c r="BA849" s="460"/>
      <c r="BB849" s="460"/>
      <c r="BC849" s="460"/>
      <c r="BD849" s="460"/>
      <c r="BE849" s="460"/>
      <c r="BF849" s="460"/>
      <c r="BG849" s="460"/>
      <c r="BH849" s="460"/>
      <c r="BI849" s="460"/>
      <c r="BJ849" s="460"/>
      <c r="BK849" s="460"/>
      <c r="BL849" s="460"/>
      <c r="BM849" s="460"/>
      <c r="BN849" s="460"/>
      <c r="BO849" s="460"/>
      <c r="BP849" s="460"/>
      <c r="BQ849" s="460"/>
      <c r="BR849" s="460"/>
      <c r="BS849" s="460"/>
      <c r="BT849" s="460"/>
      <c r="BU849" s="460"/>
      <c r="BV849" s="460"/>
      <c r="BW849" s="460"/>
      <c r="BX849" s="460"/>
      <c r="BY849" s="460"/>
      <c r="BZ849" s="460"/>
      <c r="CA849" s="460"/>
      <c r="CB849" s="460"/>
      <c r="CC849" s="460"/>
      <c r="CD849" s="460"/>
      <c r="CE849" s="460"/>
      <c r="CF849" s="460"/>
      <c r="CG849" s="460"/>
      <c r="CH849" s="460"/>
      <c r="CI849" s="460"/>
      <c r="CJ849" s="460"/>
      <c r="CK849" s="460"/>
    </row>
    <row r="850" spans="1:89" s="329" customFormat="1" ht="36" customHeight="1" x14ac:dyDescent="0.25">
      <c r="A850" s="329">
        <v>1</v>
      </c>
      <c r="B850" s="39">
        <f>SUBTOTAL(103,$A$552:A850)</f>
        <v>275</v>
      </c>
      <c r="C850" s="33" t="s">
        <v>934</v>
      </c>
      <c r="D850" s="330">
        <v>1975</v>
      </c>
      <c r="E850" s="330"/>
      <c r="F850" s="331" t="s">
        <v>48</v>
      </c>
      <c r="G850" s="330">
        <v>2</v>
      </c>
      <c r="H850" s="330" t="s">
        <v>61</v>
      </c>
      <c r="I850" s="334">
        <v>786.44</v>
      </c>
      <c r="J850" s="334">
        <v>726.3</v>
      </c>
      <c r="K850" s="334">
        <v>726.3</v>
      </c>
      <c r="L850" s="332">
        <v>32</v>
      </c>
      <c r="M850" s="330" t="s">
        <v>46</v>
      </c>
      <c r="N850" s="330" t="s">
        <v>50</v>
      </c>
      <c r="O850" s="333" t="s">
        <v>2065</v>
      </c>
      <c r="P850" s="38">
        <v>3583491.44</v>
      </c>
      <c r="Q850" s="38">
        <v>0</v>
      </c>
      <c r="R850" s="38">
        <v>0</v>
      </c>
      <c r="S850" s="38">
        <f t="shared" si="167"/>
        <v>3583491.44</v>
      </c>
      <c r="T850" s="38">
        <f t="shared" si="169"/>
        <v>4556.598647067799</v>
      </c>
      <c r="U850" s="38">
        <v>5333.3087075937128</v>
      </c>
      <c r="V850" s="458">
        <f t="shared" si="153"/>
        <v>776.71006052591383</v>
      </c>
      <c r="W850" s="458">
        <f t="shared" si="168"/>
        <v>5315.1794161029438</v>
      </c>
      <c r="X850" s="458">
        <v>0</v>
      </c>
      <c r="Y850" s="459">
        <v>0</v>
      </c>
      <c r="Z850" s="459">
        <v>0</v>
      </c>
      <c r="AA850" s="459">
        <v>0</v>
      </c>
      <c r="AB850" s="459">
        <v>0</v>
      </c>
      <c r="AC850" s="459">
        <v>0</v>
      </c>
      <c r="AD850" s="459">
        <v>0</v>
      </c>
      <c r="AE850" s="459">
        <v>670</v>
      </c>
      <c r="AF850" s="458">
        <f t="shared" si="170"/>
        <v>5315.1794161029438</v>
      </c>
      <c r="AG850" s="459">
        <v>0</v>
      </c>
      <c r="AH850" s="458">
        <v>0</v>
      </c>
      <c r="AI850" s="459">
        <v>0</v>
      </c>
      <c r="AJ850" s="458">
        <v>0</v>
      </c>
      <c r="AK850" s="459">
        <v>0</v>
      </c>
      <c r="AL850" s="459">
        <v>0</v>
      </c>
      <c r="AM850" s="459">
        <v>0</v>
      </c>
      <c r="AN850" s="459"/>
      <c r="AO850" s="459">
        <v>0</v>
      </c>
      <c r="AP850" s="460"/>
      <c r="AQ850" s="460"/>
      <c r="AR850" s="460"/>
      <c r="AS850" s="460"/>
      <c r="AT850" s="460"/>
      <c r="AU850" s="460"/>
      <c r="AV850" s="460"/>
      <c r="AW850" s="460"/>
      <c r="AX850" s="460"/>
      <c r="AY850" s="460"/>
      <c r="AZ850" s="460"/>
      <c r="BA850" s="460"/>
      <c r="BB850" s="460"/>
      <c r="BC850" s="460"/>
      <c r="BD850" s="460"/>
      <c r="BE850" s="460"/>
      <c r="BF850" s="460"/>
      <c r="BG850" s="460"/>
      <c r="BH850" s="460"/>
      <c r="BI850" s="460"/>
      <c r="BJ850" s="460"/>
      <c r="BK850" s="460"/>
      <c r="BL850" s="460"/>
      <c r="BM850" s="460"/>
      <c r="BN850" s="460"/>
      <c r="BO850" s="460"/>
      <c r="BP850" s="460"/>
      <c r="BQ850" s="460"/>
      <c r="BR850" s="460"/>
      <c r="BS850" s="460"/>
      <c r="BT850" s="460"/>
      <c r="BU850" s="460"/>
      <c r="BV850" s="460"/>
      <c r="BW850" s="460"/>
      <c r="BX850" s="460"/>
      <c r="BY850" s="460"/>
      <c r="BZ850" s="460"/>
      <c r="CA850" s="460"/>
      <c r="CB850" s="460"/>
      <c r="CC850" s="460"/>
      <c r="CD850" s="460"/>
      <c r="CE850" s="460"/>
      <c r="CF850" s="460"/>
      <c r="CG850" s="460"/>
      <c r="CH850" s="460"/>
      <c r="CI850" s="460"/>
      <c r="CJ850" s="460"/>
      <c r="CK850" s="460"/>
    </row>
    <row r="851" spans="1:89" s="329" customFormat="1" ht="36" customHeight="1" x14ac:dyDescent="0.25">
      <c r="A851" s="329">
        <v>1</v>
      </c>
      <c r="B851" s="39">
        <f>SUBTOTAL(103,$A$552:A851)</f>
        <v>276</v>
      </c>
      <c r="C851" s="33" t="s">
        <v>1631</v>
      </c>
      <c r="D851" s="330">
        <v>1972</v>
      </c>
      <c r="E851" s="330"/>
      <c r="F851" s="331" t="s">
        <v>48</v>
      </c>
      <c r="G851" s="330">
        <v>2</v>
      </c>
      <c r="H851" s="330" t="s">
        <v>56</v>
      </c>
      <c r="I851" s="334">
        <v>669.61</v>
      </c>
      <c r="J851" s="334">
        <v>669.61</v>
      </c>
      <c r="K851" s="334">
        <v>621.29</v>
      </c>
      <c r="L851" s="332">
        <v>12</v>
      </c>
      <c r="M851" s="330" t="s">
        <v>46</v>
      </c>
      <c r="N851" s="330" t="s">
        <v>50</v>
      </c>
      <c r="O851" s="333" t="s">
        <v>53</v>
      </c>
      <c r="P851" s="38">
        <v>3011574.49</v>
      </c>
      <c r="Q851" s="38">
        <v>0</v>
      </c>
      <c r="R851" s="38">
        <v>0</v>
      </c>
      <c r="S851" s="38">
        <f t="shared" si="167"/>
        <v>3011574.49</v>
      </c>
      <c r="T851" s="38">
        <f t="shared" si="169"/>
        <v>4497.5052493242338</v>
      </c>
      <c r="U851" s="38">
        <v>5760.1115019190265</v>
      </c>
      <c r="V851" s="458">
        <f t="shared" si="153"/>
        <v>1262.6062525947927</v>
      </c>
      <c r="W851" s="458">
        <f t="shared" si="168"/>
        <v>5740.5313976792459</v>
      </c>
      <c r="X851" s="458">
        <v>0</v>
      </c>
      <c r="Y851" s="459">
        <v>0</v>
      </c>
      <c r="Z851" s="459">
        <v>0</v>
      </c>
      <c r="AA851" s="459">
        <v>0</v>
      </c>
      <c r="AB851" s="459">
        <v>0</v>
      </c>
      <c r="AC851" s="459">
        <v>0</v>
      </c>
      <c r="AD851" s="459">
        <v>0</v>
      </c>
      <c r="AE851" s="459">
        <v>616.12</v>
      </c>
      <c r="AF851" s="458">
        <f t="shared" si="170"/>
        <v>5740.5313976792459</v>
      </c>
      <c r="AG851" s="459">
        <v>0</v>
      </c>
      <c r="AH851" s="458">
        <v>0</v>
      </c>
      <c r="AI851" s="459">
        <v>0</v>
      </c>
      <c r="AJ851" s="458">
        <v>0</v>
      </c>
      <c r="AK851" s="459">
        <v>0</v>
      </c>
      <c r="AL851" s="459">
        <v>0</v>
      </c>
      <c r="AM851" s="459">
        <v>0</v>
      </c>
      <c r="AN851" s="459"/>
      <c r="AO851" s="459">
        <v>0</v>
      </c>
      <c r="AP851" s="460"/>
      <c r="AQ851" s="460"/>
      <c r="AR851" s="460"/>
      <c r="AS851" s="460"/>
      <c r="AT851" s="460"/>
      <c r="AU851" s="460"/>
      <c r="AV851" s="460"/>
      <c r="AW851" s="460"/>
      <c r="AX851" s="460"/>
      <c r="AY851" s="460"/>
      <c r="AZ851" s="460"/>
      <c r="BA851" s="460"/>
      <c r="BB851" s="460"/>
      <c r="BC851" s="460"/>
      <c r="BD851" s="460"/>
      <c r="BE851" s="460"/>
      <c r="BF851" s="460"/>
      <c r="BG851" s="460"/>
      <c r="BH851" s="460"/>
      <c r="BI851" s="460"/>
      <c r="BJ851" s="460"/>
      <c r="BK851" s="460"/>
      <c r="BL851" s="460"/>
      <c r="BM851" s="460"/>
      <c r="BN851" s="460"/>
      <c r="BO851" s="460"/>
      <c r="BP851" s="460"/>
      <c r="BQ851" s="460"/>
      <c r="BR851" s="460"/>
      <c r="BS851" s="460"/>
      <c r="BT851" s="460"/>
      <c r="BU851" s="460"/>
      <c r="BV851" s="460"/>
      <c r="BW851" s="460"/>
      <c r="BX851" s="460"/>
      <c r="BY851" s="460"/>
      <c r="BZ851" s="460"/>
      <c r="CA851" s="460"/>
      <c r="CB851" s="460"/>
      <c r="CC851" s="460"/>
      <c r="CD851" s="460"/>
      <c r="CE851" s="460"/>
      <c r="CF851" s="460"/>
      <c r="CG851" s="460"/>
      <c r="CH851" s="460"/>
      <c r="CI851" s="460"/>
      <c r="CJ851" s="460"/>
      <c r="CK851" s="460"/>
    </row>
    <row r="852" spans="1:89" s="329" customFormat="1" ht="36" customHeight="1" x14ac:dyDescent="0.25">
      <c r="A852" s="329">
        <v>1</v>
      </c>
      <c r="B852" s="39">
        <f>SUBTOTAL(103,$A$552:A852)</f>
        <v>277</v>
      </c>
      <c r="C852" s="33" t="s">
        <v>1632</v>
      </c>
      <c r="D852" s="330">
        <v>1978</v>
      </c>
      <c r="E852" s="330"/>
      <c r="F852" s="331" t="s">
        <v>1991</v>
      </c>
      <c r="G852" s="330">
        <v>5</v>
      </c>
      <c r="H852" s="330" t="s">
        <v>59</v>
      </c>
      <c r="I852" s="334">
        <v>4027.2</v>
      </c>
      <c r="J852" s="334">
        <v>3079.4</v>
      </c>
      <c r="K852" s="334">
        <v>3079.4</v>
      </c>
      <c r="L852" s="332">
        <v>157</v>
      </c>
      <c r="M852" s="330" t="s">
        <v>46</v>
      </c>
      <c r="N852" s="330" t="s">
        <v>50</v>
      </c>
      <c r="O852" s="333" t="s">
        <v>53</v>
      </c>
      <c r="P852" s="38">
        <v>3374348.08</v>
      </c>
      <c r="Q852" s="38">
        <v>0</v>
      </c>
      <c r="R852" s="38">
        <v>0</v>
      </c>
      <c r="S852" s="38">
        <f t="shared" si="167"/>
        <v>3374348.08</v>
      </c>
      <c r="T852" s="38">
        <f t="shared" si="169"/>
        <v>837.88937226857377</v>
      </c>
      <c r="U852" s="38">
        <v>1202.6988982419546</v>
      </c>
      <c r="V852" s="458">
        <f t="shared" si="153"/>
        <v>364.8095259733808</v>
      </c>
      <c r="W852" s="458">
        <f t="shared" si="168"/>
        <v>1198.610614570918</v>
      </c>
      <c r="X852" s="458">
        <v>0</v>
      </c>
      <c r="Y852" s="459">
        <v>0</v>
      </c>
      <c r="Z852" s="459">
        <v>0</v>
      </c>
      <c r="AA852" s="459">
        <v>0</v>
      </c>
      <c r="AB852" s="459">
        <v>0</v>
      </c>
      <c r="AC852" s="459">
        <v>0</v>
      </c>
      <c r="AD852" s="459">
        <v>0</v>
      </c>
      <c r="AE852" s="459">
        <v>773.7</v>
      </c>
      <c r="AF852" s="458">
        <f t="shared" si="170"/>
        <v>1198.610614570918</v>
      </c>
      <c r="AG852" s="459">
        <v>0</v>
      </c>
      <c r="AH852" s="458">
        <v>0</v>
      </c>
      <c r="AI852" s="459">
        <v>0</v>
      </c>
      <c r="AJ852" s="458">
        <v>0</v>
      </c>
      <c r="AK852" s="459">
        <v>0</v>
      </c>
      <c r="AL852" s="459">
        <v>0</v>
      </c>
      <c r="AM852" s="459">
        <v>0</v>
      </c>
      <c r="AN852" s="459"/>
      <c r="AO852" s="459">
        <v>0</v>
      </c>
      <c r="AP852" s="460"/>
      <c r="AQ852" s="460"/>
      <c r="AR852" s="460"/>
      <c r="AS852" s="460"/>
      <c r="AT852" s="460"/>
      <c r="AU852" s="460"/>
      <c r="AV852" s="460"/>
      <c r="AW852" s="460"/>
      <c r="AX852" s="460"/>
      <c r="AY852" s="460"/>
      <c r="AZ852" s="460"/>
      <c r="BA852" s="460"/>
      <c r="BB852" s="460"/>
      <c r="BC852" s="460"/>
      <c r="BD852" s="460"/>
      <c r="BE852" s="460"/>
      <c r="BF852" s="460"/>
      <c r="BG852" s="460"/>
      <c r="BH852" s="460"/>
      <c r="BI852" s="460"/>
      <c r="BJ852" s="460"/>
      <c r="BK852" s="460"/>
      <c r="BL852" s="460"/>
      <c r="BM852" s="460"/>
      <c r="BN852" s="460"/>
      <c r="BO852" s="460"/>
      <c r="BP852" s="460"/>
      <c r="BQ852" s="460"/>
      <c r="BR852" s="460"/>
      <c r="BS852" s="460"/>
      <c r="BT852" s="460"/>
      <c r="BU852" s="460"/>
      <c r="BV852" s="460"/>
      <c r="BW852" s="460"/>
      <c r="BX852" s="460"/>
      <c r="BY852" s="460"/>
      <c r="BZ852" s="460"/>
      <c r="CA852" s="460"/>
      <c r="CB852" s="460"/>
      <c r="CC852" s="460"/>
      <c r="CD852" s="460"/>
      <c r="CE852" s="460"/>
      <c r="CF852" s="460"/>
      <c r="CG852" s="460"/>
      <c r="CH852" s="460"/>
      <c r="CI852" s="460"/>
      <c r="CJ852" s="460"/>
      <c r="CK852" s="460"/>
    </row>
    <row r="853" spans="1:89" s="329" customFormat="1" ht="36" customHeight="1" x14ac:dyDescent="0.25">
      <c r="A853" s="329">
        <v>1</v>
      </c>
      <c r="B853" s="39">
        <f>SUBTOTAL(103,$A$552:A853)</f>
        <v>278</v>
      </c>
      <c r="C853" s="33" t="s">
        <v>1633</v>
      </c>
      <c r="D853" s="330">
        <v>1986</v>
      </c>
      <c r="E853" s="330"/>
      <c r="F853" s="331" t="s">
        <v>48</v>
      </c>
      <c r="G853" s="330">
        <v>5</v>
      </c>
      <c r="H853" s="330" t="s">
        <v>57</v>
      </c>
      <c r="I853" s="334">
        <v>2851.99</v>
      </c>
      <c r="J853" s="334">
        <v>2360.59</v>
      </c>
      <c r="K853" s="334">
        <v>2342</v>
      </c>
      <c r="L853" s="332">
        <v>145</v>
      </c>
      <c r="M853" s="330" t="s">
        <v>46</v>
      </c>
      <c r="N853" s="330" t="s">
        <v>50</v>
      </c>
      <c r="O853" s="333" t="s">
        <v>53</v>
      </c>
      <c r="P853" s="38">
        <v>4644926.0999999996</v>
      </c>
      <c r="Q853" s="38">
        <v>0</v>
      </c>
      <c r="R853" s="38">
        <v>0</v>
      </c>
      <c r="S853" s="38">
        <f t="shared" si="167"/>
        <v>4644926.0999999996</v>
      </c>
      <c r="T853" s="38">
        <f t="shared" si="169"/>
        <v>1628.6614258815773</v>
      </c>
      <c r="U853" s="38">
        <v>2052.3485881787806</v>
      </c>
      <c r="V853" s="458">
        <f t="shared" si="153"/>
        <v>423.68716229720326</v>
      </c>
      <c r="W853" s="458">
        <f t="shared" si="168"/>
        <v>2045.3721261294745</v>
      </c>
      <c r="X853" s="458">
        <v>0</v>
      </c>
      <c r="Y853" s="459">
        <v>0</v>
      </c>
      <c r="Z853" s="459">
        <v>0</v>
      </c>
      <c r="AA853" s="459">
        <v>0</v>
      </c>
      <c r="AB853" s="459">
        <v>0</v>
      </c>
      <c r="AC853" s="459">
        <v>0</v>
      </c>
      <c r="AD853" s="459">
        <v>0</v>
      </c>
      <c r="AE853" s="459">
        <v>935</v>
      </c>
      <c r="AF853" s="458">
        <f t="shared" si="170"/>
        <v>2045.3721261294745</v>
      </c>
      <c r="AG853" s="459">
        <v>0</v>
      </c>
      <c r="AH853" s="458">
        <v>0</v>
      </c>
      <c r="AI853" s="459">
        <v>0</v>
      </c>
      <c r="AJ853" s="458">
        <v>0</v>
      </c>
      <c r="AK853" s="459">
        <v>0</v>
      </c>
      <c r="AL853" s="459">
        <v>0</v>
      </c>
      <c r="AM853" s="459">
        <v>0</v>
      </c>
      <c r="AN853" s="459"/>
      <c r="AO853" s="459">
        <v>0</v>
      </c>
      <c r="AP853" s="460"/>
      <c r="AQ853" s="460"/>
      <c r="AR853" s="460"/>
      <c r="AS853" s="460"/>
      <c r="AT853" s="460"/>
      <c r="AU853" s="460"/>
      <c r="AV853" s="460"/>
      <c r="AW853" s="460"/>
      <c r="AX853" s="460"/>
      <c r="AY853" s="460"/>
      <c r="AZ853" s="460"/>
      <c r="BA853" s="460"/>
      <c r="BB853" s="460"/>
      <c r="BC853" s="460"/>
      <c r="BD853" s="460"/>
      <c r="BE853" s="460"/>
      <c r="BF853" s="460"/>
      <c r="BG853" s="460"/>
      <c r="BH853" s="460"/>
      <c r="BI853" s="460"/>
      <c r="BJ853" s="460"/>
      <c r="BK853" s="460"/>
      <c r="BL853" s="460"/>
      <c r="BM853" s="460"/>
      <c r="BN853" s="460"/>
      <c r="BO853" s="460"/>
      <c r="BP853" s="460"/>
      <c r="BQ853" s="460"/>
      <c r="BR853" s="460"/>
      <c r="BS853" s="460"/>
      <c r="BT853" s="460"/>
      <c r="BU853" s="460"/>
      <c r="BV853" s="460"/>
      <c r="BW853" s="460"/>
      <c r="BX853" s="460"/>
      <c r="BY853" s="460"/>
      <c r="BZ853" s="460"/>
      <c r="CA853" s="460"/>
      <c r="CB853" s="460"/>
      <c r="CC853" s="460"/>
      <c r="CD853" s="460"/>
      <c r="CE853" s="460"/>
      <c r="CF853" s="460"/>
      <c r="CG853" s="460"/>
      <c r="CH853" s="460"/>
      <c r="CI853" s="460"/>
      <c r="CJ853" s="460"/>
      <c r="CK853" s="460"/>
    </row>
    <row r="854" spans="1:89" s="329" customFormat="1" ht="36" customHeight="1" x14ac:dyDescent="0.25">
      <c r="A854" s="329">
        <v>1</v>
      </c>
      <c r="B854" s="39">
        <f>SUBTOTAL(103,$A$552:A854)</f>
        <v>279</v>
      </c>
      <c r="C854" s="33" t="s">
        <v>1634</v>
      </c>
      <c r="D854" s="330">
        <v>1978</v>
      </c>
      <c r="E854" s="330"/>
      <c r="F854" s="331" t="s">
        <v>48</v>
      </c>
      <c r="G854" s="330">
        <v>3</v>
      </c>
      <c r="H854" s="330" t="s">
        <v>61</v>
      </c>
      <c r="I854" s="334">
        <v>1582.3</v>
      </c>
      <c r="J854" s="334">
        <v>1471.8</v>
      </c>
      <c r="K854" s="334">
        <v>1471.8</v>
      </c>
      <c r="L854" s="332">
        <v>69</v>
      </c>
      <c r="M854" s="330" t="s">
        <v>46</v>
      </c>
      <c r="N854" s="330" t="s">
        <v>50</v>
      </c>
      <c r="O854" s="333" t="s">
        <v>53</v>
      </c>
      <c r="P854" s="38">
        <v>6425439.0500000007</v>
      </c>
      <c r="Q854" s="38">
        <v>0</v>
      </c>
      <c r="R854" s="38">
        <v>0</v>
      </c>
      <c r="S854" s="38">
        <f t="shared" si="167"/>
        <v>6425439.0500000007</v>
      </c>
      <c r="T854" s="38">
        <f t="shared" si="169"/>
        <v>4060.8222524173675</v>
      </c>
      <c r="U854" s="38">
        <v>8661.6925974846745</v>
      </c>
      <c r="V854" s="458">
        <f t="shared" si="153"/>
        <v>4600.8703450673074</v>
      </c>
      <c r="W854" s="458">
        <f t="shared" si="168"/>
        <v>3686.6465588067999</v>
      </c>
      <c r="X854" s="458">
        <v>0</v>
      </c>
      <c r="Y854" s="459">
        <v>0</v>
      </c>
      <c r="Z854" s="459">
        <v>0</v>
      </c>
      <c r="AA854" s="459">
        <v>0</v>
      </c>
      <c r="AB854" s="459">
        <v>0</v>
      </c>
      <c r="AC854" s="459">
        <v>0</v>
      </c>
      <c r="AD854" s="459">
        <v>0</v>
      </c>
      <c r="AE854" s="459">
        <v>935</v>
      </c>
      <c r="AF854" s="458">
        <f t="shared" si="170"/>
        <v>3686.6465588067999</v>
      </c>
      <c r="AG854" s="459">
        <v>0</v>
      </c>
      <c r="AH854" s="458">
        <v>0</v>
      </c>
      <c r="AI854" s="459">
        <v>0</v>
      </c>
      <c r="AJ854" s="458">
        <v>0</v>
      </c>
      <c r="AK854" s="459">
        <v>0</v>
      </c>
      <c r="AL854" s="459">
        <v>0</v>
      </c>
      <c r="AM854" s="459">
        <v>0</v>
      </c>
      <c r="AN854" s="459"/>
      <c r="AO854" s="459">
        <v>0</v>
      </c>
      <c r="AP854" s="460"/>
      <c r="AQ854" s="460"/>
      <c r="AR854" s="460"/>
      <c r="AS854" s="460"/>
      <c r="AT854" s="460"/>
      <c r="AU854" s="460"/>
      <c r="AV854" s="460"/>
      <c r="AW854" s="460"/>
      <c r="AX854" s="460"/>
      <c r="AY854" s="460"/>
      <c r="AZ854" s="460"/>
      <c r="BA854" s="460"/>
      <c r="BB854" s="460"/>
      <c r="BC854" s="460"/>
      <c r="BD854" s="460"/>
      <c r="BE854" s="460"/>
      <c r="BF854" s="460"/>
      <c r="BG854" s="460"/>
      <c r="BH854" s="460"/>
      <c r="BI854" s="460"/>
      <c r="BJ854" s="460"/>
      <c r="BK854" s="460"/>
      <c r="BL854" s="460"/>
      <c r="BM854" s="460"/>
      <c r="BN854" s="460"/>
      <c r="BO854" s="460"/>
      <c r="BP854" s="460"/>
      <c r="BQ854" s="460"/>
      <c r="BR854" s="460"/>
      <c r="BS854" s="460"/>
      <c r="BT854" s="460"/>
      <c r="BU854" s="460"/>
      <c r="BV854" s="460"/>
      <c r="BW854" s="460"/>
      <c r="BX854" s="460"/>
      <c r="BY854" s="460"/>
      <c r="BZ854" s="460"/>
      <c r="CA854" s="460"/>
      <c r="CB854" s="460"/>
      <c r="CC854" s="460"/>
      <c r="CD854" s="460"/>
      <c r="CE854" s="460"/>
      <c r="CF854" s="460"/>
      <c r="CG854" s="460"/>
      <c r="CH854" s="460"/>
      <c r="CI854" s="460"/>
      <c r="CJ854" s="460"/>
      <c r="CK854" s="460"/>
    </row>
    <row r="855" spans="1:89" s="329" customFormat="1" ht="36" customHeight="1" x14ac:dyDescent="0.25">
      <c r="A855" s="329">
        <v>1</v>
      </c>
      <c r="B855" s="39">
        <f>SUBTOTAL(103,$A$552:A855)</f>
        <v>280</v>
      </c>
      <c r="C855" s="33" t="s">
        <v>1312</v>
      </c>
      <c r="D855" s="330">
        <v>1973</v>
      </c>
      <c r="E855" s="330"/>
      <c r="F855" s="331" t="s">
        <v>48</v>
      </c>
      <c r="G855" s="330">
        <v>2</v>
      </c>
      <c r="H855" s="330" t="s">
        <v>56</v>
      </c>
      <c r="I855" s="334">
        <v>781.06</v>
      </c>
      <c r="J855" s="334">
        <v>721</v>
      </c>
      <c r="K855" s="334">
        <v>681.23</v>
      </c>
      <c r="L855" s="332">
        <v>38</v>
      </c>
      <c r="M855" s="330" t="s">
        <v>46</v>
      </c>
      <c r="N855" s="330" t="s">
        <v>50</v>
      </c>
      <c r="O855" s="333" t="s">
        <v>2065</v>
      </c>
      <c r="P855" s="38">
        <v>3175000</v>
      </c>
      <c r="Q855" s="38">
        <v>0</v>
      </c>
      <c r="R855" s="38">
        <v>0</v>
      </c>
      <c r="S855" s="38">
        <f t="shared" si="167"/>
        <v>3175000</v>
      </c>
      <c r="T855" s="38">
        <f t="shared" si="169"/>
        <v>4064.988605228792</v>
      </c>
      <c r="U855" s="38">
        <v>5097.5351957596085</v>
      </c>
      <c r="V855" s="458">
        <f t="shared" si="153"/>
        <v>1032.5465905308165</v>
      </c>
      <c r="W855" s="458">
        <f t="shared" si="168"/>
        <v>5918.1220636058688</v>
      </c>
      <c r="X855" s="458">
        <v>0</v>
      </c>
      <c r="Y855" s="459">
        <v>0</v>
      </c>
      <c r="Z855" s="459">
        <v>0</v>
      </c>
      <c r="AA855" s="459">
        <v>0</v>
      </c>
      <c r="AB855" s="459">
        <v>0</v>
      </c>
      <c r="AC855" s="459">
        <v>0</v>
      </c>
      <c r="AD855" s="459">
        <v>0</v>
      </c>
      <c r="AE855" s="459">
        <v>740.9</v>
      </c>
      <c r="AF855" s="458">
        <f t="shared" si="170"/>
        <v>5918.1220636058688</v>
      </c>
      <c r="AG855" s="459">
        <v>0</v>
      </c>
      <c r="AH855" s="458">
        <v>0</v>
      </c>
      <c r="AI855" s="459">
        <v>0</v>
      </c>
      <c r="AJ855" s="458">
        <v>0</v>
      </c>
      <c r="AK855" s="459">
        <v>0</v>
      </c>
      <c r="AL855" s="459">
        <v>0</v>
      </c>
      <c r="AM855" s="459">
        <v>0</v>
      </c>
      <c r="AN855" s="459"/>
      <c r="AO855" s="459">
        <v>0</v>
      </c>
      <c r="AP855" s="460"/>
      <c r="AQ855" s="460"/>
      <c r="AR855" s="460"/>
      <c r="AS855" s="460"/>
      <c r="AT855" s="460"/>
      <c r="AU855" s="460"/>
      <c r="AV855" s="460"/>
      <c r="AW855" s="460"/>
      <c r="AX855" s="460"/>
      <c r="AY855" s="460"/>
      <c r="AZ855" s="460"/>
      <c r="BA855" s="460"/>
      <c r="BB855" s="460"/>
      <c r="BC855" s="460"/>
      <c r="BD855" s="460"/>
      <c r="BE855" s="460"/>
      <c r="BF855" s="460"/>
      <c r="BG855" s="460"/>
      <c r="BH855" s="460"/>
      <c r="BI855" s="460"/>
      <c r="BJ855" s="460"/>
      <c r="BK855" s="460"/>
      <c r="BL855" s="460"/>
      <c r="BM855" s="460"/>
      <c r="BN855" s="460"/>
      <c r="BO855" s="460"/>
      <c r="BP855" s="460"/>
      <c r="BQ855" s="460"/>
      <c r="BR855" s="460"/>
      <c r="BS855" s="460"/>
      <c r="BT855" s="460"/>
      <c r="BU855" s="460"/>
      <c r="BV855" s="460"/>
      <c r="BW855" s="460"/>
      <c r="BX855" s="460"/>
      <c r="BY855" s="460"/>
      <c r="BZ855" s="460"/>
      <c r="CA855" s="460"/>
      <c r="CB855" s="460"/>
      <c r="CC855" s="460"/>
      <c r="CD855" s="460"/>
      <c r="CE855" s="460"/>
      <c r="CF855" s="460"/>
      <c r="CG855" s="460"/>
      <c r="CH855" s="460"/>
      <c r="CI855" s="460"/>
      <c r="CJ855" s="460"/>
      <c r="CK855" s="460"/>
    </row>
    <row r="856" spans="1:89" s="329" customFormat="1" ht="36" customHeight="1" x14ac:dyDescent="0.25">
      <c r="A856" s="329">
        <v>1</v>
      </c>
      <c r="B856" s="39">
        <f>SUBTOTAL(103,$A$552:A856)</f>
        <v>281</v>
      </c>
      <c r="C856" s="33" t="s">
        <v>1317</v>
      </c>
      <c r="D856" s="330">
        <v>1987</v>
      </c>
      <c r="E856" s="330"/>
      <c r="F856" s="331" t="s">
        <v>48</v>
      </c>
      <c r="G856" s="330">
        <v>2</v>
      </c>
      <c r="H856" s="330" t="s">
        <v>61</v>
      </c>
      <c r="I856" s="38">
        <v>1448.2</v>
      </c>
      <c r="J856" s="38">
        <v>1448.2</v>
      </c>
      <c r="K856" s="38">
        <v>1448.2</v>
      </c>
      <c r="L856" s="332">
        <v>53</v>
      </c>
      <c r="M856" s="330" t="s">
        <v>46</v>
      </c>
      <c r="N856" s="330" t="s">
        <v>50</v>
      </c>
      <c r="O856" s="333" t="s">
        <v>2068</v>
      </c>
      <c r="P856" s="38">
        <v>1221946.1500000001</v>
      </c>
      <c r="Q856" s="38">
        <v>0</v>
      </c>
      <c r="R856" s="38">
        <v>0</v>
      </c>
      <c r="S856" s="38">
        <f t="shared" si="167"/>
        <v>1221946.1500000001</v>
      </c>
      <c r="T856" s="38">
        <f t="shared" si="169"/>
        <v>843.76892003866874</v>
      </c>
      <c r="U856" s="38">
        <v>3345.83</v>
      </c>
      <c r="V856" s="458">
        <f t="shared" si="153"/>
        <v>2502.0610799613314</v>
      </c>
      <c r="W856" s="458">
        <f t="shared" si="168"/>
        <v>1967.0531045435712</v>
      </c>
      <c r="X856" s="458">
        <v>0</v>
      </c>
      <c r="Y856" s="459">
        <v>0</v>
      </c>
      <c r="Z856" s="459">
        <v>0</v>
      </c>
      <c r="AA856" s="459">
        <v>0</v>
      </c>
      <c r="AB856" s="459">
        <v>0</v>
      </c>
      <c r="AC856" s="459">
        <v>0</v>
      </c>
      <c r="AD856" s="459">
        <v>0</v>
      </c>
      <c r="AE856" s="459">
        <v>456.6</v>
      </c>
      <c r="AF856" s="458">
        <f>6238.91*AE856/I856</f>
        <v>1967.0531045435712</v>
      </c>
      <c r="AG856" s="459">
        <v>0</v>
      </c>
      <c r="AH856" s="458">
        <v>0</v>
      </c>
      <c r="AI856" s="459">
        <v>0</v>
      </c>
      <c r="AJ856" s="458">
        <v>0</v>
      </c>
      <c r="AK856" s="459">
        <v>0</v>
      </c>
      <c r="AL856" s="459">
        <v>0</v>
      </c>
      <c r="AM856" s="459">
        <v>0</v>
      </c>
      <c r="AN856" s="459"/>
      <c r="AO856" s="459">
        <v>0</v>
      </c>
      <c r="AP856" s="460"/>
      <c r="AQ856" s="460"/>
      <c r="AR856" s="460"/>
      <c r="AS856" s="460"/>
      <c r="AT856" s="460"/>
      <c r="AU856" s="460"/>
      <c r="AV856" s="460"/>
      <c r="AW856" s="460"/>
      <c r="AX856" s="460"/>
      <c r="AY856" s="460"/>
      <c r="AZ856" s="460"/>
      <c r="BA856" s="460"/>
      <c r="BB856" s="460"/>
      <c r="BC856" s="460"/>
      <c r="BD856" s="460"/>
      <c r="BE856" s="460"/>
      <c r="BF856" s="460"/>
      <c r="BG856" s="460"/>
      <c r="BH856" s="460"/>
      <c r="BI856" s="460"/>
      <c r="BJ856" s="460"/>
      <c r="BK856" s="460"/>
      <c r="BL856" s="460"/>
      <c r="BM856" s="460"/>
      <c r="BN856" s="460"/>
      <c r="BO856" s="460"/>
      <c r="BP856" s="460"/>
      <c r="BQ856" s="460"/>
      <c r="BR856" s="460"/>
      <c r="BS856" s="460"/>
      <c r="BT856" s="460"/>
      <c r="BU856" s="460"/>
      <c r="BV856" s="460"/>
      <c r="BW856" s="460"/>
      <c r="BX856" s="460"/>
      <c r="BY856" s="460"/>
      <c r="BZ856" s="460"/>
      <c r="CA856" s="460"/>
      <c r="CB856" s="460"/>
      <c r="CC856" s="460"/>
      <c r="CD856" s="460"/>
      <c r="CE856" s="460"/>
      <c r="CF856" s="460"/>
      <c r="CG856" s="460"/>
      <c r="CH856" s="460"/>
      <c r="CI856" s="460"/>
      <c r="CJ856" s="460"/>
      <c r="CK856" s="460"/>
    </row>
    <row r="857" spans="1:89" s="329" customFormat="1" ht="36" customHeight="1" x14ac:dyDescent="0.25">
      <c r="A857" s="329">
        <v>1</v>
      </c>
      <c r="B857" s="39">
        <f>SUBTOTAL(103,$A$552:A857)</f>
        <v>282</v>
      </c>
      <c r="C857" s="33" t="s">
        <v>1635</v>
      </c>
      <c r="D857" s="330">
        <v>1979</v>
      </c>
      <c r="E857" s="330"/>
      <c r="F857" s="331" t="s">
        <v>48</v>
      </c>
      <c r="G857" s="330">
        <v>2</v>
      </c>
      <c r="H857" s="330" t="s">
        <v>61</v>
      </c>
      <c r="I857" s="38">
        <v>1253.7</v>
      </c>
      <c r="J857" s="38">
        <v>1253.7</v>
      </c>
      <c r="K857" s="38">
        <v>1133.5</v>
      </c>
      <c r="L857" s="332">
        <v>56</v>
      </c>
      <c r="M857" s="330" t="s">
        <v>46</v>
      </c>
      <c r="N857" s="330" t="s">
        <v>50</v>
      </c>
      <c r="O857" s="333" t="s">
        <v>53</v>
      </c>
      <c r="P857" s="38">
        <v>2197982.44</v>
      </c>
      <c r="Q857" s="38">
        <v>0</v>
      </c>
      <c r="R857" s="38">
        <v>0</v>
      </c>
      <c r="S857" s="38">
        <f t="shared" si="167"/>
        <v>2197982.44</v>
      </c>
      <c r="T857" s="38">
        <f t="shared" si="169"/>
        <v>1753.19649038845</v>
      </c>
      <c r="U857" s="38">
        <v>3458.92</v>
      </c>
      <c r="V857" s="458">
        <f t="shared" si="153"/>
        <v>1705.7235096115501</v>
      </c>
      <c r="W857" s="458">
        <f t="shared" si="168"/>
        <v>3164.9890404402963</v>
      </c>
      <c r="X857" s="458">
        <v>0</v>
      </c>
      <c r="Y857" s="459">
        <v>0</v>
      </c>
      <c r="Z857" s="459">
        <v>0</v>
      </c>
      <c r="AA857" s="459">
        <v>0</v>
      </c>
      <c r="AB857" s="459">
        <v>0</v>
      </c>
      <c r="AC857" s="459">
        <v>0</v>
      </c>
      <c r="AD857" s="459">
        <v>0</v>
      </c>
      <c r="AE857" s="459">
        <v>636</v>
      </c>
      <c r="AF857" s="458">
        <f t="shared" si="170"/>
        <v>3164.9890404402963</v>
      </c>
      <c r="AG857" s="459">
        <v>0</v>
      </c>
      <c r="AH857" s="458">
        <v>0</v>
      </c>
      <c r="AI857" s="459">
        <v>0</v>
      </c>
      <c r="AJ857" s="458">
        <v>0</v>
      </c>
      <c r="AK857" s="459">
        <v>0</v>
      </c>
      <c r="AL857" s="459">
        <v>0</v>
      </c>
      <c r="AM857" s="459">
        <v>0</v>
      </c>
      <c r="AN857" s="459"/>
      <c r="AO857" s="459">
        <v>0</v>
      </c>
      <c r="AP857" s="460"/>
      <c r="AQ857" s="460"/>
      <c r="AR857" s="460"/>
      <c r="AS857" s="460"/>
      <c r="AT857" s="460"/>
      <c r="AU857" s="460"/>
      <c r="AV857" s="460"/>
      <c r="AW857" s="460"/>
      <c r="AX857" s="460"/>
      <c r="AY857" s="460"/>
      <c r="AZ857" s="460"/>
      <c r="BA857" s="460"/>
      <c r="BB857" s="460"/>
      <c r="BC857" s="460"/>
      <c r="BD857" s="460"/>
      <c r="BE857" s="460"/>
      <c r="BF857" s="460"/>
      <c r="BG857" s="460"/>
      <c r="BH857" s="460"/>
      <c r="BI857" s="460"/>
      <c r="BJ857" s="460"/>
      <c r="BK857" s="460"/>
      <c r="BL857" s="460"/>
      <c r="BM857" s="460"/>
      <c r="BN857" s="460"/>
      <c r="BO857" s="460"/>
      <c r="BP857" s="460"/>
      <c r="BQ857" s="460"/>
      <c r="BR857" s="460"/>
      <c r="BS857" s="460"/>
      <c r="BT857" s="460"/>
      <c r="BU857" s="460"/>
      <c r="BV857" s="460"/>
      <c r="BW857" s="460"/>
      <c r="BX857" s="460"/>
      <c r="BY857" s="460"/>
      <c r="BZ857" s="460"/>
      <c r="CA857" s="460"/>
      <c r="CB857" s="460"/>
      <c r="CC857" s="460"/>
      <c r="CD857" s="460"/>
      <c r="CE857" s="460"/>
      <c r="CF857" s="460"/>
      <c r="CG857" s="460"/>
      <c r="CH857" s="460"/>
      <c r="CI857" s="460"/>
      <c r="CJ857" s="460"/>
      <c r="CK857" s="460"/>
    </row>
    <row r="858" spans="1:89" s="329" customFormat="1" ht="36" customHeight="1" x14ac:dyDescent="0.25">
      <c r="B858" s="33" t="s">
        <v>106</v>
      </c>
      <c r="C858" s="33"/>
      <c r="D858" s="330" t="s">
        <v>131</v>
      </c>
      <c r="E858" s="330" t="s">
        <v>131</v>
      </c>
      <c r="F858" s="330" t="s">
        <v>131</v>
      </c>
      <c r="G858" s="330" t="s">
        <v>131</v>
      </c>
      <c r="H858" s="330" t="s">
        <v>131</v>
      </c>
      <c r="I858" s="38">
        <f>SUM(I859:I860)</f>
        <v>1443.4</v>
      </c>
      <c r="J858" s="38">
        <f>SUM(J859:J860)</f>
        <v>1238.9000000000001</v>
      </c>
      <c r="K858" s="38">
        <f>SUM(K859:K860)</f>
        <v>1204.5999999999999</v>
      </c>
      <c r="L858" s="332">
        <f>SUM(L859:L860)</f>
        <v>68</v>
      </c>
      <c r="M858" s="330" t="s">
        <v>131</v>
      </c>
      <c r="N858" s="330" t="s">
        <v>131</v>
      </c>
      <c r="O858" s="333" t="s">
        <v>131</v>
      </c>
      <c r="P858" s="38">
        <v>6003691.8100000005</v>
      </c>
      <c r="Q858" s="38">
        <f t="shared" ref="Q858:R858" si="171">SUM(Q859:Q860)</f>
        <v>0</v>
      </c>
      <c r="R858" s="38">
        <f t="shared" si="171"/>
        <v>0</v>
      </c>
      <c r="S858" s="38">
        <f>SUM(S859:S860)</f>
        <v>6003691.8100000005</v>
      </c>
      <c r="T858" s="38">
        <f t="shared" si="169"/>
        <v>4159.4095953997503</v>
      </c>
      <c r="U858" s="38">
        <f>MAX(U859:U860)</f>
        <v>4614.4377633090771</v>
      </c>
      <c r="V858" s="458">
        <f t="shared" si="153"/>
        <v>455.02816790932684</v>
      </c>
      <c r="W858" s="458"/>
      <c r="X858" s="458"/>
      <c r="Y858" s="459"/>
      <c r="Z858" s="459"/>
      <c r="AA858" s="459"/>
      <c r="AB858" s="459"/>
      <c r="AC858" s="459"/>
      <c r="AD858" s="459"/>
      <c r="AE858" s="459"/>
      <c r="AF858" s="459"/>
      <c r="AG858" s="459"/>
      <c r="AH858" s="459"/>
      <c r="AI858" s="459"/>
      <c r="AJ858" s="459"/>
      <c r="AK858" s="459"/>
      <c r="AL858" s="459"/>
      <c r="AM858" s="459"/>
      <c r="AN858" s="459"/>
      <c r="AO858" s="459"/>
      <c r="AP858" s="460"/>
      <c r="AQ858" s="460"/>
      <c r="AR858" s="460"/>
      <c r="AS858" s="460"/>
      <c r="AT858" s="460"/>
      <c r="AU858" s="460"/>
      <c r="AV858" s="460"/>
      <c r="AW858" s="460"/>
      <c r="AX858" s="460"/>
      <c r="AY858" s="460"/>
      <c r="AZ858" s="460"/>
      <c r="BA858" s="460"/>
      <c r="BB858" s="460"/>
      <c r="BC858" s="460"/>
      <c r="BD858" s="460"/>
      <c r="BE858" s="460"/>
      <c r="BF858" s="460"/>
      <c r="BG858" s="460"/>
      <c r="BH858" s="460"/>
      <c r="BI858" s="460"/>
      <c r="BJ858" s="460"/>
      <c r="BK858" s="460"/>
      <c r="BL858" s="460"/>
      <c r="BM858" s="460"/>
      <c r="BN858" s="460"/>
      <c r="BO858" s="460"/>
      <c r="BP858" s="460"/>
      <c r="BQ858" s="460"/>
      <c r="BR858" s="460"/>
      <c r="BS858" s="460"/>
      <c r="BT858" s="460"/>
      <c r="BU858" s="460"/>
      <c r="BV858" s="460"/>
      <c r="BW858" s="460"/>
      <c r="BX858" s="460"/>
      <c r="BY858" s="460"/>
      <c r="BZ858" s="460"/>
      <c r="CA858" s="460"/>
      <c r="CB858" s="460"/>
      <c r="CC858" s="460"/>
      <c r="CD858" s="460"/>
      <c r="CE858" s="460"/>
      <c r="CF858" s="460"/>
      <c r="CG858" s="460"/>
      <c r="CH858" s="460"/>
      <c r="CI858" s="460"/>
      <c r="CJ858" s="460"/>
      <c r="CK858" s="460"/>
    </row>
    <row r="859" spans="1:89" s="329" customFormat="1" ht="36" customHeight="1" x14ac:dyDescent="0.25">
      <c r="A859" s="329">
        <v>1</v>
      </c>
      <c r="B859" s="39">
        <f>SUBTOTAL(103,$A$552:A859)</f>
        <v>283</v>
      </c>
      <c r="C859" s="33" t="s">
        <v>1324</v>
      </c>
      <c r="D859" s="330">
        <v>1983</v>
      </c>
      <c r="E859" s="330"/>
      <c r="F859" s="331" t="s">
        <v>48</v>
      </c>
      <c r="G859" s="330">
        <v>2</v>
      </c>
      <c r="H859" s="330" t="s">
        <v>61</v>
      </c>
      <c r="I859" s="334">
        <v>1044.4000000000001</v>
      </c>
      <c r="J859" s="334">
        <v>943.9</v>
      </c>
      <c r="K859" s="334">
        <v>943.9</v>
      </c>
      <c r="L859" s="332">
        <v>47</v>
      </c>
      <c r="M859" s="330" t="s">
        <v>46</v>
      </c>
      <c r="N859" s="330" t="s">
        <v>2071</v>
      </c>
      <c r="O859" s="333" t="s">
        <v>95</v>
      </c>
      <c r="P859" s="38">
        <v>4763670.41</v>
      </c>
      <c r="Q859" s="38">
        <v>0</v>
      </c>
      <c r="R859" s="38">
        <v>0</v>
      </c>
      <c r="S859" s="38">
        <f>P859-Q859-R859</f>
        <v>4763670.41</v>
      </c>
      <c r="T859" s="38">
        <f t="shared" si="169"/>
        <v>4561.1551225584062</v>
      </c>
      <c r="U859" s="38">
        <v>4614.4377633090771</v>
      </c>
      <c r="V859" s="458">
        <f t="shared" si="153"/>
        <v>53.282640750670907</v>
      </c>
      <c r="W859" s="458">
        <f t="shared" ref="W859:W860" si="172">X859+Y859+Z859+AA859+AB859+AD859+AF859+AH859+AJ859+AL859+AN859+AO859</f>
        <v>3269.3861547299884</v>
      </c>
      <c r="X859" s="458">
        <v>0</v>
      </c>
      <c r="Y859" s="459">
        <v>0</v>
      </c>
      <c r="Z859" s="459">
        <v>0</v>
      </c>
      <c r="AA859" s="459">
        <v>0</v>
      </c>
      <c r="AB859" s="459">
        <v>0</v>
      </c>
      <c r="AC859" s="459">
        <v>0</v>
      </c>
      <c r="AD859" s="459">
        <v>0</v>
      </c>
      <c r="AE859" s="459">
        <v>0</v>
      </c>
      <c r="AF859" s="458">
        <v>0</v>
      </c>
      <c r="AG859" s="459">
        <v>0</v>
      </c>
      <c r="AH859" s="458">
        <v>0</v>
      </c>
      <c r="AI859" s="459">
        <v>459</v>
      </c>
      <c r="AJ859" s="458">
        <f>7439.1*AI859/I859</f>
        <v>3269.3861547299884</v>
      </c>
      <c r="AK859" s="459">
        <v>0</v>
      </c>
      <c r="AL859" s="459">
        <v>0</v>
      </c>
      <c r="AM859" s="459">
        <v>0</v>
      </c>
      <c r="AN859" s="459"/>
      <c r="AO859" s="459">
        <v>0</v>
      </c>
      <c r="AP859" s="460"/>
      <c r="AQ859" s="460"/>
      <c r="AR859" s="460"/>
      <c r="AS859" s="460"/>
      <c r="AT859" s="460"/>
      <c r="AU859" s="460"/>
      <c r="AV859" s="460"/>
      <c r="AW859" s="460"/>
      <c r="AX859" s="460"/>
      <c r="AY859" s="460"/>
      <c r="AZ859" s="460"/>
      <c r="BA859" s="460"/>
      <c r="BB859" s="460"/>
      <c r="BC859" s="460"/>
      <c r="BD859" s="460"/>
      <c r="BE859" s="460"/>
      <c r="BF859" s="460"/>
      <c r="BG859" s="460"/>
      <c r="BH859" s="460"/>
      <c r="BI859" s="460"/>
      <c r="BJ859" s="460"/>
      <c r="BK859" s="460"/>
      <c r="BL859" s="460"/>
      <c r="BM859" s="460"/>
      <c r="BN859" s="460"/>
      <c r="BO859" s="460"/>
      <c r="BP859" s="460"/>
      <c r="BQ859" s="460"/>
      <c r="BR859" s="460"/>
      <c r="BS859" s="460"/>
      <c r="BT859" s="460"/>
      <c r="BU859" s="460"/>
      <c r="BV859" s="460"/>
      <c r="BW859" s="460"/>
      <c r="BX859" s="460"/>
      <c r="BY859" s="460"/>
      <c r="BZ859" s="460"/>
      <c r="CA859" s="460"/>
      <c r="CB859" s="460"/>
      <c r="CC859" s="460"/>
      <c r="CD859" s="460"/>
      <c r="CE859" s="460"/>
      <c r="CF859" s="460"/>
      <c r="CG859" s="460"/>
      <c r="CH859" s="460"/>
      <c r="CI859" s="460"/>
      <c r="CJ859" s="460"/>
      <c r="CK859" s="460"/>
    </row>
    <row r="860" spans="1:89" s="329" customFormat="1" ht="36" customHeight="1" x14ac:dyDescent="0.25">
      <c r="A860" s="329">
        <v>1</v>
      </c>
      <c r="B860" s="39">
        <f>SUBTOTAL(103,$A$552:A860)</f>
        <v>284</v>
      </c>
      <c r="C860" s="33" t="s">
        <v>1325</v>
      </c>
      <c r="D860" s="330">
        <v>1967</v>
      </c>
      <c r="E860" s="330"/>
      <c r="F860" s="331" t="s">
        <v>1981</v>
      </c>
      <c r="G860" s="330">
        <v>2</v>
      </c>
      <c r="H860" s="330" t="s">
        <v>57</v>
      </c>
      <c r="I860" s="334">
        <v>399</v>
      </c>
      <c r="J860" s="334">
        <v>295</v>
      </c>
      <c r="K860" s="334">
        <v>260.7</v>
      </c>
      <c r="L860" s="332">
        <v>21</v>
      </c>
      <c r="M860" s="330" t="s">
        <v>46</v>
      </c>
      <c r="N860" s="330" t="s">
        <v>2071</v>
      </c>
      <c r="O860" s="333" t="s">
        <v>95</v>
      </c>
      <c r="P860" s="38">
        <v>1240021.3999999999</v>
      </c>
      <c r="Q860" s="38">
        <v>0</v>
      </c>
      <c r="R860" s="38">
        <v>0</v>
      </c>
      <c r="S860" s="38">
        <f>P860-Q860-R860</f>
        <v>1240021.3999999999</v>
      </c>
      <c r="T860" s="38">
        <f t="shared" si="169"/>
        <v>3107.8230576441101</v>
      </c>
      <c r="U860" s="38">
        <v>3107.8230576441101</v>
      </c>
      <c r="V860" s="458">
        <f t="shared" si="153"/>
        <v>0</v>
      </c>
      <c r="W860" s="458">
        <f t="shared" si="172"/>
        <v>7933.1755639097755</v>
      </c>
      <c r="X860" s="458">
        <v>0</v>
      </c>
      <c r="Y860" s="459">
        <v>0</v>
      </c>
      <c r="Z860" s="459">
        <v>0</v>
      </c>
      <c r="AA860" s="459">
        <v>0</v>
      </c>
      <c r="AB860" s="459">
        <v>0</v>
      </c>
      <c r="AC860" s="459">
        <v>0</v>
      </c>
      <c r="AD860" s="459">
        <v>0</v>
      </c>
      <c r="AE860" s="459">
        <v>0</v>
      </c>
      <c r="AF860" s="458">
        <v>0</v>
      </c>
      <c r="AG860" s="459">
        <v>0</v>
      </c>
      <c r="AH860" s="458">
        <v>0</v>
      </c>
      <c r="AI860" s="459">
        <v>425.5</v>
      </c>
      <c r="AJ860" s="458">
        <f>7439.1*AI860/I860</f>
        <v>7933.1755639097755</v>
      </c>
      <c r="AK860" s="459">
        <v>0</v>
      </c>
      <c r="AL860" s="459">
        <v>0</v>
      </c>
      <c r="AM860" s="459">
        <v>0</v>
      </c>
      <c r="AN860" s="459"/>
      <c r="AO860" s="459">
        <v>0</v>
      </c>
      <c r="AP860" s="460"/>
      <c r="AQ860" s="460"/>
      <c r="AR860" s="460"/>
      <c r="AS860" s="460"/>
      <c r="AT860" s="460"/>
      <c r="AU860" s="460"/>
      <c r="AV860" s="460"/>
      <c r="AW860" s="460"/>
      <c r="AX860" s="460"/>
      <c r="AY860" s="460"/>
      <c r="AZ860" s="460"/>
      <c r="BA860" s="460"/>
      <c r="BB860" s="460"/>
      <c r="BC860" s="460"/>
      <c r="BD860" s="460"/>
      <c r="BE860" s="460"/>
      <c r="BF860" s="460"/>
      <c r="BG860" s="460"/>
      <c r="BH860" s="460"/>
      <c r="BI860" s="460"/>
      <c r="BJ860" s="460"/>
      <c r="BK860" s="460"/>
      <c r="BL860" s="460"/>
      <c r="BM860" s="460"/>
      <c r="BN860" s="460"/>
      <c r="BO860" s="460"/>
      <c r="BP860" s="460"/>
      <c r="BQ860" s="460"/>
      <c r="BR860" s="460"/>
      <c r="BS860" s="460"/>
      <c r="BT860" s="460"/>
      <c r="BU860" s="460"/>
      <c r="BV860" s="460"/>
      <c r="BW860" s="460"/>
      <c r="BX860" s="460"/>
      <c r="BY860" s="460"/>
      <c r="BZ860" s="460"/>
      <c r="CA860" s="460"/>
      <c r="CB860" s="460"/>
      <c r="CC860" s="460"/>
      <c r="CD860" s="460"/>
      <c r="CE860" s="460"/>
      <c r="CF860" s="460"/>
      <c r="CG860" s="460"/>
      <c r="CH860" s="460"/>
      <c r="CI860" s="460"/>
      <c r="CJ860" s="460"/>
      <c r="CK860" s="460"/>
    </row>
    <row r="861" spans="1:89" s="329" customFormat="1" ht="36" customHeight="1" x14ac:dyDescent="0.25">
      <c r="B861" s="33" t="s">
        <v>107</v>
      </c>
      <c r="C861" s="462"/>
      <c r="D861" s="330" t="s">
        <v>131</v>
      </c>
      <c r="E861" s="330" t="s">
        <v>131</v>
      </c>
      <c r="F861" s="330" t="s">
        <v>131</v>
      </c>
      <c r="G861" s="330" t="s">
        <v>131</v>
      </c>
      <c r="H861" s="330" t="s">
        <v>131</v>
      </c>
      <c r="I861" s="334">
        <f>SUM(I862:I864)</f>
        <v>1854.1999999999998</v>
      </c>
      <c r="J861" s="334">
        <f t="shared" ref="J861:L861" si="173">SUM(J862:J864)</f>
        <v>1598.8000000000002</v>
      </c>
      <c r="K861" s="334">
        <f t="shared" si="173"/>
        <v>1394.4</v>
      </c>
      <c r="L861" s="332">
        <f t="shared" si="173"/>
        <v>87</v>
      </c>
      <c r="M861" s="330" t="s">
        <v>131</v>
      </c>
      <c r="N861" s="330" t="s">
        <v>131</v>
      </c>
      <c r="O861" s="333" t="s">
        <v>131</v>
      </c>
      <c r="P861" s="38">
        <v>6409465.3600000003</v>
      </c>
      <c r="Q861" s="38">
        <f t="shared" ref="Q861:S861" si="174">SUM(Q862:Q864)</f>
        <v>0</v>
      </c>
      <c r="R861" s="38">
        <f t="shared" si="174"/>
        <v>0</v>
      </c>
      <c r="S861" s="38">
        <f t="shared" si="174"/>
        <v>6409465.3600000003</v>
      </c>
      <c r="T861" s="38">
        <f t="shared" si="169"/>
        <v>3456.7281630892035</v>
      </c>
      <c r="U861" s="38">
        <f>MAX(U862:U864)</f>
        <v>5497.5167155425215</v>
      </c>
      <c r="V861" s="458">
        <f t="shared" si="153"/>
        <v>2040.7885524533181</v>
      </c>
      <c r="W861" s="458"/>
      <c r="X861" s="458"/>
      <c r="Y861" s="459"/>
      <c r="Z861" s="459"/>
      <c r="AA861" s="459"/>
      <c r="AB861" s="459"/>
      <c r="AC861" s="459"/>
      <c r="AD861" s="459"/>
      <c r="AE861" s="459"/>
      <c r="AF861" s="459"/>
      <c r="AG861" s="459"/>
      <c r="AH861" s="459"/>
      <c r="AI861" s="459"/>
      <c r="AJ861" s="459"/>
      <c r="AK861" s="459"/>
      <c r="AL861" s="459"/>
      <c r="AM861" s="459"/>
      <c r="AN861" s="459"/>
      <c r="AO861" s="459"/>
      <c r="AP861" s="460"/>
      <c r="AQ861" s="460"/>
      <c r="AR861" s="460"/>
      <c r="AS861" s="460"/>
      <c r="AT861" s="460"/>
      <c r="AU861" s="460"/>
      <c r="AV861" s="460"/>
      <c r="AW861" s="460"/>
      <c r="AX861" s="460"/>
      <c r="AY861" s="460"/>
      <c r="AZ861" s="460"/>
      <c r="BA861" s="460"/>
      <c r="BB861" s="460"/>
      <c r="BC861" s="460"/>
      <c r="BD861" s="460"/>
      <c r="BE861" s="460"/>
      <c r="BF861" s="460"/>
      <c r="BG861" s="460"/>
      <c r="BH861" s="460"/>
      <c r="BI861" s="460"/>
      <c r="BJ861" s="460"/>
      <c r="BK861" s="460"/>
      <c r="BL861" s="460"/>
      <c r="BM861" s="460"/>
      <c r="BN861" s="460"/>
      <c r="BO861" s="460"/>
      <c r="BP861" s="460"/>
      <c r="BQ861" s="460"/>
      <c r="BR861" s="460"/>
      <c r="BS861" s="460"/>
      <c r="BT861" s="460"/>
      <c r="BU861" s="460"/>
      <c r="BV861" s="460"/>
      <c r="BW861" s="460"/>
      <c r="BX861" s="460"/>
      <c r="BY861" s="460"/>
      <c r="BZ861" s="460"/>
      <c r="CA861" s="460"/>
      <c r="CB861" s="460"/>
      <c r="CC861" s="460"/>
      <c r="CD861" s="460"/>
      <c r="CE861" s="460"/>
      <c r="CF861" s="460"/>
      <c r="CG861" s="460"/>
      <c r="CH861" s="460"/>
      <c r="CI861" s="460"/>
      <c r="CJ861" s="460"/>
      <c r="CK861" s="460"/>
    </row>
    <row r="862" spans="1:89" s="329" customFormat="1" ht="36" customHeight="1" x14ac:dyDescent="0.25">
      <c r="A862" s="329">
        <v>1</v>
      </c>
      <c r="B862" s="39">
        <f>SUBTOTAL(103,$A$552:A862)</f>
        <v>285</v>
      </c>
      <c r="C862" s="33" t="s">
        <v>1636</v>
      </c>
      <c r="D862" s="330">
        <v>1968</v>
      </c>
      <c r="E862" s="330">
        <v>2009</v>
      </c>
      <c r="F862" s="331" t="s">
        <v>48</v>
      </c>
      <c r="G862" s="330">
        <v>2</v>
      </c>
      <c r="H862" s="330" t="s">
        <v>56</v>
      </c>
      <c r="I862" s="334">
        <v>791.5</v>
      </c>
      <c r="J862" s="334">
        <v>725.1</v>
      </c>
      <c r="K862" s="334">
        <v>725.1</v>
      </c>
      <c r="L862" s="332">
        <v>42</v>
      </c>
      <c r="M862" s="330" t="s">
        <v>46</v>
      </c>
      <c r="N862" s="330" t="s">
        <v>47</v>
      </c>
      <c r="O862" s="333" t="s">
        <v>49</v>
      </c>
      <c r="P862" s="38">
        <v>3328825.5</v>
      </c>
      <c r="Q862" s="38">
        <v>0</v>
      </c>
      <c r="R862" s="38">
        <v>0</v>
      </c>
      <c r="S862" s="38">
        <f>P862-Q862-R862</f>
        <v>3328825.5</v>
      </c>
      <c r="T862" s="38">
        <f t="shared" si="169"/>
        <v>4205.7176247631078</v>
      </c>
      <c r="U862" s="38">
        <v>5141.0277953253308</v>
      </c>
      <c r="V862" s="458">
        <f t="shared" si="153"/>
        <v>935.31017056222299</v>
      </c>
      <c r="W862" s="458">
        <f t="shared" ref="W862:W863" si="175">X862+Y862+Z862+AA862+AB862+AD862+AF862+AH862+AJ862+AL862+AN862+AO862</f>
        <v>4314.0200884396718</v>
      </c>
      <c r="X862" s="458">
        <v>0</v>
      </c>
      <c r="Y862" s="459">
        <v>0</v>
      </c>
      <c r="Z862" s="459">
        <v>0</v>
      </c>
      <c r="AA862" s="459">
        <v>0</v>
      </c>
      <c r="AB862" s="459">
        <v>0</v>
      </c>
      <c r="AC862" s="459">
        <v>0</v>
      </c>
      <c r="AD862" s="459">
        <v>0</v>
      </c>
      <c r="AE862" s="459">
        <v>0</v>
      </c>
      <c r="AF862" s="458">
        <v>0</v>
      </c>
      <c r="AG862" s="459">
        <v>0</v>
      </c>
      <c r="AH862" s="458">
        <v>0</v>
      </c>
      <c r="AI862" s="459">
        <v>459</v>
      </c>
      <c r="AJ862" s="458">
        <f>7439.1*AI862/I862</f>
        <v>4314.0200884396718</v>
      </c>
      <c r="AK862" s="459">
        <v>0</v>
      </c>
      <c r="AL862" s="459">
        <v>0</v>
      </c>
      <c r="AM862" s="459">
        <v>0</v>
      </c>
      <c r="AN862" s="459"/>
      <c r="AO862" s="459">
        <v>0</v>
      </c>
      <c r="AP862" s="460"/>
      <c r="AQ862" s="460"/>
      <c r="AR862" s="460"/>
      <c r="AS862" s="460"/>
      <c r="AT862" s="460"/>
      <c r="AU862" s="460"/>
      <c r="AV862" s="460"/>
      <c r="AW862" s="460"/>
      <c r="AX862" s="460"/>
      <c r="AY862" s="460"/>
      <c r="AZ862" s="460"/>
      <c r="BA862" s="460"/>
      <c r="BB862" s="460"/>
      <c r="BC862" s="460"/>
      <c r="BD862" s="460"/>
      <c r="BE862" s="460"/>
      <c r="BF862" s="460"/>
      <c r="BG862" s="460"/>
      <c r="BH862" s="460"/>
      <c r="BI862" s="460"/>
      <c r="BJ862" s="460"/>
      <c r="BK862" s="460"/>
      <c r="BL862" s="460"/>
      <c r="BM862" s="460"/>
      <c r="BN862" s="460"/>
      <c r="BO862" s="460"/>
      <c r="BP862" s="460"/>
      <c r="BQ862" s="460"/>
      <c r="BR862" s="460"/>
      <c r="BS862" s="460"/>
      <c r="BT862" s="460"/>
      <c r="BU862" s="460"/>
      <c r="BV862" s="460"/>
      <c r="BW862" s="460"/>
      <c r="BX862" s="460"/>
      <c r="BY862" s="460"/>
      <c r="BZ862" s="460"/>
      <c r="CA862" s="460"/>
      <c r="CB862" s="460"/>
      <c r="CC862" s="460"/>
      <c r="CD862" s="460"/>
      <c r="CE862" s="460"/>
      <c r="CF862" s="460"/>
      <c r="CG862" s="460"/>
      <c r="CH862" s="460"/>
      <c r="CI862" s="460"/>
      <c r="CJ862" s="460"/>
      <c r="CK862" s="460"/>
    </row>
    <row r="863" spans="1:89" s="329" customFormat="1" ht="36" customHeight="1" x14ac:dyDescent="0.25">
      <c r="A863" s="329">
        <v>1</v>
      </c>
      <c r="B863" s="39">
        <f>SUBTOTAL(103,$A$552:A863)</f>
        <v>286</v>
      </c>
      <c r="C863" s="33" t="s">
        <v>1330</v>
      </c>
      <c r="D863" s="330">
        <v>1955</v>
      </c>
      <c r="E863" s="330"/>
      <c r="F863" s="331" t="s">
        <v>48</v>
      </c>
      <c r="G863" s="330">
        <v>2</v>
      </c>
      <c r="H863" s="330" t="s">
        <v>57</v>
      </c>
      <c r="I863" s="334">
        <v>545.6</v>
      </c>
      <c r="J863" s="334">
        <v>501.6</v>
      </c>
      <c r="K863" s="334">
        <v>384.3</v>
      </c>
      <c r="L863" s="332">
        <v>27</v>
      </c>
      <c r="M863" s="330" t="s">
        <v>46</v>
      </c>
      <c r="N863" s="330" t="s">
        <v>47</v>
      </c>
      <c r="O863" s="333" t="s">
        <v>49</v>
      </c>
      <c r="P863" s="38">
        <v>1658743.58</v>
      </c>
      <c r="Q863" s="38">
        <v>0</v>
      </c>
      <c r="R863" s="38">
        <v>0</v>
      </c>
      <c r="S863" s="38">
        <f>P863-Q863-R863</f>
        <v>1658743.58</v>
      </c>
      <c r="T863" s="38">
        <f t="shared" si="169"/>
        <v>3040.2191715542522</v>
      </c>
      <c r="U863" s="38">
        <v>5497.5167155425215</v>
      </c>
      <c r="V863" s="458">
        <f t="shared" si="153"/>
        <v>2457.2975439882694</v>
      </c>
      <c r="W863" s="458">
        <f t="shared" si="175"/>
        <v>5801.5708394428157</v>
      </c>
      <c r="X863" s="458">
        <v>0</v>
      </c>
      <c r="Y863" s="459">
        <v>0</v>
      </c>
      <c r="Z863" s="459">
        <v>0</v>
      </c>
      <c r="AA863" s="459">
        <v>0</v>
      </c>
      <c r="AB863" s="459">
        <v>0</v>
      </c>
      <c r="AC863" s="459">
        <v>0</v>
      </c>
      <c r="AD863" s="459">
        <v>0</v>
      </c>
      <c r="AE863" s="459">
        <v>0</v>
      </c>
      <c r="AF863" s="458">
        <v>0</v>
      </c>
      <c r="AG863" s="459">
        <v>0</v>
      </c>
      <c r="AH863" s="458">
        <v>0</v>
      </c>
      <c r="AI863" s="459">
        <v>425.5</v>
      </c>
      <c r="AJ863" s="458">
        <f>7439.1*AI863/I863</f>
        <v>5801.5708394428157</v>
      </c>
      <c r="AK863" s="459">
        <v>0</v>
      </c>
      <c r="AL863" s="459">
        <v>0</v>
      </c>
      <c r="AM863" s="459">
        <v>0</v>
      </c>
      <c r="AN863" s="459"/>
      <c r="AO863" s="459">
        <v>0</v>
      </c>
      <c r="AP863" s="460"/>
      <c r="AQ863" s="460"/>
      <c r="AR863" s="460"/>
      <c r="AS863" s="460"/>
      <c r="AT863" s="460"/>
      <c r="AU863" s="460"/>
      <c r="AV863" s="460"/>
      <c r="AW863" s="460"/>
      <c r="AX863" s="460"/>
      <c r="AY863" s="460"/>
      <c r="AZ863" s="460"/>
      <c r="BA863" s="460"/>
      <c r="BB863" s="460"/>
      <c r="BC863" s="460"/>
      <c r="BD863" s="460"/>
      <c r="BE863" s="460"/>
      <c r="BF863" s="460"/>
      <c r="BG863" s="460"/>
      <c r="BH863" s="460"/>
      <c r="BI863" s="460"/>
      <c r="BJ863" s="460"/>
      <c r="BK863" s="460"/>
      <c r="BL863" s="460"/>
      <c r="BM863" s="460"/>
      <c r="BN863" s="460"/>
      <c r="BO863" s="460"/>
      <c r="BP863" s="460"/>
      <c r="BQ863" s="460"/>
      <c r="BR863" s="460"/>
      <c r="BS863" s="460"/>
      <c r="BT863" s="460"/>
      <c r="BU863" s="460"/>
      <c r="BV863" s="460"/>
      <c r="BW863" s="460"/>
      <c r="BX863" s="460"/>
      <c r="BY863" s="460"/>
      <c r="BZ863" s="460"/>
      <c r="CA863" s="460"/>
      <c r="CB863" s="460"/>
      <c r="CC863" s="460"/>
      <c r="CD863" s="460"/>
      <c r="CE863" s="460"/>
      <c r="CF863" s="460"/>
      <c r="CG863" s="460"/>
      <c r="CH863" s="460"/>
      <c r="CI863" s="460"/>
      <c r="CJ863" s="460"/>
      <c r="CK863" s="460"/>
    </row>
    <row r="864" spans="1:89" s="329" customFormat="1" ht="36" customHeight="1" x14ac:dyDescent="0.25">
      <c r="A864" s="329">
        <v>1</v>
      </c>
      <c r="B864" s="39">
        <f>SUBTOTAL(103,$A$552:A864)</f>
        <v>287</v>
      </c>
      <c r="C864" s="33" t="s">
        <v>1333</v>
      </c>
      <c r="D864" s="330">
        <v>1976</v>
      </c>
      <c r="E864" s="330"/>
      <c r="F864" s="331" t="s">
        <v>1981</v>
      </c>
      <c r="G864" s="330">
        <v>2</v>
      </c>
      <c r="H864" s="330" t="s">
        <v>57</v>
      </c>
      <c r="I864" s="334">
        <v>517.1</v>
      </c>
      <c r="J864" s="334">
        <v>372.1</v>
      </c>
      <c r="K864" s="334">
        <v>285</v>
      </c>
      <c r="L864" s="332">
        <v>18</v>
      </c>
      <c r="M864" s="330" t="s">
        <v>46</v>
      </c>
      <c r="N864" s="330" t="s">
        <v>47</v>
      </c>
      <c r="O864" s="333" t="s">
        <v>49</v>
      </c>
      <c r="P864" s="38">
        <v>1421896.28</v>
      </c>
      <c r="Q864" s="38">
        <v>0</v>
      </c>
      <c r="R864" s="38">
        <v>0</v>
      </c>
      <c r="S864" s="38">
        <f>P864-Q864-R864</f>
        <v>1421896.28</v>
      </c>
      <c r="T864" s="38">
        <f t="shared" si="169"/>
        <v>2749.751073293367</v>
      </c>
      <c r="U864" s="38">
        <v>2852.6989441113906</v>
      </c>
      <c r="V864" s="458">
        <f>U864-T864</f>
        <v>102.9478708180236</v>
      </c>
      <c r="W864" s="458">
        <f>X864+Y864+Z864+AA864+AB864+AD864+AF864+AH864+AJ864+AL864+AN864+AO864</f>
        <v>7842.3738155095725</v>
      </c>
      <c r="X864" s="458">
        <v>0</v>
      </c>
      <c r="Y864" s="459">
        <v>0</v>
      </c>
      <c r="Z864" s="459">
        <v>0</v>
      </c>
      <c r="AA864" s="459">
        <v>0</v>
      </c>
      <c r="AB864" s="459">
        <v>0</v>
      </c>
      <c r="AC864" s="459">
        <v>0</v>
      </c>
      <c r="AD864" s="459">
        <v>0</v>
      </c>
      <c r="AE864" s="459">
        <v>650</v>
      </c>
      <c r="AF864" s="458">
        <f>6238.91*AE864/I864</f>
        <v>7842.3738155095725</v>
      </c>
      <c r="AG864" s="459">
        <v>0</v>
      </c>
      <c r="AH864" s="458">
        <v>0</v>
      </c>
      <c r="AI864" s="459">
        <v>0</v>
      </c>
      <c r="AJ864" s="458">
        <v>0</v>
      </c>
      <c r="AK864" s="459">
        <v>0</v>
      </c>
      <c r="AL864" s="459">
        <v>0</v>
      </c>
      <c r="AM864" s="459">
        <v>0</v>
      </c>
      <c r="AN864" s="459"/>
      <c r="AO864" s="459">
        <v>0</v>
      </c>
      <c r="AP864" s="460"/>
      <c r="AQ864" s="460"/>
      <c r="AR864" s="460"/>
      <c r="AS864" s="460"/>
      <c r="AT864" s="460"/>
      <c r="AU864" s="460"/>
      <c r="AV864" s="460"/>
      <c r="AW864" s="460"/>
      <c r="AX864" s="460"/>
      <c r="AY864" s="460"/>
      <c r="AZ864" s="460"/>
      <c r="BA864" s="460"/>
      <c r="BB864" s="460"/>
      <c r="BC864" s="460"/>
      <c r="BD864" s="460"/>
      <c r="BE864" s="460"/>
      <c r="BF864" s="460"/>
      <c r="BG864" s="460"/>
      <c r="BH864" s="460"/>
      <c r="BI864" s="460"/>
      <c r="BJ864" s="460"/>
      <c r="BK864" s="460"/>
      <c r="BL864" s="460"/>
      <c r="BM864" s="460"/>
      <c r="BN864" s="460"/>
      <c r="BO864" s="460"/>
      <c r="BP864" s="460"/>
      <c r="BQ864" s="460"/>
      <c r="BR864" s="460"/>
      <c r="BS864" s="460"/>
      <c r="BT864" s="460"/>
      <c r="BU864" s="460"/>
      <c r="BV864" s="460"/>
      <c r="BW864" s="460"/>
      <c r="BX864" s="460"/>
      <c r="BY864" s="460"/>
      <c r="BZ864" s="460"/>
      <c r="CA864" s="460"/>
      <c r="CB864" s="460"/>
      <c r="CC864" s="460"/>
      <c r="CD864" s="460"/>
      <c r="CE864" s="460"/>
      <c r="CF864" s="460"/>
      <c r="CG864" s="460"/>
      <c r="CH864" s="460"/>
      <c r="CI864" s="460"/>
      <c r="CJ864" s="460"/>
      <c r="CK864" s="460"/>
    </row>
    <row r="865" spans="1:89" s="329" customFormat="1" ht="36" customHeight="1" x14ac:dyDescent="0.25">
      <c r="B865" s="33" t="s">
        <v>1326</v>
      </c>
      <c r="C865" s="33"/>
      <c r="D865" s="330" t="s">
        <v>131</v>
      </c>
      <c r="E865" s="330" t="s">
        <v>131</v>
      </c>
      <c r="F865" s="330" t="s">
        <v>131</v>
      </c>
      <c r="G865" s="330" t="s">
        <v>131</v>
      </c>
      <c r="H865" s="330" t="s">
        <v>131</v>
      </c>
      <c r="I865" s="38">
        <f>SUM(I866:I867)</f>
        <v>889.09999999999991</v>
      </c>
      <c r="J865" s="38">
        <f>SUM(J866:J867)</f>
        <v>796.59999999999991</v>
      </c>
      <c r="K865" s="38">
        <f>SUM(K866:K867)</f>
        <v>753.7</v>
      </c>
      <c r="L865" s="332">
        <f>SUM(L866:L867)</f>
        <v>44</v>
      </c>
      <c r="M865" s="330" t="s">
        <v>131</v>
      </c>
      <c r="N865" s="330" t="s">
        <v>131</v>
      </c>
      <c r="O865" s="333" t="s">
        <v>131</v>
      </c>
      <c r="P865" s="38">
        <v>5279138.41</v>
      </c>
      <c r="Q865" s="38">
        <f t="shared" ref="Q865:R865" si="176">SUM(Q866:Q867)</f>
        <v>0</v>
      </c>
      <c r="R865" s="38">
        <f t="shared" si="176"/>
        <v>0</v>
      </c>
      <c r="S865" s="38">
        <f>SUM(S866:S867)</f>
        <v>5279138.41</v>
      </c>
      <c r="T865" s="38">
        <f t="shared" si="169"/>
        <v>5937.6205263749871</v>
      </c>
      <c r="U865" s="38">
        <f>MAX(U866:U867)</f>
        <v>7744.4928555227953</v>
      </c>
      <c r="V865" s="458">
        <f t="shared" ref="V865:V954" si="177">U865-T865</f>
        <v>1806.8723291478082</v>
      </c>
      <c r="W865" s="458"/>
      <c r="X865" s="458"/>
      <c r="Y865" s="459"/>
      <c r="Z865" s="459"/>
      <c r="AA865" s="459"/>
      <c r="AB865" s="459"/>
      <c r="AC865" s="459"/>
      <c r="AD865" s="459"/>
      <c r="AE865" s="459"/>
      <c r="AF865" s="459"/>
      <c r="AG865" s="459"/>
      <c r="AH865" s="459"/>
      <c r="AI865" s="459"/>
      <c r="AJ865" s="459"/>
      <c r="AK865" s="459"/>
      <c r="AL865" s="459"/>
      <c r="AM865" s="459"/>
      <c r="AN865" s="459"/>
      <c r="AO865" s="459"/>
      <c r="AP865" s="460"/>
      <c r="AQ865" s="460"/>
      <c r="AR865" s="460"/>
      <c r="AS865" s="460"/>
      <c r="AT865" s="460"/>
      <c r="AU865" s="460"/>
      <c r="AV865" s="460"/>
      <c r="AW865" s="460"/>
      <c r="AX865" s="460"/>
      <c r="AY865" s="460"/>
      <c r="AZ865" s="460"/>
      <c r="BA865" s="460"/>
      <c r="BB865" s="460"/>
      <c r="BC865" s="460"/>
      <c r="BD865" s="460"/>
      <c r="BE865" s="460"/>
      <c r="BF865" s="460"/>
      <c r="BG865" s="460"/>
      <c r="BH865" s="460"/>
      <c r="BI865" s="460"/>
      <c r="BJ865" s="460"/>
      <c r="BK865" s="460"/>
      <c r="BL865" s="460"/>
      <c r="BM865" s="460"/>
      <c r="BN865" s="460"/>
      <c r="BO865" s="460"/>
      <c r="BP865" s="460"/>
      <c r="BQ865" s="460"/>
      <c r="BR865" s="460"/>
      <c r="BS865" s="460"/>
      <c r="BT865" s="460"/>
      <c r="BU865" s="460"/>
      <c r="BV865" s="460"/>
      <c r="BW865" s="460"/>
      <c r="BX865" s="460"/>
      <c r="BY865" s="460"/>
      <c r="BZ865" s="460"/>
      <c r="CA865" s="460"/>
      <c r="CB865" s="460"/>
      <c r="CC865" s="460"/>
      <c r="CD865" s="460"/>
      <c r="CE865" s="460"/>
      <c r="CF865" s="460"/>
      <c r="CG865" s="460"/>
      <c r="CH865" s="460"/>
      <c r="CI865" s="460"/>
      <c r="CJ865" s="460"/>
      <c r="CK865" s="460"/>
    </row>
    <row r="866" spans="1:89" s="329" customFormat="1" ht="36" customHeight="1" x14ac:dyDescent="0.25">
      <c r="A866" s="329">
        <v>1</v>
      </c>
      <c r="B866" s="39">
        <f>SUBTOTAL(103,$A$552:A866)</f>
        <v>288</v>
      </c>
      <c r="C866" s="33" t="s">
        <v>1637</v>
      </c>
      <c r="D866" s="330">
        <v>1955</v>
      </c>
      <c r="E866" s="330"/>
      <c r="F866" s="331" t="s">
        <v>48</v>
      </c>
      <c r="G866" s="330">
        <v>2</v>
      </c>
      <c r="H866" s="330" t="s">
        <v>56</v>
      </c>
      <c r="I866" s="334">
        <v>440.9</v>
      </c>
      <c r="J866" s="334">
        <v>395.2</v>
      </c>
      <c r="K866" s="334">
        <v>395.2</v>
      </c>
      <c r="L866" s="332">
        <v>23</v>
      </c>
      <c r="M866" s="330" t="s">
        <v>46</v>
      </c>
      <c r="N866" s="330" t="s">
        <v>2071</v>
      </c>
      <c r="O866" s="333" t="s">
        <v>2162</v>
      </c>
      <c r="P866" s="38">
        <v>2721526.66</v>
      </c>
      <c r="Q866" s="38">
        <v>0</v>
      </c>
      <c r="R866" s="38">
        <v>0</v>
      </c>
      <c r="S866" s="38">
        <f>P866-Q866-R866</f>
        <v>2721526.66</v>
      </c>
      <c r="T866" s="38">
        <f t="shared" si="169"/>
        <v>6172.6619641642101</v>
      </c>
      <c r="U866" s="38">
        <v>7744.4928555227953</v>
      </c>
      <c r="V866" s="458">
        <f t="shared" si="177"/>
        <v>1571.8308913585852</v>
      </c>
      <c r="W866" s="458">
        <f t="shared" ref="W866:W867" si="178">X866+Y866+Z866+AA866+AB866+AD866+AF866+AH866+AJ866+AL866+AN866+AO866</f>
        <v>7744.4928555227953</v>
      </c>
      <c r="X866" s="458">
        <v>0</v>
      </c>
      <c r="Y866" s="459">
        <v>0</v>
      </c>
      <c r="Z866" s="459">
        <v>0</v>
      </c>
      <c r="AA866" s="459">
        <v>0</v>
      </c>
      <c r="AB866" s="459">
        <v>0</v>
      </c>
      <c r="AC866" s="459">
        <v>0</v>
      </c>
      <c r="AD866" s="459">
        <v>0</v>
      </c>
      <c r="AE866" s="459">
        <v>0</v>
      </c>
      <c r="AF866" s="458">
        <v>0</v>
      </c>
      <c r="AG866" s="459">
        <v>0</v>
      </c>
      <c r="AH866" s="458">
        <v>0</v>
      </c>
      <c r="AI866" s="459">
        <v>459</v>
      </c>
      <c r="AJ866" s="458">
        <f>7439.1*AI866/I866</f>
        <v>7744.4928555227953</v>
      </c>
      <c r="AK866" s="459">
        <v>0</v>
      </c>
      <c r="AL866" s="459">
        <v>0</v>
      </c>
      <c r="AM866" s="459">
        <v>0</v>
      </c>
      <c r="AN866" s="459"/>
      <c r="AO866" s="459">
        <v>0</v>
      </c>
      <c r="AP866" s="460"/>
      <c r="AQ866" s="460"/>
      <c r="AR866" s="460"/>
      <c r="AS866" s="460"/>
      <c r="AT866" s="460"/>
      <c r="AU866" s="460"/>
      <c r="AV866" s="460"/>
      <c r="AW866" s="460"/>
      <c r="AX866" s="460"/>
      <c r="AY866" s="460"/>
      <c r="AZ866" s="460"/>
      <c r="BA866" s="460"/>
      <c r="BB866" s="460"/>
      <c r="BC866" s="460"/>
      <c r="BD866" s="460"/>
      <c r="BE866" s="460"/>
      <c r="BF866" s="460"/>
      <c r="BG866" s="460"/>
      <c r="BH866" s="460"/>
      <c r="BI866" s="460"/>
      <c r="BJ866" s="460"/>
      <c r="BK866" s="460"/>
      <c r="BL866" s="460"/>
      <c r="BM866" s="460"/>
      <c r="BN866" s="460"/>
      <c r="BO866" s="460"/>
      <c r="BP866" s="460"/>
      <c r="BQ866" s="460"/>
      <c r="BR866" s="460"/>
      <c r="BS866" s="460"/>
      <c r="BT866" s="460"/>
      <c r="BU866" s="460"/>
      <c r="BV866" s="460"/>
      <c r="BW866" s="460"/>
      <c r="BX866" s="460"/>
      <c r="BY866" s="460"/>
      <c r="BZ866" s="460"/>
      <c r="CA866" s="460"/>
      <c r="CB866" s="460"/>
      <c r="CC866" s="460"/>
      <c r="CD866" s="460"/>
      <c r="CE866" s="460"/>
      <c r="CF866" s="460"/>
      <c r="CG866" s="460"/>
      <c r="CH866" s="460"/>
      <c r="CI866" s="460"/>
      <c r="CJ866" s="460"/>
      <c r="CK866" s="460"/>
    </row>
    <row r="867" spans="1:89" s="329" customFormat="1" ht="36" customHeight="1" x14ac:dyDescent="0.25">
      <c r="A867" s="329">
        <v>1</v>
      </c>
      <c r="B867" s="39">
        <f>SUBTOTAL(103,$A$552:A867)</f>
        <v>289</v>
      </c>
      <c r="C867" s="33" t="s">
        <v>1638</v>
      </c>
      <c r="D867" s="330">
        <v>1955</v>
      </c>
      <c r="E867" s="330">
        <v>2010</v>
      </c>
      <c r="F867" s="331" t="s">
        <v>48</v>
      </c>
      <c r="G867" s="330">
        <v>2</v>
      </c>
      <c r="H867" s="330" t="s">
        <v>56</v>
      </c>
      <c r="I867" s="334">
        <v>448.2</v>
      </c>
      <c r="J867" s="334">
        <v>401.4</v>
      </c>
      <c r="K867" s="334">
        <v>358.5</v>
      </c>
      <c r="L867" s="332">
        <v>21</v>
      </c>
      <c r="M867" s="330" t="s">
        <v>46</v>
      </c>
      <c r="N867" s="330" t="s">
        <v>2071</v>
      </c>
      <c r="O867" s="333" t="s">
        <v>2162</v>
      </c>
      <c r="P867" s="38">
        <v>2557611.75</v>
      </c>
      <c r="Q867" s="38">
        <v>0</v>
      </c>
      <c r="R867" s="38">
        <v>0</v>
      </c>
      <c r="S867" s="38">
        <f>P867-Q867-R867</f>
        <v>2557611.75</v>
      </c>
      <c r="T867" s="38">
        <f t="shared" si="169"/>
        <v>5706.4072958500674</v>
      </c>
      <c r="U867" s="38">
        <v>7062.331659973227</v>
      </c>
      <c r="V867" s="458">
        <f t="shared" si="177"/>
        <v>1355.9243641231596</v>
      </c>
      <c r="W867" s="458">
        <f t="shared" si="178"/>
        <v>7062.331659973227</v>
      </c>
      <c r="X867" s="458">
        <v>0</v>
      </c>
      <c r="Y867" s="459">
        <v>0</v>
      </c>
      <c r="Z867" s="459">
        <v>0</v>
      </c>
      <c r="AA867" s="459">
        <v>0</v>
      </c>
      <c r="AB867" s="459">
        <v>0</v>
      </c>
      <c r="AC867" s="459">
        <v>0</v>
      </c>
      <c r="AD867" s="459">
        <v>0</v>
      </c>
      <c r="AE867" s="459">
        <v>0</v>
      </c>
      <c r="AF867" s="458">
        <v>0</v>
      </c>
      <c r="AG867" s="459">
        <v>0</v>
      </c>
      <c r="AH867" s="458">
        <v>0</v>
      </c>
      <c r="AI867" s="459">
        <v>425.5</v>
      </c>
      <c r="AJ867" s="458">
        <f>7439.1*AI867/I867</f>
        <v>7062.331659973227</v>
      </c>
      <c r="AK867" s="459">
        <v>0</v>
      </c>
      <c r="AL867" s="459">
        <v>0</v>
      </c>
      <c r="AM867" s="459">
        <v>0</v>
      </c>
      <c r="AN867" s="459"/>
      <c r="AO867" s="459">
        <v>0</v>
      </c>
      <c r="AP867" s="460"/>
      <c r="AQ867" s="460"/>
      <c r="AR867" s="460"/>
      <c r="AS867" s="460"/>
      <c r="AT867" s="460"/>
      <c r="AU867" s="460"/>
      <c r="AV867" s="460"/>
      <c r="AW867" s="460"/>
      <c r="AX867" s="460"/>
      <c r="AY867" s="460"/>
      <c r="AZ867" s="460"/>
      <c r="BA867" s="460"/>
      <c r="BB867" s="460"/>
      <c r="BC867" s="460"/>
      <c r="BD867" s="460"/>
      <c r="BE867" s="460"/>
      <c r="BF867" s="460"/>
      <c r="BG867" s="460"/>
      <c r="BH867" s="460"/>
      <c r="BI867" s="460"/>
      <c r="BJ867" s="460"/>
      <c r="BK867" s="460"/>
      <c r="BL867" s="460"/>
      <c r="BM867" s="460"/>
      <c r="BN867" s="460"/>
      <c r="BO867" s="460"/>
      <c r="BP867" s="460"/>
      <c r="BQ867" s="460"/>
      <c r="BR867" s="460"/>
      <c r="BS867" s="460"/>
      <c r="BT867" s="460"/>
      <c r="BU867" s="460"/>
      <c r="BV867" s="460"/>
      <c r="BW867" s="460"/>
      <c r="BX867" s="460"/>
      <c r="BY867" s="460"/>
      <c r="BZ867" s="460"/>
      <c r="CA867" s="460"/>
      <c r="CB867" s="460"/>
      <c r="CC867" s="460"/>
      <c r="CD867" s="460"/>
      <c r="CE867" s="460"/>
      <c r="CF867" s="460"/>
      <c r="CG867" s="460"/>
      <c r="CH867" s="460"/>
      <c r="CI867" s="460"/>
      <c r="CJ867" s="460"/>
      <c r="CK867" s="460"/>
    </row>
    <row r="868" spans="1:89" s="329" customFormat="1" ht="36" customHeight="1" x14ac:dyDescent="0.25">
      <c r="B868" s="33" t="s">
        <v>1334</v>
      </c>
      <c r="C868" s="33"/>
      <c r="D868" s="330" t="s">
        <v>131</v>
      </c>
      <c r="E868" s="330" t="s">
        <v>131</v>
      </c>
      <c r="F868" s="330" t="s">
        <v>131</v>
      </c>
      <c r="G868" s="330" t="s">
        <v>131</v>
      </c>
      <c r="H868" s="330" t="s">
        <v>131</v>
      </c>
      <c r="I868" s="38">
        <f>SUM(I869:I870)</f>
        <v>1323.09</v>
      </c>
      <c r="J868" s="38">
        <f>SUM(J869:J870)</f>
        <v>1207.72</v>
      </c>
      <c r="K868" s="38">
        <f>SUM(K869:K870)</f>
        <v>1207.72</v>
      </c>
      <c r="L868" s="332">
        <f>SUM(L869:L870)</f>
        <v>68</v>
      </c>
      <c r="M868" s="330" t="s">
        <v>131</v>
      </c>
      <c r="N868" s="330" t="s">
        <v>131</v>
      </c>
      <c r="O868" s="333" t="s">
        <v>131</v>
      </c>
      <c r="P868" s="38">
        <v>6703670.5</v>
      </c>
      <c r="Q868" s="38">
        <f t="shared" ref="Q868:R868" si="179">SUM(Q869:Q870)</f>
        <v>0</v>
      </c>
      <c r="R868" s="38">
        <f t="shared" si="179"/>
        <v>0</v>
      </c>
      <c r="S868" s="38">
        <f>SUM(S869:S870)</f>
        <v>6703670.5</v>
      </c>
      <c r="T868" s="38">
        <f t="shared" si="169"/>
        <v>5066.6776258606751</v>
      </c>
      <c r="U868" s="38">
        <f>MAX(U869:U870)</f>
        <v>8614.3424317617864</v>
      </c>
      <c r="V868" s="458">
        <f t="shared" si="177"/>
        <v>3547.6648059011113</v>
      </c>
      <c r="W868" s="458"/>
      <c r="X868" s="458"/>
      <c r="Y868" s="459"/>
      <c r="Z868" s="459"/>
      <c r="AA868" s="459"/>
      <c r="AB868" s="459"/>
      <c r="AC868" s="459"/>
      <c r="AD868" s="459"/>
      <c r="AE868" s="459"/>
      <c r="AF868" s="459"/>
      <c r="AG868" s="459"/>
      <c r="AH868" s="459"/>
      <c r="AI868" s="459"/>
      <c r="AJ868" s="459"/>
      <c r="AK868" s="459"/>
      <c r="AL868" s="459"/>
      <c r="AM868" s="459"/>
      <c r="AN868" s="459"/>
      <c r="AO868" s="459"/>
      <c r="AP868" s="460"/>
      <c r="AQ868" s="460"/>
      <c r="AR868" s="460"/>
      <c r="AS868" s="460"/>
      <c r="AT868" s="460"/>
      <c r="AU868" s="460"/>
      <c r="AV868" s="460"/>
      <c r="AW868" s="460"/>
      <c r="AX868" s="460"/>
      <c r="AY868" s="460"/>
      <c r="AZ868" s="460"/>
      <c r="BA868" s="460"/>
      <c r="BB868" s="460"/>
      <c r="BC868" s="460"/>
      <c r="BD868" s="460"/>
      <c r="BE868" s="460"/>
      <c r="BF868" s="460"/>
      <c r="BG868" s="460"/>
      <c r="BH868" s="460"/>
      <c r="BI868" s="460"/>
      <c r="BJ868" s="460"/>
      <c r="BK868" s="460"/>
      <c r="BL868" s="460"/>
      <c r="BM868" s="460"/>
      <c r="BN868" s="460"/>
      <c r="BO868" s="460"/>
      <c r="BP868" s="460"/>
      <c r="BQ868" s="460"/>
      <c r="BR868" s="460"/>
      <c r="BS868" s="460"/>
      <c r="BT868" s="460"/>
      <c r="BU868" s="460"/>
      <c r="BV868" s="460"/>
      <c r="BW868" s="460"/>
      <c r="BX868" s="460"/>
      <c r="BY868" s="460"/>
      <c r="BZ868" s="460"/>
      <c r="CA868" s="460"/>
      <c r="CB868" s="460"/>
      <c r="CC868" s="460"/>
      <c r="CD868" s="460"/>
      <c r="CE868" s="460"/>
      <c r="CF868" s="460"/>
      <c r="CG868" s="460"/>
      <c r="CH868" s="460"/>
      <c r="CI868" s="460"/>
      <c r="CJ868" s="460"/>
      <c r="CK868" s="460"/>
    </row>
    <row r="869" spans="1:89" s="329" customFormat="1" ht="36" customHeight="1" x14ac:dyDescent="0.25">
      <c r="A869" s="329">
        <v>1</v>
      </c>
      <c r="B869" s="39">
        <f>SUBTOTAL(103,$A$552:A869)</f>
        <v>290</v>
      </c>
      <c r="C869" s="33" t="s">
        <v>1639</v>
      </c>
      <c r="D869" s="330">
        <v>1969</v>
      </c>
      <c r="E869" s="330"/>
      <c r="F869" s="331" t="s">
        <v>48</v>
      </c>
      <c r="G869" s="330">
        <v>2</v>
      </c>
      <c r="H869" s="330" t="s">
        <v>61</v>
      </c>
      <c r="I869" s="334">
        <v>960.39</v>
      </c>
      <c r="J869" s="334">
        <v>880.42</v>
      </c>
      <c r="K869" s="334">
        <v>880.42</v>
      </c>
      <c r="L869" s="332">
        <v>47</v>
      </c>
      <c r="M869" s="330" t="s">
        <v>46</v>
      </c>
      <c r="N869" s="330" t="s">
        <v>2071</v>
      </c>
      <c r="O869" s="333" t="s">
        <v>2163</v>
      </c>
      <c r="P869" s="38">
        <v>4178956.32</v>
      </c>
      <c r="Q869" s="38">
        <v>0</v>
      </c>
      <c r="R869" s="38">
        <v>0</v>
      </c>
      <c r="S869" s="38">
        <f>P869-Q869-R869</f>
        <v>4178956.32</v>
      </c>
      <c r="T869" s="38">
        <f t="shared" si="169"/>
        <v>4351.3117795895414</v>
      </c>
      <c r="U869" s="38">
        <v>5319.0006559835065</v>
      </c>
      <c r="V869" s="458">
        <f>U869-T869</f>
        <v>967.68887639396507</v>
      </c>
      <c r="W869" s="458">
        <f>X869+Y869+Z869+AA869+AB869+AD869+AF869+AH869+AJ869+AL869+AN869+AO869</f>
        <v>5300.9200012494921</v>
      </c>
      <c r="X869" s="458">
        <v>0</v>
      </c>
      <c r="Y869" s="459">
        <v>0</v>
      </c>
      <c r="Z869" s="459">
        <v>0</v>
      </c>
      <c r="AA869" s="459">
        <v>0</v>
      </c>
      <c r="AB869" s="459">
        <v>0</v>
      </c>
      <c r="AC869" s="459">
        <v>0</v>
      </c>
      <c r="AD869" s="459">
        <v>0</v>
      </c>
      <c r="AE869" s="459">
        <v>816</v>
      </c>
      <c r="AF869" s="458">
        <f>6238.91*AE869/I869</f>
        <v>5300.9200012494921</v>
      </c>
      <c r="AG869" s="459">
        <v>0</v>
      </c>
      <c r="AH869" s="458">
        <v>0</v>
      </c>
      <c r="AI869" s="459">
        <v>0</v>
      </c>
      <c r="AJ869" s="458">
        <v>0</v>
      </c>
      <c r="AK869" s="459">
        <v>0</v>
      </c>
      <c r="AL869" s="459">
        <v>0</v>
      </c>
      <c r="AM869" s="459">
        <v>0</v>
      </c>
      <c r="AN869" s="459"/>
      <c r="AO869" s="459">
        <v>0</v>
      </c>
      <c r="AP869" s="460"/>
      <c r="AQ869" s="460"/>
      <c r="AR869" s="460"/>
      <c r="AS869" s="460"/>
      <c r="AT869" s="460"/>
      <c r="AU869" s="460"/>
      <c r="AV869" s="460"/>
      <c r="AW869" s="460"/>
      <c r="AX869" s="460"/>
      <c r="AY869" s="460"/>
      <c r="AZ869" s="460"/>
      <c r="BA869" s="460"/>
      <c r="BB869" s="460"/>
      <c r="BC869" s="460"/>
      <c r="BD869" s="460"/>
      <c r="BE869" s="460"/>
      <c r="BF869" s="460"/>
      <c r="BG869" s="460"/>
      <c r="BH869" s="460"/>
      <c r="BI869" s="460"/>
      <c r="BJ869" s="460"/>
      <c r="BK869" s="460"/>
      <c r="BL869" s="460"/>
      <c r="BM869" s="460"/>
      <c r="BN869" s="460"/>
      <c r="BO869" s="460"/>
      <c r="BP869" s="460"/>
      <c r="BQ869" s="460"/>
      <c r="BR869" s="460"/>
      <c r="BS869" s="460"/>
      <c r="BT869" s="460"/>
      <c r="BU869" s="460"/>
      <c r="BV869" s="460"/>
      <c r="BW869" s="460"/>
      <c r="BX869" s="460"/>
      <c r="BY869" s="460"/>
      <c r="BZ869" s="460"/>
      <c r="CA869" s="460"/>
      <c r="CB869" s="460"/>
      <c r="CC869" s="460"/>
      <c r="CD869" s="460"/>
      <c r="CE869" s="460"/>
      <c r="CF869" s="460"/>
      <c r="CG869" s="460"/>
      <c r="CH869" s="460"/>
      <c r="CI869" s="460"/>
      <c r="CJ869" s="460"/>
      <c r="CK869" s="460"/>
    </row>
    <row r="870" spans="1:89" s="329" customFormat="1" ht="36" customHeight="1" x14ac:dyDescent="0.25">
      <c r="A870" s="329">
        <v>1</v>
      </c>
      <c r="B870" s="39">
        <f>SUBTOTAL(103,$A$552:A870)</f>
        <v>291</v>
      </c>
      <c r="C870" s="33" t="s">
        <v>1640</v>
      </c>
      <c r="D870" s="330">
        <v>1966</v>
      </c>
      <c r="E870" s="330"/>
      <c r="F870" s="331" t="s">
        <v>1981</v>
      </c>
      <c r="G870" s="330" t="s">
        <v>56</v>
      </c>
      <c r="H870" s="330" t="s">
        <v>57</v>
      </c>
      <c r="I870" s="334">
        <v>362.7</v>
      </c>
      <c r="J870" s="334">
        <v>327.3</v>
      </c>
      <c r="K870" s="334">
        <v>327.3</v>
      </c>
      <c r="L870" s="332">
        <v>21</v>
      </c>
      <c r="M870" s="330" t="s">
        <v>46</v>
      </c>
      <c r="N870" s="330" t="s">
        <v>50</v>
      </c>
      <c r="O870" s="333" t="s">
        <v>2164</v>
      </c>
      <c r="P870" s="38">
        <v>2524714.1799999997</v>
      </c>
      <c r="Q870" s="38">
        <v>0</v>
      </c>
      <c r="R870" s="38">
        <v>0</v>
      </c>
      <c r="S870" s="38">
        <f>P870-Q870-R870</f>
        <v>2524714.1799999997</v>
      </c>
      <c r="T870" s="38">
        <f t="shared" si="169"/>
        <v>6960.8882823269914</v>
      </c>
      <c r="U870" s="38">
        <v>8614.3424317617864</v>
      </c>
      <c r="V870" s="458">
        <f>U870-T870</f>
        <v>1653.454149434795</v>
      </c>
      <c r="W870" s="458">
        <f>X870+Y870+Z870+AA870+AB870+AD870+AF870+AH870+AJ870+AL870+AN870+AO870</f>
        <v>14036.257402812242</v>
      </c>
      <c r="X870" s="458">
        <v>0</v>
      </c>
      <c r="Y870" s="459">
        <v>0</v>
      </c>
      <c r="Z870" s="459">
        <v>0</v>
      </c>
      <c r="AA870" s="459">
        <v>0</v>
      </c>
      <c r="AB870" s="459">
        <v>0</v>
      </c>
      <c r="AC870" s="459">
        <v>0</v>
      </c>
      <c r="AD870" s="459">
        <v>0</v>
      </c>
      <c r="AE870" s="459">
        <v>816</v>
      </c>
      <c r="AF870" s="458">
        <f>6238.91*AE870/I870</f>
        <v>14036.257402812242</v>
      </c>
      <c r="AG870" s="459">
        <v>0</v>
      </c>
      <c r="AH870" s="458">
        <v>0</v>
      </c>
      <c r="AI870" s="459">
        <v>0</v>
      </c>
      <c r="AJ870" s="458">
        <v>0</v>
      </c>
      <c r="AK870" s="459">
        <v>0</v>
      </c>
      <c r="AL870" s="459">
        <v>0</v>
      </c>
      <c r="AM870" s="459">
        <v>0</v>
      </c>
      <c r="AN870" s="459"/>
      <c r="AO870" s="459">
        <v>0</v>
      </c>
      <c r="AP870" s="460"/>
      <c r="AQ870" s="460"/>
      <c r="AR870" s="460"/>
      <c r="AS870" s="460"/>
      <c r="AT870" s="460"/>
      <c r="AU870" s="460"/>
      <c r="AV870" s="460"/>
      <c r="AW870" s="460"/>
      <c r="AX870" s="460"/>
      <c r="AY870" s="460"/>
      <c r="AZ870" s="460"/>
      <c r="BA870" s="460"/>
      <c r="BB870" s="460"/>
      <c r="BC870" s="460"/>
      <c r="BD870" s="460"/>
      <c r="BE870" s="460"/>
      <c r="BF870" s="460"/>
      <c r="BG870" s="460"/>
      <c r="BH870" s="460"/>
      <c r="BI870" s="460"/>
      <c r="BJ870" s="460"/>
      <c r="BK870" s="460"/>
      <c r="BL870" s="460"/>
      <c r="BM870" s="460"/>
      <c r="BN870" s="460"/>
      <c r="BO870" s="460"/>
      <c r="BP870" s="460"/>
      <c r="BQ870" s="460"/>
      <c r="BR870" s="460"/>
      <c r="BS870" s="460"/>
      <c r="BT870" s="460"/>
      <c r="BU870" s="460"/>
      <c r="BV870" s="460"/>
      <c r="BW870" s="460"/>
      <c r="BX870" s="460"/>
      <c r="BY870" s="460"/>
      <c r="BZ870" s="460"/>
      <c r="CA870" s="460"/>
      <c r="CB870" s="460"/>
      <c r="CC870" s="460"/>
      <c r="CD870" s="460"/>
      <c r="CE870" s="460"/>
      <c r="CF870" s="460"/>
      <c r="CG870" s="460"/>
      <c r="CH870" s="460"/>
      <c r="CI870" s="460"/>
      <c r="CJ870" s="460"/>
      <c r="CK870" s="460"/>
    </row>
    <row r="871" spans="1:89" s="329" customFormat="1" ht="36" customHeight="1" x14ac:dyDescent="0.25">
      <c r="B871" s="33" t="s">
        <v>1329</v>
      </c>
      <c r="C871" s="33"/>
      <c r="D871" s="330" t="s">
        <v>131</v>
      </c>
      <c r="E871" s="330" t="s">
        <v>131</v>
      </c>
      <c r="F871" s="330" t="s">
        <v>131</v>
      </c>
      <c r="G871" s="330" t="s">
        <v>131</v>
      </c>
      <c r="H871" s="330" t="s">
        <v>131</v>
      </c>
      <c r="I871" s="38">
        <f>SUM(I872:I873)</f>
        <v>804.7</v>
      </c>
      <c r="J871" s="38">
        <f>SUM(J872:J873)</f>
        <v>706.5</v>
      </c>
      <c r="K871" s="38">
        <f>SUM(K872:K873)</f>
        <v>662.5</v>
      </c>
      <c r="L871" s="332">
        <f>SUM(L872:L873)</f>
        <v>36</v>
      </c>
      <c r="M871" s="330" t="s">
        <v>131</v>
      </c>
      <c r="N871" s="330" t="s">
        <v>131</v>
      </c>
      <c r="O871" s="333" t="s">
        <v>131</v>
      </c>
      <c r="P871" s="38">
        <v>3337479.74</v>
      </c>
      <c r="Q871" s="38">
        <f t="shared" ref="Q871:R871" si="180">SUM(Q872:Q873)</f>
        <v>0</v>
      </c>
      <c r="R871" s="38">
        <f t="shared" si="180"/>
        <v>0</v>
      </c>
      <c r="S871" s="38">
        <f>SUM(S872:S873)</f>
        <v>3337479.74</v>
      </c>
      <c r="T871" s="38">
        <f t="shared" si="169"/>
        <v>4147.4832111345841</v>
      </c>
      <c r="U871" s="38">
        <f>MAX(U872:U873)</f>
        <v>5820.020390624999</v>
      </c>
      <c r="V871" s="458">
        <f t="shared" si="177"/>
        <v>1672.5371794904149</v>
      </c>
      <c r="W871" s="458"/>
      <c r="X871" s="458"/>
      <c r="Y871" s="459"/>
      <c r="Z871" s="459"/>
      <c r="AA871" s="459"/>
      <c r="AB871" s="459"/>
      <c r="AC871" s="459"/>
      <c r="AD871" s="459"/>
      <c r="AE871" s="459"/>
      <c r="AF871" s="459"/>
      <c r="AG871" s="459"/>
      <c r="AH871" s="459"/>
      <c r="AI871" s="459"/>
      <c r="AJ871" s="459"/>
      <c r="AK871" s="459"/>
      <c r="AL871" s="459"/>
      <c r="AM871" s="459"/>
      <c r="AN871" s="459"/>
      <c r="AO871" s="459"/>
      <c r="AP871" s="460"/>
      <c r="AQ871" s="460"/>
      <c r="AR871" s="460"/>
      <c r="AS871" s="460"/>
      <c r="AT871" s="460"/>
      <c r="AU871" s="460"/>
      <c r="AV871" s="460"/>
      <c r="AW871" s="460"/>
      <c r="AX871" s="460"/>
      <c r="AY871" s="460"/>
      <c r="AZ871" s="460"/>
      <c r="BA871" s="460"/>
      <c r="BB871" s="460"/>
      <c r="BC871" s="460"/>
      <c r="BD871" s="460"/>
      <c r="BE871" s="460"/>
      <c r="BF871" s="460"/>
      <c r="BG871" s="460"/>
      <c r="BH871" s="460"/>
      <c r="BI871" s="460"/>
      <c r="BJ871" s="460"/>
      <c r="BK871" s="460"/>
      <c r="BL871" s="460"/>
      <c r="BM871" s="460"/>
      <c r="BN871" s="460"/>
      <c r="BO871" s="460"/>
      <c r="BP871" s="460"/>
      <c r="BQ871" s="460"/>
      <c r="BR871" s="460"/>
      <c r="BS871" s="460"/>
      <c r="BT871" s="460"/>
      <c r="BU871" s="460"/>
      <c r="BV871" s="460"/>
      <c r="BW871" s="460"/>
      <c r="BX871" s="460"/>
      <c r="BY871" s="460"/>
      <c r="BZ871" s="460"/>
      <c r="CA871" s="460"/>
      <c r="CB871" s="460"/>
      <c r="CC871" s="460"/>
      <c r="CD871" s="460"/>
      <c r="CE871" s="460"/>
      <c r="CF871" s="460"/>
      <c r="CG871" s="460"/>
      <c r="CH871" s="460"/>
      <c r="CI871" s="460"/>
      <c r="CJ871" s="460"/>
      <c r="CK871" s="460"/>
    </row>
    <row r="872" spans="1:89" s="329" customFormat="1" ht="36" customHeight="1" x14ac:dyDescent="0.25">
      <c r="A872" s="329">
        <v>1</v>
      </c>
      <c r="B872" s="39">
        <f>SUBTOTAL(103,$A$552:A872)</f>
        <v>292</v>
      </c>
      <c r="C872" s="33" t="s">
        <v>1641</v>
      </c>
      <c r="D872" s="330">
        <v>1969</v>
      </c>
      <c r="E872" s="330"/>
      <c r="F872" s="331" t="s">
        <v>48</v>
      </c>
      <c r="G872" s="330">
        <v>2</v>
      </c>
      <c r="H872" s="330" t="s">
        <v>57</v>
      </c>
      <c r="I872" s="334">
        <v>396.8</v>
      </c>
      <c r="J872" s="334">
        <v>354.2</v>
      </c>
      <c r="K872" s="334">
        <v>354.2</v>
      </c>
      <c r="L872" s="332">
        <v>15</v>
      </c>
      <c r="M872" s="330" t="s">
        <v>46</v>
      </c>
      <c r="N872" s="330" t="s">
        <v>2071</v>
      </c>
      <c r="O872" s="333" t="s">
        <v>2163</v>
      </c>
      <c r="P872" s="38">
        <v>1889236.5</v>
      </c>
      <c r="Q872" s="38">
        <v>0</v>
      </c>
      <c r="R872" s="38">
        <v>0</v>
      </c>
      <c r="S872" s="38">
        <f>P872-Q872-R872</f>
        <v>1889236.5</v>
      </c>
      <c r="T872" s="38">
        <f t="shared" si="169"/>
        <v>4761.1806955645161</v>
      </c>
      <c r="U872" s="38">
        <v>5820.020390624999</v>
      </c>
      <c r="V872" s="458">
        <f>U872-T872</f>
        <v>1058.8396950604829</v>
      </c>
      <c r="W872" s="458">
        <f>X872+Y872+Z872+AA872+AB872+AD872+AF872+AH872+AJ872+AL872+AN872+AO872</f>
        <v>5800.2366406249994</v>
      </c>
      <c r="X872" s="458">
        <v>0</v>
      </c>
      <c r="Y872" s="459">
        <v>0</v>
      </c>
      <c r="Z872" s="459">
        <v>0</v>
      </c>
      <c r="AA872" s="459">
        <v>0</v>
      </c>
      <c r="AB872" s="459">
        <v>0</v>
      </c>
      <c r="AC872" s="459">
        <v>0</v>
      </c>
      <c r="AD872" s="459">
        <v>0</v>
      </c>
      <c r="AE872" s="459">
        <v>368.9</v>
      </c>
      <c r="AF872" s="458">
        <f>6238.91*AE872/I872</f>
        <v>5800.2366406249994</v>
      </c>
      <c r="AG872" s="459">
        <v>0</v>
      </c>
      <c r="AH872" s="458">
        <v>0</v>
      </c>
      <c r="AI872" s="459">
        <v>0</v>
      </c>
      <c r="AJ872" s="458">
        <v>0</v>
      </c>
      <c r="AK872" s="459">
        <v>0</v>
      </c>
      <c r="AL872" s="459">
        <v>0</v>
      </c>
      <c r="AM872" s="459">
        <v>0</v>
      </c>
      <c r="AN872" s="459"/>
      <c r="AO872" s="459">
        <v>0</v>
      </c>
      <c r="AP872" s="460"/>
      <c r="AQ872" s="460"/>
      <c r="AR872" s="460"/>
      <c r="AS872" s="460"/>
      <c r="AT872" s="460"/>
      <c r="AU872" s="460"/>
      <c r="AV872" s="460"/>
      <c r="AW872" s="460"/>
      <c r="AX872" s="460"/>
      <c r="AY872" s="460"/>
      <c r="AZ872" s="460"/>
      <c r="BA872" s="460"/>
      <c r="BB872" s="460"/>
      <c r="BC872" s="460"/>
      <c r="BD872" s="460"/>
      <c r="BE872" s="460"/>
      <c r="BF872" s="460"/>
      <c r="BG872" s="460"/>
      <c r="BH872" s="460"/>
      <c r="BI872" s="460"/>
      <c r="BJ872" s="460"/>
      <c r="BK872" s="460"/>
      <c r="BL872" s="460"/>
      <c r="BM872" s="460"/>
      <c r="BN872" s="460"/>
      <c r="BO872" s="460"/>
      <c r="BP872" s="460"/>
      <c r="BQ872" s="460"/>
      <c r="BR872" s="460"/>
      <c r="BS872" s="460"/>
      <c r="BT872" s="460"/>
      <c r="BU872" s="460"/>
      <c r="BV872" s="460"/>
      <c r="BW872" s="460"/>
      <c r="BX872" s="460"/>
      <c r="BY872" s="460"/>
      <c r="BZ872" s="460"/>
      <c r="CA872" s="460"/>
      <c r="CB872" s="460"/>
      <c r="CC872" s="460"/>
      <c r="CD872" s="460"/>
      <c r="CE872" s="460"/>
      <c r="CF872" s="460"/>
      <c r="CG872" s="460"/>
      <c r="CH872" s="460"/>
      <c r="CI872" s="460"/>
      <c r="CJ872" s="460"/>
      <c r="CK872" s="460"/>
    </row>
    <row r="873" spans="1:89" s="329" customFormat="1" ht="36" customHeight="1" x14ac:dyDescent="0.25">
      <c r="A873" s="329">
        <v>1</v>
      </c>
      <c r="B873" s="39">
        <f>SUBTOTAL(103,$A$552:A873)</f>
        <v>293</v>
      </c>
      <c r="C873" s="33" t="s">
        <v>1141</v>
      </c>
      <c r="D873" s="330">
        <v>1954</v>
      </c>
      <c r="E873" s="330"/>
      <c r="F873" s="331" t="s">
        <v>48</v>
      </c>
      <c r="G873" s="330">
        <v>2</v>
      </c>
      <c r="H873" s="330" t="s">
        <v>57</v>
      </c>
      <c r="I873" s="334">
        <v>407.9</v>
      </c>
      <c r="J873" s="334">
        <v>352.3</v>
      </c>
      <c r="K873" s="334">
        <v>308.3</v>
      </c>
      <c r="L873" s="332">
        <v>21</v>
      </c>
      <c r="M873" s="330" t="s">
        <v>46</v>
      </c>
      <c r="N873" s="330" t="s">
        <v>47</v>
      </c>
      <c r="O873" s="333" t="s">
        <v>49</v>
      </c>
      <c r="P873" s="38">
        <v>1448243.2400000002</v>
      </c>
      <c r="Q873" s="38">
        <v>0</v>
      </c>
      <c r="R873" s="38">
        <v>0</v>
      </c>
      <c r="S873" s="38">
        <f>P873-Q873-R873</f>
        <v>1448243.2400000002</v>
      </c>
      <c r="T873" s="38">
        <f t="shared" si="169"/>
        <v>3550.4860014709493</v>
      </c>
      <c r="U873" s="38">
        <v>5158.8631198823241</v>
      </c>
      <c r="V873" s="458">
        <f>U873-T873</f>
        <v>1608.3771184113748</v>
      </c>
      <c r="W873" s="458">
        <f>X873+Y873+Z873+AA873+AB873+AD873+AF873+AH873+AJ873+AL873+AN873+AO873</f>
        <v>5642.3973988722719</v>
      </c>
      <c r="X873" s="458">
        <v>0</v>
      </c>
      <c r="Y873" s="459">
        <v>0</v>
      </c>
      <c r="Z873" s="459">
        <v>0</v>
      </c>
      <c r="AA873" s="459">
        <v>0</v>
      </c>
      <c r="AB873" s="459">
        <v>0</v>
      </c>
      <c r="AC873" s="459">
        <v>0</v>
      </c>
      <c r="AD873" s="459">
        <v>0</v>
      </c>
      <c r="AE873" s="459">
        <v>368.9</v>
      </c>
      <c r="AF873" s="458">
        <f>6238.91*AE873/I873</f>
        <v>5642.3973988722719</v>
      </c>
      <c r="AG873" s="459">
        <v>0</v>
      </c>
      <c r="AH873" s="458">
        <v>0</v>
      </c>
      <c r="AI873" s="459">
        <v>0</v>
      </c>
      <c r="AJ873" s="458">
        <v>0</v>
      </c>
      <c r="AK873" s="459">
        <v>0</v>
      </c>
      <c r="AL873" s="459">
        <v>0</v>
      </c>
      <c r="AM873" s="459">
        <v>0</v>
      </c>
      <c r="AN873" s="459"/>
      <c r="AO873" s="459">
        <v>0</v>
      </c>
      <c r="AP873" s="460"/>
      <c r="AQ873" s="460"/>
      <c r="AR873" s="460"/>
      <c r="AS873" s="460"/>
      <c r="AT873" s="460"/>
      <c r="AU873" s="460"/>
      <c r="AV873" s="460"/>
      <c r="AW873" s="460"/>
      <c r="AX873" s="460"/>
      <c r="AY873" s="460"/>
      <c r="AZ873" s="460"/>
      <c r="BA873" s="460"/>
      <c r="BB873" s="460"/>
      <c r="BC873" s="460"/>
      <c r="BD873" s="460"/>
      <c r="BE873" s="460"/>
      <c r="BF873" s="460"/>
      <c r="BG873" s="460"/>
      <c r="BH873" s="460"/>
      <c r="BI873" s="460"/>
      <c r="BJ873" s="460"/>
      <c r="BK873" s="460"/>
      <c r="BL873" s="460"/>
      <c r="BM873" s="460"/>
      <c r="BN873" s="460"/>
      <c r="BO873" s="460"/>
      <c r="BP873" s="460"/>
      <c r="BQ873" s="460"/>
      <c r="BR873" s="460"/>
      <c r="BS873" s="460"/>
      <c r="BT873" s="460"/>
      <c r="BU873" s="460"/>
      <c r="BV873" s="460"/>
      <c r="BW873" s="460"/>
      <c r="BX873" s="460"/>
      <c r="BY873" s="460"/>
      <c r="BZ873" s="460"/>
      <c r="CA873" s="460"/>
      <c r="CB873" s="460"/>
      <c r="CC873" s="460"/>
      <c r="CD873" s="460"/>
      <c r="CE873" s="460"/>
      <c r="CF873" s="460"/>
      <c r="CG873" s="460"/>
      <c r="CH873" s="460"/>
      <c r="CI873" s="460"/>
      <c r="CJ873" s="460"/>
      <c r="CK873" s="460"/>
    </row>
    <row r="874" spans="1:89" s="329" customFormat="1" ht="36" customHeight="1" x14ac:dyDescent="0.25">
      <c r="B874" s="33" t="s">
        <v>108</v>
      </c>
      <c r="C874" s="462"/>
      <c r="D874" s="330" t="s">
        <v>131</v>
      </c>
      <c r="E874" s="330" t="s">
        <v>131</v>
      </c>
      <c r="F874" s="330" t="s">
        <v>131</v>
      </c>
      <c r="G874" s="330" t="s">
        <v>131</v>
      </c>
      <c r="H874" s="330" t="s">
        <v>131</v>
      </c>
      <c r="I874" s="334">
        <f>SUM(I875:I882)</f>
        <v>6122.7</v>
      </c>
      <c r="J874" s="334">
        <f>SUM(J875:J882)</f>
        <v>5641.0999999999995</v>
      </c>
      <c r="K874" s="334">
        <f>SUM(K875:K882)</f>
        <v>4582.5999999999995</v>
      </c>
      <c r="L874" s="332">
        <f>SUM(L875:L882)</f>
        <v>226</v>
      </c>
      <c r="M874" s="330" t="s">
        <v>131</v>
      </c>
      <c r="N874" s="330" t="s">
        <v>131</v>
      </c>
      <c r="O874" s="333" t="s">
        <v>131</v>
      </c>
      <c r="P874" s="38">
        <v>26148725.280000001</v>
      </c>
      <c r="Q874" s="38">
        <f>SUM(Q875:Q882)</f>
        <v>0</v>
      </c>
      <c r="R874" s="38">
        <f>SUM(R875:R882)</f>
        <v>0</v>
      </c>
      <c r="S874" s="38">
        <f>SUM(S875:S882)</f>
        <v>26148725.280000001</v>
      </c>
      <c r="T874" s="38">
        <f t="shared" si="169"/>
        <v>4270.7833602822284</v>
      </c>
      <c r="U874" s="38">
        <f>MAX(U875:U882)</f>
        <v>8559.8877628159698</v>
      </c>
      <c r="V874" s="458">
        <f t="shared" si="177"/>
        <v>4289.1044025337414</v>
      </c>
      <c r="W874" s="458"/>
      <c r="X874" s="458"/>
      <c r="Y874" s="459"/>
      <c r="Z874" s="459"/>
      <c r="AA874" s="459"/>
      <c r="AB874" s="459"/>
      <c r="AC874" s="459"/>
      <c r="AD874" s="459"/>
      <c r="AE874" s="459"/>
      <c r="AF874" s="459"/>
      <c r="AG874" s="459"/>
      <c r="AH874" s="459"/>
      <c r="AI874" s="459"/>
      <c r="AJ874" s="459"/>
      <c r="AK874" s="459"/>
      <c r="AL874" s="459"/>
      <c r="AM874" s="459"/>
      <c r="AN874" s="459"/>
      <c r="AO874" s="459"/>
      <c r="AP874" s="460"/>
      <c r="AQ874" s="460"/>
      <c r="AR874" s="460"/>
      <c r="AS874" s="460"/>
      <c r="AT874" s="460"/>
      <c r="AU874" s="460"/>
      <c r="AV874" s="460"/>
      <c r="AW874" s="460"/>
      <c r="AX874" s="460"/>
      <c r="AY874" s="460"/>
      <c r="AZ874" s="460"/>
      <c r="BA874" s="460"/>
      <c r="BB874" s="460"/>
      <c r="BC874" s="460"/>
      <c r="BD874" s="460"/>
      <c r="BE874" s="460"/>
      <c r="BF874" s="460"/>
      <c r="BG874" s="460"/>
      <c r="BH874" s="460"/>
      <c r="BI874" s="460"/>
      <c r="BJ874" s="460"/>
      <c r="BK874" s="460"/>
      <c r="BL874" s="460"/>
      <c r="BM874" s="460"/>
      <c r="BN874" s="460"/>
      <c r="BO874" s="460"/>
      <c r="BP874" s="460"/>
      <c r="BQ874" s="460"/>
      <c r="BR874" s="460"/>
      <c r="BS874" s="460"/>
      <c r="BT874" s="460"/>
      <c r="BU874" s="460"/>
      <c r="BV874" s="460"/>
      <c r="BW874" s="460"/>
      <c r="BX874" s="460"/>
      <c r="BY874" s="460"/>
      <c r="BZ874" s="460"/>
      <c r="CA874" s="460"/>
      <c r="CB874" s="460"/>
      <c r="CC874" s="460"/>
      <c r="CD874" s="460"/>
      <c r="CE874" s="460"/>
      <c r="CF874" s="460"/>
      <c r="CG874" s="460"/>
      <c r="CH874" s="460"/>
      <c r="CI874" s="460"/>
      <c r="CJ874" s="460"/>
      <c r="CK874" s="460"/>
    </row>
    <row r="875" spans="1:89" s="329" customFormat="1" ht="36" customHeight="1" x14ac:dyDescent="0.25">
      <c r="A875" s="329">
        <v>1</v>
      </c>
      <c r="B875" s="39">
        <f>SUBTOTAL(103,$A$552:A875)</f>
        <v>294</v>
      </c>
      <c r="C875" s="33" t="s">
        <v>1642</v>
      </c>
      <c r="D875" s="330">
        <v>1982</v>
      </c>
      <c r="E875" s="330"/>
      <c r="F875" s="331" t="s">
        <v>63</v>
      </c>
      <c r="G875" s="330">
        <v>2</v>
      </c>
      <c r="H875" s="330" t="s">
        <v>56</v>
      </c>
      <c r="I875" s="334">
        <v>626.1</v>
      </c>
      <c r="J875" s="334">
        <v>566.6</v>
      </c>
      <c r="K875" s="334">
        <v>566.6</v>
      </c>
      <c r="L875" s="332">
        <v>21</v>
      </c>
      <c r="M875" s="330" t="s">
        <v>46</v>
      </c>
      <c r="N875" s="330" t="s">
        <v>47</v>
      </c>
      <c r="O875" s="333" t="s">
        <v>49</v>
      </c>
      <c r="P875" s="38">
        <v>2958681.4299999997</v>
      </c>
      <c r="Q875" s="38">
        <v>0</v>
      </c>
      <c r="R875" s="38">
        <v>0</v>
      </c>
      <c r="S875" s="38">
        <f t="shared" ref="S875:S881" si="181">P875-Q875-R875</f>
        <v>2958681.4299999997</v>
      </c>
      <c r="T875" s="38">
        <f t="shared" si="169"/>
        <v>4725.5732790289085</v>
      </c>
      <c r="U875" s="38">
        <v>4725.5732790289085</v>
      </c>
      <c r="V875" s="458">
        <f t="shared" si="177"/>
        <v>0</v>
      </c>
      <c r="W875" s="458">
        <f>T875</f>
        <v>4725.5732790289085</v>
      </c>
      <c r="X875" s="458">
        <v>0</v>
      </c>
      <c r="Y875" s="459">
        <v>0</v>
      </c>
      <c r="Z875" s="459">
        <v>0</v>
      </c>
      <c r="AA875" s="459">
        <v>0</v>
      </c>
      <c r="AB875" s="459">
        <v>0</v>
      </c>
      <c r="AC875" s="459">
        <v>0</v>
      </c>
      <c r="AD875" s="459">
        <v>0</v>
      </c>
      <c r="AE875" s="459">
        <v>368.29</v>
      </c>
      <c r="AF875" s="458">
        <f>6436.53*AE875/I875</f>
        <v>3786.1517867752755</v>
      </c>
      <c r="AG875" s="459">
        <v>0</v>
      </c>
      <c r="AH875" s="458">
        <v>0</v>
      </c>
      <c r="AI875" s="459">
        <v>0</v>
      </c>
      <c r="AJ875" s="458">
        <v>0</v>
      </c>
      <c r="AK875" s="459">
        <v>0</v>
      </c>
      <c r="AL875" s="459">
        <v>0</v>
      </c>
      <c r="AM875" s="459">
        <v>0</v>
      </c>
      <c r="AN875" s="459"/>
      <c r="AO875" s="459">
        <v>0</v>
      </c>
      <c r="AP875" s="460"/>
      <c r="AQ875" s="460"/>
      <c r="AR875" s="460"/>
      <c r="AS875" s="460"/>
      <c r="AT875" s="460"/>
      <c r="AU875" s="460"/>
      <c r="AV875" s="460"/>
      <c r="AW875" s="460"/>
      <c r="AX875" s="460"/>
      <c r="AY875" s="460"/>
      <c r="AZ875" s="460"/>
      <c r="BA875" s="460"/>
      <c r="BB875" s="460"/>
      <c r="BC875" s="460"/>
      <c r="BD875" s="460"/>
      <c r="BE875" s="460"/>
      <c r="BF875" s="460"/>
      <c r="BG875" s="460"/>
      <c r="BH875" s="460"/>
      <c r="BI875" s="460"/>
      <c r="BJ875" s="460"/>
      <c r="BK875" s="460"/>
      <c r="BL875" s="460"/>
      <c r="BM875" s="460"/>
      <c r="BN875" s="460"/>
      <c r="BO875" s="460"/>
      <c r="BP875" s="460"/>
      <c r="BQ875" s="460"/>
      <c r="BR875" s="460"/>
      <c r="BS875" s="460"/>
      <c r="BT875" s="460"/>
      <c r="BU875" s="460"/>
      <c r="BV875" s="460"/>
      <c r="BW875" s="460"/>
      <c r="BX875" s="460"/>
      <c r="BY875" s="460"/>
      <c r="BZ875" s="460"/>
      <c r="CA875" s="460"/>
      <c r="CB875" s="460"/>
      <c r="CC875" s="460"/>
      <c r="CD875" s="460"/>
      <c r="CE875" s="460"/>
      <c r="CF875" s="460"/>
      <c r="CG875" s="460"/>
      <c r="CH875" s="460"/>
      <c r="CI875" s="460"/>
      <c r="CJ875" s="460"/>
      <c r="CK875" s="460"/>
    </row>
    <row r="876" spans="1:89" s="329" customFormat="1" ht="36" customHeight="1" x14ac:dyDescent="0.25">
      <c r="A876" s="329">
        <v>1</v>
      </c>
      <c r="B876" s="39">
        <f>SUBTOTAL(103,$A$552:A876)</f>
        <v>295</v>
      </c>
      <c r="C876" s="33" t="s">
        <v>1339</v>
      </c>
      <c r="D876" s="330">
        <v>1962</v>
      </c>
      <c r="E876" s="330"/>
      <c r="F876" s="331" t="s">
        <v>48</v>
      </c>
      <c r="G876" s="330">
        <v>2</v>
      </c>
      <c r="H876" s="330" t="s">
        <v>56</v>
      </c>
      <c r="I876" s="334">
        <v>355.8</v>
      </c>
      <c r="J876" s="334">
        <v>326.10000000000002</v>
      </c>
      <c r="K876" s="334">
        <v>212</v>
      </c>
      <c r="L876" s="332">
        <v>21</v>
      </c>
      <c r="M876" s="330" t="s">
        <v>46</v>
      </c>
      <c r="N876" s="330" t="s">
        <v>47</v>
      </c>
      <c r="O876" s="333" t="s">
        <v>49</v>
      </c>
      <c r="P876" s="38">
        <v>2355901.4699999997</v>
      </c>
      <c r="Q876" s="38">
        <v>0</v>
      </c>
      <c r="R876" s="38">
        <v>0</v>
      </c>
      <c r="S876" s="38">
        <f t="shared" si="181"/>
        <v>2355901.4699999997</v>
      </c>
      <c r="T876" s="38">
        <f t="shared" si="169"/>
        <v>6621.4206576728493</v>
      </c>
      <c r="U876" s="38">
        <v>7565.7158516020227</v>
      </c>
      <c r="V876" s="458">
        <f t="shared" si="177"/>
        <v>944.29519392917337</v>
      </c>
      <c r="W876" s="458">
        <f t="shared" ref="W876:W882" si="182">X876+Y876+Z876+AA876+AB876+AD876+AF876+AH876+AJ876+AL876+AN876+AO876</f>
        <v>7539.9980326025852</v>
      </c>
      <c r="X876" s="458">
        <v>0</v>
      </c>
      <c r="Y876" s="459">
        <v>0</v>
      </c>
      <c r="Z876" s="459">
        <v>0</v>
      </c>
      <c r="AA876" s="459">
        <v>0</v>
      </c>
      <c r="AB876" s="459">
        <v>0</v>
      </c>
      <c r="AC876" s="459">
        <v>0</v>
      </c>
      <c r="AD876" s="459">
        <v>0</v>
      </c>
      <c r="AE876" s="459">
        <v>430</v>
      </c>
      <c r="AF876" s="458">
        <f t="shared" ref="AF876:AF882" si="183">6238.91*AE876/I876</f>
        <v>7539.9980326025852</v>
      </c>
      <c r="AG876" s="459">
        <v>0</v>
      </c>
      <c r="AH876" s="458">
        <v>0</v>
      </c>
      <c r="AI876" s="459">
        <v>0</v>
      </c>
      <c r="AJ876" s="458">
        <v>0</v>
      </c>
      <c r="AK876" s="459">
        <v>0</v>
      </c>
      <c r="AL876" s="459">
        <v>0</v>
      </c>
      <c r="AM876" s="459">
        <v>0</v>
      </c>
      <c r="AN876" s="459"/>
      <c r="AO876" s="459">
        <v>0</v>
      </c>
      <c r="AP876" s="460"/>
      <c r="AQ876" s="460"/>
      <c r="AR876" s="460"/>
      <c r="AS876" s="460"/>
      <c r="AT876" s="460"/>
      <c r="AU876" s="460"/>
      <c r="AV876" s="460"/>
      <c r="AW876" s="460"/>
      <c r="AX876" s="460"/>
      <c r="AY876" s="460"/>
      <c r="AZ876" s="460"/>
      <c r="BA876" s="460"/>
      <c r="BB876" s="460"/>
      <c r="BC876" s="460"/>
      <c r="BD876" s="460"/>
      <c r="BE876" s="460"/>
      <c r="BF876" s="460"/>
      <c r="BG876" s="460"/>
      <c r="BH876" s="460"/>
      <c r="BI876" s="460"/>
      <c r="BJ876" s="460"/>
      <c r="BK876" s="460"/>
      <c r="BL876" s="460"/>
      <c r="BM876" s="460"/>
      <c r="BN876" s="460"/>
      <c r="BO876" s="460"/>
      <c r="BP876" s="460"/>
      <c r="BQ876" s="460"/>
      <c r="BR876" s="460"/>
      <c r="BS876" s="460"/>
      <c r="BT876" s="460"/>
      <c r="BU876" s="460"/>
      <c r="BV876" s="460"/>
      <c r="BW876" s="460"/>
      <c r="BX876" s="460"/>
      <c r="BY876" s="460"/>
      <c r="BZ876" s="460"/>
      <c r="CA876" s="460"/>
      <c r="CB876" s="460"/>
      <c r="CC876" s="460"/>
      <c r="CD876" s="460"/>
      <c r="CE876" s="460"/>
      <c r="CF876" s="460"/>
      <c r="CG876" s="460"/>
      <c r="CH876" s="460"/>
      <c r="CI876" s="460"/>
      <c r="CJ876" s="460"/>
      <c r="CK876" s="460"/>
    </row>
    <row r="877" spans="1:89" s="329" customFormat="1" ht="36" customHeight="1" x14ac:dyDescent="0.25">
      <c r="A877" s="329">
        <v>1</v>
      </c>
      <c r="B877" s="39">
        <f>SUBTOTAL(103,$A$552:A877)</f>
        <v>296</v>
      </c>
      <c r="C877" s="33" t="s">
        <v>1340</v>
      </c>
      <c r="D877" s="330">
        <v>1964</v>
      </c>
      <c r="E877" s="330"/>
      <c r="F877" s="331" t="s">
        <v>48</v>
      </c>
      <c r="G877" s="330">
        <v>2</v>
      </c>
      <c r="H877" s="330" t="s">
        <v>56</v>
      </c>
      <c r="I877" s="334">
        <v>651.6</v>
      </c>
      <c r="J877" s="334">
        <v>628.9</v>
      </c>
      <c r="K877" s="334">
        <v>385</v>
      </c>
      <c r="L877" s="332">
        <v>42</v>
      </c>
      <c r="M877" s="330" t="s">
        <v>46</v>
      </c>
      <c r="N877" s="330" t="s">
        <v>47</v>
      </c>
      <c r="O877" s="333" t="s">
        <v>49</v>
      </c>
      <c r="P877" s="38">
        <v>2355901.4699999997</v>
      </c>
      <c r="Q877" s="38">
        <v>0</v>
      </c>
      <c r="R877" s="38">
        <v>0</v>
      </c>
      <c r="S877" s="38">
        <f t="shared" si="181"/>
        <v>2355901.4699999997</v>
      </c>
      <c r="T877" s="38">
        <f t="shared" si="169"/>
        <v>3615.5639502762424</v>
      </c>
      <c r="U877" s="38">
        <v>4131.1873848987107</v>
      </c>
      <c r="V877" s="458">
        <f t="shared" si="177"/>
        <v>515.62343462246827</v>
      </c>
      <c r="W877" s="458">
        <f t="shared" si="182"/>
        <v>4117.1444137507669</v>
      </c>
      <c r="X877" s="458">
        <v>0</v>
      </c>
      <c r="Y877" s="459">
        <v>0</v>
      </c>
      <c r="Z877" s="459">
        <v>0</v>
      </c>
      <c r="AA877" s="459">
        <v>0</v>
      </c>
      <c r="AB877" s="459">
        <v>0</v>
      </c>
      <c r="AC877" s="459">
        <v>0</v>
      </c>
      <c r="AD877" s="459">
        <v>0</v>
      </c>
      <c r="AE877" s="459">
        <v>430</v>
      </c>
      <c r="AF877" s="458">
        <f t="shared" si="183"/>
        <v>4117.1444137507669</v>
      </c>
      <c r="AG877" s="459">
        <v>0</v>
      </c>
      <c r="AH877" s="458">
        <v>0</v>
      </c>
      <c r="AI877" s="459">
        <v>0</v>
      </c>
      <c r="AJ877" s="458">
        <v>0</v>
      </c>
      <c r="AK877" s="459">
        <v>0</v>
      </c>
      <c r="AL877" s="459">
        <v>0</v>
      </c>
      <c r="AM877" s="459">
        <v>0</v>
      </c>
      <c r="AN877" s="459"/>
      <c r="AO877" s="459">
        <v>0</v>
      </c>
      <c r="AP877" s="460"/>
      <c r="AQ877" s="460"/>
      <c r="AR877" s="460"/>
      <c r="AS877" s="460"/>
      <c r="AT877" s="460"/>
      <c r="AU877" s="460"/>
      <c r="AV877" s="460"/>
      <c r="AW877" s="460"/>
      <c r="AX877" s="460"/>
      <c r="AY877" s="460"/>
      <c r="AZ877" s="460"/>
      <c r="BA877" s="460"/>
      <c r="BB877" s="460"/>
      <c r="BC877" s="460"/>
      <c r="BD877" s="460"/>
      <c r="BE877" s="460"/>
      <c r="BF877" s="460"/>
      <c r="BG877" s="460"/>
      <c r="BH877" s="460"/>
      <c r="BI877" s="460"/>
      <c r="BJ877" s="460"/>
      <c r="BK877" s="460"/>
      <c r="BL877" s="460"/>
      <c r="BM877" s="460"/>
      <c r="BN877" s="460"/>
      <c r="BO877" s="460"/>
      <c r="BP877" s="460"/>
      <c r="BQ877" s="460"/>
      <c r="BR877" s="460"/>
      <c r="BS877" s="460"/>
      <c r="BT877" s="460"/>
      <c r="BU877" s="460"/>
      <c r="BV877" s="460"/>
      <c r="BW877" s="460"/>
      <c r="BX877" s="460"/>
      <c r="BY877" s="460"/>
      <c r="BZ877" s="460"/>
      <c r="CA877" s="460"/>
      <c r="CB877" s="460"/>
      <c r="CC877" s="460"/>
      <c r="CD877" s="460"/>
      <c r="CE877" s="460"/>
      <c r="CF877" s="460"/>
      <c r="CG877" s="460"/>
      <c r="CH877" s="460"/>
      <c r="CI877" s="460"/>
      <c r="CJ877" s="460"/>
      <c r="CK877" s="460"/>
    </row>
    <row r="878" spans="1:89" s="329" customFormat="1" ht="36" customHeight="1" x14ac:dyDescent="0.25">
      <c r="A878" s="329">
        <v>1</v>
      </c>
      <c r="B878" s="39">
        <f>SUBTOTAL(103,$A$552:A878)</f>
        <v>297</v>
      </c>
      <c r="C878" s="33" t="s">
        <v>1643</v>
      </c>
      <c r="D878" s="330">
        <v>1929</v>
      </c>
      <c r="E878" s="330"/>
      <c r="F878" s="331" t="s">
        <v>48</v>
      </c>
      <c r="G878" s="330" t="s">
        <v>56</v>
      </c>
      <c r="H878" s="330" t="s">
        <v>57</v>
      </c>
      <c r="I878" s="334">
        <v>475.3</v>
      </c>
      <c r="J878" s="334">
        <v>435.5</v>
      </c>
      <c r="K878" s="334">
        <v>253</v>
      </c>
      <c r="L878" s="332">
        <v>5</v>
      </c>
      <c r="M878" s="330" t="s">
        <v>46</v>
      </c>
      <c r="N878" s="330" t="s">
        <v>47</v>
      </c>
      <c r="O878" s="333" t="s">
        <v>49</v>
      </c>
      <c r="P878" s="38">
        <v>2170941.85</v>
      </c>
      <c r="Q878" s="38">
        <v>0</v>
      </c>
      <c r="R878" s="38">
        <v>0</v>
      </c>
      <c r="S878" s="38">
        <f t="shared" si="181"/>
        <v>2170941.85</v>
      </c>
      <c r="T878" s="38">
        <f t="shared" si="169"/>
        <v>4567.5191458026511</v>
      </c>
      <c r="U878" s="38">
        <v>5070.8460972017674</v>
      </c>
      <c r="V878" s="458">
        <f t="shared" si="177"/>
        <v>503.3269513991163</v>
      </c>
      <c r="W878" s="458">
        <f t="shared" si="182"/>
        <v>5053.6089837997051</v>
      </c>
      <c r="X878" s="458">
        <v>0</v>
      </c>
      <c r="Y878" s="459">
        <v>0</v>
      </c>
      <c r="Z878" s="459">
        <v>0</v>
      </c>
      <c r="AA878" s="459">
        <v>0</v>
      </c>
      <c r="AB878" s="459">
        <v>0</v>
      </c>
      <c r="AC878" s="459">
        <v>0</v>
      </c>
      <c r="AD878" s="459">
        <v>0</v>
      </c>
      <c r="AE878" s="459">
        <v>385</v>
      </c>
      <c r="AF878" s="458">
        <f t="shared" si="183"/>
        <v>5053.6089837997051</v>
      </c>
      <c r="AG878" s="459">
        <v>0</v>
      </c>
      <c r="AH878" s="458">
        <v>0</v>
      </c>
      <c r="AI878" s="459">
        <v>0</v>
      </c>
      <c r="AJ878" s="458">
        <v>0</v>
      </c>
      <c r="AK878" s="459">
        <v>0</v>
      </c>
      <c r="AL878" s="459">
        <v>0</v>
      </c>
      <c r="AM878" s="459">
        <v>0</v>
      </c>
      <c r="AN878" s="459"/>
      <c r="AO878" s="459">
        <v>0</v>
      </c>
      <c r="AP878" s="460"/>
      <c r="AQ878" s="460"/>
      <c r="AR878" s="460"/>
      <c r="AS878" s="460"/>
      <c r="AT878" s="460"/>
      <c r="AU878" s="460"/>
      <c r="AV878" s="460"/>
      <c r="AW878" s="460"/>
      <c r="AX878" s="460"/>
      <c r="AY878" s="460"/>
      <c r="AZ878" s="460"/>
      <c r="BA878" s="460"/>
      <c r="BB878" s="460"/>
      <c r="BC878" s="460"/>
      <c r="BD878" s="460"/>
      <c r="BE878" s="460"/>
      <c r="BF878" s="460"/>
      <c r="BG878" s="460"/>
      <c r="BH878" s="460"/>
      <c r="BI878" s="460"/>
      <c r="BJ878" s="460"/>
      <c r="BK878" s="460"/>
      <c r="BL878" s="460"/>
      <c r="BM878" s="460"/>
      <c r="BN878" s="460"/>
      <c r="BO878" s="460"/>
      <c r="BP878" s="460"/>
      <c r="BQ878" s="460"/>
      <c r="BR878" s="460"/>
      <c r="BS878" s="460"/>
      <c r="BT878" s="460"/>
      <c r="BU878" s="460"/>
      <c r="BV878" s="460"/>
      <c r="BW878" s="460"/>
      <c r="BX878" s="460"/>
      <c r="BY878" s="460"/>
      <c r="BZ878" s="460"/>
      <c r="CA878" s="460"/>
      <c r="CB878" s="460"/>
      <c r="CC878" s="460"/>
      <c r="CD878" s="460"/>
      <c r="CE878" s="460"/>
      <c r="CF878" s="460"/>
      <c r="CG878" s="460"/>
      <c r="CH878" s="460"/>
      <c r="CI878" s="460"/>
      <c r="CJ878" s="460"/>
      <c r="CK878" s="460"/>
    </row>
    <row r="879" spans="1:89" s="329" customFormat="1" ht="36" customHeight="1" x14ac:dyDescent="0.25">
      <c r="A879" s="329">
        <v>1</v>
      </c>
      <c r="B879" s="39">
        <f>SUBTOTAL(103,$A$552:A879)</f>
        <v>298</v>
      </c>
      <c r="C879" s="33" t="s">
        <v>1341</v>
      </c>
      <c r="D879" s="330">
        <v>1953</v>
      </c>
      <c r="E879" s="330"/>
      <c r="F879" s="331" t="s">
        <v>48</v>
      </c>
      <c r="G879" s="330">
        <v>2</v>
      </c>
      <c r="H879" s="330" t="s">
        <v>61</v>
      </c>
      <c r="I879" s="334">
        <v>996.1</v>
      </c>
      <c r="J879" s="334">
        <v>882.6</v>
      </c>
      <c r="K879" s="334">
        <v>782.6</v>
      </c>
      <c r="L879" s="332">
        <v>30</v>
      </c>
      <c r="M879" s="330" t="s">
        <v>46</v>
      </c>
      <c r="N879" s="330" t="s">
        <v>47</v>
      </c>
      <c r="O879" s="333" t="s">
        <v>49</v>
      </c>
      <c r="P879" s="38">
        <v>4867830.6499999994</v>
      </c>
      <c r="Q879" s="38">
        <v>0</v>
      </c>
      <c r="R879" s="38">
        <v>0</v>
      </c>
      <c r="S879" s="38">
        <f t="shared" si="181"/>
        <v>4867830.6499999994</v>
      </c>
      <c r="T879" s="38">
        <f t="shared" si="169"/>
        <v>4886.8895191245856</v>
      </c>
      <c r="U879" s="38">
        <v>5970.4653147274366</v>
      </c>
      <c r="V879" s="458">
        <f t="shared" si="177"/>
        <v>1083.575795602851</v>
      </c>
      <c r="W879" s="458">
        <f t="shared" si="182"/>
        <v>5950.1701636381886</v>
      </c>
      <c r="X879" s="458">
        <v>0</v>
      </c>
      <c r="Y879" s="459">
        <v>0</v>
      </c>
      <c r="Z879" s="459">
        <v>0</v>
      </c>
      <c r="AA879" s="459">
        <v>0</v>
      </c>
      <c r="AB879" s="459">
        <v>0</v>
      </c>
      <c r="AC879" s="459">
        <v>0</v>
      </c>
      <c r="AD879" s="459">
        <v>0</v>
      </c>
      <c r="AE879" s="459">
        <v>950</v>
      </c>
      <c r="AF879" s="458">
        <f t="shared" si="183"/>
        <v>5950.1701636381886</v>
      </c>
      <c r="AG879" s="459">
        <v>0</v>
      </c>
      <c r="AH879" s="458">
        <v>0</v>
      </c>
      <c r="AI879" s="459">
        <v>0</v>
      </c>
      <c r="AJ879" s="458">
        <v>0</v>
      </c>
      <c r="AK879" s="459">
        <v>0</v>
      </c>
      <c r="AL879" s="459">
        <v>0</v>
      </c>
      <c r="AM879" s="459">
        <v>0</v>
      </c>
      <c r="AN879" s="459"/>
      <c r="AO879" s="459">
        <v>0</v>
      </c>
      <c r="AP879" s="460"/>
      <c r="AQ879" s="460"/>
      <c r="AR879" s="460"/>
      <c r="AS879" s="460"/>
      <c r="AT879" s="460"/>
      <c r="AU879" s="460"/>
      <c r="AV879" s="460"/>
      <c r="AW879" s="460"/>
      <c r="AX879" s="460"/>
      <c r="AY879" s="460"/>
      <c r="AZ879" s="460"/>
      <c r="BA879" s="460"/>
      <c r="BB879" s="460"/>
      <c r="BC879" s="460"/>
      <c r="BD879" s="460"/>
      <c r="BE879" s="460"/>
      <c r="BF879" s="460"/>
      <c r="BG879" s="460"/>
      <c r="BH879" s="460"/>
      <c r="BI879" s="460"/>
      <c r="BJ879" s="460"/>
      <c r="BK879" s="460"/>
      <c r="BL879" s="460"/>
      <c r="BM879" s="460"/>
      <c r="BN879" s="460"/>
      <c r="BO879" s="460"/>
      <c r="BP879" s="460"/>
      <c r="BQ879" s="460"/>
      <c r="BR879" s="460"/>
      <c r="BS879" s="460"/>
      <c r="BT879" s="460"/>
      <c r="BU879" s="460"/>
      <c r="BV879" s="460"/>
      <c r="BW879" s="460"/>
      <c r="BX879" s="460"/>
      <c r="BY879" s="460"/>
      <c r="BZ879" s="460"/>
      <c r="CA879" s="460"/>
      <c r="CB879" s="460"/>
      <c r="CC879" s="460"/>
      <c r="CD879" s="460"/>
      <c r="CE879" s="460"/>
      <c r="CF879" s="460"/>
      <c r="CG879" s="460"/>
      <c r="CH879" s="460"/>
      <c r="CI879" s="460"/>
      <c r="CJ879" s="460"/>
      <c r="CK879" s="460"/>
    </row>
    <row r="880" spans="1:89" s="329" customFormat="1" ht="36" customHeight="1" x14ac:dyDescent="0.25">
      <c r="A880" s="329">
        <v>1</v>
      </c>
      <c r="B880" s="39">
        <f>SUBTOTAL(103,$A$552:A880)</f>
        <v>299</v>
      </c>
      <c r="C880" s="33" t="s">
        <v>1338</v>
      </c>
      <c r="D880" s="330">
        <v>1948</v>
      </c>
      <c r="E880" s="330"/>
      <c r="F880" s="331" t="s">
        <v>48</v>
      </c>
      <c r="G880" s="330">
        <v>4</v>
      </c>
      <c r="H880" s="330" t="s">
        <v>61</v>
      </c>
      <c r="I880" s="334">
        <v>1954.5</v>
      </c>
      <c r="J880" s="334">
        <v>1781</v>
      </c>
      <c r="K880" s="334">
        <v>1540</v>
      </c>
      <c r="L880" s="332">
        <v>58</v>
      </c>
      <c r="M880" s="330" t="s">
        <v>46</v>
      </c>
      <c r="N880" s="330" t="s">
        <v>50</v>
      </c>
      <c r="O880" s="333" t="s">
        <v>2077</v>
      </c>
      <c r="P880" s="38">
        <v>5421953.8200000003</v>
      </c>
      <c r="Q880" s="38">
        <v>0</v>
      </c>
      <c r="R880" s="38">
        <v>0</v>
      </c>
      <c r="S880" s="38">
        <f t="shared" si="181"/>
        <v>5421953.8200000003</v>
      </c>
      <c r="T880" s="38">
        <f t="shared" si="169"/>
        <v>2774.0873983115889</v>
      </c>
      <c r="U880" s="38">
        <v>3055.6261243284725</v>
      </c>
      <c r="V880" s="458">
        <f t="shared" si="177"/>
        <v>281.53872601688363</v>
      </c>
      <c r="W880" s="458">
        <f t="shared" si="182"/>
        <v>1372.5921207469939</v>
      </c>
      <c r="X880" s="458">
        <v>0</v>
      </c>
      <c r="Y880" s="459">
        <v>0</v>
      </c>
      <c r="Z880" s="459">
        <v>0</v>
      </c>
      <c r="AA880" s="459">
        <v>0</v>
      </c>
      <c r="AB880" s="459">
        <v>0</v>
      </c>
      <c r="AC880" s="459">
        <v>0</v>
      </c>
      <c r="AD880" s="459">
        <v>0</v>
      </c>
      <c r="AE880" s="459">
        <v>430</v>
      </c>
      <c r="AF880" s="458">
        <f t="shared" si="183"/>
        <v>1372.5921207469939</v>
      </c>
      <c r="AG880" s="459">
        <v>0</v>
      </c>
      <c r="AH880" s="458">
        <v>0</v>
      </c>
      <c r="AI880" s="459">
        <v>0</v>
      </c>
      <c r="AJ880" s="458">
        <v>0</v>
      </c>
      <c r="AK880" s="459">
        <v>0</v>
      </c>
      <c r="AL880" s="459">
        <v>0</v>
      </c>
      <c r="AM880" s="459">
        <v>0</v>
      </c>
      <c r="AN880" s="459"/>
      <c r="AO880" s="459">
        <v>0</v>
      </c>
      <c r="AP880" s="460"/>
      <c r="AQ880" s="460"/>
      <c r="AR880" s="460"/>
      <c r="AS880" s="460"/>
      <c r="AT880" s="460"/>
      <c r="AU880" s="460"/>
      <c r="AV880" s="460"/>
      <c r="AW880" s="460"/>
      <c r="AX880" s="460"/>
      <c r="AY880" s="460"/>
      <c r="AZ880" s="460"/>
      <c r="BA880" s="460"/>
      <c r="BB880" s="460"/>
      <c r="BC880" s="460"/>
      <c r="BD880" s="460"/>
      <c r="BE880" s="460"/>
      <c r="BF880" s="460"/>
      <c r="BG880" s="460"/>
      <c r="BH880" s="460"/>
      <c r="BI880" s="460"/>
      <c r="BJ880" s="460"/>
      <c r="BK880" s="460"/>
      <c r="BL880" s="460"/>
      <c r="BM880" s="460"/>
      <c r="BN880" s="460"/>
      <c r="BO880" s="460"/>
      <c r="BP880" s="460"/>
      <c r="BQ880" s="460"/>
      <c r="BR880" s="460"/>
      <c r="BS880" s="460"/>
      <c r="BT880" s="460"/>
      <c r="BU880" s="460"/>
      <c r="BV880" s="460"/>
      <c r="BW880" s="460"/>
      <c r="BX880" s="460"/>
      <c r="BY880" s="460"/>
      <c r="BZ880" s="460"/>
      <c r="CA880" s="460"/>
      <c r="CB880" s="460"/>
      <c r="CC880" s="460"/>
      <c r="CD880" s="460"/>
      <c r="CE880" s="460"/>
      <c r="CF880" s="460"/>
      <c r="CG880" s="460"/>
      <c r="CH880" s="460"/>
      <c r="CI880" s="460"/>
      <c r="CJ880" s="460"/>
      <c r="CK880" s="460"/>
    </row>
    <row r="881" spans="1:89" s="329" customFormat="1" ht="36" customHeight="1" x14ac:dyDescent="0.25">
      <c r="A881" s="329">
        <v>1</v>
      </c>
      <c r="B881" s="39">
        <f>SUBTOTAL(103,$A$552:A881)</f>
        <v>300</v>
      </c>
      <c r="C881" s="33" t="s">
        <v>1063</v>
      </c>
      <c r="D881" s="330">
        <v>1955</v>
      </c>
      <c r="E881" s="330"/>
      <c r="F881" s="331" t="s">
        <v>48</v>
      </c>
      <c r="G881" s="330">
        <v>2</v>
      </c>
      <c r="H881" s="330" t="s">
        <v>56</v>
      </c>
      <c r="I881" s="334">
        <v>640</v>
      </c>
      <c r="J881" s="334">
        <v>629</v>
      </c>
      <c r="K881" s="334">
        <v>452</v>
      </c>
      <c r="L881" s="332">
        <v>27</v>
      </c>
      <c r="M881" s="330" t="s">
        <v>46</v>
      </c>
      <c r="N881" s="330" t="s">
        <v>50</v>
      </c>
      <c r="O881" s="333" t="s">
        <v>2165</v>
      </c>
      <c r="P881" s="38">
        <v>2394114.0999999996</v>
      </c>
      <c r="Q881" s="38">
        <v>0</v>
      </c>
      <c r="R881" s="38">
        <v>0</v>
      </c>
      <c r="S881" s="38">
        <f t="shared" si="181"/>
        <v>2394114.0999999996</v>
      </c>
      <c r="T881" s="38">
        <f t="shared" si="169"/>
        <v>3740.8032812499996</v>
      </c>
      <c r="U881" s="38">
        <v>5868.9281249999995</v>
      </c>
      <c r="V881" s="458">
        <f t="shared" si="177"/>
        <v>2128.1248437499999</v>
      </c>
      <c r="W881" s="458">
        <f t="shared" si="182"/>
        <v>3753.0942968750001</v>
      </c>
      <c r="X881" s="458">
        <v>0</v>
      </c>
      <c r="Y881" s="459">
        <v>0</v>
      </c>
      <c r="Z881" s="459">
        <v>0</v>
      </c>
      <c r="AA881" s="459">
        <v>0</v>
      </c>
      <c r="AB881" s="459">
        <v>0</v>
      </c>
      <c r="AC881" s="459">
        <v>0</v>
      </c>
      <c r="AD881" s="459">
        <v>0</v>
      </c>
      <c r="AE881" s="459">
        <v>385</v>
      </c>
      <c r="AF881" s="458">
        <f t="shared" si="183"/>
        <v>3753.0942968750001</v>
      </c>
      <c r="AG881" s="459">
        <v>0</v>
      </c>
      <c r="AH881" s="458">
        <v>0</v>
      </c>
      <c r="AI881" s="459">
        <v>0</v>
      </c>
      <c r="AJ881" s="458">
        <v>0</v>
      </c>
      <c r="AK881" s="459">
        <v>0</v>
      </c>
      <c r="AL881" s="459">
        <v>0</v>
      </c>
      <c r="AM881" s="459">
        <v>0</v>
      </c>
      <c r="AN881" s="459"/>
      <c r="AO881" s="459">
        <v>0</v>
      </c>
      <c r="AP881" s="460"/>
      <c r="AQ881" s="460"/>
      <c r="AR881" s="460"/>
      <c r="AS881" s="460"/>
      <c r="AT881" s="460"/>
      <c r="AU881" s="460"/>
      <c r="AV881" s="460"/>
      <c r="AW881" s="460"/>
      <c r="AX881" s="460"/>
      <c r="AY881" s="460"/>
      <c r="AZ881" s="460"/>
      <c r="BA881" s="460"/>
      <c r="BB881" s="460"/>
      <c r="BC881" s="460"/>
      <c r="BD881" s="460"/>
      <c r="BE881" s="460"/>
      <c r="BF881" s="460"/>
      <c r="BG881" s="460"/>
      <c r="BH881" s="460"/>
      <c r="BI881" s="460"/>
      <c r="BJ881" s="460"/>
      <c r="BK881" s="460"/>
      <c r="BL881" s="460"/>
      <c r="BM881" s="460"/>
      <c r="BN881" s="460"/>
      <c r="BO881" s="460"/>
      <c r="BP881" s="460"/>
      <c r="BQ881" s="460"/>
      <c r="BR881" s="460"/>
      <c r="BS881" s="460"/>
      <c r="BT881" s="460"/>
      <c r="BU881" s="460"/>
      <c r="BV881" s="460"/>
      <c r="BW881" s="460"/>
      <c r="BX881" s="460"/>
      <c r="BY881" s="460"/>
      <c r="BZ881" s="460"/>
      <c r="CA881" s="460"/>
      <c r="CB881" s="460"/>
      <c r="CC881" s="460"/>
      <c r="CD881" s="460"/>
      <c r="CE881" s="460"/>
      <c r="CF881" s="460"/>
      <c r="CG881" s="460"/>
      <c r="CH881" s="460"/>
      <c r="CI881" s="460"/>
      <c r="CJ881" s="460"/>
      <c r="CK881" s="460"/>
    </row>
    <row r="882" spans="1:89" s="329" customFormat="1" ht="36" customHeight="1" x14ac:dyDescent="0.25">
      <c r="A882" s="329">
        <v>1</v>
      </c>
      <c r="B882" s="39">
        <f>SUBTOTAL(103,$A$552:A882)</f>
        <v>301</v>
      </c>
      <c r="C882" s="33" t="s">
        <v>1644</v>
      </c>
      <c r="D882" s="330">
        <v>1958</v>
      </c>
      <c r="E882" s="330"/>
      <c r="F882" s="331" t="s">
        <v>48</v>
      </c>
      <c r="G882" s="330">
        <v>2</v>
      </c>
      <c r="H882" s="330">
        <v>1</v>
      </c>
      <c r="I882" s="334">
        <v>423.3</v>
      </c>
      <c r="J882" s="334">
        <v>391.4</v>
      </c>
      <c r="K882" s="334">
        <f>J882</f>
        <v>391.4</v>
      </c>
      <c r="L882" s="332">
        <v>22</v>
      </c>
      <c r="M882" s="330" t="s">
        <v>46</v>
      </c>
      <c r="N882" s="330" t="s">
        <v>50</v>
      </c>
      <c r="O882" s="333" t="s">
        <v>2166</v>
      </c>
      <c r="P882" s="38">
        <v>3623400.49</v>
      </c>
      <c r="Q882" s="38">
        <v>0</v>
      </c>
      <c r="R882" s="38">
        <v>0</v>
      </c>
      <c r="S882" s="38">
        <f>P882-Q882-R882</f>
        <v>3623400.49</v>
      </c>
      <c r="T882" s="38">
        <f t="shared" si="169"/>
        <v>8559.8877628159698</v>
      </c>
      <c r="U882" s="38">
        <f>T882</f>
        <v>8559.8877628159698</v>
      </c>
      <c r="V882" s="458">
        <f t="shared" si="177"/>
        <v>0</v>
      </c>
      <c r="W882" s="458">
        <f t="shared" si="182"/>
        <v>14001.806047720293</v>
      </c>
      <c r="X882" s="458">
        <v>0</v>
      </c>
      <c r="Y882" s="459">
        <v>0</v>
      </c>
      <c r="Z882" s="459">
        <v>0</v>
      </c>
      <c r="AA882" s="459">
        <v>0</v>
      </c>
      <c r="AB882" s="459">
        <v>0</v>
      </c>
      <c r="AC882" s="459">
        <v>0</v>
      </c>
      <c r="AD882" s="459">
        <v>0</v>
      </c>
      <c r="AE882" s="459">
        <v>950</v>
      </c>
      <c r="AF882" s="458">
        <f t="shared" si="183"/>
        <v>14001.806047720293</v>
      </c>
      <c r="AG882" s="459">
        <v>0</v>
      </c>
      <c r="AH882" s="458">
        <v>0</v>
      </c>
      <c r="AI882" s="459">
        <v>0</v>
      </c>
      <c r="AJ882" s="458">
        <v>0</v>
      </c>
      <c r="AK882" s="459">
        <v>0</v>
      </c>
      <c r="AL882" s="459">
        <v>0</v>
      </c>
      <c r="AM882" s="459">
        <v>0</v>
      </c>
      <c r="AN882" s="459"/>
      <c r="AO882" s="459">
        <v>0</v>
      </c>
      <c r="AP882" s="460"/>
      <c r="AQ882" s="460"/>
      <c r="AR882" s="460"/>
      <c r="AS882" s="460"/>
      <c r="AT882" s="460"/>
      <c r="AU882" s="460"/>
      <c r="AV882" s="460"/>
      <c r="AW882" s="460"/>
      <c r="AX882" s="460"/>
      <c r="AY882" s="460"/>
      <c r="AZ882" s="460"/>
      <c r="BA882" s="460"/>
      <c r="BB882" s="460"/>
      <c r="BC882" s="460"/>
      <c r="BD882" s="460"/>
      <c r="BE882" s="460"/>
      <c r="BF882" s="460"/>
      <c r="BG882" s="460"/>
      <c r="BH882" s="460"/>
      <c r="BI882" s="460"/>
      <c r="BJ882" s="460"/>
      <c r="BK882" s="460"/>
      <c r="BL882" s="460"/>
      <c r="BM882" s="460"/>
      <c r="BN882" s="460"/>
      <c r="BO882" s="460"/>
      <c r="BP882" s="460"/>
      <c r="BQ882" s="460"/>
      <c r="BR882" s="460"/>
      <c r="BS882" s="460"/>
      <c r="BT882" s="460"/>
      <c r="BU882" s="460"/>
      <c r="BV882" s="460"/>
      <c r="BW882" s="460"/>
      <c r="BX882" s="460"/>
      <c r="BY882" s="460"/>
      <c r="BZ882" s="460"/>
      <c r="CA882" s="460"/>
      <c r="CB882" s="460"/>
      <c r="CC882" s="460"/>
      <c r="CD882" s="460"/>
      <c r="CE882" s="460"/>
      <c r="CF882" s="460"/>
      <c r="CG882" s="460"/>
      <c r="CH882" s="460"/>
      <c r="CI882" s="460"/>
      <c r="CJ882" s="460"/>
      <c r="CK882" s="460"/>
    </row>
    <row r="883" spans="1:89" s="329" customFormat="1" ht="36" customHeight="1" x14ac:dyDescent="0.25">
      <c r="B883" s="33" t="s">
        <v>1343</v>
      </c>
      <c r="C883" s="33"/>
      <c r="D883" s="330" t="s">
        <v>131</v>
      </c>
      <c r="E883" s="330" t="s">
        <v>131</v>
      </c>
      <c r="F883" s="330" t="s">
        <v>131</v>
      </c>
      <c r="G883" s="330" t="s">
        <v>131</v>
      </c>
      <c r="H883" s="330" t="s">
        <v>131</v>
      </c>
      <c r="I883" s="38">
        <f>SUM(I884:I886)</f>
        <v>1222.5999999999999</v>
      </c>
      <c r="J883" s="38">
        <f>SUM(J884:J886)</f>
        <v>1134.8</v>
      </c>
      <c r="K883" s="38">
        <f>SUM(K884:K886)</f>
        <v>1109.2</v>
      </c>
      <c r="L883" s="332">
        <f>SUM(L884:L886)</f>
        <v>66</v>
      </c>
      <c r="M883" s="330" t="s">
        <v>131</v>
      </c>
      <c r="N883" s="330" t="s">
        <v>131</v>
      </c>
      <c r="O883" s="333" t="s">
        <v>131</v>
      </c>
      <c r="P883" s="38">
        <v>2987522.79</v>
      </c>
      <c r="Q883" s="38">
        <f t="shared" ref="Q883:S883" si="184">SUM(Q884:Q886)</f>
        <v>0</v>
      </c>
      <c r="R883" s="38">
        <f t="shared" si="184"/>
        <v>0</v>
      </c>
      <c r="S883" s="38">
        <f t="shared" si="184"/>
        <v>2987522.79</v>
      </c>
      <c r="T883" s="38">
        <f t="shared" si="169"/>
        <v>2443.5815393423854</v>
      </c>
      <c r="U883" s="38">
        <f>MAX(U884:U886)</f>
        <v>5569.0476093885818</v>
      </c>
      <c r="V883" s="458">
        <f t="shared" si="177"/>
        <v>3125.4660700461964</v>
      </c>
      <c r="W883" s="458"/>
      <c r="X883" s="458"/>
      <c r="Y883" s="459"/>
      <c r="Z883" s="459"/>
      <c r="AA883" s="459"/>
      <c r="AB883" s="459"/>
      <c r="AC883" s="459"/>
      <c r="AD883" s="459"/>
      <c r="AE883" s="459"/>
      <c r="AF883" s="459"/>
      <c r="AG883" s="459"/>
      <c r="AH883" s="459"/>
      <c r="AI883" s="459"/>
      <c r="AJ883" s="459"/>
      <c r="AK883" s="459"/>
      <c r="AL883" s="459"/>
      <c r="AM883" s="459"/>
      <c r="AN883" s="459"/>
      <c r="AO883" s="459"/>
      <c r="AP883" s="460"/>
      <c r="AQ883" s="460"/>
      <c r="AR883" s="460"/>
      <c r="AS883" s="460"/>
      <c r="AT883" s="460"/>
      <c r="AU883" s="460"/>
      <c r="AV883" s="460"/>
      <c r="AW883" s="460"/>
      <c r="AX883" s="460"/>
      <c r="AY883" s="460"/>
      <c r="AZ883" s="460"/>
      <c r="BA883" s="460"/>
      <c r="BB883" s="460"/>
      <c r="BC883" s="460"/>
      <c r="BD883" s="460"/>
      <c r="BE883" s="460"/>
      <c r="BF883" s="460"/>
      <c r="BG883" s="460"/>
      <c r="BH883" s="460"/>
      <c r="BI883" s="460"/>
      <c r="BJ883" s="460"/>
      <c r="BK883" s="460"/>
      <c r="BL883" s="460"/>
      <c r="BM883" s="460"/>
      <c r="BN883" s="460"/>
      <c r="BO883" s="460"/>
      <c r="BP883" s="460"/>
      <c r="BQ883" s="460"/>
      <c r="BR883" s="460"/>
      <c r="BS883" s="460"/>
      <c r="BT883" s="460"/>
      <c r="BU883" s="460"/>
      <c r="BV883" s="460"/>
      <c r="BW883" s="460"/>
      <c r="BX883" s="460"/>
      <c r="BY883" s="460"/>
      <c r="BZ883" s="460"/>
      <c r="CA883" s="460"/>
      <c r="CB883" s="460"/>
      <c r="CC883" s="460"/>
      <c r="CD883" s="460"/>
      <c r="CE883" s="460"/>
      <c r="CF883" s="460"/>
      <c r="CG883" s="460"/>
      <c r="CH883" s="460"/>
      <c r="CI883" s="460"/>
      <c r="CJ883" s="460"/>
      <c r="CK883" s="460"/>
    </row>
    <row r="884" spans="1:89" s="329" customFormat="1" ht="36" customHeight="1" x14ac:dyDescent="0.25">
      <c r="A884" s="329">
        <v>1</v>
      </c>
      <c r="B884" s="39">
        <f>SUBTOTAL(103,$A$552:A884)</f>
        <v>302</v>
      </c>
      <c r="C884" s="33" t="s">
        <v>1345</v>
      </c>
      <c r="D884" s="330">
        <v>1931</v>
      </c>
      <c r="E884" s="330"/>
      <c r="F884" s="331" t="s">
        <v>48</v>
      </c>
      <c r="G884" s="330">
        <v>2</v>
      </c>
      <c r="H884" s="330" t="s">
        <v>57</v>
      </c>
      <c r="I884" s="334">
        <v>345.1</v>
      </c>
      <c r="J884" s="334">
        <v>319.60000000000002</v>
      </c>
      <c r="K884" s="334">
        <v>297</v>
      </c>
      <c r="L884" s="332">
        <v>9</v>
      </c>
      <c r="M884" s="330" t="s">
        <v>46</v>
      </c>
      <c r="N884" s="330" t="s">
        <v>47</v>
      </c>
      <c r="O884" s="333" t="s">
        <v>49</v>
      </c>
      <c r="P884" s="38">
        <v>1762259.81</v>
      </c>
      <c r="Q884" s="38">
        <v>0</v>
      </c>
      <c r="R884" s="38">
        <v>0</v>
      </c>
      <c r="S884" s="38">
        <f>P884-Q884-R884</f>
        <v>1762259.81</v>
      </c>
      <c r="T884" s="38">
        <f t="shared" si="169"/>
        <v>5106.519298753984</v>
      </c>
      <c r="U884" s="38">
        <v>5569.0476093885818</v>
      </c>
      <c r="V884" s="458">
        <f t="shared" si="177"/>
        <v>462.5283106345978</v>
      </c>
      <c r="W884" s="458">
        <f t="shared" ref="W884:W886" si="185">X884+Y884+Z884+AA884+AB884+AD884+AF884+AH884+AJ884+AL884+AN884+AO884</f>
        <v>5550.1169805853369</v>
      </c>
      <c r="X884" s="458">
        <v>0</v>
      </c>
      <c r="Y884" s="459">
        <v>0</v>
      </c>
      <c r="Z884" s="459">
        <v>0</v>
      </c>
      <c r="AA884" s="459">
        <v>0</v>
      </c>
      <c r="AB884" s="459">
        <v>0</v>
      </c>
      <c r="AC884" s="459">
        <v>0</v>
      </c>
      <c r="AD884" s="459">
        <v>0</v>
      </c>
      <c r="AE884" s="459">
        <v>307</v>
      </c>
      <c r="AF884" s="458">
        <f>6238.91*AE884/I884</f>
        <v>5550.1169805853369</v>
      </c>
      <c r="AG884" s="459">
        <v>0</v>
      </c>
      <c r="AH884" s="458">
        <v>0</v>
      </c>
      <c r="AI884" s="459">
        <v>0</v>
      </c>
      <c r="AJ884" s="458">
        <v>0</v>
      </c>
      <c r="AK884" s="459">
        <v>0</v>
      </c>
      <c r="AL884" s="459">
        <v>0</v>
      </c>
      <c r="AM884" s="459">
        <v>0</v>
      </c>
      <c r="AN884" s="459"/>
      <c r="AO884" s="459">
        <v>0</v>
      </c>
      <c r="AP884" s="460"/>
      <c r="AQ884" s="460"/>
      <c r="AR884" s="460"/>
      <c r="AS884" s="460"/>
      <c r="AT884" s="460"/>
      <c r="AU884" s="460"/>
      <c r="AV884" s="460"/>
      <c r="AW884" s="460"/>
      <c r="AX884" s="460"/>
      <c r="AY884" s="460"/>
      <c r="AZ884" s="460"/>
      <c r="BA884" s="460"/>
      <c r="BB884" s="460"/>
      <c r="BC884" s="460"/>
      <c r="BD884" s="460"/>
      <c r="BE884" s="460"/>
      <c r="BF884" s="460"/>
      <c r="BG884" s="460"/>
      <c r="BH884" s="460"/>
      <c r="BI884" s="460"/>
      <c r="BJ884" s="460"/>
      <c r="BK884" s="460"/>
      <c r="BL884" s="460"/>
      <c r="BM884" s="460"/>
      <c r="BN884" s="460"/>
      <c r="BO884" s="460"/>
      <c r="BP884" s="460"/>
      <c r="BQ884" s="460"/>
      <c r="BR884" s="460"/>
      <c r="BS884" s="460"/>
      <c r="BT884" s="460"/>
      <c r="BU884" s="460"/>
      <c r="BV884" s="460"/>
      <c r="BW884" s="460"/>
      <c r="BX884" s="460"/>
      <c r="BY884" s="460"/>
      <c r="BZ884" s="460"/>
      <c r="CA884" s="460"/>
      <c r="CB884" s="460"/>
      <c r="CC884" s="460"/>
      <c r="CD884" s="460"/>
      <c r="CE884" s="460"/>
      <c r="CF884" s="460"/>
      <c r="CG884" s="460"/>
      <c r="CH884" s="460"/>
      <c r="CI884" s="460"/>
      <c r="CJ884" s="460"/>
      <c r="CK884" s="460"/>
    </row>
    <row r="885" spans="1:89" s="329" customFormat="1" ht="36" customHeight="1" x14ac:dyDescent="0.25">
      <c r="A885" s="329">
        <v>1</v>
      </c>
      <c r="B885" s="39">
        <f>SUBTOTAL(103,$A$552:A885)</f>
        <v>303</v>
      </c>
      <c r="C885" s="33" t="s">
        <v>1346</v>
      </c>
      <c r="D885" s="330">
        <v>1965</v>
      </c>
      <c r="E885" s="330"/>
      <c r="F885" s="331" t="s">
        <v>48</v>
      </c>
      <c r="G885" s="330">
        <v>2</v>
      </c>
      <c r="H885" s="330" t="s">
        <v>57</v>
      </c>
      <c r="I885" s="334">
        <v>210.5</v>
      </c>
      <c r="J885" s="334">
        <v>187.3</v>
      </c>
      <c r="K885" s="334">
        <v>184.3</v>
      </c>
      <c r="L885" s="332">
        <v>15</v>
      </c>
      <c r="M885" s="330" t="s">
        <v>46</v>
      </c>
      <c r="N885" s="330" t="s">
        <v>50</v>
      </c>
      <c r="O885" s="333" t="s">
        <v>2080</v>
      </c>
      <c r="P885" s="38">
        <v>901962.98</v>
      </c>
      <c r="Q885" s="38">
        <v>0</v>
      </c>
      <c r="R885" s="38">
        <v>0</v>
      </c>
      <c r="S885" s="38">
        <f>P885-Q885-R885</f>
        <v>901962.98</v>
      </c>
      <c r="T885" s="38">
        <f t="shared" si="169"/>
        <v>4284.8597624703089</v>
      </c>
      <c r="U885" s="38">
        <v>4758.3391923990494</v>
      </c>
      <c r="V885" s="458">
        <f t="shared" si="177"/>
        <v>473.4794299287405</v>
      </c>
      <c r="W885" s="458">
        <f t="shared" si="185"/>
        <v>4742.1643705463184</v>
      </c>
      <c r="X885" s="458">
        <v>0</v>
      </c>
      <c r="Y885" s="459">
        <v>0</v>
      </c>
      <c r="Z885" s="459">
        <v>0</v>
      </c>
      <c r="AA885" s="459">
        <v>0</v>
      </c>
      <c r="AB885" s="459">
        <v>0</v>
      </c>
      <c r="AC885" s="459">
        <v>0</v>
      </c>
      <c r="AD885" s="459">
        <v>0</v>
      </c>
      <c r="AE885" s="459">
        <v>160</v>
      </c>
      <c r="AF885" s="458">
        <f>6238.91*AE885/I885</f>
        <v>4742.1643705463184</v>
      </c>
      <c r="AG885" s="459">
        <v>0</v>
      </c>
      <c r="AH885" s="458">
        <v>0</v>
      </c>
      <c r="AI885" s="459">
        <v>0</v>
      </c>
      <c r="AJ885" s="458">
        <v>0</v>
      </c>
      <c r="AK885" s="459">
        <v>0</v>
      </c>
      <c r="AL885" s="459">
        <v>0</v>
      </c>
      <c r="AM885" s="459">
        <v>0</v>
      </c>
      <c r="AN885" s="459"/>
      <c r="AO885" s="459">
        <v>0</v>
      </c>
      <c r="AP885" s="460"/>
      <c r="AQ885" s="460"/>
      <c r="AR885" s="460"/>
      <c r="AS885" s="460"/>
      <c r="AT885" s="460"/>
      <c r="AU885" s="460"/>
      <c r="AV885" s="460"/>
      <c r="AW885" s="460"/>
      <c r="AX885" s="460"/>
      <c r="AY885" s="460"/>
      <c r="AZ885" s="460"/>
      <c r="BA885" s="460"/>
      <c r="BB885" s="460"/>
      <c r="BC885" s="460"/>
      <c r="BD885" s="460"/>
      <c r="BE885" s="460"/>
      <c r="BF885" s="460"/>
      <c r="BG885" s="460"/>
      <c r="BH885" s="460"/>
      <c r="BI885" s="460"/>
      <c r="BJ885" s="460"/>
      <c r="BK885" s="460"/>
      <c r="BL885" s="460"/>
      <c r="BM885" s="460"/>
      <c r="BN885" s="460"/>
      <c r="BO885" s="460"/>
      <c r="BP885" s="460"/>
      <c r="BQ885" s="460"/>
      <c r="BR885" s="460"/>
      <c r="BS885" s="460"/>
      <c r="BT885" s="460"/>
      <c r="BU885" s="460"/>
      <c r="BV885" s="460"/>
      <c r="BW885" s="460"/>
      <c r="BX885" s="460"/>
      <c r="BY885" s="460"/>
      <c r="BZ885" s="460"/>
      <c r="CA885" s="460"/>
      <c r="CB885" s="460"/>
      <c r="CC885" s="460"/>
      <c r="CD885" s="460"/>
      <c r="CE885" s="460"/>
      <c r="CF885" s="460"/>
      <c r="CG885" s="460"/>
      <c r="CH885" s="460"/>
      <c r="CI885" s="460"/>
      <c r="CJ885" s="460"/>
      <c r="CK885" s="460"/>
    </row>
    <row r="886" spans="1:89" s="329" customFormat="1" ht="36" customHeight="1" x14ac:dyDescent="0.25">
      <c r="A886" s="329">
        <v>1</v>
      </c>
      <c r="B886" s="39">
        <f>SUBTOTAL(103,$A$552:A886)</f>
        <v>304</v>
      </c>
      <c r="C886" s="33" t="s">
        <v>1645</v>
      </c>
      <c r="D886" s="330">
        <v>1966</v>
      </c>
      <c r="E886" s="330"/>
      <c r="F886" s="331" t="s">
        <v>48</v>
      </c>
      <c r="G886" s="330">
        <v>2</v>
      </c>
      <c r="H886" s="330">
        <v>2</v>
      </c>
      <c r="I886" s="334">
        <v>667</v>
      </c>
      <c r="J886" s="334">
        <v>627.9</v>
      </c>
      <c r="K886" s="334">
        <f>J886</f>
        <v>627.9</v>
      </c>
      <c r="L886" s="332">
        <v>42</v>
      </c>
      <c r="M886" s="330" t="s">
        <v>46</v>
      </c>
      <c r="N886" s="330" t="s">
        <v>47</v>
      </c>
      <c r="O886" s="333" t="s">
        <v>49</v>
      </c>
      <c r="P886" s="38">
        <v>323300</v>
      </c>
      <c r="Q886" s="38">
        <v>0</v>
      </c>
      <c r="R886" s="38">
        <v>0</v>
      </c>
      <c r="S886" s="38">
        <f>P886-Q886-R886</f>
        <v>323300</v>
      </c>
      <c r="T886" s="38">
        <f t="shared" si="169"/>
        <v>484.70764617691157</v>
      </c>
      <c r="U886" s="38">
        <f>T886</f>
        <v>484.70764617691157</v>
      </c>
      <c r="V886" s="458">
        <f t="shared" si="177"/>
        <v>0</v>
      </c>
      <c r="W886" s="458">
        <f t="shared" si="185"/>
        <v>1496.5901049475262</v>
      </c>
      <c r="X886" s="458">
        <v>0</v>
      </c>
      <c r="Y886" s="459">
        <v>0</v>
      </c>
      <c r="Z886" s="459">
        <v>0</v>
      </c>
      <c r="AA886" s="459">
        <v>0</v>
      </c>
      <c r="AB886" s="459">
        <v>0</v>
      </c>
      <c r="AC886" s="459">
        <v>0</v>
      </c>
      <c r="AD886" s="459">
        <v>0</v>
      </c>
      <c r="AE886" s="459">
        <v>160</v>
      </c>
      <c r="AF886" s="458">
        <f>6238.91*AE886/I886</f>
        <v>1496.5901049475262</v>
      </c>
      <c r="AG886" s="459">
        <v>0</v>
      </c>
      <c r="AH886" s="458">
        <v>0</v>
      </c>
      <c r="AI886" s="459">
        <v>0</v>
      </c>
      <c r="AJ886" s="458">
        <v>0</v>
      </c>
      <c r="AK886" s="459">
        <v>0</v>
      </c>
      <c r="AL886" s="459">
        <v>0</v>
      </c>
      <c r="AM886" s="459">
        <v>0</v>
      </c>
      <c r="AN886" s="459"/>
      <c r="AO886" s="459">
        <v>0</v>
      </c>
      <c r="AP886" s="460"/>
      <c r="AQ886" s="460"/>
      <c r="AR886" s="460"/>
      <c r="AS886" s="460"/>
      <c r="AT886" s="460"/>
      <c r="AU886" s="460"/>
      <c r="AV886" s="460"/>
      <c r="AW886" s="460"/>
      <c r="AX886" s="460"/>
      <c r="AY886" s="460"/>
      <c r="AZ886" s="460"/>
      <c r="BA886" s="460"/>
      <c r="BB886" s="460"/>
      <c r="BC886" s="460"/>
      <c r="BD886" s="460"/>
      <c r="BE886" s="460"/>
      <c r="BF886" s="460"/>
      <c r="BG886" s="460"/>
      <c r="BH886" s="460"/>
      <c r="BI886" s="460"/>
      <c r="BJ886" s="460"/>
      <c r="BK886" s="460"/>
      <c r="BL886" s="460"/>
      <c r="BM886" s="460"/>
      <c r="BN886" s="460"/>
      <c r="BO886" s="460"/>
      <c r="BP886" s="460"/>
      <c r="BQ886" s="460"/>
      <c r="BR886" s="460"/>
      <c r="BS886" s="460"/>
      <c r="BT886" s="460"/>
      <c r="BU886" s="460"/>
      <c r="BV886" s="460"/>
      <c r="BW886" s="460"/>
      <c r="BX886" s="460"/>
      <c r="BY886" s="460"/>
      <c r="BZ886" s="460"/>
      <c r="CA886" s="460"/>
      <c r="CB886" s="460"/>
      <c r="CC886" s="460"/>
      <c r="CD886" s="460"/>
      <c r="CE886" s="460"/>
      <c r="CF886" s="460"/>
      <c r="CG886" s="460"/>
      <c r="CH886" s="460"/>
      <c r="CI886" s="460"/>
      <c r="CJ886" s="460"/>
      <c r="CK886" s="460"/>
    </row>
    <row r="887" spans="1:89" s="329" customFormat="1" ht="36" customHeight="1" x14ac:dyDescent="0.25">
      <c r="B887" s="33" t="s">
        <v>1646</v>
      </c>
      <c r="C887" s="33"/>
      <c r="D887" s="330" t="s">
        <v>131</v>
      </c>
      <c r="E887" s="330" t="s">
        <v>131</v>
      </c>
      <c r="F887" s="330" t="s">
        <v>131</v>
      </c>
      <c r="G887" s="330" t="s">
        <v>131</v>
      </c>
      <c r="H887" s="330" t="s">
        <v>131</v>
      </c>
      <c r="I887" s="334">
        <f>I888</f>
        <v>654.5</v>
      </c>
      <c r="J887" s="334">
        <f>J888</f>
        <v>614.5</v>
      </c>
      <c r="K887" s="334">
        <f>K888</f>
        <v>614.5</v>
      </c>
      <c r="L887" s="332">
        <f>L888</f>
        <v>32</v>
      </c>
      <c r="M887" s="330" t="s">
        <v>131</v>
      </c>
      <c r="N887" s="330" t="s">
        <v>131</v>
      </c>
      <c r="O887" s="333" t="s">
        <v>131</v>
      </c>
      <c r="P887" s="38">
        <v>2568179.12</v>
      </c>
      <c r="Q887" s="38">
        <f>Q888</f>
        <v>0</v>
      </c>
      <c r="R887" s="38">
        <f>R888</f>
        <v>0</v>
      </c>
      <c r="S887" s="38">
        <f>S888</f>
        <v>2568179.12</v>
      </c>
      <c r="T887" s="38">
        <f t="shared" si="169"/>
        <v>3923.8794805194807</v>
      </c>
      <c r="U887" s="38">
        <f>U888</f>
        <v>3923.8794805194807</v>
      </c>
      <c r="V887" s="458">
        <f t="shared" si="177"/>
        <v>0</v>
      </c>
      <c r="W887" s="458"/>
      <c r="X887" s="458"/>
      <c r="Y887" s="459"/>
      <c r="Z887" s="459"/>
      <c r="AA887" s="459"/>
      <c r="AB887" s="459"/>
      <c r="AC887" s="459"/>
      <c r="AD887" s="459"/>
      <c r="AE887" s="459"/>
      <c r="AF887" s="459"/>
      <c r="AG887" s="459"/>
      <c r="AH887" s="459"/>
      <c r="AI887" s="459"/>
      <c r="AJ887" s="459"/>
      <c r="AK887" s="459"/>
      <c r="AL887" s="459"/>
      <c r="AM887" s="459"/>
      <c r="AN887" s="459"/>
      <c r="AO887" s="459"/>
      <c r="AP887" s="460"/>
      <c r="AQ887" s="460"/>
      <c r="AR887" s="460"/>
      <c r="AS887" s="460"/>
      <c r="AT887" s="460"/>
      <c r="AU887" s="460"/>
      <c r="AV887" s="460"/>
      <c r="AW887" s="460"/>
      <c r="AX887" s="460"/>
      <c r="AY887" s="460"/>
      <c r="AZ887" s="460"/>
      <c r="BA887" s="460"/>
      <c r="BB887" s="460"/>
      <c r="BC887" s="460"/>
      <c r="BD887" s="460"/>
      <c r="BE887" s="460"/>
      <c r="BF887" s="460"/>
      <c r="BG887" s="460"/>
      <c r="BH887" s="460"/>
      <c r="BI887" s="460"/>
      <c r="BJ887" s="460"/>
      <c r="BK887" s="460"/>
      <c r="BL887" s="460"/>
      <c r="BM887" s="460"/>
      <c r="BN887" s="460"/>
      <c r="BO887" s="460"/>
      <c r="BP887" s="460"/>
      <c r="BQ887" s="460"/>
      <c r="BR887" s="460"/>
      <c r="BS887" s="460"/>
      <c r="BT887" s="460"/>
      <c r="BU887" s="460"/>
      <c r="BV887" s="460"/>
      <c r="BW887" s="460"/>
      <c r="BX887" s="460"/>
      <c r="BY887" s="460"/>
      <c r="BZ887" s="460"/>
      <c r="CA887" s="460"/>
      <c r="CB887" s="460"/>
      <c r="CC887" s="460"/>
      <c r="CD887" s="460"/>
      <c r="CE887" s="460"/>
      <c r="CF887" s="460"/>
      <c r="CG887" s="460"/>
      <c r="CH887" s="460"/>
      <c r="CI887" s="460"/>
      <c r="CJ887" s="460"/>
      <c r="CK887" s="460"/>
    </row>
    <row r="888" spans="1:89" s="329" customFormat="1" ht="36" customHeight="1" x14ac:dyDescent="0.25">
      <c r="A888" s="329">
        <v>1</v>
      </c>
      <c r="B888" s="39">
        <f>SUBTOTAL(103,$A$552:A888)</f>
        <v>305</v>
      </c>
      <c r="C888" s="33" t="s">
        <v>1647</v>
      </c>
      <c r="D888" s="330">
        <v>1964</v>
      </c>
      <c r="E888" s="330"/>
      <c r="F888" s="331" t="s">
        <v>48</v>
      </c>
      <c r="G888" s="330">
        <v>2</v>
      </c>
      <c r="H888" s="330" t="s">
        <v>56</v>
      </c>
      <c r="I888" s="334">
        <v>654.5</v>
      </c>
      <c r="J888" s="334">
        <v>614.5</v>
      </c>
      <c r="K888" s="334">
        <v>614.5</v>
      </c>
      <c r="L888" s="332">
        <v>32</v>
      </c>
      <c r="M888" s="330" t="s">
        <v>46</v>
      </c>
      <c r="N888" s="330" t="s">
        <v>47</v>
      </c>
      <c r="O888" s="333" t="s">
        <v>49</v>
      </c>
      <c r="P888" s="38">
        <v>2568179.12</v>
      </c>
      <c r="Q888" s="38">
        <v>0</v>
      </c>
      <c r="R888" s="38">
        <v>0</v>
      </c>
      <c r="S888" s="38">
        <f>P888-Q888-R888</f>
        <v>2568179.12</v>
      </c>
      <c r="T888" s="38">
        <f t="shared" si="169"/>
        <v>3923.8794805194807</v>
      </c>
      <c r="U888" s="38">
        <v>3923.8794805194807</v>
      </c>
      <c r="V888" s="458">
        <f>U888-T888</f>
        <v>0</v>
      </c>
      <c r="W888" s="458">
        <f>X888+Y888+Z888+AA888+AB888+AD888+AF888+AH888+AJ888+AL888+AN888+AO888</f>
        <v>3928.1026400305577</v>
      </c>
      <c r="X888" s="458">
        <v>0</v>
      </c>
      <c r="Y888" s="459">
        <v>0</v>
      </c>
      <c r="Z888" s="459">
        <v>0</v>
      </c>
      <c r="AA888" s="459">
        <v>0</v>
      </c>
      <c r="AB888" s="459">
        <v>0</v>
      </c>
      <c r="AC888" s="459">
        <v>0</v>
      </c>
      <c r="AD888" s="459">
        <v>0</v>
      </c>
      <c r="AE888" s="459">
        <v>399.43</v>
      </c>
      <c r="AF888" s="458">
        <f>6436.53*AE888/I888</f>
        <v>3928.1026400305577</v>
      </c>
      <c r="AG888" s="459">
        <v>0</v>
      </c>
      <c r="AH888" s="458">
        <v>0</v>
      </c>
      <c r="AI888" s="459">
        <v>0</v>
      </c>
      <c r="AJ888" s="458">
        <v>0</v>
      </c>
      <c r="AK888" s="459">
        <v>0</v>
      </c>
      <c r="AL888" s="459">
        <v>0</v>
      </c>
      <c r="AM888" s="459">
        <v>0</v>
      </c>
      <c r="AN888" s="459"/>
      <c r="AO888" s="459">
        <v>0</v>
      </c>
      <c r="AP888" s="460"/>
      <c r="AQ888" s="460"/>
      <c r="AR888" s="460"/>
      <c r="AS888" s="460"/>
      <c r="AT888" s="460"/>
      <c r="AU888" s="460"/>
      <c r="AV888" s="460"/>
      <c r="AW888" s="460"/>
      <c r="AX888" s="460"/>
      <c r="AY888" s="460"/>
      <c r="AZ888" s="460"/>
      <c r="BA888" s="460"/>
      <c r="BB888" s="460"/>
      <c r="BC888" s="460"/>
      <c r="BD888" s="460"/>
      <c r="BE888" s="460"/>
      <c r="BF888" s="460"/>
      <c r="BG888" s="460"/>
      <c r="BH888" s="460"/>
      <c r="BI888" s="460"/>
      <c r="BJ888" s="460"/>
      <c r="BK888" s="460"/>
      <c r="BL888" s="460"/>
      <c r="BM888" s="460"/>
      <c r="BN888" s="460"/>
      <c r="BO888" s="460"/>
      <c r="BP888" s="460"/>
      <c r="BQ888" s="460"/>
      <c r="BR888" s="460"/>
      <c r="BS888" s="460"/>
      <c r="BT888" s="460"/>
      <c r="BU888" s="460"/>
      <c r="BV888" s="460"/>
      <c r="BW888" s="460"/>
      <c r="BX888" s="460"/>
      <c r="BY888" s="460"/>
      <c r="BZ888" s="460"/>
      <c r="CA888" s="460"/>
      <c r="CB888" s="460"/>
      <c r="CC888" s="460"/>
      <c r="CD888" s="460"/>
      <c r="CE888" s="460"/>
      <c r="CF888" s="460"/>
      <c r="CG888" s="460"/>
      <c r="CH888" s="460"/>
      <c r="CI888" s="460"/>
      <c r="CJ888" s="460"/>
      <c r="CK888" s="460"/>
    </row>
    <row r="889" spans="1:89" s="329" customFormat="1" ht="36" customHeight="1" x14ac:dyDescent="0.25">
      <c r="B889" s="33" t="s">
        <v>110</v>
      </c>
      <c r="C889" s="462"/>
      <c r="D889" s="330" t="s">
        <v>131</v>
      </c>
      <c r="E889" s="330" t="s">
        <v>131</v>
      </c>
      <c r="F889" s="330" t="s">
        <v>131</v>
      </c>
      <c r="G889" s="330" t="s">
        <v>131</v>
      </c>
      <c r="H889" s="330" t="s">
        <v>131</v>
      </c>
      <c r="I889" s="334">
        <f>SUM(I890:I892)</f>
        <v>5956.82</v>
      </c>
      <c r="J889" s="334">
        <f t="shared" ref="J889:L889" si="186">SUM(J890:J892)</f>
        <v>3738</v>
      </c>
      <c r="K889" s="334">
        <f t="shared" si="186"/>
        <v>3250.6</v>
      </c>
      <c r="L889" s="332">
        <f t="shared" si="186"/>
        <v>174</v>
      </c>
      <c r="M889" s="330" t="s">
        <v>131</v>
      </c>
      <c r="N889" s="330" t="s">
        <v>131</v>
      </c>
      <c r="O889" s="333" t="s">
        <v>131</v>
      </c>
      <c r="P889" s="38">
        <v>13632425.770000001</v>
      </c>
      <c r="Q889" s="38">
        <f t="shared" ref="Q889:S889" si="187">SUM(Q890:Q892)</f>
        <v>0</v>
      </c>
      <c r="R889" s="38">
        <f t="shared" si="187"/>
        <v>0</v>
      </c>
      <c r="S889" s="38">
        <f t="shared" si="187"/>
        <v>13632425.770000001</v>
      </c>
      <c r="T889" s="38">
        <f t="shared" si="169"/>
        <v>2288.5408271527431</v>
      </c>
      <c r="U889" s="38">
        <f>MAX(U890:U892)</f>
        <v>3379.6874395668151</v>
      </c>
      <c r="V889" s="458">
        <f t="shared" si="177"/>
        <v>1091.146612414072</v>
      </c>
      <c r="W889" s="458"/>
      <c r="X889" s="458"/>
      <c r="Y889" s="459"/>
      <c r="Z889" s="459"/>
      <c r="AA889" s="459"/>
      <c r="AB889" s="459"/>
      <c r="AC889" s="459"/>
      <c r="AD889" s="459"/>
      <c r="AE889" s="459"/>
      <c r="AF889" s="459"/>
      <c r="AG889" s="459"/>
      <c r="AH889" s="459"/>
      <c r="AI889" s="459"/>
      <c r="AJ889" s="459"/>
      <c r="AK889" s="459"/>
      <c r="AL889" s="459"/>
      <c r="AM889" s="459"/>
      <c r="AN889" s="459"/>
      <c r="AO889" s="459"/>
      <c r="AP889" s="460"/>
      <c r="AQ889" s="460"/>
      <c r="AR889" s="460"/>
      <c r="AS889" s="460"/>
      <c r="AT889" s="460"/>
      <c r="AU889" s="460"/>
      <c r="AV889" s="460"/>
      <c r="AW889" s="460"/>
      <c r="AX889" s="460"/>
      <c r="AY889" s="460"/>
      <c r="AZ889" s="460"/>
      <c r="BA889" s="460"/>
      <c r="BB889" s="460"/>
      <c r="BC889" s="460"/>
      <c r="BD889" s="460"/>
      <c r="BE889" s="460"/>
      <c r="BF889" s="460"/>
      <c r="BG889" s="460"/>
      <c r="BH889" s="460"/>
      <c r="BI889" s="460"/>
      <c r="BJ889" s="460"/>
      <c r="BK889" s="460"/>
      <c r="BL889" s="460"/>
      <c r="BM889" s="460"/>
      <c r="BN889" s="460"/>
      <c r="BO889" s="460"/>
      <c r="BP889" s="460"/>
      <c r="BQ889" s="460"/>
      <c r="BR889" s="460"/>
      <c r="BS889" s="460"/>
      <c r="BT889" s="460"/>
      <c r="BU889" s="460"/>
      <c r="BV889" s="460"/>
      <c r="BW889" s="460"/>
      <c r="BX889" s="460"/>
      <c r="BY889" s="460"/>
      <c r="BZ889" s="460"/>
      <c r="CA889" s="460"/>
      <c r="CB889" s="460"/>
      <c r="CC889" s="460"/>
      <c r="CD889" s="460"/>
      <c r="CE889" s="460"/>
      <c r="CF889" s="460"/>
      <c r="CG889" s="460"/>
      <c r="CH889" s="460"/>
      <c r="CI889" s="460"/>
      <c r="CJ889" s="460"/>
      <c r="CK889" s="460"/>
    </row>
    <row r="890" spans="1:89" s="329" customFormat="1" ht="36" customHeight="1" x14ac:dyDescent="0.25">
      <c r="A890" s="329">
        <v>1</v>
      </c>
      <c r="B890" s="39">
        <f>SUBTOTAL(103,$A$552:A890)</f>
        <v>306</v>
      </c>
      <c r="C890" s="33" t="s">
        <v>1648</v>
      </c>
      <c r="D890" s="330">
        <v>1975</v>
      </c>
      <c r="E890" s="330"/>
      <c r="F890" s="331" t="s">
        <v>48</v>
      </c>
      <c r="G890" s="330">
        <v>2</v>
      </c>
      <c r="H890" s="330" t="s">
        <v>56</v>
      </c>
      <c r="I890" s="334">
        <v>1244.4000000000001</v>
      </c>
      <c r="J890" s="334">
        <v>727.8</v>
      </c>
      <c r="K890" s="334">
        <v>584.79999999999995</v>
      </c>
      <c r="L890" s="332">
        <v>34</v>
      </c>
      <c r="M890" s="330" t="s">
        <v>46</v>
      </c>
      <c r="N890" s="330" t="s">
        <v>47</v>
      </c>
      <c r="O890" s="333" t="s">
        <v>49</v>
      </c>
      <c r="P890" s="38">
        <v>3017167.1700000004</v>
      </c>
      <c r="Q890" s="38">
        <v>0</v>
      </c>
      <c r="R890" s="38">
        <v>0</v>
      </c>
      <c r="S890" s="38">
        <f>P890-Q890-R890</f>
        <v>3017167.1700000004</v>
      </c>
      <c r="T890" s="38">
        <f t="shared" si="169"/>
        <v>2424.5959257473482</v>
      </c>
      <c r="U890" s="38">
        <v>2872.5236981677913</v>
      </c>
      <c r="V890" s="458">
        <f t="shared" si="177"/>
        <v>447.92777242044303</v>
      </c>
      <c r="W890" s="458">
        <f t="shared" ref="W890:W892" si="188">X890+Y890+Z890+AA890+AB890+AD890+AF890+AH890+AJ890+AL890+AN890+AO890</f>
        <v>2862.7592494374794</v>
      </c>
      <c r="X890" s="458">
        <v>0</v>
      </c>
      <c r="Y890" s="459">
        <v>0</v>
      </c>
      <c r="Z890" s="459">
        <v>0</v>
      </c>
      <c r="AA890" s="459">
        <v>0</v>
      </c>
      <c r="AB890" s="459">
        <v>0</v>
      </c>
      <c r="AC890" s="459">
        <v>0</v>
      </c>
      <c r="AD890" s="459">
        <v>0</v>
      </c>
      <c r="AE890" s="459">
        <v>571</v>
      </c>
      <c r="AF890" s="458">
        <f>6238.91*AE890/I890</f>
        <v>2862.7592494374794</v>
      </c>
      <c r="AG890" s="459">
        <v>0</v>
      </c>
      <c r="AH890" s="458">
        <v>0</v>
      </c>
      <c r="AI890" s="459">
        <v>0</v>
      </c>
      <c r="AJ890" s="458">
        <v>0</v>
      </c>
      <c r="AK890" s="459">
        <v>0</v>
      </c>
      <c r="AL890" s="459">
        <v>0</v>
      </c>
      <c r="AM890" s="459">
        <v>0</v>
      </c>
      <c r="AN890" s="459"/>
      <c r="AO890" s="459">
        <v>0</v>
      </c>
      <c r="AP890" s="460"/>
      <c r="AQ890" s="460"/>
      <c r="AR890" s="460"/>
      <c r="AS890" s="460"/>
      <c r="AT890" s="460"/>
      <c r="AU890" s="460"/>
      <c r="AV890" s="460"/>
      <c r="AW890" s="460"/>
      <c r="AX890" s="460"/>
      <c r="AY890" s="460"/>
      <c r="AZ890" s="460"/>
      <c r="BA890" s="460"/>
      <c r="BB890" s="460"/>
      <c r="BC890" s="460"/>
      <c r="BD890" s="460"/>
      <c r="BE890" s="460"/>
      <c r="BF890" s="460"/>
      <c r="BG890" s="460"/>
      <c r="BH890" s="460"/>
      <c r="BI890" s="460"/>
      <c r="BJ890" s="460"/>
      <c r="BK890" s="460"/>
      <c r="BL890" s="460"/>
      <c r="BM890" s="460"/>
      <c r="BN890" s="460"/>
      <c r="BO890" s="460"/>
      <c r="BP890" s="460"/>
      <c r="BQ890" s="460"/>
      <c r="BR890" s="460"/>
      <c r="BS890" s="460"/>
      <c r="BT890" s="460"/>
      <c r="BU890" s="460"/>
      <c r="BV890" s="460"/>
      <c r="BW890" s="460"/>
      <c r="BX890" s="460"/>
      <c r="BY890" s="460"/>
      <c r="BZ890" s="460"/>
      <c r="CA890" s="460"/>
      <c r="CB890" s="460"/>
      <c r="CC890" s="460"/>
      <c r="CD890" s="460"/>
      <c r="CE890" s="460"/>
      <c r="CF890" s="460"/>
      <c r="CG890" s="460"/>
      <c r="CH890" s="460"/>
      <c r="CI890" s="460"/>
      <c r="CJ890" s="460"/>
      <c r="CK890" s="460"/>
    </row>
    <row r="891" spans="1:89" s="329" customFormat="1" ht="36" customHeight="1" x14ac:dyDescent="0.25">
      <c r="A891" s="329">
        <v>1</v>
      </c>
      <c r="B891" s="39">
        <f>SUBTOTAL(103,$A$552:A891)</f>
        <v>307</v>
      </c>
      <c r="C891" s="33" t="s">
        <v>1143</v>
      </c>
      <c r="D891" s="330">
        <v>1962</v>
      </c>
      <c r="E891" s="330"/>
      <c r="F891" s="331" t="s">
        <v>68</v>
      </c>
      <c r="G891" s="330">
        <v>2</v>
      </c>
      <c r="H891" s="330" t="s">
        <v>57</v>
      </c>
      <c r="I891" s="38">
        <v>620.52</v>
      </c>
      <c r="J891" s="38">
        <v>390.8</v>
      </c>
      <c r="K891" s="38">
        <v>355.2</v>
      </c>
      <c r="L891" s="332">
        <v>21</v>
      </c>
      <c r="M891" s="330" t="s">
        <v>46</v>
      </c>
      <c r="N891" s="330" t="s">
        <v>47</v>
      </c>
      <c r="O891" s="333" t="s">
        <v>49</v>
      </c>
      <c r="P891" s="38">
        <v>1183452.6399999999</v>
      </c>
      <c r="Q891" s="38">
        <v>0</v>
      </c>
      <c r="R891" s="38">
        <v>0</v>
      </c>
      <c r="S891" s="38">
        <f>P891-Q891-R891</f>
        <v>1183452.6399999999</v>
      </c>
      <c r="T891" s="38">
        <f t="shared" si="169"/>
        <v>1907.1949977438276</v>
      </c>
      <c r="U891" s="38">
        <v>3379.6874395668151</v>
      </c>
      <c r="V891" s="458">
        <f t="shared" si="177"/>
        <v>1472.4924418229875</v>
      </c>
      <c r="W891" s="458">
        <f t="shared" si="188"/>
        <v>3368.1990105073164</v>
      </c>
      <c r="X891" s="458">
        <v>0</v>
      </c>
      <c r="Y891" s="459">
        <v>0</v>
      </c>
      <c r="Z891" s="459">
        <v>0</v>
      </c>
      <c r="AA891" s="459">
        <v>0</v>
      </c>
      <c r="AB891" s="459">
        <v>0</v>
      </c>
      <c r="AC891" s="459">
        <v>0</v>
      </c>
      <c r="AD891" s="459">
        <v>0</v>
      </c>
      <c r="AE891" s="459">
        <v>335</v>
      </c>
      <c r="AF891" s="458">
        <f>6238.91*AE891/I891</f>
        <v>3368.1990105073164</v>
      </c>
      <c r="AG891" s="459">
        <v>0</v>
      </c>
      <c r="AH891" s="458">
        <v>0</v>
      </c>
      <c r="AI891" s="459">
        <v>0</v>
      </c>
      <c r="AJ891" s="458">
        <v>0</v>
      </c>
      <c r="AK891" s="459">
        <v>0</v>
      </c>
      <c r="AL891" s="459">
        <v>0</v>
      </c>
      <c r="AM891" s="459">
        <v>0</v>
      </c>
      <c r="AN891" s="459"/>
      <c r="AO891" s="459">
        <v>0</v>
      </c>
      <c r="AP891" s="460"/>
      <c r="AQ891" s="460"/>
      <c r="AR891" s="460"/>
      <c r="AS891" s="460"/>
      <c r="AT891" s="460"/>
      <c r="AU891" s="460"/>
      <c r="AV891" s="460"/>
      <c r="AW891" s="460"/>
      <c r="AX891" s="460"/>
      <c r="AY891" s="460"/>
      <c r="AZ891" s="460"/>
      <c r="BA891" s="460"/>
      <c r="BB891" s="460"/>
      <c r="BC891" s="460"/>
      <c r="BD891" s="460"/>
      <c r="BE891" s="460"/>
      <c r="BF891" s="460"/>
      <c r="BG891" s="460"/>
      <c r="BH891" s="460"/>
      <c r="BI891" s="460"/>
      <c r="BJ891" s="460"/>
      <c r="BK891" s="460"/>
      <c r="BL891" s="460"/>
      <c r="BM891" s="460"/>
      <c r="BN891" s="460"/>
      <c r="BO891" s="460"/>
      <c r="BP891" s="460"/>
      <c r="BQ891" s="460"/>
      <c r="BR891" s="460"/>
      <c r="BS891" s="460"/>
      <c r="BT891" s="460"/>
      <c r="BU891" s="460"/>
      <c r="BV891" s="460"/>
      <c r="BW891" s="460"/>
      <c r="BX891" s="460"/>
      <c r="BY891" s="460"/>
      <c r="BZ891" s="460"/>
      <c r="CA891" s="460"/>
      <c r="CB891" s="460"/>
      <c r="CC891" s="460"/>
      <c r="CD891" s="460"/>
      <c r="CE891" s="460"/>
      <c r="CF891" s="460"/>
      <c r="CG891" s="460"/>
      <c r="CH891" s="460"/>
      <c r="CI891" s="460"/>
      <c r="CJ891" s="460"/>
      <c r="CK891" s="460"/>
    </row>
    <row r="892" spans="1:89" s="329" customFormat="1" ht="36" customHeight="1" x14ac:dyDescent="0.25">
      <c r="A892" s="329">
        <v>1</v>
      </c>
      <c r="B892" s="39">
        <f>SUBTOTAL(103,$A$552:A892)</f>
        <v>308</v>
      </c>
      <c r="C892" s="33" t="s">
        <v>1068</v>
      </c>
      <c r="D892" s="330">
        <v>1985</v>
      </c>
      <c r="E892" s="330"/>
      <c r="F892" s="331" t="s">
        <v>48</v>
      </c>
      <c r="G892" s="330">
        <v>5</v>
      </c>
      <c r="H892" s="330" t="s">
        <v>59</v>
      </c>
      <c r="I892" s="38">
        <v>4091.9</v>
      </c>
      <c r="J892" s="38">
        <v>2619.4</v>
      </c>
      <c r="K892" s="38">
        <v>2310.6</v>
      </c>
      <c r="L892" s="332">
        <v>119</v>
      </c>
      <c r="M892" s="330" t="s">
        <v>46</v>
      </c>
      <c r="N892" s="330" t="s">
        <v>50</v>
      </c>
      <c r="O892" s="333" t="s">
        <v>2167</v>
      </c>
      <c r="P892" s="38">
        <v>9431805.9600000009</v>
      </c>
      <c r="Q892" s="38">
        <v>0</v>
      </c>
      <c r="R892" s="38">
        <v>0</v>
      </c>
      <c r="S892" s="38">
        <f>P892-Q892-R892</f>
        <v>9431805.9600000009</v>
      </c>
      <c r="T892" s="38">
        <f t="shared" si="169"/>
        <v>2304.9942471712411</v>
      </c>
      <c r="U892" s="38">
        <v>2304.9942471712411</v>
      </c>
      <c r="V892" s="458">
        <f t="shared" si="177"/>
        <v>0</v>
      </c>
      <c r="W892" s="458">
        <f t="shared" si="188"/>
        <v>510.77368704025019</v>
      </c>
      <c r="X892" s="458">
        <v>0</v>
      </c>
      <c r="Y892" s="459">
        <v>0</v>
      </c>
      <c r="Z892" s="459">
        <v>0</v>
      </c>
      <c r="AA892" s="459">
        <v>0</v>
      </c>
      <c r="AB892" s="459">
        <v>0</v>
      </c>
      <c r="AC892" s="459">
        <v>0</v>
      </c>
      <c r="AD892" s="459">
        <v>0</v>
      </c>
      <c r="AE892" s="459">
        <v>335</v>
      </c>
      <c r="AF892" s="458">
        <f>6238.91*AE892/I892</f>
        <v>510.77368704025019</v>
      </c>
      <c r="AG892" s="459">
        <v>0</v>
      </c>
      <c r="AH892" s="458">
        <v>0</v>
      </c>
      <c r="AI892" s="459">
        <v>0</v>
      </c>
      <c r="AJ892" s="458">
        <v>0</v>
      </c>
      <c r="AK892" s="459">
        <v>0</v>
      </c>
      <c r="AL892" s="459">
        <v>0</v>
      </c>
      <c r="AM892" s="459">
        <v>0</v>
      </c>
      <c r="AN892" s="459"/>
      <c r="AO892" s="459">
        <v>0</v>
      </c>
      <c r="AP892" s="460"/>
      <c r="AQ892" s="460"/>
      <c r="AR892" s="460"/>
      <c r="AS892" s="460"/>
      <c r="AT892" s="460"/>
      <c r="AU892" s="460"/>
      <c r="AV892" s="460"/>
      <c r="AW892" s="460"/>
      <c r="AX892" s="460"/>
      <c r="AY892" s="460"/>
      <c r="AZ892" s="460"/>
      <c r="BA892" s="460"/>
      <c r="BB892" s="460"/>
      <c r="BC892" s="460"/>
      <c r="BD892" s="460"/>
      <c r="BE892" s="460"/>
      <c r="BF892" s="460"/>
      <c r="BG892" s="460"/>
      <c r="BH892" s="460"/>
      <c r="BI892" s="460"/>
      <c r="BJ892" s="460"/>
      <c r="BK892" s="460"/>
      <c r="BL892" s="460"/>
      <c r="BM892" s="460"/>
      <c r="BN892" s="460"/>
      <c r="BO892" s="460"/>
      <c r="BP892" s="460"/>
      <c r="BQ892" s="460"/>
      <c r="BR892" s="460"/>
      <c r="BS892" s="460"/>
      <c r="BT892" s="460"/>
      <c r="BU892" s="460"/>
      <c r="BV892" s="460"/>
      <c r="BW892" s="460"/>
      <c r="BX892" s="460"/>
      <c r="BY892" s="460"/>
      <c r="BZ892" s="460"/>
      <c r="CA892" s="460"/>
      <c r="CB892" s="460"/>
      <c r="CC892" s="460"/>
      <c r="CD892" s="460"/>
      <c r="CE892" s="460"/>
      <c r="CF892" s="460"/>
      <c r="CG892" s="460"/>
      <c r="CH892" s="460"/>
      <c r="CI892" s="460"/>
      <c r="CJ892" s="460"/>
      <c r="CK892" s="460"/>
    </row>
    <row r="893" spans="1:89" s="329" customFormat="1" ht="36" customHeight="1" x14ac:dyDescent="0.25">
      <c r="B893" s="33" t="s">
        <v>1649</v>
      </c>
      <c r="C893" s="33"/>
      <c r="D893" s="330" t="s">
        <v>131</v>
      </c>
      <c r="E893" s="330" t="s">
        <v>131</v>
      </c>
      <c r="F893" s="330" t="s">
        <v>131</v>
      </c>
      <c r="G893" s="330" t="s">
        <v>131</v>
      </c>
      <c r="H893" s="330" t="s">
        <v>131</v>
      </c>
      <c r="I893" s="334">
        <f>I894</f>
        <v>948.3</v>
      </c>
      <c r="J893" s="334">
        <f>J894</f>
        <v>848.3</v>
      </c>
      <c r="K893" s="334">
        <f>K894</f>
        <v>803.9</v>
      </c>
      <c r="L893" s="332">
        <f>L894</f>
        <v>64</v>
      </c>
      <c r="M893" s="330" t="s">
        <v>131</v>
      </c>
      <c r="N893" s="330" t="s">
        <v>131</v>
      </c>
      <c r="O893" s="333" t="s">
        <v>131</v>
      </c>
      <c r="P893" s="38">
        <v>4290230.8800000008</v>
      </c>
      <c r="Q893" s="38">
        <f>Q894</f>
        <v>0</v>
      </c>
      <c r="R893" s="38">
        <f>R894</f>
        <v>0</v>
      </c>
      <c r="S893" s="38">
        <f>S894</f>
        <v>4290230.8800000008</v>
      </c>
      <c r="T893" s="38">
        <f t="shared" si="169"/>
        <v>4524.12831382474</v>
      </c>
      <c r="U893" s="38">
        <f>U894</f>
        <v>5423.7816134134764</v>
      </c>
      <c r="V893" s="458">
        <f t="shared" si="177"/>
        <v>899.65329958873645</v>
      </c>
      <c r="W893" s="458"/>
      <c r="X893" s="458"/>
      <c r="Y893" s="459"/>
      <c r="Z893" s="459"/>
      <c r="AA893" s="459"/>
      <c r="AB893" s="459"/>
      <c r="AC893" s="459"/>
      <c r="AD893" s="459"/>
      <c r="AE893" s="459"/>
      <c r="AF893" s="459"/>
      <c r="AG893" s="459"/>
      <c r="AH893" s="459"/>
      <c r="AI893" s="459"/>
      <c r="AJ893" s="459"/>
      <c r="AK893" s="459"/>
      <c r="AL893" s="459"/>
      <c r="AM893" s="459"/>
      <c r="AN893" s="459"/>
      <c r="AO893" s="459"/>
      <c r="AP893" s="460"/>
      <c r="AQ893" s="460"/>
      <c r="AR893" s="460"/>
      <c r="AS893" s="460"/>
      <c r="AT893" s="460"/>
      <c r="AU893" s="460"/>
      <c r="AV893" s="460"/>
      <c r="AW893" s="460"/>
      <c r="AX893" s="460"/>
      <c r="AY893" s="460"/>
      <c r="AZ893" s="460"/>
      <c r="BA893" s="460"/>
      <c r="BB893" s="460"/>
      <c r="BC893" s="460"/>
      <c r="BD893" s="460"/>
      <c r="BE893" s="460"/>
      <c r="BF893" s="460"/>
      <c r="BG893" s="460"/>
      <c r="BH893" s="460"/>
      <c r="BI893" s="460"/>
      <c r="BJ893" s="460"/>
      <c r="BK893" s="460"/>
      <c r="BL893" s="460"/>
      <c r="BM893" s="460"/>
      <c r="BN893" s="460"/>
      <c r="BO893" s="460"/>
      <c r="BP893" s="460"/>
      <c r="BQ893" s="460"/>
      <c r="BR893" s="460"/>
      <c r="BS893" s="460"/>
      <c r="BT893" s="460"/>
      <c r="BU893" s="460"/>
      <c r="BV893" s="460"/>
      <c r="BW893" s="460"/>
      <c r="BX893" s="460"/>
      <c r="BY893" s="460"/>
      <c r="BZ893" s="460"/>
      <c r="CA893" s="460"/>
      <c r="CB893" s="460"/>
      <c r="CC893" s="460"/>
      <c r="CD893" s="460"/>
      <c r="CE893" s="460"/>
      <c r="CF893" s="460"/>
      <c r="CG893" s="460"/>
      <c r="CH893" s="460"/>
      <c r="CI893" s="460"/>
      <c r="CJ893" s="460"/>
      <c r="CK893" s="460"/>
    </row>
    <row r="894" spans="1:89" s="329" customFormat="1" ht="36" customHeight="1" x14ac:dyDescent="0.25">
      <c r="A894" s="329">
        <v>1</v>
      </c>
      <c r="B894" s="39">
        <f>SUBTOTAL(103,$A$552:A894)</f>
        <v>309</v>
      </c>
      <c r="C894" s="33" t="s">
        <v>1650</v>
      </c>
      <c r="D894" s="330">
        <v>1978</v>
      </c>
      <c r="E894" s="330"/>
      <c r="F894" s="331" t="s">
        <v>48</v>
      </c>
      <c r="G894" s="330">
        <v>2</v>
      </c>
      <c r="H894" s="330" t="s">
        <v>61</v>
      </c>
      <c r="I894" s="334">
        <v>948.3</v>
      </c>
      <c r="J894" s="334">
        <v>848.3</v>
      </c>
      <c r="K894" s="334">
        <v>803.9</v>
      </c>
      <c r="L894" s="332">
        <v>64</v>
      </c>
      <c r="M894" s="330" t="s">
        <v>46</v>
      </c>
      <c r="N894" s="330" t="s">
        <v>47</v>
      </c>
      <c r="O894" s="333" t="s">
        <v>49</v>
      </c>
      <c r="P894" s="38">
        <v>4290230.8800000008</v>
      </c>
      <c r="Q894" s="38">
        <v>0</v>
      </c>
      <c r="R894" s="38">
        <v>0</v>
      </c>
      <c r="S894" s="38">
        <f>P894-Q894-R894</f>
        <v>4290230.8800000008</v>
      </c>
      <c r="T894" s="38">
        <f t="shared" si="169"/>
        <v>4524.12831382474</v>
      </c>
      <c r="U894" s="38">
        <v>5423.7816134134764</v>
      </c>
      <c r="V894" s="458">
        <f>U894-T894</f>
        <v>899.65329958873645</v>
      </c>
      <c r="W894" s="458">
        <f>X894+Y894+Z894+AA894+AB894+AD894+AF894+AH894+AJ894+AL894+AN894+AO894</f>
        <v>5405.3447811873884</v>
      </c>
      <c r="X894" s="458">
        <v>0</v>
      </c>
      <c r="Y894" s="459">
        <v>0</v>
      </c>
      <c r="Z894" s="459">
        <v>0</v>
      </c>
      <c r="AA894" s="459">
        <v>0</v>
      </c>
      <c r="AB894" s="459">
        <v>0</v>
      </c>
      <c r="AC894" s="459">
        <v>0</v>
      </c>
      <c r="AD894" s="459">
        <v>0</v>
      </c>
      <c r="AE894" s="459">
        <v>821.6</v>
      </c>
      <c r="AF894" s="458">
        <f>6238.91*AE894/I894</f>
        <v>5405.3447811873884</v>
      </c>
      <c r="AG894" s="459">
        <v>0</v>
      </c>
      <c r="AH894" s="458">
        <v>0</v>
      </c>
      <c r="AI894" s="459">
        <v>0</v>
      </c>
      <c r="AJ894" s="458">
        <v>0</v>
      </c>
      <c r="AK894" s="459">
        <v>0</v>
      </c>
      <c r="AL894" s="459">
        <v>0</v>
      </c>
      <c r="AM894" s="459">
        <v>0</v>
      </c>
      <c r="AN894" s="459"/>
      <c r="AO894" s="459">
        <v>0</v>
      </c>
      <c r="AP894" s="460"/>
      <c r="AQ894" s="460"/>
      <c r="AR894" s="460"/>
      <c r="AS894" s="460"/>
      <c r="AT894" s="460"/>
      <c r="AU894" s="460"/>
      <c r="AV894" s="460"/>
      <c r="AW894" s="460"/>
      <c r="AX894" s="460"/>
      <c r="AY894" s="460"/>
      <c r="AZ894" s="460"/>
      <c r="BA894" s="460"/>
      <c r="BB894" s="460"/>
      <c r="BC894" s="460"/>
      <c r="BD894" s="460"/>
      <c r="BE894" s="460"/>
      <c r="BF894" s="460"/>
      <c r="BG894" s="460"/>
      <c r="BH894" s="460"/>
      <c r="BI894" s="460"/>
      <c r="BJ894" s="460"/>
      <c r="BK894" s="460"/>
      <c r="BL894" s="460"/>
      <c r="BM894" s="460"/>
      <c r="BN894" s="460"/>
      <c r="BO894" s="460"/>
      <c r="BP894" s="460"/>
      <c r="BQ894" s="460"/>
      <c r="BR894" s="460"/>
      <c r="BS894" s="460"/>
      <c r="BT894" s="460"/>
      <c r="BU894" s="460"/>
      <c r="BV894" s="460"/>
      <c r="BW894" s="460"/>
      <c r="BX894" s="460"/>
      <c r="BY894" s="460"/>
      <c r="BZ894" s="460"/>
      <c r="CA894" s="460"/>
      <c r="CB894" s="460"/>
      <c r="CC894" s="460"/>
      <c r="CD894" s="460"/>
      <c r="CE894" s="460"/>
      <c r="CF894" s="460"/>
      <c r="CG894" s="460"/>
      <c r="CH894" s="460"/>
      <c r="CI894" s="460"/>
      <c r="CJ894" s="460"/>
      <c r="CK894" s="460"/>
    </row>
    <row r="895" spans="1:89" s="329" customFormat="1" ht="36" customHeight="1" x14ac:dyDescent="0.25">
      <c r="B895" s="33" t="s">
        <v>1651</v>
      </c>
      <c r="C895" s="33"/>
      <c r="D895" s="330" t="s">
        <v>131</v>
      </c>
      <c r="E895" s="330" t="s">
        <v>131</v>
      </c>
      <c r="F895" s="330" t="s">
        <v>131</v>
      </c>
      <c r="G895" s="330" t="s">
        <v>131</v>
      </c>
      <c r="H895" s="330" t="s">
        <v>131</v>
      </c>
      <c r="I895" s="334">
        <f>I896</f>
        <v>779.2</v>
      </c>
      <c r="J895" s="334">
        <f>J896</f>
        <v>778.9</v>
      </c>
      <c r="K895" s="334">
        <f>K896</f>
        <v>720.2</v>
      </c>
      <c r="L895" s="332">
        <f>L896</f>
        <v>33</v>
      </c>
      <c r="M895" s="330" t="s">
        <v>131</v>
      </c>
      <c r="N895" s="330" t="s">
        <v>131</v>
      </c>
      <c r="O895" s="333" t="s">
        <v>131</v>
      </c>
      <c r="P895" s="38">
        <v>2903320.8000000003</v>
      </c>
      <c r="Q895" s="38">
        <f>Q896</f>
        <v>0</v>
      </c>
      <c r="R895" s="38">
        <f>R896</f>
        <v>0</v>
      </c>
      <c r="S895" s="38">
        <f>S896</f>
        <v>2903320.8000000003</v>
      </c>
      <c r="T895" s="38">
        <f t="shared" si="169"/>
        <v>3726.0277207392201</v>
      </c>
      <c r="U895" s="38">
        <f>U896</f>
        <v>4466.9733572895275</v>
      </c>
      <c r="V895" s="458">
        <f t="shared" si="177"/>
        <v>740.94563655030743</v>
      </c>
      <c r="W895" s="458"/>
      <c r="X895" s="458"/>
      <c r="Y895" s="459"/>
      <c r="Z895" s="459"/>
      <c r="AA895" s="459"/>
      <c r="AB895" s="459"/>
      <c r="AC895" s="459"/>
      <c r="AD895" s="459"/>
      <c r="AE895" s="459"/>
      <c r="AF895" s="459"/>
      <c r="AG895" s="459"/>
      <c r="AH895" s="459"/>
      <c r="AI895" s="459"/>
      <c r="AJ895" s="459"/>
      <c r="AK895" s="459"/>
      <c r="AL895" s="459"/>
      <c r="AM895" s="459"/>
      <c r="AN895" s="459"/>
      <c r="AO895" s="459"/>
      <c r="AP895" s="460"/>
      <c r="AQ895" s="460"/>
      <c r="AR895" s="460"/>
      <c r="AS895" s="460"/>
      <c r="AT895" s="460"/>
      <c r="AU895" s="460"/>
      <c r="AV895" s="460"/>
      <c r="AW895" s="460"/>
      <c r="AX895" s="460"/>
      <c r="AY895" s="460"/>
      <c r="AZ895" s="460"/>
      <c r="BA895" s="460"/>
      <c r="BB895" s="460"/>
      <c r="BC895" s="460"/>
      <c r="BD895" s="460"/>
      <c r="BE895" s="460"/>
      <c r="BF895" s="460"/>
      <c r="BG895" s="460"/>
      <c r="BH895" s="460"/>
      <c r="BI895" s="460"/>
      <c r="BJ895" s="460"/>
      <c r="BK895" s="460"/>
      <c r="BL895" s="460"/>
      <c r="BM895" s="460"/>
      <c r="BN895" s="460"/>
      <c r="BO895" s="460"/>
      <c r="BP895" s="460"/>
      <c r="BQ895" s="460"/>
      <c r="BR895" s="460"/>
      <c r="BS895" s="460"/>
      <c r="BT895" s="460"/>
      <c r="BU895" s="460"/>
      <c r="BV895" s="460"/>
      <c r="BW895" s="460"/>
      <c r="BX895" s="460"/>
      <c r="BY895" s="460"/>
      <c r="BZ895" s="460"/>
      <c r="CA895" s="460"/>
      <c r="CB895" s="460"/>
      <c r="CC895" s="460"/>
      <c r="CD895" s="460"/>
      <c r="CE895" s="460"/>
      <c r="CF895" s="460"/>
      <c r="CG895" s="460"/>
      <c r="CH895" s="460"/>
      <c r="CI895" s="460"/>
      <c r="CJ895" s="460"/>
      <c r="CK895" s="460"/>
    </row>
    <row r="896" spans="1:89" s="329" customFormat="1" ht="36" customHeight="1" x14ac:dyDescent="0.25">
      <c r="A896" s="329">
        <v>1</v>
      </c>
      <c r="B896" s="39">
        <f>SUBTOTAL(103,$A$552:A896)</f>
        <v>310</v>
      </c>
      <c r="C896" s="33" t="s">
        <v>1652</v>
      </c>
      <c r="D896" s="330">
        <v>1974</v>
      </c>
      <c r="E896" s="330"/>
      <c r="F896" s="331" t="s">
        <v>48</v>
      </c>
      <c r="G896" s="330">
        <v>2</v>
      </c>
      <c r="H896" s="330" t="s">
        <v>56</v>
      </c>
      <c r="I896" s="334">
        <v>779.2</v>
      </c>
      <c r="J896" s="334">
        <v>778.9</v>
      </c>
      <c r="K896" s="334">
        <v>720.2</v>
      </c>
      <c r="L896" s="332">
        <v>33</v>
      </c>
      <c r="M896" s="330" t="s">
        <v>46</v>
      </c>
      <c r="N896" s="330" t="s">
        <v>47</v>
      </c>
      <c r="O896" s="333" t="s">
        <v>49</v>
      </c>
      <c r="P896" s="38">
        <v>2903320.8000000003</v>
      </c>
      <c r="Q896" s="38">
        <v>0</v>
      </c>
      <c r="R896" s="38">
        <v>0</v>
      </c>
      <c r="S896" s="38">
        <f>P896-Q896-R896</f>
        <v>2903320.8000000003</v>
      </c>
      <c r="T896" s="38">
        <f t="shared" si="169"/>
        <v>3726.0277207392201</v>
      </c>
      <c r="U896" s="38">
        <v>4466.9733572895275</v>
      </c>
      <c r="V896" s="458">
        <f>U896-T896</f>
        <v>740.94563655030743</v>
      </c>
      <c r="W896" s="458">
        <f>X896+Y896+Z896+AA896+AB896+AD896+AF896+AH896+AJ896+AL896+AN896+AO896</f>
        <v>4451.7889630390137</v>
      </c>
      <c r="X896" s="458">
        <v>0</v>
      </c>
      <c r="Y896" s="459">
        <v>0</v>
      </c>
      <c r="Z896" s="459">
        <v>0</v>
      </c>
      <c r="AA896" s="459">
        <v>0</v>
      </c>
      <c r="AB896" s="459">
        <v>0</v>
      </c>
      <c r="AC896" s="459">
        <v>0</v>
      </c>
      <c r="AD896" s="459">
        <v>0</v>
      </c>
      <c r="AE896" s="459">
        <v>556</v>
      </c>
      <c r="AF896" s="458">
        <f>6238.91*AE896/I896</f>
        <v>4451.7889630390137</v>
      </c>
      <c r="AG896" s="459">
        <v>0</v>
      </c>
      <c r="AH896" s="458">
        <v>0</v>
      </c>
      <c r="AI896" s="459">
        <v>0</v>
      </c>
      <c r="AJ896" s="458">
        <v>0</v>
      </c>
      <c r="AK896" s="459">
        <v>0</v>
      </c>
      <c r="AL896" s="459">
        <v>0</v>
      </c>
      <c r="AM896" s="459">
        <v>0</v>
      </c>
      <c r="AN896" s="459"/>
      <c r="AO896" s="459">
        <v>0</v>
      </c>
      <c r="AP896" s="460"/>
      <c r="AQ896" s="460"/>
      <c r="AR896" s="460"/>
      <c r="AS896" s="460"/>
      <c r="AT896" s="460"/>
      <c r="AU896" s="460"/>
      <c r="AV896" s="460"/>
      <c r="AW896" s="460"/>
      <c r="AX896" s="460"/>
      <c r="AY896" s="460"/>
      <c r="AZ896" s="460"/>
      <c r="BA896" s="460"/>
      <c r="BB896" s="460"/>
      <c r="BC896" s="460"/>
      <c r="BD896" s="460"/>
      <c r="BE896" s="460"/>
      <c r="BF896" s="460"/>
      <c r="BG896" s="460"/>
      <c r="BH896" s="460"/>
      <c r="BI896" s="460"/>
      <c r="BJ896" s="460"/>
      <c r="BK896" s="460"/>
      <c r="BL896" s="460"/>
      <c r="BM896" s="460"/>
      <c r="BN896" s="460"/>
      <c r="BO896" s="460"/>
      <c r="BP896" s="460"/>
      <c r="BQ896" s="460"/>
      <c r="BR896" s="460"/>
      <c r="BS896" s="460"/>
      <c r="BT896" s="460"/>
      <c r="BU896" s="460"/>
      <c r="BV896" s="460"/>
      <c r="BW896" s="460"/>
      <c r="BX896" s="460"/>
      <c r="BY896" s="460"/>
      <c r="BZ896" s="460"/>
      <c r="CA896" s="460"/>
      <c r="CB896" s="460"/>
      <c r="CC896" s="460"/>
      <c r="CD896" s="460"/>
      <c r="CE896" s="460"/>
      <c r="CF896" s="460"/>
      <c r="CG896" s="460"/>
      <c r="CH896" s="460"/>
      <c r="CI896" s="460"/>
      <c r="CJ896" s="460"/>
      <c r="CK896" s="460"/>
    </row>
    <row r="897" spans="1:89" s="329" customFormat="1" ht="36" customHeight="1" x14ac:dyDescent="0.25">
      <c r="B897" s="33" t="s">
        <v>111</v>
      </c>
      <c r="C897" s="462"/>
      <c r="D897" s="330" t="s">
        <v>131</v>
      </c>
      <c r="E897" s="330" t="s">
        <v>131</v>
      </c>
      <c r="F897" s="330" t="s">
        <v>131</v>
      </c>
      <c r="G897" s="330" t="s">
        <v>131</v>
      </c>
      <c r="H897" s="330" t="s">
        <v>131</v>
      </c>
      <c r="I897" s="334">
        <f>I898</f>
        <v>1015.6</v>
      </c>
      <c r="J897" s="334">
        <f>J898</f>
        <v>497.5</v>
      </c>
      <c r="K897" s="334">
        <f>K898</f>
        <v>497.5</v>
      </c>
      <c r="L897" s="332">
        <f>L898</f>
        <v>45</v>
      </c>
      <c r="M897" s="330" t="s">
        <v>131</v>
      </c>
      <c r="N897" s="330" t="s">
        <v>131</v>
      </c>
      <c r="O897" s="333" t="s">
        <v>131</v>
      </c>
      <c r="P897" s="38">
        <v>3826397.3000000003</v>
      </c>
      <c r="Q897" s="38">
        <f>Q898</f>
        <v>0</v>
      </c>
      <c r="R897" s="38">
        <f>R898</f>
        <v>2523423.19</v>
      </c>
      <c r="S897" s="38">
        <f>S898</f>
        <v>1302974.1100000003</v>
      </c>
      <c r="T897" s="38">
        <f t="shared" si="169"/>
        <v>3767.6223907050021</v>
      </c>
      <c r="U897" s="38">
        <f>U898</f>
        <v>4896.0899143363522</v>
      </c>
      <c r="V897" s="458">
        <f t="shared" si="177"/>
        <v>1128.4675236313501</v>
      </c>
      <c r="W897" s="458"/>
      <c r="X897" s="458"/>
      <c r="Y897" s="459"/>
      <c r="Z897" s="459"/>
      <c r="AA897" s="459"/>
      <c r="AB897" s="459"/>
      <c r="AC897" s="459"/>
      <c r="AD897" s="459"/>
      <c r="AE897" s="459"/>
      <c r="AF897" s="459"/>
      <c r="AG897" s="459"/>
      <c r="AH897" s="459"/>
      <c r="AI897" s="459"/>
      <c r="AJ897" s="459"/>
      <c r="AK897" s="459"/>
      <c r="AL897" s="459"/>
      <c r="AM897" s="459"/>
      <c r="AN897" s="459"/>
      <c r="AO897" s="459"/>
      <c r="AP897" s="460"/>
      <c r="AQ897" s="460"/>
      <c r="AR897" s="460"/>
      <c r="AS897" s="460"/>
      <c r="AT897" s="460"/>
      <c r="AU897" s="460"/>
      <c r="AV897" s="460"/>
      <c r="AW897" s="460"/>
      <c r="AX897" s="460"/>
      <c r="AY897" s="460"/>
      <c r="AZ897" s="460"/>
      <c r="BA897" s="460"/>
      <c r="BB897" s="460"/>
      <c r="BC897" s="460"/>
      <c r="BD897" s="460"/>
      <c r="BE897" s="460"/>
      <c r="BF897" s="460"/>
      <c r="BG897" s="460"/>
      <c r="BH897" s="460"/>
      <c r="BI897" s="460"/>
      <c r="BJ897" s="460"/>
      <c r="BK897" s="460"/>
      <c r="BL897" s="460"/>
      <c r="BM897" s="460"/>
      <c r="BN897" s="460"/>
      <c r="BO897" s="460"/>
      <c r="BP897" s="460"/>
      <c r="BQ897" s="460"/>
      <c r="BR897" s="460"/>
      <c r="BS897" s="460"/>
      <c r="BT897" s="460"/>
      <c r="BU897" s="460"/>
      <c r="BV897" s="460"/>
      <c r="BW897" s="460"/>
      <c r="BX897" s="460"/>
      <c r="BY897" s="460"/>
      <c r="BZ897" s="460"/>
      <c r="CA897" s="460"/>
      <c r="CB897" s="460"/>
      <c r="CC897" s="460"/>
      <c r="CD897" s="460"/>
      <c r="CE897" s="460"/>
      <c r="CF897" s="460"/>
      <c r="CG897" s="460"/>
      <c r="CH897" s="460"/>
      <c r="CI897" s="460"/>
      <c r="CJ897" s="460"/>
      <c r="CK897" s="460"/>
    </row>
    <row r="898" spans="1:89" s="329" customFormat="1" ht="36" customHeight="1" x14ac:dyDescent="0.25">
      <c r="A898" s="329">
        <v>1</v>
      </c>
      <c r="B898" s="39">
        <f>SUBTOTAL(103,$A$552:A898)</f>
        <v>311</v>
      </c>
      <c r="C898" s="33" t="s">
        <v>1653</v>
      </c>
      <c r="D898" s="330">
        <v>1972</v>
      </c>
      <c r="E898" s="330"/>
      <c r="F898" s="331" t="s">
        <v>48</v>
      </c>
      <c r="G898" s="330">
        <v>2</v>
      </c>
      <c r="H898" s="330" t="s">
        <v>61</v>
      </c>
      <c r="I898" s="334">
        <v>1015.6</v>
      </c>
      <c r="J898" s="334">
        <v>497.5</v>
      </c>
      <c r="K898" s="334">
        <v>497.5</v>
      </c>
      <c r="L898" s="332">
        <v>45</v>
      </c>
      <c r="M898" s="330" t="s">
        <v>46</v>
      </c>
      <c r="N898" s="330" t="s">
        <v>47</v>
      </c>
      <c r="O898" s="333" t="s">
        <v>49</v>
      </c>
      <c r="P898" s="38">
        <v>3826397.3000000003</v>
      </c>
      <c r="Q898" s="38">
        <v>0</v>
      </c>
      <c r="R898" s="38">
        <v>2523423.19</v>
      </c>
      <c r="S898" s="38">
        <f>P898-Q898-R898</f>
        <v>1302974.1100000003</v>
      </c>
      <c r="T898" s="38">
        <f t="shared" si="169"/>
        <v>3767.6223907050021</v>
      </c>
      <c r="U898" s="38">
        <v>4896.0899143363522</v>
      </c>
      <c r="V898" s="458">
        <f>U898-T898</f>
        <v>1128.4675236313501</v>
      </c>
      <c r="W898" s="458">
        <f>X898+Y898+Z898+AA898+AB898+AD898+AF898+AH898+AJ898+AL898+AN898+AO898</f>
        <v>4879.4468422607324</v>
      </c>
      <c r="X898" s="458">
        <v>0</v>
      </c>
      <c r="Y898" s="459">
        <v>0</v>
      </c>
      <c r="Z898" s="459">
        <v>0</v>
      </c>
      <c r="AA898" s="459">
        <v>0</v>
      </c>
      <c r="AB898" s="459">
        <v>0</v>
      </c>
      <c r="AC898" s="459">
        <v>0</v>
      </c>
      <c r="AD898" s="459">
        <v>0</v>
      </c>
      <c r="AE898" s="459">
        <v>794.3</v>
      </c>
      <c r="AF898" s="458">
        <f>6238.91*AE898/I898</f>
        <v>4879.4468422607324</v>
      </c>
      <c r="AG898" s="459">
        <v>0</v>
      </c>
      <c r="AH898" s="458">
        <v>0</v>
      </c>
      <c r="AI898" s="459">
        <v>0</v>
      </c>
      <c r="AJ898" s="458">
        <v>0</v>
      </c>
      <c r="AK898" s="459">
        <v>0</v>
      </c>
      <c r="AL898" s="459">
        <v>0</v>
      </c>
      <c r="AM898" s="459">
        <v>0</v>
      </c>
      <c r="AN898" s="459"/>
      <c r="AO898" s="459">
        <v>0</v>
      </c>
      <c r="AP898" s="460"/>
      <c r="AQ898" s="460"/>
      <c r="AR898" s="460"/>
      <c r="AS898" s="460"/>
      <c r="AT898" s="460"/>
      <c r="AU898" s="460"/>
      <c r="AV898" s="460"/>
      <c r="AW898" s="460"/>
      <c r="AX898" s="460"/>
      <c r="AY898" s="460"/>
      <c r="AZ898" s="460"/>
      <c r="BA898" s="460"/>
      <c r="BB898" s="460"/>
      <c r="BC898" s="460"/>
      <c r="BD898" s="460"/>
      <c r="BE898" s="460"/>
      <c r="BF898" s="460"/>
      <c r="BG898" s="460"/>
      <c r="BH898" s="460"/>
      <c r="BI898" s="460"/>
      <c r="BJ898" s="460"/>
      <c r="BK898" s="460"/>
      <c r="BL898" s="460"/>
      <c r="BM898" s="460"/>
      <c r="BN898" s="460"/>
      <c r="BO898" s="460"/>
      <c r="BP898" s="460"/>
      <c r="BQ898" s="460"/>
      <c r="BR898" s="460"/>
      <c r="BS898" s="460"/>
      <c r="BT898" s="460"/>
      <c r="BU898" s="460"/>
      <c r="BV898" s="460"/>
      <c r="BW898" s="460"/>
      <c r="BX898" s="460"/>
      <c r="BY898" s="460"/>
      <c r="BZ898" s="460"/>
      <c r="CA898" s="460"/>
      <c r="CB898" s="460"/>
      <c r="CC898" s="460"/>
      <c r="CD898" s="460"/>
      <c r="CE898" s="460"/>
      <c r="CF898" s="460"/>
      <c r="CG898" s="460"/>
      <c r="CH898" s="460"/>
      <c r="CI898" s="460"/>
      <c r="CJ898" s="460"/>
      <c r="CK898" s="460"/>
    </row>
    <row r="899" spans="1:89" s="329" customFormat="1" ht="36" customHeight="1" x14ac:dyDescent="0.25">
      <c r="B899" s="33" t="s">
        <v>1348</v>
      </c>
      <c r="C899" s="33"/>
      <c r="D899" s="330" t="s">
        <v>131</v>
      </c>
      <c r="E899" s="330" t="s">
        <v>131</v>
      </c>
      <c r="F899" s="330" t="s">
        <v>131</v>
      </c>
      <c r="G899" s="330" t="s">
        <v>131</v>
      </c>
      <c r="H899" s="330" t="s">
        <v>131</v>
      </c>
      <c r="I899" s="334">
        <f>SUM(I900:I903)</f>
        <v>23824.84</v>
      </c>
      <c r="J899" s="334">
        <f t="shared" ref="J899:L899" si="189">SUM(J900:J903)</f>
        <v>19966.379999999997</v>
      </c>
      <c r="K899" s="334">
        <f t="shared" si="189"/>
        <v>14766.89</v>
      </c>
      <c r="L899" s="332">
        <f t="shared" si="189"/>
        <v>837</v>
      </c>
      <c r="M899" s="330" t="s">
        <v>131</v>
      </c>
      <c r="N899" s="330" t="s">
        <v>131</v>
      </c>
      <c r="O899" s="333" t="s">
        <v>131</v>
      </c>
      <c r="P899" s="38">
        <v>25033618.25</v>
      </c>
      <c r="Q899" s="38">
        <f t="shared" ref="Q899:S899" si="190">SUM(Q900:Q903)</f>
        <v>0</v>
      </c>
      <c r="R899" s="38">
        <f t="shared" si="190"/>
        <v>0</v>
      </c>
      <c r="S899" s="38">
        <f t="shared" si="190"/>
        <v>25033618.25</v>
      </c>
      <c r="T899" s="38">
        <f t="shared" si="169"/>
        <v>1050.7360490143901</v>
      </c>
      <c r="U899" s="38">
        <f>MAX(U900:U903)</f>
        <v>1858.4969737516071</v>
      </c>
      <c r="V899" s="458">
        <f t="shared" si="177"/>
        <v>807.76092473721701</v>
      </c>
      <c r="W899" s="458"/>
      <c r="X899" s="458"/>
      <c r="Y899" s="459"/>
      <c r="Z899" s="459"/>
      <c r="AA899" s="459"/>
      <c r="AB899" s="459"/>
      <c r="AC899" s="459"/>
      <c r="AD899" s="459"/>
      <c r="AE899" s="459"/>
      <c r="AF899" s="459"/>
      <c r="AG899" s="459"/>
      <c r="AH899" s="459"/>
      <c r="AI899" s="459"/>
      <c r="AJ899" s="459"/>
      <c r="AK899" s="459"/>
      <c r="AL899" s="459"/>
      <c r="AM899" s="459"/>
      <c r="AN899" s="459"/>
      <c r="AO899" s="459"/>
      <c r="AP899" s="460"/>
      <c r="AQ899" s="460"/>
      <c r="AR899" s="460"/>
      <c r="AS899" s="460"/>
      <c r="AT899" s="460"/>
      <c r="AU899" s="460"/>
      <c r="AV899" s="460"/>
      <c r="AW899" s="460"/>
      <c r="AX899" s="460"/>
      <c r="AY899" s="460"/>
      <c r="AZ899" s="460"/>
      <c r="BA899" s="460"/>
      <c r="BB899" s="460"/>
      <c r="BC899" s="460"/>
      <c r="BD899" s="460"/>
      <c r="BE899" s="460"/>
      <c r="BF899" s="460"/>
      <c r="BG899" s="460"/>
      <c r="BH899" s="460"/>
      <c r="BI899" s="460"/>
      <c r="BJ899" s="460"/>
      <c r="BK899" s="460"/>
      <c r="BL899" s="460"/>
      <c r="BM899" s="460"/>
      <c r="BN899" s="460"/>
      <c r="BO899" s="460"/>
      <c r="BP899" s="460"/>
      <c r="BQ899" s="460"/>
      <c r="BR899" s="460"/>
      <c r="BS899" s="460"/>
      <c r="BT899" s="460"/>
      <c r="BU899" s="460"/>
      <c r="BV899" s="460"/>
      <c r="BW899" s="460"/>
      <c r="BX899" s="460"/>
      <c r="BY899" s="460"/>
      <c r="BZ899" s="460"/>
      <c r="CA899" s="460"/>
      <c r="CB899" s="460"/>
      <c r="CC899" s="460"/>
      <c r="CD899" s="460"/>
      <c r="CE899" s="460"/>
      <c r="CF899" s="460"/>
      <c r="CG899" s="460"/>
      <c r="CH899" s="460"/>
      <c r="CI899" s="460"/>
      <c r="CJ899" s="460"/>
      <c r="CK899" s="460"/>
    </row>
    <row r="900" spans="1:89" s="329" customFormat="1" ht="36" customHeight="1" x14ac:dyDescent="0.25">
      <c r="A900" s="329">
        <v>1</v>
      </c>
      <c r="B900" s="39">
        <f>SUBTOTAL(103,$A$552:A900)</f>
        <v>312</v>
      </c>
      <c r="C900" s="33" t="s">
        <v>1654</v>
      </c>
      <c r="D900" s="330">
        <v>1974</v>
      </c>
      <c r="E900" s="330"/>
      <c r="F900" s="331" t="s">
        <v>48</v>
      </c>
      <c r="G900" s="330">
        <v>5</v>
      </c>
      <c r="H900" s="330" t="s">
        <v>1969</v>
      </c>
      <c r="I900" s="334">
        <v>5979.1</v>
      </c>
      <c r="J900" s="334">
        <v>4563.9399999999996</v>
      </c>
      <c r="K900" s="334">
        <v>4563.9399999999996</v>
      </c>
      <c r="L900" s="332">
        <v>217</v>
      </c>
      <c r="M900" s="330" t="s">
        <v>46</v>
      </c>
      <c r="N900" s="330" t="s">
        <v>50</v>
      </c>
      <c r="O900" s="333" t="s">
        <v>2082</v>
      </c>
      <c r="P900" s="38">
        <v>7459219.5300000003</v>
      </c>
      <c r="Q900" s="38">
        <v>0</v>
      </c>
      <c r="R900" s="38">
        <v>0</v>
      </c>
      <c r="S900" s="38">
        <f>P900-Q900-R900</f>
        <v>7459219.5300000003</v>
      </c>
      <c r="T900" s="38">
        <f t="shared" si="169"/>
        <v>1247.5488836112459</v>
      </c>
      <c r="U900" s="38">
        <v>1650.0910571825189</v>
      </c>
      <c r="V900" s="458">
        <f t="shared" si="177"/>
        <v>402.542173571273</v>
      </c>
      <c r="W900" s="458">
        <f t="shared" ref="W900:W903" si="191">X900+Y900+Z900+AA900+AB900+AD900+AF900+AH900+AJ900+AL900+AN900+AO900</f>
        <v>1644.4819722031743</v>
      </c>
      <c r="X900" s="458">
        <v>0</v>
      </c>
      <c r="Y900" s="459">
        <v>0</v>
      </c>
      <c r="Z900" s="459">
        <v>0</v>
      </c>
      <c r="AA900" s="459">
        <v>0</v>
      </c>
      <c r="AB900" s="459">
        <v>0</v>
      </c>
      <c r="AC900" s="459">
        <v>0</v>
      </c>
      <c r="AD900" s="459">
        <v>0</v>
      </c>
      <c r="AE900" s="459">
        <v>1576</v>
      </c>
      <c r="AF900" s="458">
        <f>6238.91*AE900/I900</f>
        <v>1644.4819722031743</v>
      </c>
      <c r="AG900" s="459">
        <v>0</v>
      </c>
      <c r="AH900" s="458">
        <v>0</v>
      </c>
      <c r="AI900" s="459">
        <v>0</v>
      </c>
      <c r="AJ900" s="458">
        <v>0</v>
      </c>
      <c r="AK900" s="459">
        <v>0</v>
      </c>
      <c r="AL900" s="459">
        <v>0</v>
      </c>
      <c r="AM900" s="459">
        <v>0</v>
      </c>
      <c r="AN900" s="459"/>
      <c r="AO900" s="459">
        <v>0</v>
      </c>
      <c r="AP900" s="460"/>
      <c r="AQ900" s="460"/>
      <c r="AR900" s="460"/>
      <c r="AS900" s="460"/>
      <c r="AT900" s="460"/>
      <c r="AU900" s="460"/>
      <c r="AV900" s="460"/>
      <c r="AW900" s="460"/>
      <c r="AX900" s="460"/>
      <c r="AY900" s="460"/>
      <c r="AZ900" s="460"/>
      <c r="BA900" s="460"/>
      <c r="BB900" s="460"/>
      <c r="BC900" s="460"/>
      <c r="BD900" s="460"/>
      <c r="BE900" s="460"/>
      <c r="BF900" s="460"/>
      <c r="BG900" s="460"/>
      <c r="BH900" s="460"/>
      <c r="BI900" s="460"/>
      <c r="BJ900" s="460"/>
      <c r="BK900" s="460"/>
      <c r="BL900" s="460"/>
      <c r="BM900" s="460"/>
      <c r="BN900" s="460"/>
      <c r="BO900" s="460"/>
      <c r="BP900" s="460"/>
      <c r="BQ900" s="460"/>
      <c r="BR900" s="460"/>
      <c r="BS900" s="460"/>
      <c r="BT900" s="460"/>
      <c r="BU900" s="460"/>
      <c r="BV900" s="460"/>
      <c r="BW900" s="460"/>
      <c r="BX900" s="460"/>
      <c r="BY900" s="460"/>
      <c r="BZ900" s="460"/>
      <c r="CA900" s="460"/>
      <c r="CB900" s="460"/>
      <c r="CC900" s="460"/>
      <c r="CD900" s="460"/>
      <c r="CE900" s="460"/>
      <c r="CF900" s="460"/>
      <c r="CG900" s="460"/>
      <c r="CH900" s="460"/>
      <c r="CI900" s="460"/>
      <c r="CJ900" s="460"/>
      <c r="CK900" s="460"/>
    </row>
    <row r="901" spans="1:89" s="329" customFormat="1" ht="36" customHeight="1" x14ac:dyDescent="0.25">
      <c r="A901" s="329">
        <v>1</v>
      </c>
      <c r="B901" s="39">
        <f>SUBTOTAL(103,$A$552:A901)</f>
        <v>313</v>
      </c>
      <c r="C901" s="33" t="s">
        <v>1655</v>
      </c>
      <c r="D901" s="330">
        <v>1971</v>
      </c>
      <c r="E901" s="330"/>
      <c r="F901" s="331" t="s">
        <v>48</v>
      </c>
      <c r="G901" s="330">
        <v>5</v>
      </c>
      <c r="H901" s="330" t="s">
        <v>1969</v>
      </c>
      <c r="I901" s="38">
        <v>5891.84</v>
      </c>
      <c r="J901" s="38">
        <v>5891.84</v>
      </c>
      <c r="K901" s="38">
        <v>4081.34</v>
      </c>
      <c r="L901" s="332">
        <v>212</v>
      </c>
      <c r="M901" s="330" t="s">
        <v>46</v>
      </c>
      <c r="N901" s="330" t="s">
        <v>50</v>
      </c>
      <c r="O901" s="333" t="s">
        <v>2083</v>
      </c>
      <c r="P901" s="38">
        <v>5709104.1399999997</v>
      </c>
      <c r="Q901" s="38">
        <v>0</v>
      </c>
      <c r="R901" s="38">
        <v>0</v>
      </c>
      <c r="S901" s="38">
        <f>P901-R901-Q901</f>
        <v>5709104.1399999997</v>
      </c>
      <c r="T901" s="38">
        <f t="shared" si="169"/>
        <v>968.98492491310003</v>
      </c>
      <c r="U901" s="38">
        <v>1414.2123496225288</v>
      </c>
      <c r="V901" s="458">
        <f t="shared" si="177"/>
        <v>445.22742470942876</v>
      </c>
      <c r="W901" s="458">
        <f t="shared" si="191"/>
        <v>1409.4050771915056</v>
      </c>
      <c r="X901" s="458">
        <v>0</v>
      </c>
      <c r="Y901" s="459">
        <v>0</v>
      </c>
      <c r="Z901" s="459">
        <v>0</v>
      </c>
      <c r="AA901" s="459">
        <v>0</v>
      </c>
      <c r="AB901" s="459">
        <v>0</v>
      </c>
      <c r="AC901" s="459">
        <v>0</v>
      </c>
      <c r="AD901" s="459">
        <v>0</v>
      </c>
      <c r="AE901" s="459">
        <v>1331</v>
      </c>
      <c r="AF901" s="458">
        <f>6238.91*AE901/I901</f>
        <v>1409.4050771915056</v>
      </c>
      <c r="AG901" s="459">
        <v>0</v>
      </c>
      <c r="AH901" s="458">
        <v>0</v>
      </c>
      <c r="AI901" s="459">
        <v>0</v>
      </c>
      <c r="AJ901" s="458">
        <v>0</v>
      </c>
      <c r="AK901" s="459">
        <v>0</v>
      </c>
      <c r="AL901" s="459">
        <v>0</v>
      </c>
      <c r="AM901" s="459">
        <v>0</v>
      </c>
      <c r="AN901" s="459"/>
      <c r="AO901" s="459">
        <v>0</v>
      </c>
      <c r="AP901" s="460"/>
      <c r="AQ901" s="460"/>
      <c r="AR901" s="460"/>
      <c r="AS901" s="460"/>
      <c r="AT901" s="460"/>
      <c r="AU901" s="460"/>
      <c r="AV901" s="460"/>
      <c r="AW901" s="460"/>
      <c r="AX901" s="460"/>
      <c r="AY901" s="460"/>
      <c r="AZ901" s="460"/>
      <c r="BA901" s="460"/>
      <c r="BB901" s="460"/>
      <c r="BC901" s="460"/>
      <c r="BD901" s="460"/>
      <c r="BE901" s="460"/>
      <c r="BF901" s="460"/>
      <c r="BG901" s="460"/>
      <c r="BH901" s="460"/>
      <c r="BI901" s="460"/>
      <c r="BJ901" s="460"/>
      <c r="BK901" s="460"/>
      <c r="BL901" s="460"/>
      <c r="BM901" s="460"/>
      <c r="BN901" s="460"/>
      <c r="BO901" s="460"/>
      <c r="BP901" s="460"/>
      <c r="BQ901" s="460"/>
      <c r="BR901" s="460"/>
      <c r="BS901" s="460"/>
      <c r="BT901" s="460"/>
      <c r="BU901" s="460"/>
      <c r="BV901" s="460"/>
      <c r="BW901" s="460"/>
      <c r="BX901" s="460"/>
      <c r="BY901" s="460"/>
      <c r="BZ901" s="460"/>
      <c r="CA901" s="460"/>
      <c r="CB901" s="460"/>
      <c r="CC901" s="460"/>
      <c r="CD901" s="460"/>
      <c r="CE901" s="460"/>
      <c r="CF901" s="460"/>
      <c r="CG901" s="460"/>
      <c r="CH901" s="460"/>
      <c r="CI901" s="460"/>
      <c r="CJ901" s="460"/>
      <c r="CK901" s="460"/>
    </row>
    <row r="902" spans="1:89" s="329" customFormat="1" ht="36" customHeight="1" x14ac:dyDescent="0.25">
      <c r="A902" s="329">
        <v>1</v>
      </c>
      <c r="B902" s="39">
        <f>SUBTOTAL(103,$A$552:A902)</f>
        <v>314</v>
      </c>
      <c r="C902" s="33" t="s">
        <v>1349</v>
      </c>
      <c r="D902" s="330">
        <v>1976</v>
      </c>
      <c r="E902" s="330"/>
      <c r="F902" s="331" t="s">
        <v>48</v>
      </c>
      <c r="G902" s="330">
        <v>5</v>
      </c>
      <c r="H902" s="330" t="s">
        <v>1969</v>
      </c>
      <c r="I902" s="38">
        <v>4783.1499999999996</v>
      </c>
      <c r="J902" s="38">
        <v>4417.7</v>
      </c>
      <c r="K902" s="38">
        <v>3106.56</v>
      </c>
      <c r="L902" s="332">
        <v>190</v>
      </c>
      <c r="M902" s="330" t="s">
        <v>46</v>
      </c>
      <c r="N902" s="330" t="s">
        <v>50</v>
      </c>
      <c r="O902" s="333" t="s">
        <v>2082</v>
      </c>
      <c r="P902" s="38">
        <v>6173366.919999999</v>
      </c>
      <c r="Q902" s="38">
        <v>0</v>
      </c>
      <c r="R902" s="38">
        <v>0</v>
      </c>
      <c r="S902" s="38">
        <f>P902-R902-Q902</f>
        <v>6173366.919999999</v>
      </c>
      <c r="T902" s="38">
        <f t="shared" si="169"/>
        <v>1290.6488234740702</v>
      </c>
      <c r="U902" s="38">
        <v>1858.4969737516071</v>
      </c>
      <c r="V902" s="458">
        <f t="shared" si="177"/>
        <v>567.84815027753689</v>
      </c>
      <c r="W902" s="458">
        <f t="shared" si="191"/>
        <v>1736.0921589329209</v>
      </c>
      <c r="X902" s="458">
        <v>0</v>
      </c>
      <c r="Y902" s="459">
        <v>0</v>
      </c>
      <c r="Z902" s="459">
        <v>0</v>
      </c>
      <c r="AA902" s="459">
        <v>0</v>
      </c>
      <c r="AB902" s="459">
        <v>0</v>
      </c>
      <c r="AC902" s="459">
        <v>0</v>
      </c>
      <c r="AD902" s="459">
        <v>0</v>
      </c>
      <c r="AE902" s="459">
        <v>1331</v>
      </c>
      <c r="AF902" s="458">
        <f>6238.91*AE902/I902</f>
        <v>1736.0921589329209</v>
      </c>
      <c r="AG902" s="459">
        <v>0</v>
      </c>
      <c r="AH902" s="458">
        <v>0</v>
      </c>
      <c r="AI902" s="459">
        <v>0</v>
      </c>
      <c r="AJ902" s="458">
        <v>0</v>
      </c>
      <c r="AK902" s="459">
        <v>0</v>
      </c>
      <c r="AL902" s="459">
        <v>0</v>
      </c>
      <c r="AM902" s="459">
        <v>0</v>
      </c>
      <c r="AN902" s="459"/>
      <c r="AO902" s="459">
        <v>0</v>
      </c>
      <c r="AP902" s="460"/>
      <c r="AQ902" s="460"/>
      <c r="AR902" s="460"/>
      <c r="AS902" s="460"/>
      <c r="AT902" s="460"/>
      <c r="AU902" s="460"/>
      <c r="AV902" s="460"/>
      <c r="AW902" s="460"/>
      <c r="AX902" s="460"/>
      <c r="AY902" s="460"/>
      <c r="AZ902" s="460"/>
      <c r="BA902" s="460"/>
      <c r="BB902" s="460"/>
      <c r="BC902" s="460"/>
      <c r="BD902" s="460"/>
      <c r="BE902" s="460"/>
      <c r="BF902" s="460"/>
      <c r="BG902" s="460"/>
      <c r="BH902" s="460"/>
      <c r="BI902" s="460"/>
      <c r="BJ902" s="460"/>
      <c r="BK902" s="460"/>
      <c r="BL902" s="460"/>
      <c r="BM902" s="460"/>
      <c r="BN902" s="460"/>
      <c r="BO902" s="460"/>
      <c r="BP902" s="460"/>
      <c r="BQ902" s="460"/>
      <c r="BR902" s="460"/>
      <c r="BS902" s="460"/>
      <c r="BT902" s="460"/>
      <c r="BU902" s="460"/>
      <c r="BV902" s="460"/>
      <c r="BW902" s="460"/>
      <c r="BX902" s="460"/>
      <c r="BY902" s="460"/>
      <c r="BZ902" s="460"/>
      <c r="CA902" s="460"/>
      <c r="CB902" s="460"/>
      <c r="CC902" s="460"/>
      <c r="CD902" s="460"/>
      <c r="CE902" s="460"/>
      <c r="CF902" s="460"/>
      <c r="CG902" s="460"/>
      <c r="CH902" s="460"/>
      <c r="CI902" s="460"/>
      <c r="CJ902" s="460"/>
      <c r="CK902" s="460"/>
    </row>
    <row r="903" spans="1:89" s="329" customFormat="1" ht="36" customHeight="1" x14ac:dyDescent="0.25">
      <c r="A903" s="329">
        <v>1</v>
      </c>
      <c r="B903" s="39">
        <f>SUBTOTAL(103,$A$552:A903)</f>
        <v>315</v>
      </c>
      <c r="C903" s="33" t="s">
        <v>1351</v>
      </c>
      <c r="D903" s="330">
        <v>1981</v>
      </c>
      <c r="E903" s="330"/>
      <c r="F903" s="331" t="s">
        <v>48</v>
      </c>
      <c r="G903" s="330">
        <v>5</v>
      </c>
      <c r="H903" s="330" t="s">
        <v>1961</v>
      </c>
      <c r="I903" s="38">
        <v>7170.75</v>
      </c>
      <c r="J903" s="38">
        <v>5092.8999999999996</v>
      </c>
      <c r="K903" s="38">
        <v>3015.05</v>
      </c>
      <c r="L903" s="332">
        <v>218</v>
      </c>
      <c r="M903" s="330" t="s">
        <v>46</v>
      </c>
      <c r="N903" s="330" t="s">
        <v>50</v>
      </c>
      <c r="O903" s="333" t="s">
        <v>2082</v>
      </c>
      <c r="P903" s="38">
        <v>5691927.6600000001</v>
      </c>
      <c r="Q903" s="38">
        <v>0</v>
      </c>
      <c r="R903" s="38">
        <v>0</v>
      </c>
      <c r="S903" s="38">
        <f>P903-R903-Q903</f>
        <v>5691927.6600000001</v>
      </c>
      <c r="T903" s="38">
        <f t="shared" si="169"/>
        <v>793.77019976989857</v>
      </c>
      <c r="U903" s="38">
        <v>1188.1767723041523</v>
      </c>
      <c r="V903" s="458">
        <f t="shared" si="177"/>
        <v>394.40657253425377</v>
      </c>
      <c r="W903" s="458">
        <f t="shared" si="191"/>
        <v>1158.0363574242583</v>
      </c>
      <c r="X903" s="458">
        <v>0</v>
      </c>
      <c r="Y903" s="459">
        <v>0</v>
      </c>
      <c r="Z903" s="459">
        <v>0</v>
      </c>
      <c r="AA903" s="459">
        <v>0</v>
      </c>
      <c r="AB903" s="459">
        <v>0</v>
      </c>
      <c r="AC903" s="459">
        <v>0</v>
      </c>
      <c r="AD903" s="459">
        <v>0</v>
      </c>
      <c r="AE903" s="459">
        <v>1331</v>
      </c>
      <c r="AF903" s="458">
        <f>6238.91*AE903/I903</f>
        <v>1158.0363574242583</v>
      </c>
      <c r="AG903" s="459">
        <v>0</v>
      </c>
      <c r="AH903" s="458">
        <v>0</v>
      </c>
      <c r="AI903" s="459">
        <v>0</v>
      </c>
      <c r="AJ903" s="458">
        <v>0</v>
      </c>
      <c r="AK903" s="459">
        <v>0</v>
      </c>
      <c r="AL903" s="459">
        <v>0</v>
      </c>
      <c r="AM903" s="459">
        <v>0</v>
      </c>
      <c r="AN903" s="459"/>
      <c r="AO903" s="459">
        <v>0</v>
      </c>
      <c r="AP903" s="460"/>
      <c r="AQ903" s="460"/>
      <c r="AR903" s="460"/>
      <c r="AS903" s="460"/>
      <c r="AT903" s="460"/>
      <c r="AU903" s="460"/>
      <c r="AV903" s="460"/>
      <c r="AW903" s="460"/>
      <c r="AX903" s="460"/>
      <c r="AY903" s="460"/>
      <c r="AZ903" s="460"/>
      <c r="BA903" s="460"/>
      <c r="BB903" s="460"/>
      <c r="BC903" s="460"/>
      <c r="BD903" s="460"/>
      <c r="BE903" s="460"/>
      <c r="BF903" s="460"/>
      <c r="BG903" s="460"/>
      <c r="BH903" s="460"/>
      <c r="BI903" s="460"/>
      <c r="BJ903" s="460"/>
      <c r="BK903" s="460"/>
      <c r="BL903" s="460"/>
      <c r="BM903" s="460"/>
      <c r="BN903" s="460"/>
      <c r="BO903" s="460"/>
      <c r="BP903" s="460"/>
      <c r="BQ903" s="460"/>
      <c r="BR903" s="460"/>
      <c r="BS903" s="460"/>
      <c r="BT903" s="460"/>
      <c r="BU903" s="460"/>
      <c r="BV903" s="460"/>
      <c r="BW903" s="460"/>
      <c r="BX903" s="460"/>
      <c r="BY903" s="460"/>
      <c r="BZ903" s="460"/>
      <c r="CA903" s="460"/>
      <c r="CB903" s="460"/>
      <c r="CC903" s="460"/>
      <c r="CD903" s="460"/>
      <c r="CE903" s="460"/>
      <c r="CF903" s="460"/>
      <c r="CG903" s="460"/>
      <c r="CH903" s="460"/>
      <c r="CI903" s="460"/>
      <c r="CJ903" s="460"/>
      <c r="CK903" s="460"/>
    </row>
    <row r="904" spans="1:89" s="329" customFormat="1" ht="36" customHeight="1" x14ac:dyDescent="0.25">
      <c r="B904" s="33" t="s">
        <v>1656</v>
      </c>
      <c r="C904" s="33"/>
      <c r="D904" s="330" t="s">
        <v>131</v>
      </c>
      <c r="E904" s="330" t="s">
        <v>131</v>
      </c>
      <c r="F904" s="330" t="s">
        <v>131</v>
      </c>
      <c r="G904" s="330" t="s">
        <v>131</v>
      </c>
      <c r="H904" s="330" t="s">
        <v>131</v>
      </c>
      <c r="I904" s="334">
        <f>SUM(I905:I906)</f>
        <v>1431.7</v>
      </c>
      <c r="J904" s="334">
        <f t="shared" ref="J904:L904" si="192">SUM(J905:J906)</f>
        <v>1325.1999999999998</v>
      </c>
      <c r="K904" s="334">
        <f t="shared" si="192"/>
        <v>962.8</v>
      </c>
      <c r="L904" s="332">
        <f t="shared" si="192"/>
        <v>54</v>
      </c>
      <c r="M904" s="330" t="s">
        <v>131</v>
      </c>
      <c r="N904" s="330" t="s">
        <v>131</v>
      </c>
      <c r="O904" s="333" t="s">
        <v>131</v>
      </c>
      <c r="P904" s="38">
        <v>5796065.7599999998</v>
      </c>
      <c r="Q904" s="38">
        <f t="shared" ref="Q904:S904" si="193">SUM(Q905:Q906)</f>
        <v>0</v>
      </c>
      <c r="R904" s="38">
        <f t="shared" si="193"/>
        <v>492144.32</v>
      </c>
      <c r="S904" s="38">
        <f t="shared" si="193"/>
        <v>5303921.4399999995</v>
      </c>
      <c r="T904" s="38">
        <f t="shared" si="169"/>
        <v>4048.3800796256196</v>
      </c>
      <c r="U904" s="38">
        <f>MAX(U905:U906)</f>
        <v>5256.7108154224779</v>
      </c>
      <c r="V904" s="458">
        <f t="shared" si="177"/>
        <v>1208.3307357968583</v>
      </c>
      <c r="W904" s="458"/>
      <c r="X904" s="458"/>
      <c r="Y904" s="459"/>
      <c r="Z904" s="459"/>
      <c r="AA904" s="459"/>
      <c r="AB904" s="459"/>
      <c r="AC904" s="459"/>
      <c r="AD904" s="459"/>
      <c r="AE904" s="459"/>
      <c r="AF904" s="459"/>
      <c r="AG904" s="459"/>
      <c r="AH904" s="459"/>
      <c r="AI904" s="459"/>
      <c r="AJ904" s="459"/>
      <c r="AK904" s="459"/>
      <c r="AL904" s="459"/>
      <c r="AM904" s="459"/>
      <c r="AN904" s="459"/>
      <c r="AO904" s="459"/>
      <c r="AP904" s="460"/>
      <c r="AQ904" s="460"/>
      <c r="AR904" s="460"/>
      <c r="AS904" s="460"/>
      <c r="AT904" s="460"/>
      <c r="AU904" s="460"/>
      <c r="AV904" s="460"/>
      <c r="AW904" s="460"/>
      <c r="AX904" s="460"/>
      <c r="AY904" s="460"/>
      <c r="AZ904" s="460"/>
      <c r="BA904" s="460"/>
      <c r="BB904" s="460"/>
      <c r="BC904" s="460"/>
      <c r="BD904" s="460"/>
      <c r="BE904" s="460"/>
      <c r="BF904" s="460"/>
      <c r="BG904" s="460"/>
      <c r="BH904" s="460"/>
      <c r="BI904" s="460"/>
      <c r="BJ904" s="460"/>
      <c r="BK904" s="460"/>
      <c r="BL904" s="460"/>
      <c r="BM904" s="460"/>
      <c r="BN904" s="460"/>
      <c r="BO904" s="460"/>
      <c r="BP904" s="460"/>
      <c r="BQ904" s="460"/>
      <c r="BR904" s="460"/>
      <c r="BS904" s="460"/>
      <c r="BT904" s="460"/>
      <c r="BU904" s="460"/>
      <c r="BV904" s="460"/>
      <c r="BW904" s="460"/>
      <c r="BX904" s="460"/>
      <c r="BY904" s="460"/>
      <c r="BZ904" s="460"/>
      <c r="CA904" s="460"/>
      <c r="CB904" s="460"/>
      <c r="CC904" s="460"/>
      <c r="CD904" s="460"/>
      <c r="CE904" s="460"/>
      <c r="CF904" s="460"/>
      <c r="CG904" s="460"/>
      <c r="CH904" s="460"/>
      <c r="CI904" s="460"/>
      <c r="CJ904" s="460"/>
      <c r="CK904" s="460"/>
    </row>
    <row r="905" spans="1:89" s="329" customFormat="1" ht="36" customHeight="1" x14ac:dyDescent="0.25">
      <c r="A905" s="329">
        <v>1</v>
      </c>
      <c r="B905" s="39">
        <f>SUBTOTAL(103,$A$552:A905)</f>
        <v>316</v>
      </c>
      <c r="C905" s="33" t="s">
        <v>1657</v>
      </c>
      <c r="D905" s="330">
        <v>1968</v>
      </c>
      <c r="E905" s="330"/>
      <c r="F905" s="331" t="s">
        <v>48</v>
      </c>
      <c r="G905" s="330">
        <v>2</v>
      </c>
      <c r="H905" s="330" t="s">
        <v>56</v>
      </c>
      <c r="I905" s="334">
        <v>822.2</v>
      </c>
      <c r="J905" s="334">
        <v>760.8</v>
      </c>
      <c r="K905" s="334">
        <v>760.8</v>
      </c>
      <c r="L905" s="332">
        <v>36</v>
      </c>
      <c r="M905" s="330" t="s">
        <v>46</v>
      </c>
      <c r="N905" s="330" t="s">
        <v>50</v>
      </c>
      <c r="O905" s="333" t="s">
        <v>2168</v>
      </c>
      <c r="P905" s="38">
        <v>3274450.4</v>
      </c>
      <c r="Q905" s="38">
        <v>0</v>
      </c>
      <c r="R905" s="38">
        <v>0</v>
      </c>
      <c r="S905" s="38">
        <f>P905-Q905-R905</f>
        <v>3274450.4</v>
      </c>
      <c r="T905" s="38">
        <f t="shared" si="169"/>
        <v>3982.5473120895158</v>
      </c>
      <c r="U905" s="38">
        <v>4642.986939917294</v>
      </c>
      <c r="V905" s="458">
        <f>U905-T905</f>
        <v>660.43962782777817</v>
      </c>
      <c r="W905" s="458">
        <f>X905+Y905+Z905+AA905+AB905+AD905+AF905+AH905+AJ905+AL905+AN905+AO905</f>
        <v>4627.2042301143265</v>
      </c>
      <c r="X905" s="458">
        <v>0</v>
      </c>
      <c r="Y905" s="459">
        <v>0</v>
      </c>
      <c r="Z905" s="459">
        <v>0</v>
      </c>
      <c r="AA905" s="459">
        <v>0</v>
      </c>
      <c r="AB905" s="459">
        <v>0</v>
      </c>
      <c r="AC905" s="459">
        <v>0</v>
      </c>
      <c r="AD905" s="459">
        <v>0</v>
      </c>
      <c r="AE905" s="459">
        <v>609.79999999999995</v>
      </c>
      <c r="AF905" s="458">
        <f>6238.91*AE905/I905</f>
        <v>4627.2042301143265</v>
      </c>
      <c r="AG905" s="459">
        <v>0</v>
      </c>
      <c r="AH905" s="458">
        <v>0</v>
      </c>
      <c r="AI905" s="459">
        <v>0</v>
      </c>
      <c r="AJ905" s="458">
        <v>0</v>
      </c>
      <c r="AK905" s="459">
        <v>0</v>
      </c>
      <c r="AL905" s="459">
        <v>0</v>
      </c>
      <c r="AM905" s="459">
        <v>0</v>
      </c>
      <c r="AN905" s="459"/>
      <c r="AO905" s="459">
        <v>0</v>
      </c>
      <c r="AP905" s="460"/>
      <c r="AQ905" s="460"/>
      <c r="AR905" s="460"/>
      <c r="AS905" s="460"/>
      <c r="AT905" s="460"/>
      <c r="AU905" s="460"/>
      <c r="AV905" s="460"/>
      <c r="AW905" s="460"/>
      <c r="AX905" s="460"/>
      <c r="AY905" s="460"/>
      <c r="AZ905" s="460"/>
      <c r="BA905" s="460"/>
      <c r="BB905" s="460"/>
      <c r="BC905" s="460"/>
      <c r="BD905" s="460"/>
      <c r="BE905" s="460"/>
      <c r="BF905" s="460"/>
      <c r="BG905" s="460"/>
      <c r="BH905" s="460"/>
      <c r="BI905" s="460"/>
      <c r="BJ905" s="460"/>
      <c r="BK905" s="460"/>
      <c r="BL905" s="460"/>
      <c r="BM905" s="460"/>
      <c r="BN905" s="460"/>
      <c r="BO905" s="460"/>
      <c r="BP905" s="460"/>
      <c r="BQ905" s="460"/>
      <c r="BR905" s="460"/>
      <c r="BS905" s="460"/>
      <c r="BT905" s="460"/>
      <c r="BU905" s="460"/>
      <c r="BV905" s="460"/>
      <c r="BW905" s="460"/>
      <c r="BX905" s="460"/>
      <c r="BY905" s="460"/>
      <c r="BZ905" s="460"/>
      <c r="CA905" s="460"/>
      <c r="CB905" s="460"/>
      <c r="CC905" s="460"/>
      <c r="CD905" s="460"/>
      <c r="CE905" s="460"/>
      <c r="CF905" s="460"/>
      <c r="CG905" s="460"/>
      <c r="CH905" s="460"/>
      <c r="CI905" s="460"/>
      <c r="CJ905" s="460"/>
      <c r="CK905" s="460"/>
    </row>
    <row r="906" spans="1:89" s="329" customFormat="1" ht="36" customHeight="1" x14ac:dyDescent="0.25">
      <c r="A906" s="329">
        <v>1</v>
      </c>
      <c r="B906" s="39">
        <f>SUBTOTAL(103,$A$552:A906)</f>
        <v>317</v>
      </c>
      <c r="C906" s="33" t="s">
        <v>1149</v>
      </c>
      <c r="D906" s="330">
        <v>1917</v>
      </c>
      <c r="E906" s="330"/>
      <c r="F906" s="331" t="s">
        <v>48</v>
      </c>
      <c r="G906" s="330">
        <v>2</v>
      </c>
      <c r="H906" s="330" t="s">
        <v>57</v>
      </c>
      <c r="I906" s="38">
        <v>609.5</v>
      </c>
      <c r="J906" s="38">
        <v>564.4</v>
      </c>
      <c r="K906" s="38">
        <v>202</v>
      </c>
      <c r="L906" s="332">
        <v>18</v>
      </c>
      <c r="M906" s="330" t="s">
        <v>46</v>
      </c>
      <c r="N906" s="330" t="s">
        <v>47</v>
      </c>
      <c r="O906" s="333" t="s">
        <v>49</v>
      </c>
      <c r="P906" s="38">
        <v>2521615.3599999999</v>
      </c>
      <c r="Q906" s="38">
        <v>0</v>
      </c>
      <c r="R906" s="38">
        <v>492144.32</v>
      </c>
      <c r="S906" s="38">
        <f>P906-Q906-R906</f>
        <v>2029471.0399999998</v>
      </c>
      <c r="T906" s="38">
        <f t="shared" si="169"/>
        <v>4137.1868088597212</v>
      </c>
      <c r="U906" s="38">
        <v>5256.7108154224779</v>
      </c>
      <c r="V906" s="458">
        <f>U906-T906</f>
        <v>1119.5240065627568</v>
      </c>
      <c r="W906" s="458">
        <f>X906+Y906+Z906+AA906+AB906+AD906+AF906+AH906+AJ906+AL906+AN906+AO906</f>
        <v>5238.8418999179648</v>
      </c>
      <c r="X906" s="458">
        <v>0</v>
      </c>
      <c r="Y906" s="459">
        <v>0</v>
      </c>
      <c r="Z906" s="459">
        <v>0</v>
      </c>
      <c r="AA906" s="459">
        <v>0</v>
      </c>
      <c r="AB906" s="459">
        <v>0</v>
      </c>
      <c r="AC906" s="459">
        <v>0</v>
      </c>
      <c r="AD906" s="459">
        <v>0</v>
      </c>
      <c r="AE906" s="459">
        <v>511.8</v>
      </c>
      <c r="AF906" s="458">
        <f>6238.91*AE906/I906</f>
        <v>5238.8418999179648</v>
      </c>
      <c r="AG906" s="459">
        <v>0</v>
      </c>
      <c r="AH906" s="458">
        <v>0</v>
      </c>
      <c r="AI906" s="459">
        <v>0</v>
      </c>
      <c r="AJ906" s="458">
        <v>0</v>
      </c>
      <c r="AK906" s="459">
        <v>0</v>
      </c>
      <c r="AL906" s="459">
        <v>0</v>
      </c>
      <c r="AM906" s="459">
        <v>0</v>
      </c>
      <c r="AN906" s="459"/>
      <c r="AO906" s="459">
        <v>0</v>
      </c>
      <c r="AP906" s="460"/>
      <c r="AQ906" s="460"/>
      <c r="AR906" s="460"/>
      <c r="AS906" s="460"/>
      <c r="AT906" s="460"/>
      <c r="AU906" s="460"/>
      <c r="AV906" s="460"/>
      <c r="AW906" s="460"/>
      <c r="AX906" s="460"/>
      <c r="AY906" s="460"/>
      <c r="AZ906" s="460"/>
      <c r="BA906" s="460"/>
      <c r="BB906" s="460"/>
      <c r="BC906" s="460"/>
      <c r="BD906" s="460"/>
      <c r="BE906" s="460"/>
      <c r="BF906" s="460"/>
      <c r="BG906" s="460"/>
      <c r="BH906" s="460"/>
      <c r="BI906" s="460"/>
      <c r="BJ906" s="460"/>
      <c r="BK906" s="460"/>
      <c r="BL906" s="460"/>
      <c r="BM906" s="460"/>
      <c r="BN906" s="460"/>
      <c r="BO906" s="460"/>
      <c r="BP906" s="460"/>
      <c r="BQ906" s="460"/>
      <c r="BR906" s="460"/>
      <c r="BS906" s="460"/>
      <c r="BT906" s="460"/>
      <c r="BU906" s="460"/>
      <c r="BV906" s="460"/>
      <c r="BW906" s="460"/>
      <c r="BX906" s="460"/>
      <c r="BY906" s="460"/>
      <c r="BZ906" s="460"/>
      <c r="CA906" s="460"/>
      <c r="CB906" s="460"/>
      <c r="CC906" s="460"/>
      <c r="CD906" s="460"/>
      <c r="CE906" s="460"/>
      <c r="CF906" s="460"/>
      <c r="CG906" s="460"/>
      <c r="CH906" s="460"/>
      <c r="CI906" s="460"/>
      <c r="CJ906" s="460"/>
      <c r="CK906" s="460"/>
    </row>
    <row r="907" spans="1:89" s="329" customFormat="1" ht="36" customHeight="1" x14ac:dyDescent="0.25">
      <c r="B907" s="33" t="s">
        <v>128</v>
      </c>
      <c r="C907" s="33"/>
      <c r="D907" s="330" t="s">
        <v>131</v>
      </c>
      <c r="E907" s="330" t="s">
        <v>131</v>
      </c>
      <c r="F907" s="330" t="s">
        <v>131</v>
      </c>
      <c r="G907" s="330" t="s">
        <v>131</v>
      </c>
      <c r="H907" s="330" t="s">
        <v>131</v>
      </c>
      <c r="I907" s="334">
        <f>I908</f>
        <v>783.2</v>
      </c>
      <c r="J907" s="334">
        <f>J908</f>
        <v>783.2</v>
      </c>
      <c r="K907" s="334">
        <f>K908</f>
        <v>744.2</v>
      </c>
      <c r="L907" s="332">
        <f>L908</f>
        <v>21</v>
      </c>
      <c r="M907" s="330" t="s">
        <v>131</v>
      </c>
      <c r="N907" s="330" t="s">
        <v>131</v>
      </c>
      <c r="O907" s="333" t="s">
        <v>131</v>
      </c>
      <c r="P907" s="38">
        <v>3707032</v>
      </c>
      <c r="Q907" s="38">
        <f>Q908</f>
        <v>0</v>
      </c>
      <c r="R907" s="38">
        <f>R908</f>
        <v>0</v>
      </c>
      <c r="S907" s="38">
        <f>S908</f>
        <v>3707032</v>
      </c>
      <c r="T907" s="38">
        <f t="shared" si="169"/>
        <v>4733.1869254341163</v>
      </c>
      <c r="U907" s="38">
        <f>U908</f>
        <v>4733.1869254341163</v>
      </c>
      <c r="V907" s="458">
        <f t="shared" si="177"/>
        <v>0</v>
      </c>
      <c r="W907" s="458"/>
      <c r="X907" s="458"/>
      <c r="Y907" s="459"/>
      <c r="Z907" s="459"/>
      <c r="AA907" s="459"/>
      <c r="AB907" s="459"/>
      <c r="AC907" s="459"/>
      <c r="AD907" s="459"/>
      <c r="AE907" s="459"/>
      <c r="AF907" s="459"/>
      <c r="AG907" s="459"/>
      <c r="AH907" s="459"/>
      <c r="AI907" s="459"/>
      <c r="AJ907" s="459"/>
      <c r="AK907" s="459"/>
      <c r="AL907" s="459"/>
      <c r="AM907" s="459"/>
      <c r="AN907" s="459"/>
      <c r="AO907" s="459"/>
      <c r="AP907" s="460"/>
      <c r="AQ907" s="460"/>
      <c r="AR907" s="460"/>
      <c r="AS907" s="460"/>
      <c r="AT907" s="460"/>
      <c r="AU907" s="460"/>
      <c r="AV907" s="460"/>
      <c r="AW907" s="460"/>
      <c r="AX907" s="460"/>
      <c r="AY907" s="460"/>
      <c r="AZ907" s="460"/>
      <c r="BA907" s="460"/>
      <c r="BB907" s="460"/>
      <c r="BC907" s="460"/>
      <c r="BD907" s="460"/>
      <c r="BE907" s="460"/>
      <c r="BF907" s="460"/>
      <c r="BG907" s="460"/>
      <c r="BH907" s="460"/>
      <c r="BI907" s="460"/>
      <c r="BJ907" s="460"/>
      <c r="BK907" s="460"/>
      <c r="BL907" s="460"/>
      <c r="BM907" s="460"/>
      <c r="BN907" s="460"/>
      <c r="BO907" s="460"/>
      <c r="BP907" s="460"/>
      <c r="BQ907" s="460"/>
      <c r="BR907" s="460"/>
      <c r="BS907" s="460"/>
      <c r="BT907" s="460"/>
      <c r="BU907" s="460"/>
      <c r="BV907" s="460"/>
      <c r="BW907" s="460"/>
      <c r="BX907" s="460"/>
      <c r="BY907" s="460"/>
      <c r="BZ907" s="460"/>
      <c r="CA907" s="460"/>
      <c r="CB907" s="460"/>
      <c r="CC907" s="460"/>
      <c r="CD907" s="460"/>
      <c r="CE907" s="460"/>
      <c r="CF907" s="460"/>
      <c r="CG907" s="460"/>
      <c r="CH907" s="460"/>
      <c r="CI907" s="460"/>
      <c r="CJ907" s="460"/>
      <c r="CK907" s="460"/>
    </row>
    <row r="908" spans="1:89" s="329" customFormat="1" ht="36" customHeight="1" x14ac:dyDescent="0.25">
      <c r="A908" s="329">
        <v>1</v>
      </c>
      <c r="B908" s="39">
        <f>SUBTOTAL(103,$A$552:A908)</f>
        <v>318</v>
      </c>
      <c r="C908" s="33" t="s">
        <v>1658</v>
      </c>
      <c r="D908" s="330">
        <v>1962</v>
      </c>
      <c r="E908" s="330"/>
      <c r="F908" s="331" t="s">
        <v>2169</v>
      </c>
      <c r="G908" s="330">
        <v>2</v>
      </c>
      <c r="H908" s="330" t="s">
        <v>59</v>
      </c>
      <c r="I908" s="334">
        <v>783.2</v>
      </c>
      <c r="J908" s="334">
        <v>783.2</v>
      </c>
      <c r="K908" s="334">
        <v>744.2</v>
      </c>
      <c r="L908" s="332">
        <v>21</v>
      </c>
      <c r="M908" s="330" t="s">
        <v>46</v>
      </c>
      <c r="N908" s="330" t="s">
        <v>47</v>
      </c>
      <c r="O908" s="333" t="s">
        <v>49</v>
      </c>
      <c r="P908" s="38">
        <v>3707032</v>
      </c>
      <c r="Q908" s="38">
        <v>0</v>
      </c>
      <c r="R908" s="38">
        <v>0</v>
      </c>
      <c r="S908" s="38">
        <f>P908-Q908-R908</f>
        <v>3707032</v>
      </c>
      <c r="T908" s="38">
        <f t="shared" si="169"/>
        <v>4733.1869254341163</v>
      </c>
      <c r="U908" s="38">
        <v>4733.1869254341163</v>
      </c>
      <c r="V908" s="458">
        <f>U908-T908</f>
        <v>0</v>
      </c>
      <c r="W908" s="458">
        <f>T908</f>
        <v>4733.1869254341163</v>
      </c>
      <c r="X908" s="458">
        <v>0</v>
      </c>
      <c r="Y908" s="459">
        <v>0</v>
      </c>
      <c r="Z908" s="459">
        <v>0</v>
      </c>
      <c r="AA908" s="459">
        <v>0</v>
      </c>
      <c r="AB908" s="459">
        <v>0</v>
      </c>
      <c r="AC908" s="459">
        <v>0</v>
      </c>
      <c r="AD908" s="459">
        <v>0</v>
      </c>
      <c r="AE908" s="459">
        <v>0</v>
      </c>
      <c r="AF908" s="458">
        <v>0</v>
      </c>
      <c r="AG908" s="459">
        <v>0</v>
      </c>
      <c r="AH908" s="458">
        <v>0</v>
      </c>
      <c r="AI908" s="459">
        <v>350</v>
      </c>
      <c r="AJ908" s="458">
        <f>7802.61*AI908/I908</f>
        <v>3486.8660623084779</v>
      </c>
      <c r="AK908" s="459">
        <v>0</v>
      </c>
      <c r="AL908" s="459">
        <v>0</v>
      </c>
      <c r="AM908" s="459">
        <v>0</v>
      </c>
      <c r="AN908" s="459"/>
      <c r="AO908" s="459">
        <v>0</v>
      </c>
      <c r="AP908" s="460"/>
      <c r="AQ908" s="460"/>
      <c r="AR908" s="460"/>
      <c r="AS908" s="460"/>
      <c r="AT908" s="460"/>
      <c r="AU908" s="460"/>
      <c r="AV908" s="460"/>
      <c r="AW908" s="460"/>
      <c r="AX908" s="460"/>
      <c r="AY908" s="460"/>
      <c r="AZ908" s="460"/>
      <c r="BA908" s="460"/>
      <c r="BB908" s="460"/>
      <c r="BC908" s="460"/>
      <c r="BD908" s="460"/>
      <c r="BE908" s="460"/>
      <c r="BF908" s="460"/>
      <c r="BG908" s="460"/>
      <c r="BH908" s="460"/>
      <c r="BI908" s="460"/>
      <c r="BJ908" s="460"/>
      <c r="BK908" s="460"/>
      <c r="BL908" s="460"/>
      <c r="BM908" s="460"/>
      <c r="BN908" s="460"/>
      <c r="BO908" s="460"/>
      <c r="BP908" s="460"/>
      <c r="BQ908" s="460"/>
      <c r="BR908" s="460"/>
      <c r="BS908" s="460"/>
      <c r="BT908" s="460"/>
      <c r="BU908" s="460"/>
      <c r="BV908" s="460"/>
      <c r="BW908" s="460"/>
      <c r="BX908" s="460"/>
      <c r="BY908" s="460"/>
      <c r="BZ908" s="460"/>
      <c r="CA908" s="460"/>
      <c r="CB908" s="460"/>
      <c r="CC908" s="460"/>
      <c r="CD908" s="460"/>
      <c r="CE908" s="460"/>
      <c r="CF908" s="460"/>
      <c r="CG908" s="460"/>
      <c r="CH908" s="460"/>
      <c r="CI908" s="460"/>
      <c r="CJ908" s="460"/>
      <c r="CK908" s="460"/>
    </row>
    <row r="909" spans="1:89" s="329" customFormat="1" ht="36" customHeight="1" x14ac:dyDescent="0.25">
      <c r="B909" s="33" t="s">
        <v>112</v>
      </c>
      <c r="C909" s="33"/>
      <c r="D909" s="330" t="s">
        <v>131</v>
      </c>
      <c r="E909" s="330" t="s">
        <v>131</v>
      </c>
      <c r="F909" s="330" t="s">
        <v>131</v>
      </c>
      <c r="G909" s="330" t="s">
        <v>131</v>
      </c>
      <c r="H909" s="330" t="s">
        <v>131</v>
      </c>
      <c r="I909" s="334">
        <f>SUM(I910:I914)</f>
        <v>13217.54</v>
      </c>
      <c r="J909" s="334">
        <f t="shared" ref="J909:L909" si="194">SUM(J910:J914)</f>
        <v>11365.689999999999</v>
      </c>
      <c r="K909" s="334">
        <f t="shared" si="194"/>
        <v>10013.82</v>
      </c>
      <c r="L909" s="332">
        <f t="shared" si="194"/>
        <v>505</v>
      </c>
      <c r="M909" s="330" t="s">
        <v>131</v>
      </c>
      <c r="N909" s="330" t="s">
        <v>131</v>
      </c>
      <c r="O909" s="333" t="s">
        <v>131</v>
      </c>
      <c r="P909" s="38">
        <v>25990852.659999996</v>
      </c>
      <c r="Q909" s="38">
        <f t="shared" ref="Q909:S909" si="195">SUM(Q910:Q914)</f>
        <v>0</v>
      </c>
      <c r="R909" s="38">
        <f t="shared" si="195"/>
        <v>0</v>
      </c>
      <c r="S909" s="38">
        <f t="shared" si="195"/>
        <v>25990852.659999996</v>
      </c>
      <c r="T909" s="38">
        <f t="shared" si="169"/>
        <v>1966.3910727714836</v>
      </c>
      <c r="U909" s="38">
        <f>MAX(U910:U914)</f>
        <v>7261.217671691792</v>
      </c>
      <c r="V909" s="458">
        <f t="shared" si="177"/>
        <v>5294.8265989203082</v>
      </c>
      <c r="W909" s="458"/>
      <c r="X909" s="458"/>
      <c r="Y909" s="459"/>
      <c r="Z909" s="459"/>
      <c r="AA909" s="459"/>
      <c r="AB909" s="459"/>
      <c r="AC909" s="459"/>
      <c r="AD909" s="459"/>
      <c r="AE909" s="459"/>
      <c r="AF909" s="459"/>
      <c r="AG909" s="459"/>
      <c r="AH909" s="459"/>
      <c r="AI909" s="459"/>
      <c r="AJ909" s="459"/>
      <c r="AK909" s="459"/>
      <c r="AL909" s="459"/>
      <c r="AM909" s="459"/>
      <c r="AN909" s="459"/>
      <c r="AO909" s="459"/>
      <c r="AP909" s="460"/>
      <c r="AQ909" s="460"/>
      <c r="AR909" s="460"/>
      <c r="AS909" s="460"/>
      <c r="AT909" s="460"/>
      <c r="AU909" s="460"/>
      <c r="AV909" s="460"/>
      <c r="AW909" s="460"/>
      <c r="AX909" s="460"/>
      <c r="AY909" s="460"/>
      <c r="AZ909" s="460"/>
      <c r="BA909" s="460"/>
      <c r="BB909" s="460"/>
      <c r="BC909" s="460"/>
      <c r="BD909" s="460"/>
      <c r="BE909" s="460"/>
      <c r="BF909" s="460"/>
      <c r="BG909" s="460"/>
      <c r="BH909" s="460"/>
      <c r="BI909" s="460"/>
      <c r="BJ909" s="460"/>
      <c r="BK909" s="460"/>
      <c r="BL909" s="460"/>
      <c r="BM909" s="460"/>
      <c r="BN909" s="460"/>
      <c r="BO909" s="460"/>
      <c r="BP909" s="460"/>
      <c r="BQ909" s="460"/>
      <c r="BR909" s="460"/>
      <c r="BS909" s="460"/>
      <c r="BT909" s="460"/>
      <c r="BU909" s="460"/>
      <c r="BV909" s="460"/>
      <c r="BW909" s="460"/>
      <c r="BX909" s="460"/>
      <c r="BY909" s="460"/>
      <c r="BZ909" s="460"/>
      <c r="CA909" s="460"/>
      <c r="CB909" s="460"/>
      <c r="CC909" s="460"/>
      <c r="CD909" s="460"/>
      <c r="CE909" s="460"/>
      <c r="CF909" s="460"/>
      <c r="CG909" s="460"/>
      <c r="CH909" s="460"/>
      <c r="CI909" s="460"/>
      <c r="CJ909" s="460"/>
      <c r="CK909" s="460"/>
    </row>
    <row r="910" spans="1:89" s="329" customFormat="1" ht="36" customHeight="1" x14ac:dyDescent="0.25">
      <c r="A910" s="329">
        <v>1</v>
      </c>
      <c r="B910" s="39">
        <f>SUBTOTAL(103,$A$552:A910)</f>
        <v>319</v>
      </c>
      <c r="C910" s="33" t="s">
        <v>1659</v>
      </c>
      <c r="D910" s="330">
        <v>1972</v>
      </c>
      <c r="E910" s="330"/>
      <c r="F910" s="331" t="s">
        <v>48</v>
      </c>
      <c r="G910" s="330">
        <v>5</v>
      </c>
      <c r="H910" s="330" t="s">
        <v>1961</v>
      </c>
      <c r="I910" s="334">
        <v>4571.29</v>
      </c>
      <c r="J910" s="334">
        <v>4234.29</v>
      </c>
      <c r="K910" s="334">
        <v>2975.61</v>
      </c>
      <c r="L910" s="332">
        <v>227</v>
      </c>
      <c r="M910" s="330" t="s">
        <v>46</v>
      </c>
      <c r="N910" s="330" t="s">
        <v>50</v>
      </c>
      <c r="O910" s="333" t="s">
        <v>2084</v>
      </c>
      <c r="P910" s="38">
        <v>4719977.0600000005</v>
      </c>
      <c r="Q910" s="38">
        <v>0</v>
      </c>
      <c r="R910" s="38">
        <v>0</v>
      </c>
      <c r="S910" s="38">
        <f>P910-Q910-R910</f>
        <v>4719977.0600000005</v>
      </c>
      <c r="T910" s="38">
        <f t="shared" si="169"/>
        <v>1032.5262803278727</v>
      </c>
      <c r="U910" s="38">
        <v>3345.83</v>
      </c>
      <c r="V910" s="458">
        <f t="shared" si="177"/>
        <v>2313.303719672127</v>
      </c>
      <c r="W910" s="458">
        <f t="shared" ref="W910:W914" si="196">X910+Y910+Z910+AA910+AB910+AD910+AF910+AH910+AJ910+AL910+AN910+AO910</f>
        <v>3444.64</v>
      </c>
      <c r="X910" s="458">
        <v>0</v>
      </c>
      <c r="Y910" s="459">
        <v>0</v>
      </c>
      <c r="Z910" s="459">
        <v>3259.66</v>
      </c>
      <c r="AA910" s="459">
        <v>184.98</v>
      </c>
      <c r="AB910" s="459">
        <v>0</v>
      </c>
      <c r="AC910" s="459">
        <v>0</v>
      </c>
      <c r="AD910" s="459">
        <v>0</v>
      </c>
      <c r="AE910" s="459">
        <v>0</v>
      </c>
      <c r="AF910" s="458">
        <v>0</v>
      </c>
      <c r="AG910" s="459">
        <v>0</v>
      </c>
      <c r="AH910" s="458">
        <v>0</v>
      </c>
      <c r="AI910" s="459">
        <v>0</v>
      </c>
      <c r="AJ910" s="458">
        <v>0</v>
      </c>
      <c r="AK910" s="459">
        <v>0</v>
      </c>
      <c r="AL910" s="459">
        <v>0</v>
      </c>
      <c r="AM910" s="459">
        <v>0</v>
      </c>
      <c r="AN910" s="459"/>
      <c r="AO910" s="459">
        <v>0</v>
      </c>
      <c r="AP910" s="460"/>
      <c r="AQ910" s="460"/>
      <c r="AR910" s="460"/>
      <c r="AS910" s="460"/>
      <c r="AT910" s="460"/>
      <c r="AU910" s="460"/>
      <c r="AV910" s="460"/>
      <c r="AW910" s="460"/>
      <c r="AX910" s="460"/>
      <c r="AY910" s="460"/>
      <c r="AZ910" s="460"/>
      <c r="BA910" s="460"/>
      <c r="BB910" s="460"/>
      <c r="BC910" s="460"/>
      <c r="BD910" s="460"/>
      <c r="BE910" s="460"/>
      <c r="BF910" s="460"/>
      <c r="BG910" s="460"/>
      <c r="BH910" s="460"/>
      <c r="BI910" s="460"/>
      <c r="BJ910" s="460"/>
      <c r="BK910" s="460"/>
      <c r="BL910" s="460"/>
      <c r="BM910" s="460"/>
      <c r="BN910" s="460"/>
      <c r="BO910" s="460"/>
      <c r="BP910" s="460"/>
      <c r="BQ910" s="460"/>
      <c r="BR910" s="460"/>
      <c r="BS910" s="460"/>
      <c r="BT910" s="460"/>
      <c r="BU910" s="460"/>
      <c r="BV910" s="460"/>
      <c r="BW910" s="460"/>
      <c r="BX910" s="460"/>
      <c r="BY910" s="460"/>
      <c r="BZ910" s="460"/>
      <c r="CA910" s="460"/>
      <c r="CB910" s="460"/>
      <c r="CC910" s="460"/>
      <c r="CD910" s="460"/>
      <c r="CE910" s="460"/>
      <c r="CF910" s="460"/>
      <c r="CG910" s="460"/>
      <c r="CH910" s="460"/>
      <c r="CI910" s="460"/>
      <c r="CJ910" s="460"/>
      <c r="CK910" s="460"/>
    </row>
    <row r="911" spans="1:89" s="329" customFormat="1" ht="36" customHeight="1" x14ac:dyDescent="0.25">
      <c r="A911" s="329">
        <v>1</v>
      </c>
      <c r="B911" s="39">
        <f>SUBTOTAL(103,$A$552:A911)</f>
        <v>320</v>
      </c>
      <c r="C911" s="33" t="s">
        <v>1660</v>
      </c>
      <c r="D911" s="330">
        <v>1972</v>
      </c>
      <c r="E911" s="330"/>
      <c r="F911" s="331" t="s">
        <v>48</v>
      </c>
      <c r="G911" s="330">
        <v>2</v>
      </c>
      <c r="H911" s="330" t="s">
        <v>56</v>
      </c>
      <c r="I911" s="334">
        <v>716.4</v>
      </c>
      <c r="J911" s="334">
        <v>656.7</v>
      </c>
      <c r="K911" s="334">
        <v>656.7</v>
      </c>
      <c r="L911" s="332">
        <v>28</v>
      </c>
      <c r="M911" s="330" t="s">
        <v>46</v>
      </c>
      <c r="N911" s="330" t="s">
        <v>50</v>
      </c>
      <c r="O911" s="333" t="s">
        <v>2084</v>
      </c>
      <c r="P911" s="38">
        <v>5201936.34</v>
      </c>
      <c r="Q911" s="38">
        <v>0</v>
      </c>
      <c r="R911" s="38">
        <v>0</v>
      </c>
      <c r="S911" s="38">
        <f>P911-Q911-R911</f>
        <v>5201936.34</v>
      </c>
      <c r="T911" s="38">
        <f t="shared" si="169"/>
        <v>7261.217671691792</v>
      </c>
      <c r="U911" s="38">
        <v>7261.217671691792</v>
      </c>
      <c r="V911" s="458">
        <f t="shared" si="177"/>
        <v>0</v>
      </c>
      <c r="W911" s="458">
        <f t="shared" si="196"/>
        <v>6241.5226088777226</v>
      </c>
      <c r="X911" s="458">
        <v>0</v>
      </c>
      <c r="Y911" s="459">
        <v>0</v>
      </c>
      <c r="Z911" s="459">
        <v>0</v>
      </c>
      <c r="AA911" s="459">
        <v>0</v>
      </c>
      <c r="AB911" s="459">
        <v>0</v>
      </c>
      <c r="AC911" s="459">
        <v>0</v>
      </c>
      <c r="AD911" s="459">
        <v>0</v>
      </c>
      <c r="AE911" s="459">
        <v>716.7</v>
      </c>
      <c r="AF911" s="458">
        <f>6238.91*AE911/I911</f>
        <v>6241.5226088777226</v>
      </c>
      <c r="AG911" s="459">
        <v>0</v>
      </c>
      <c r="AH911" s="458">
        <v>0</v>
      </c>
      <c r="AI911" s="459">
        <v>0</v>
      </c>
      <c r="AJ911" s="458">
        <v>0</v>
      </c>
      <c r="AK911" s="459">
        <v>0</v>
      </c>
      <c r="AL911" s="459">
        <v>0</v>
      </c>
      <c r="AM911" s="459">
        <v>0</v>
      </c>
      <c r="AN911" s="459"/>
      <c r="AO911" s="459">
        <v>0</v>
      </c>
      <c r="AP911" s="460"/>
      <c r="AQ911" s="460"/>
      <c r="AR911" s="460"/>
      <c r="AS911" s="460"/>
      <c r="AT911" s="460"/>
      <c r="AU911" s="460"/>
      <c r="AV911" s="460"/>
      <c r="AW911" s="460"/>
      <c r="AX911" s="460"/>
      <c r="AY911" s="460"/>
      <c r="AZ911" s="460"/>
      <c r="BA911" s="460"/>
      <c r="BB911" s="460"/>
      <c r="BC911" s="460"/>
      <c r="BD911" s="460"/>
      <c r="BE911" s="460"/>
      <c r="BF911" s="460"/>
      <c r="BG911" s="460"/>
      <c r="BH911" s="460"/>
      <c r="BI911" s="460"/>
      <c r="BJ911" s="460"/>
      <c r="BK911" s="460"/>
      <c r="BL911" s="460"/>
      <c r="BM911" s="460"/>
      <c r="BN911" s="460"/>
      <c r="BO911" s="460"/>
      <c r="BP911" s="460"/>
      <c r="BQ911" s="460"/>
      <c r="BR911" s="460"/>
      <c r="BS911" s="460"/>
      <c r="BT911" s="460"/>
      <c r="BU911" s="460"/>
      <c r="BV911" s="460"/>
      <c r="BW911" s="460"/>
      <c r="BX911" s="460"/>
      <c r="BY911" s="460"/>
      <c r="BZ911" s="460"/>
      <c r="CA911" s="460"/>
      <c r="CB911" s="460"/>
      <c r="CC911" s="460"/>
      <c r="CD911" s="460"/>
      <c r="CE911" s="460"/>
      <c r="CF911" s="460"/>
      <c r="CG911" s="460"/>
      <c r="CH911" s="460"/>
      <c r="CI911" s="460"/>
      <c r="CJ911" s="460"/>
      <c r="CK911" s="460"/>
    </row>
    <row r="912" spans="1:89" s="329" customFormat="1" ht="36" customHeight="1" x14ac:dyDescent="0.25">
      <c r="A912" s="329">
        <v>1</v>
      </c>
      <c r="B912" s="39">
        <f>SUBTOTAL(103,$A$552:A912)</f>
        <v>321</v>
      </c>
      <c r="C912" s="33" t="s">
        <v>1661</v>
      </c>
      <c r="D912" s="330">
        <v>1963</v>
      </c>
      <c r="E912" s="330"/>
      <c r="F912" s="331" t="s">
        <v>48</v>
      </c>
      <c r="G912" s="330">
        <v>2</v>
      </c>
      <c r="H912" s="330" t="s">
        <v>56</v>
      </c>
      <c r="I912" s="38">
        <v>636.79999999999995</v>
      </c>
      <c r="J912" s="38">
        <v>636.79999999999995</v>
      </c>
      <c r="K912" s="38">
        <v>591.59999999999991</v>
      </c>
      <c r="L912" s="332">
        <v>27</v>
      </c>
      <c r="M912" s="330" t="s">
        <v>46</v>
      </c>
      <c r="N912" s="330" t="s">
        <v>47</v>
      </c>
      <c r="O912" s="333" t="s">
        <v>49</v>
      </c>
      <c r="P912" s="38">
        <v>3531563.4499999997</v>
      </c>
      <c r="Q912" s="38">
        <v>0</v>
      </c>
      <c r="R912" s="38">
        <v>0</v>
      </c>
      <c r="S912" s="38">
        <f>P912-Q912-R912</f>
        <v>3531563.4499999997</v>
      </c>
      <c r="T912" s="38">
        <f t="shared" si="169"/>
        <v>5545.796875</v>
      </c>
      <c r="U912" s="38">
        <v>6015.4055606155771</v>
      </c>
      <c r="V912" s="458">
        <f t="shared" si="177"/>
        <v>469.60868561557709</v>
      </c>
      <c r="W912" s="458">
        <f t="shared" si="196"/>
        <v>5994.9576460427133</v>
      </c>
      <c r="X912" s="458">
        <v>0</v>
      </c>
      <c r="Y912" s="459">
        <v>0</v>
      </c>
      <c r="Z912" s="459">
        <v>0</v>
      </c>
      <c r="AA912" s="459">
        <v>0</v>
      </c>
      <c r="AB912" s="459">
        <v>0</v>
      </c>
      <c r="AC912" s="459">
        <v>0</v>
      </c>
      <c r="AD912" s="459">
        <v>0</v>
      </c>
      <c r="AE912" s="459">
        <v>611.9</v>
      </c>
      <c r="AF912" s="458">
        <f>6238.91*AE912/I912</f>
        <v>5994.9576460427133</v>
      </c>
      <c r="AG912" s="459">
        <v>0</v>
      </c>
      <c r="AH912" s="458">
        <v>0</v>
      </c>
      <c r="AI912" s="459">
        <v>0</v>
      </c>
      <c r="AJ912" s="458">
        <v>0</v>
      </c>
      <c r="AK912" s="459">
        <v>0</v>
      </c>
      <c r="AL912" s="459">
        <v>0</v>
      </c>
      <c r="AM912" s="459">
        <v>0</v>
      </c>
      <c r="AN912" s="459"/>
      <c r="AO912" s="459">
        <v>0</v>
      </c>
      <c r="AP912" s="460"/>
      <c r="AQ912" s="460"/>
      <c r="AR912" s="460"/>
      <c r="AS912" s="460"/>
      <c r="AT912" s="460"/>
      <c r="AU912" s="460"/>
      <c r="AV912" s="460"/>
      <c r="AW912" s="460"/>
      <c r="AX912" s="460"/>
      <c r="AY912" s="460"/>
      <c r="AZ912" s="460"/>
      <c r="BA912" s="460"/>
      <c r="BB912" s="460"/>
      <c r="BC912" s="460"/>
      <c r="BD912" s="460"/>
      <c r="BE912" s="460"/>
      <c r="BF912" s="460"/>
      <c r="BG912" s="460"/>
      <c r="BH912" s="460"/>
      <c r="BI912" s="460"/>
      <c r="BJ912" s="460"/>
      <c r="BK912" s="460"/>
      <c r="BL912" s="460"/>
      <c r="BM912" s="460"/>
      <c r="BN912" s="460"/>
      <c r="BO912" s="460"/>
      <c r="BP912" s="460"/>
      <c r="BQ912" s="460"/>
      <c r="BR912" s="460"/>
      <c r="BS912" s="460"/>
      <c r="BT912" s="460"/>
      <c r="BU912" s="460"/>
      <c r="BV912" s="460"/>
      <c r="BW912" s="460"/>
      <c r="BX912" s="460"/>
      <c r="BY912" s="460"/>
      <c r="BZ912" s="460"/>
      <c r="CA912" s="460"/>
      <c r="CB912" s="460"/>
      <c r="CC912" s="460"/>
      <c r="CD912" s="460"/>
      <c r="CE912" s="460"/>
      <c r="CF912" s="460"/>
      <c r="CG912" s="460"/>
      <c r="CH912" s="460"/>
      <c r="CI912" s="460"/>
      <c r="CJ912" s="460"/>
      <c r="CK912" s="460"/>
    </row>
    <row r="913" spans="1:89" s="329" customFormat="1" ht="36" customHeight="1" x14ac:dyDescent="0.25">
      <c r="A913" s="329">
        <v>1</v>
      </c>
      <c r="B913" s="39">
        <f>SUBTOTAL(103,$A$552:A913)</f>
        <v>322</v>
      </c>
      <c r="C913" s="33" t="s">
        <v>1352</v>
      </c>
      <c r="D913" s="330">
        <v>1964</v>
      </c>
      <c r="E913" s="330"/>
      <c r="F913" s="331" t="s">
        <v>48</v>
      </c>
      <c r="G913" s="330">
        <v>3</v>
      </c>
      <c r="H913" s="330" t="s">
        <v>56</v>
      </c>
      <c r="I913" s="334">
        <v>961.6</v>
      </c>
      <c r="J913" s="334">
        <v>723.4</v>
      </c>
      <c r="K913" s="334">
        <v>723.4</v>
      </c>
      <c r="L913" s="332">
        <v>25</v>
      </c>
      <c r="M913" s="330" t="s">
        <v>46</v>
      </c>
      <c r="N913" s="330" t="s">
        <v>50</v>
      </c>
      <c r="O913" s="333" t="s">
        <v>2084</v>
      </c>
      <c r="P913" s="38">
        <v>3142502.06</v>
      </c>
      <c r="Q913" s="38">
        <v>0</v>
      </c>
      <c r="R913" s="38">
        <v>0</v>
      </c>
      <c r="S913" s="38">
        <f>P913-Q913-R913</f>
        <v>3142502.06</v>
      </c>
      <c r="T913" s="38">
        <f t="shared" ref="T913:T977" si="197">P913/I913</f>
        <v>3267.9929908485856</v>
      </c>
      <c r="U913" s="38">
        <v>4079.9304003743759</v>
      </c>
      <c r="V913" s="458">
        <f t="shared" si="177"/>
        <v>811.93740952579037</v>
      </c>
      <c r="W913" s="458">
        <f t="shared" si="196"/>
        <v>4649.9862697587359</v>
      </c>
      <c r="X913" s="458">
        <v>0</v>
      </c>
      <c r="Y913" s="459">
        <v>0</v>
      </c>
      <c r="Z913" s="459">
        <v>0</v>
      </c>
      <c r="AA913" s="459">
        <v>0</v>
      </c>
      <c r="AB913" s="459">
        <v>0</v>
      </c>
      <c r="AC913" s="459">
        <v>0</v>
      </c>
      <c r="AD913" s="459">
        <v>0</v>
      </c>
      <c r="AE913" s="459">
        <v>716.7</v>
      </c>
      <c r="AF913" s="458">
        <f>6238.91*AE913/I913</f>
        <v>4649.9862697587359</v>
      </c>
      <c r="AG913" s="459">
        <v>0</v>
      </c>
      <c r="AH913" s="458">
        <v>0</v>
      </c>
      <c r="AI913" s="459">
        <v>0</v>
      </c>
      <c r="AJ913" s="458">
        <v>0</v>
      </c>
      <c r="AK913" s="459">
        <v>0</v>
      </c>
      <c r="AL913" s="459">
        <v>0</v>
      </c>
      <c r="AM913" s="459">
        <v>0</v>
      </c>
      <c r="AN913" s="459"/>
      <c r="AO913" s="459">
        <v>0</v>
      </c>
      <c r="AP913" s="460"/>
      <c r="AQ913" s="460"/>
      <c r="AR913" s="460"/>
      <c r="AS913" s="460"/>
      <c r="AT913" s="460"/>
      <c r="AU913" s="460"/>
      <c r="AV913" s="460"/>
      <c r="AW913" s="460"/>
      <c r="AX913" s="460"/>
      <c r="AY913" s="460"/>
      <c r="AZ913" s="460"/>
      <c r="BA913" s="460"/>
      <c r="BB913" s="460"/>
      <c r="BC913" s="460"/>
      <c r="BD913" s="460"/>
      <c r="BE913" s="460"/>
      <c r="BF913" s="460"/>
      <c r="BG913" s="460"/>
      <c r="BH913" s="460"/>
      <c r="BI913" s="460"/>
      <c r="BJ913" s="460"/>
      <c r="BK913" s="460"/>
      <c r="BL913" s="460"/>
      <c r="BM913" s="460"/>
      <c r="BN913" s="460"/>
      <c r="BO913" s="460"/>
      <c r="BP913" s="460"/>
      <c r="BQ913" s="460"/>
      <c r="BR913" s="460"/>
      <c r="BS913" s="460"/>
      <c r="BT913" s="460"/>
      <c r="BU913" s="460"/>
      <c r="BV913" s="460"/>
      <c r="BW913" s="460"/>
      <c r="BX913" s="460"/>
      <c r="BY913" s="460"/>
      <c r="BZ913" s="460"/>
      <c r="CA913" s="460"/>
      <c r="CB913" s="460"/>
      <c r="CC913" s="460"/>
      <c r="CD913" s="460"/>
      <c r="CE913" s="460"/>
      <c r="CF913" s="460"/>
      <c r="CG913" s="460"/>
      <c r="CH913" s="460"/>
      <c r="CI913" s="460"/>
      <c r="CJ913" s="460"/>
      <c r="CK913" s="460"/>
    </row>
    <row r="914" spans="1:89" s="329" customFormat="1" ht="36" customHeight="1" x14ac:dyDescent="0.25">
      <c r="A914" s="329">
        <v>1</v>
      </c>
      <c r="B914" s="39">
        <f>SUBTOTAL(103,$A$552:A914)</f>
        <v>323</v>
      </c>
      <c r="C914" s="33" t="s">
        <v>1662</v>
      </c>
      <c r="D914" s="330">
        <v>1982</v>
      </c>
      <c r="E914" s="330"/>
      <c r="F914" s="331" t="s">
        <v>48</v>
      </c>
      <c r="G914" s="330">
        <v>5</v>
      </c>
      <c r="H914" s="330" t="s">
        <v>1977</v>
      </c>
      <c r="I914" s="38">
        <v>6331.45</v>
      </c>
      <c r="J914" s="38">
        <v>5114.5</v>
      </c>
      <c r="K914" s="38">
        <v>5066.51</v>
      </c>
      <c r="L914" s="332">
        <v>198</v>
      </c>
      <c r="M914" s="330" t="s">
        <v>46</v>
      </c>
      <c r="N914" s="330" t="s">
        <v>50</v>
      </c>
      <c r="O914" s="333" t="s">
        <v>2084</v>
      </c>
      <c r="P914" s="38">
        <v>9394873.7499999981</v>
      </c>
      <c r="Q914" s="38">
        <v>0</v>
      </c>
      <c r="R914" s="38">
        <v>0</v>
      </c>
      <c r="S914" s="38">
        <f>P914-Q914-R914</f>
        <v>9394873.7499999981</v>
      </c>
      <c r="T914" s="38">
        <f t="shared" si="197"/>
        <v>1483.8423662826049</v>
      </c>
      <c r="U914" s="38">
        <v>4532.13</v>
      </c>
      <c r="V914" s="458">
        <f t="shared" si="177"/>
        <v>3048.2876337173952</v>
      </c>
      <c r="W914" s="458">
        <f t="shared" si="196"/>
        <v>602.95651533219086</v>
      </c>
      <c r="X914" s="458">
        <v>0</v>
      </c>
      <c r="Y914" s="459">
        <v>0</v>
      </c>
      <c r="Z914" s="459">
        <v>0</v>
      </c>
      <c r="AA914" s="459">
        <v>0</v>
      </c>
      <c r="AB914" s="459">
        <v>0</v>
      </c>
      <c r="AC914" s="459">
        <v>0</v>
      </c>
      <c r="AD914" s="459">
        <v>0</v>
      </c>
      <c r="AE914" s="459">
        <v>611.9</v>
      </c>
      <c r="AF914" s="458">
        <f>6238.91*AE914/I914</f>
        <v>602.95651533219086</v>
      </c>
      <c r="AG914" s="459">
        <v>0</v>
      </c>
      <c r="AH914" s="458">
        <v>0</v>
      </c>
      <c r="AI914" s="459">
        <v>0</v>
      </c>
      <c r="AJ914" s="458">
        <v>0</v>
      </c>
      <c r="AK914" s="459">
        <v>0</v>
      </c>
      <c r="AL914" s="459">
        <v>0</v>
      </c>
      <c r="AM914" s="459">
        <v>0</v>
      </c>
      <c r="AN914" s="459"/>
      <c r="AO914" s="459">
        <v>0</v>
      </c>
      <c r="AP914" s="460"/>
      <c r="AQ914" s="460"/>
      <c r="AR914" s="460"/>
      <c r="AS914" s="460"/>
      <c r="AT914" s="460"/>
      <c r="AU914" s="460"/>
      <c r="AV914" s="460"/>
      <c r="AW914" s="460"/>
      <c r="AX914" s="460"/>
      <c r="AY914" s="460"/>
      <c r="AZ914" s="460"/>
      <c r="BA914" s="460"/>
      <c r="BB914" s="460"/>
      <c r="BC914" s="460"/>
      <c r="BD914" s="460"/>
      <c r="BE914" s="460"/>
      <c r="BF914" s="460"/>
      <c r="BG914" s="460"/>
      <c r="BH914" s="460"/>
      <c r="BI914" s="460"/>
      <c r="BJ914" s="460"/>
      <c r="BK914" s="460"/>
      <c r="BL914" s="460"/>
      <c r="BM914" s="460"/>
      <c r="BN914" s="460"/>
      <c r="BO914" s="460"/>
      <c r="BP914" s="460"/>
      <c r="BQ914" s="460"/>
      <c r="BR914" s="460"/>
      <c r="BS914" s="460"/>
      <c r="BT914" s="460"/>
      <c r="BU914" s="460"/>
      <c r="BV914" s="460"/>
      <c r="BW914" s="460"/>
      <c r="BX914" s="460"/>
      <c r="BY914" s="460"/>
      <c r="BZ914" s="460"/>
      <c r="CA914" s="460"/>
      <c r="CB914" s="460"/>
      <c r="CC914" s="460"/>
      <c r="CD914" s="460"/>
      <c r="CE914" s="460"/>
      <c r="CF914" s="460"/>
      <c r="CG914" s="460"/>
      <c r="CH914" s="460"/>
      <c r="CI914" s="460"/>
      <c r="CJ914" s="460"/>
      <c r="CK914" s="460"/>
    </row>
    <row r="915" spans="1:89" s="329" customFormat="1" ht="36" customHeight="1" x14ac:dyDescent="0.25">
      <c r="B915" s="33" t="s">
        <v>1358</v>
      </c>
      <c r="C915" s="33"/>
      <c r="D915" s="330" t="s">
        <v>131</v>
      </c>
      <c r="E915" s="330" t="s">
        <v>131</v>
      </c>
      <c r="F915" s="330" t="s">
        <v>131</v>
      </c>
      <c r="G915" s="330" t="s">
        <v>131</v>
      </c>
      <c r="H915" s="330" t="s">
        <v>131</v>
      </c>
      <c r="I915" s="334">
        <f>SUM(I916:I918)</f>
        <v>8831.67</v>
      </c>
      <c r="J915" s="334">
        <f>SUM(J916:J918)</f>
        <v>7120.7900000000009</v>
      </c>
      <c r="K915" s="334">
        <f>SUM(K916:K918)</f>
        <v>6353.68</v>
      </c>
      <c r="L915" s="332">
        <f>SUM(L916:L918)</f>
        <v>282</v>
      </c>
      <c r="M915" s="330" t="s">
        <v>131</v>
      </c>
      <c r="N915" s="330" t="s">
        <v>131</v>
      </c>
      <c r="O915" s="333" t="s">
        <v>131</v>
      </c>
      <c r="P915" s="38">
        <v>11675176.630000001</v>
      </c>
      <c r="Q915" s="38">
        <f>SUM(Q916:Q918)</f>
        <v>0</v>
      </c>
      <c r="R915" s="38">
        <f>SUM(R916:R918)</f>
        <v>0</v>
      </c>
      <c r="S915" s="38">
        <f>SUM(S916:S918)</f>
        <v>11675176.630000001</v>
      </c>
      <c r="T915" s="38">
        <f t="shared" si="197"/>
        <v>1321.9670379441261</v>
      </c>
      <c r="U915" s="38">
        <f>MAX(U916:U918)</f>
        <v>4538.6829638375639</v>
      </c>
      <c r="V915" s="458">
        <f t="shared" si="177"/>
        <v>3216.715925893438</v>
      </c>
      <c r="W915" s="458"/>
      <c r="X915" s="458"/>
      <c r="Y915" s="459"/>
      <c r="Z915" s="459"/>
      <c r="AA915" s="459"/>
      <c r="AB915" s="459"/>
      <c r="AC915" s="459"/>
      <c r="AD915" s="459"/>
      <c r="AE915" s="459"/>
      <c r="AF915" s="459"/>
      <c r="AG915" s="459"/>
      <c r="AH915" s="459"/>
      <c r="AI915" s="459"/>
      <c r="AJ915" s="459"/>
      <c r="AK915" s="459"/>
      <c r="AL915" s="459"/>
      <c r="AM915" s="459"/>
      <c r="AN915" s="459"/>
      <c r="AO915" s="459"/>
      <c r="AP915" s="460"/>
      <c r="AQ915" s="460"/>
      <c r="AR915" s="460"/>
      <c r="AS915" s="460"/>
      <c r="AT915" s="460"/>
      <c r="AU915" s="460"/>
      <c r="AV915" s="460"/>
      <c r="AW915" s="460"/>
      <c r="AX915" s="460"/>
      <c r="AY915" s="460"/>
      <c r="AZ915" s="460"/>
      <c r="BA915" s="460"/>
      <c r="BB915" s="460"/>
      <c r="BC915" s="460"/>
      <c r="BD915" s="460"/>
      <c r="BE915" s="460"/>
      <c r="BF915" s="460"/>
      <c r="BG915" s="460"/>
      <c r="BH915" s="460"/>
      <c r="BI915" s="460"/>
      <c r="BJ915" s="460"/>
      <c r="BK915" s="460"/>
      <c r="BL915" s="460"/>
      <c r="BM915" s="460"/>
      <c r="BN915" s="460"/>
      <c r="BO915" s="460"/>
      <c r="BP915" s="460"/>
      <c r="BQ915" s="460"/>
      <c r="BR915" s="460"/>
      <c r="BS915" s="460"/>
      <c r="BT915" s="460"/>
      <c r="BU915" s="460"/>
      <c r="BV915" s="460"/>
      <c r="BW915" s="460"/>
      <c r="BX915" s="460"/>
      <c r="BY915" s="460"/>
      <c r="BZ915" s="460"/>
      <c r="CA915" s="460"/>
      <c r="CB915" s="460"/>
      <c r="CC915" s="460"/>
      <c r="CD915" s="460"/>
      <c r="CE915" s="460"/>
      <c r="CF915" s="460"/>
      <c r="CG915" s="460"/>
      <c r="CH915" s="460"/>
      <c r="CI915" s="460"/>
      <c r="CJ915" s="460"/>
      <c r="CK915" s="460"/>
    </row>
    <row r="916" spans="1:89" s="329" customFormat="1" ht="36" customHeight="1" x14ac:dyDescent="0.25">
      <c r="A916" s="329">
        <v>1</v>
      </c>
      <c r="B916" s="39">
        <f>SUBTOTAL(103,$A$552:A916)</f>
        <v>324</v>
      </c>
      <c r="C916" s="33" t="s">
        <v>1663</v>
      </c>
      <c r="D916" s="330">
        <v>1989</v>
      </c>
      <c r="E916" s="330"/>
      <c r="F916" s="331" t="s">
        <v>48</v>
      </c>
      <c r="G916" s="330">
        <v>5</v>
      </c>
      <c r="H916" s="330" t="s">
        <v>1969</v>
      </c>
      <c r="I916" s="334">
        <v>5889.36</v>
      </c>
      <c r="J916" s="334">
        <v>4270.6000000000004</v>
      </c>
      <c r="K916" s="334">
        <v>4123.1000000000004</v>
      </c>
      <c r="L916" s="332">
        <v>193</v>
      </c>
      <c r="M916" s="330" t="s">
        <v>46</v>
      </c>
      <c r="N916" s="330" t="s">
        <v>50</v>
      </c>
      <c r="O916" s="333" t="s">
        <v>2086</v>
      </c>
      <c r="P916" s="38">
        <v>7814727.5099999998</v>
      </c>
      <c r="Q916" s="38">
        <v>0</v>
      </c>
      <c r="R916" s="38">
        <v>0</v>
      </c>
      <c r="S916" s="38">
        <f>P916-Q916-R916</f>
        <v>7814727.5099999998</v>
      </c>
      <c r="T916" s="38">
        <f t="shared" si="197"/>
        <v>1326.9230459676435</v>
      </c>
      <c r="U916" s="38">
        <v>1774.3030054199439</v>
      </c>
      <c r="V916" s="458">
        <f t="shared" si="177"/>
        <v>447.37995945230045</v>
      </c>
      <c r="W916" s="458">
        <f t="shared" ref="W916:W917" si="198">X916+Y916+Z916+AA916+AB916+AD916+AF916+AH916+AJ916+AL916+AN916+AO916</f>
        <v>1768.2716920004891</v>
      </c>
      <c r="X916" s="458">
        <v>0</v>
      </c>
      <c r="Y916" s="459">
        <v>0</v>
      </c>
      <c r="Z916" s="459">
        <v>0</v>
      </c>
      <c r="AA916" s="459">
        <v>0</v>
      </c>
      <c r="AB916" s="459">
        <v>0</v>
      </c>
      <c r="AC916" s="459">
        <v>0</v>
      </c>
      <c r="AD916" s="459">
        <v>0</v>
      </c>
      <c r="AE916" s="459">
        <v>1669.2</v>
      </c>
      <c r="AF916" s="458">
        <f>6238.91*AE916/I916</f>
        <v>1768.2716920004891</v>
      </c>
      <c r="AG916" s="459">
        <v>0</v>
      </c>
      <c r="AH916" s="458">
        <v>0</v>
      </c>
      <c r="AI916" s="459">
        <v>0</v>
      </c>
      <c r="AJ916" s="458">
        <v>0</v>
      </c>
      <c r="AK916" s="459">
        <v>0</v>
      </c>
      <c r="AL916" s="459">
        <v>0</v>
      </c>
      <c r="AM916" s="459">
        <v>0</v>
      </c>
      <c r="AN916" s="459"/>
      <c r="AO916" s="459">
        <v>0</v>
      </c>
      <c r="AP916" s="460"/>
      <c r="AQ916" s="460"/>
      <c r="AR916" s="460"/>
      <c r="AS916" s="460"/>
      <c r="AT916" s="460"/>
      <c r="AU916" s="460"/>
      <c r="AV916" s="460"/>
      <c r="AW916" s="460"/>
      <c r="AX916" s="460"/>
      <c r="AY916" s="460"/>
      <c r="AZ916" s="460"/>
      <c r="BA916" s="460"/>
      <c r="BB916" s="460"/>
      <c r="BC916" s="460"/>
      <c r="BD916" s="460"/>
      <c r="BE916" s="460"/>
      <c r="BF916" s="460"/>
      <c r="BG916" s="460"/>
      <c r="BH916" s="460"/>
      <c r="BI916" s="460"/>
      <c r="BJ916" s="460"/>
      <c r="BK916" s="460"/>
      <c r="BL916" s="460"/>
      <c r="BM916" s="460"/>
      <c r="BN916" s="460"/>
      <c r="BO916" s="460"/>
      <c r="BP916" s="460"/>
      <c r="BQ916" s="460"/>
      <c r="BR916" s="460"/>
      <c r="BS916" s="460"/>
      <c r="BT916" s="460"/>
      <c r="BU916" s="460"/>
      <c r="BV916" s="460"/>
      <c r="BW916" s="460"/>
      <c r="BX916" s="460"/>
      <c r="BY916" s="460"/>
      <c r="BZ916" s="460"/>
      <c r="CA916" s="460"/>
      <c r="CB916" s="460"/>
      <c r="CC916" s="460"/>
      <c r="CD916" s="460"/>
      <c r="CE916" s="460"/>
      <c r="CF916" s="460"/>
      <c r="CG916" s="460"/>
      <c r="CH916" s="460"/>
      <c r="CI916" s="460"/>
      <c r="CJ916" s="460"/>
      <c r="CK916" s="460"/>
    </row>
    <row r="917" spans="1:89" s="329" customFormat="1" ht="36" customHeight="1" x14ac:dyDescent="0.25">
      <c r="A917" s="329">
        <v>1</v>
      </c>
      <c r="B917" s="39">
        <f>SUBTOTAL(103,$A$552:A917)</f>
        <v>325</v>
      </c>
      <c r="C917" s="33" t="s">
        <v>1664</v>
      </c>
      <c r="D917" s="330">
        <v>1958</v>
      </c>
      <c r="E917" s="330"/>
      <c r="F917" s="331" t="s">
        <v>48</v>
      </c>
      <c r="G917" s="330">
        <v>2</v>
      </c>
      <c r="H917" s="330" t="s">
        <v>56</v>
      </c>
      <c r="I917" s="334">
        <v>796.13</v>
      </c>
      <c r="J917" s="334">
        <v>704.01</v>
      </c>
      <c r="K917" s="334">
        <v>474.19</v>
      </c>
      <c r="L917" s="332">
        <v>11</v>
      </c>
      <c r="M917" s="330" t="s">
        <v>46</v>
      </c>
      <c r="N917" s="330" t="s">
        <v>50</v>
      </c>
      <c r="O917" s="333" t="s">
        <v>2086</v>
      </c>
      <c r="P917" s="38">
        <v>3224616.45</v>
      </c>
      <c r="Q917" s="38">
        <v>0</v>
      </c>
      <c r="R917" s="38">
        <v>0</v>
      </c>
      <c r="S917" s="38">
        <f>P917-Q917-R917</f>
        <v>3224616.45</v>
      </c>
      <c r="T917" s="38">
        <f t="shared" si="197"/>
        <v>4050.3641993141828</v>
      </c>
      <c r="U917" s="38">
        <v>4538.6829638375639</v>
      </c>
      <c r="V917" s="458">
        <f t="shared" si="177"/>
        <v>488.31876452338111</v>
      </c>
      <c r="W917" s="458">
        <f t="shared" si="198"/>
        <v>4523.2548101440725</v>
      </c>
      <c r="X917" s="458">
        <v>0</v>
      </c>
      <c r="Y917" s="459">
        <v>0</v>
      </c>
      <c r="Z917" s="459">
        <v>0</v>
      </c>
      <c r="AA917" s="459">
        <v>0</v>
      </c>
      <c r="AB917" s="459">
        <v>0</v>
      </c>
      <c r="AC917" s="459">
        <v>0</v>
      </c>
      <c r="AD917" s="459">
        <v>0</v>
      </c>
      <c r="AE917" s="459">
        <v>577.20000000000005</v>
      </c>
      <c r="AF917" s="458">
        <f>6238.91*AE917/I917</f>
        <v>4523.2548101440725</v>
      </c>
      <c r="AG917" s="459">
        <v>0</v>
      </c>
      <c r="AH917" s="458">
        <v>0</v>
      </c>
      <c r="AI917" s="459">
        <v>0</v>
      </c>
      <c r="AJ917" s="458">
        <v>0</v>
      </c>
      <c r="AK917" s="459">
        <v>0</v>
      </c>
      <c r="AL917" s="459">
        <v>0</v>
      </c>
      <c r="AM917" s="459">
        <v>0</v>
      </c>
      <c r="AN917" s="459"/>
      <c r="AO917" s="459">
        <v>0</v>
      </c>
      <c r="AP917" s="460"/>
      <c r="AQ917" s="460"/>
      <c r="AR917" s="460"/>
      <c r="AS917" s="460"/>
      <c r="AT917" s="460"/>
      <c r="AU917" s="460"/>
      <c r="AV917" s="460"/>
      <c r="AW917" s="460"/>
      <c r="AX917" s="460"/>
      <c r="AY917" s="460"/>
      <c r="AZ917" s="460"/>
      <c r="BA917" s="460"/>
      <c r="BB917" s="460"/>
      <c r="BC917" s="460"/>
      <c r="BD917" s="460"/>
      <c r="BE917" s="460"/>
      <c r="BF917" s="460"/>
      <c r="BG917" s="460"/>
      <c r="BH917" s="460"/>
      <c r="BI917" s="460"/>
      <c r="BJ917" s="460"/>
      <c r="BK917" s="460"/>
      <c r="BL917" s="460"/>
      <c r="BM917" s="460"/>
      <c r="BN917" s="460"/>
      <c r="BO917" s="460"/>
      <c r="BP917" s="460"/>
      <c r="BQ917" s="460"/>
      <c r="BR917" s="460"/>
      <c r="BS917" s="460"/>
      <c r="BT917" s="460"/>
      <c r="BU917" s="460"/>
      <c r="BV917" s="460"/>
      <c r="BW917" s="460"/>
      <c r="BX917" s="460"/>
      <c r="BY917" s="460"/>
      <c r="BZ917" s="460"/>
      <c r="CA917" s="460"/>
      <c r="CB917" s="460"/>
      <c r="CC917" s="460"/>
      <c r="CD917" s="460"/>
      <c r="CE917" s="460"/>
      <c r="CF917" s="460"/>
      <c r="CG917" s="460"/>
      <c r="CH917" s="460"/>
      <c r="CI917" s="460"/>
      <c r="CJ917" s="460"/>
      <c r="CK917" s="460"/>
    </row>
    <row r="918" spans="1:89" s="329" customFormat="1" ht="36" customHeight="1" x14ac:dyDescent="0.25">
      <c r="A918" s="329">
        <v>1</v>
      </c>
      <c r="B918" s="39">
        <f>SUBTOTAL(103,$A$552:A918)</f>
        <v>326</v>
      </c>
      <c r="C918" s="33" t="s">
        <v>1360</v>
      </c>
      <c r="D918" s="330">
        <v>1974</v>
      </c>
      <c r="E918" s="330"/>
      <c r="F918" s="331" t="s">
        <v>48</v>
      </c>
      <c r="G918" s="330">
        <v>5</v>
      </c>
      <c r="H918" s="330" t="s">
        <v>56</v>
      </c>
      <c r="I918" s="38">
        <v>2146.1799999999998</v>
      </c>
      <c r="J918" s="38">
        <v>2146.1799999999998</v>
      </c>
      <c r="K918" s="38">
        <v>1756.39</v>
      </c>
      <c r="L918" s="332">
        <v>78</v>
      </c>
      <c r="M918" s="330" t="s">
        <v>46</v>
      </c>
      <c r="N918" s="330" t="s">
        <v>50</v>
      </c>
      <c r="O918" s="333" t="s">
        <v>2086</v>
      </c>
      <c r="P918" s="38">
        <v>635832.67000000004</v>
      </c>
      <c r="Q918" s="38">
        <v>0</v>
      </c>
      <c r="R918" s="38">
        <v>0</v>
      </c>
      <c r="S918" s="38">
        <f>P918-Q918-R918</f>
        <v>635832.67000000004</v>
      </c>
      <c r="T918" s="38">
        <f t="shared" si="197"/>
        <v>296.26250827050859</v>
      </c>
      <c r="U918" s="38">
        <v>296.26250827050859</v>
      </c>
      <c r="V918" s="458">
        <f t="shared" si="177"/>
        <v>0</v>
      </c>
      <c r="W918" s="458">
        <f>T918</f>
        <v>296.26250827050859</v>
      </c>
      <c r="X918" s="458">
        <v>0</v>
      </c>
      <c r="Y918" s="459">
        <v>0</v>
      </c>
      <c r="Z918" s="459">
        <v>0</v>
      </c>
      <c r="AA918" s="459">
        <v>184.98</v>
      </c>
      <c r="AB918" s="459">
        <v>0</v>
      </c>
      <c r="AC918" s="459">
        <v>0</v>
      </c>
      <c r="AD918" s="459">
        <v>0</v>
      </c>
      <c r="AE918" s="459">
        <v>0</v>
      </c>
      <c r="AF918" s="458">
        <v>0</v>
      </c>
      <c r="AG918" s="459">
        <v>0</v>
      </c>
      <c r="AH918" s="458">
        <v>0</v>
      </c>
      <c r="AI918" s="459">
        <v>0</v>
      </c>
      <c r="AJ918" s="458">
        <v>0</v>
      </c>
      <c r="AK918" s="459">
        <v>0</v>
      </c>
      <c r="AL918" s="459">
        <v>0</v>
      </c>
      <c r="AM918" s="459">
        <v>0</v>
      </c>
      <c r="AN918" s="459"/>
      <c r="AO918" s="459">
        <v>0</v>
      </c>
      <c r="AP918" s="460"/>
      <c r="AQ918" s="460"/>
      <c r="AR918" s="460"/>
      <c r="AS918" s="460"/>
      <c r="AT918" s="460"/>
      <c r="AU918" s="460"/>
      <c r="AV918" s="460"/>
      <c r="AW918" s="460"/>
      <c r="AX918" s="460"/>
      <c r="AY918" s="460"/>
      <c r="AZ918" s="460"/>
      <c r="BA918" s="460"/>
      <c r="BB918" s="460"/>
      <c r="BC918" s="460"/>
      <c r="BD918" s="460"/>
      <c r="BE918" s="460"/>
      <c r="BF918" s="460"/>
      <c r="BG918" s="460"/>
      <c r="BH918" s="460"/>
      <c r="BI918" s="460"/>
      <c r="BJ918" s="460"/>
      <c r="BK918" s="460"/>
      <c r="BL918" s="460"/>
      <c r="BM918" s="460"/>
      <c r="BN918" s="460"/>
      <c r="BO918" s="460"/>
      <c r="BP918" s="460"/>
      <c r="BQ918" s="460"/>
      <c r="BR918" s="460"/>
      <c r="BS918" s="460"/>
      <c r="BT918" s="460"/>
      <c r="BU918" s="460"/>
      <c r="BV918" s="460"/>
      <c r="BW918" s="460"/>
      <c r="BX918" s="460"/>
      <c r="BY918" s="460"/>
      <c r="BZ918" s="460"/>
      <c r="CA918" s="460"/>
      <c r="CB918" s="460"/>
      <c r="CC918" s="460"/>
      <c r="CD918" s="460"/>
      <c r="CE918" s="460"/>
      <c r="CF918" s="460"/>
      <c r="CG918" s="460"/>
      <c r="CH918" s="460"/>
      <c r="CI918" s="460"/>
      <c r="CJ918" s="460"/>
      <c r="CK918" s="460"/>
    </row>
    <row r="919" spans="1:89" s="329" customFormat="1" ht="36" customHeight="1" x14ac:dyDescent="0.25">
      <c r="B919" s="33" t="s">
        <v>1361</v>
      </c>
      <c r="C919" s="33"/>
      <c r="D919" s="330" t="s">
        <v>131</v>
      </c>
      <c r="E919" s="330" t="s">
        <v>131</v>
      </c>
      <c r="F919" s="330" t="s">
        <v>131</v>
      </c>
      <c r="G919" s="330" t="s">
        <v>131</v>
      </c>
      <c r="H919" s="330" t="s">
        <v>131</v>
      </c>
      <c r="I919" s="334">
        <f>I920</f>
        <v>485.3</v>
      </c>
      <c r="J919" s="334">
        <f>J920</f>
        <v>441.3</v>
      </c>
      <c r="K919" s="334">
        <f>K920</f>
        <v>441.3</v>
      </c>
      <c r="L919" s="332">
        <f>L920</f>
        <v>16</v>
      </c>
      <c r="M919" s="330" t="s">
        <v>131</v>
      </c>
      <c r="N919" s="330" t="s">
        <v>131</v>
      </c>
      <c r="O919" s="333" t="s">
        <v>131</v>
      </c>
      <c r="P919" s="38">
        <v>2311215.4500000002</v>
      </c>
      <c r="Q919" s="38">
        <f>Q920</f>
        <v>0</v>
      </c>
      <c r="R919" s="38">
        <f>R920</f>
        <v>0</v>
      </c>
      <c r="S919" s="38">
        <f>S920</f>
        <v>2311215.4500000002</v>
      </c>
      <c r="T919" s="38">
        <f t="shared" si="197"/>
        <v>4762.4468370080367</v>
      </c>
      <c r="U919" s="38">
        <f>U920</f>
        <v>5727.4353183597768</v>
      </c>
      <c r="V919" s="458">
        <f t="shared" si="177"/>
        <v>964.98848135174012</v>
      </c>
      <c r="W919" s="458"/>
      <c r="X919" s="458"/>
      <c r="Y919" s="459"/>
      <c r="Z919" s="459"/>
      <c r="AA919" s="459"/>
      <c r="AB919" s="459"/>
      <c r="AC919" s="459"/>
      <c r="AD919" s="459"/>
      <c r="AE919" s="459"/>
      <c r="AF919" s="459"/>
      <c r="AG919" s="459"/>
      <c r="AH919" s="459"/>
      <c r="AI919" s="459"/>
      <c r="AJ919" s="459"/>
      <c r="AK919" s="459"/>
      <c r="AL919" s="459"/>
      <c r="AM919" s="459"/>
      <c r="AN919" s="459"/>
      <c r="AO919" s="459"/>
      <c r="AP919" s="460"/>
      <c r="AQ919" s="460"/>
      <c r="AR919" s="460"/>
      <c r="AS919" s="460"/>
      <c r="AT919" s="460"/>
      <c r="AU919" s="460"/>
      <c r="AV919" s="460"/>
      <c r="AW919" s="460"/>
      <c r="AX919" s="460"/>
      <c r="AY919" s="460"/>
      <c r="AZ919" s="460"/>
      <c r="BA919" s="460"/>
      <c r="BB919" s="460"/>
      <c r="BC919" s="460"/>
      <c r="BD919" s="460"/>
      <c r="BE919" s="460"/>
      <c r="BF919" s="460"/>
      <c r="BG919" s="460"/>
      <c r="BH919" s="460"/>
      <c r="BI919" s="460"/>
      <c r="BJ919" s="460"/>
      <c r="BK919" s="460"/>
      <c r="BL919" s="460"/>
      <c r="BM919" s="460"/>
      <c r="BN919" s="460"/>
      <c r="BO919" s="460"/>
      <c r="BP919" s="460"/>
      <c r="BQ919" s="460"/>
      <c r="BR919" s="460"/>
      <c r="BS919" s="460"/>
      <c r="BT919" s="460"/>
      <c r="BU919" s="460"/>
      <c r="BV919" s="460"/>
      <c r="BW919" s="460"/>
      <c r="BX919" s="460"/>
      <c r="BY919" s="460"/>
      <c r="BZ919" s="460"/>
      <c r="CA919" s="460"/>
      <c r="CB919" s="460"/>
      <c r="CC919" s="460"/>
      <c r="CD919" s="460"/>
      <c r="CE919" s="460"/>
      <c r="CF919" s="460"/>
      <c r="CG919" s="460"/>
      <c r="CH919" s="460"/>
      <c r="CI919" s="460"/>
      <c r="CJ919" s="460"/>
      <c r="CK919" s="460"/>
    </row>
    <row r="920" spans="1:89" s="329" customFormat="1" ht="36" customHeight="1" x14ac:dyDescent="0.25">
      <c r="A920" s="329">
        <v>1</v>
      </c>
      <c r="B920" s="39">
        <f>SUBTOTAL(103,$A$552:A920)</f>
        <v>327</v>
      </c>
      <c r="C920" s="33" t="s">
        <v>1665</v>
      </c>
      <c r="D920" s="330">
        <v>1952</v>
      </c>
      <c r="E920" s="330"/>
      <c r="F920" s="331" t="s">
        <v>48</v>
      </c>
      <c r="G920" s="330">
        <v>2</v>
      </c>
      <c r="H920" s="330" t="s">
        <v>56</v>
      </c>
      <c r="I920" s="334">
        <v>485.3</v>
      </c>
      <c r="J920" s="334">
        <v>441.3</v>
      </c>
      <c r="K920" s="334">
        <v>441.3</v>
      </c>
      <c r="L920" s="332">
        <v>16</v>
      </c>
      <c r="M920" s="330" t="s">
        <v>46</v>
      </c>
      <c r="N920" s="330" t="s">
        <v>50</v>
      </c>
      <c r="O920" s="333" t="s">
        <v>2087</v>
      </c>
      <c r="P920" s="38">
        <v>2311215.4500000002</v>
      </c>
      <c r="Q920" s="38">
        <v>0</v>
      </c>
      <c r="R920" s="38">
        <v>0</v>
      </c>
      <c r="S920" s="38">
        <f>P920-Q920-R920</f>
        <v>2311215.4500000002</v>
      </c>
      <c r="T920" s="38">
        <f t="shared" si="197"/>
        <v>4762.4468370080367</v>
      </c>
      <c r="U920" s="38">
        <v>5727.4353183597768</v>
      </c>
      <c r="V920" s="458">
        <f>U920-T920</f>
        <v>964.98848135174012</v>
      </c>
      <c r="W920" s="458">
        <f>X920+Y920+Z920+AA920+AB920+AD920+AF920+AH920+AJ920+AL920+AN920+AO920</f>
        <v>5707.9662888934681</v>
      </c>
      <c r="X920" s="458">
        <v>0</v>
      </c>
      <c r="Y920" s="459">
        <v>0</v>
      </c>
      <c r="Z920" s="459">
        <v>0</v>
      </c>
      <c r="AA920" s="459">
        <v>0</v>
      </c>
      <c r="AB920" s="459">
        <v>0</v>
      </c>
      <c r="AC920" s="459">
        <v>0</v>
      </c>
      <c r="AD920" s="459">
        <v>0</v>
      </c>
      <c r="AE920" s="459">
        <v>444</v>
      </c>
      <c r="AF920" s="458">
        <f>6238.91*AE920/I920</f>
        <v>5707.9662888934681</v>
      </c>
      <c r="AG920" s="459">
        <v>0</v>
      </c>
      <c r="AH920" s="458">
        <v>0</v>
      </c>
      <c r="AI920" s="459">
        <v>0</v>
      </c>
      <c r="AJ920" s="458">
        <v>0</v>
      </c>
      <c r="AK920" s="459">
        <v>0</v>
      </c>
      <c r="AL920" s="459">
        <v>0</v>
      </c>
      <c r="AM920" s="459">
        <v>0</v>
      </c>
      <c r="AN920" s="459"/>
      <c r="AO920" s="459">
        <v>0</v>
      </c>
      <c r="AP920" s="460"/>
      <c r="AQ920" s="460"/>
      <c r="AR920" s="460"/>
      <c r="AS920" s="460"/>
      <c r="AT920" s="460"/>
      <c r="AU920" s="460"/>
      <c r="AV920" s="460"/>
      <c r="AW920" s="460"/>
      <c r="AX920" s="460"/>
      <c r="AY920" s="460"/>
      <c r="AZ920" s="460"/>
      <c r="BA920" s="460"/>
      <c r="BB920" s="460"/>
      <c r="BC920" s="460"/>
      <c r="BD920" s="460"/>
      <c r="BE920" s="460"/>
      <c r="BF920" s="460"/>
      <c r="BG920" s="460"/>
      <c r="BH920" s="460"/>
      <c r="BI920" s="460"/>
      <c r="BJ920" s="460"/>
      <c r="BK920" s="460"/>
      <c r="BL920" s="460"/>
      <c r="BM920" s="460"/>
      <c r="BN920" s="460"/>
      <c r="BO920" s="460"/>
      <c r="BP920" s="460"/>
      <c r="BQ920" s="460"/>
      <c r="BR920" s="460"/>
      <c r="BS920" s="460"/>
      <c r="BT920" s="460"/>
      <c r="BU920" s="460"/>
      <c r="BV920" s="460"/>
      <c r="BW920" s="460"/>
      <c r="BX920" s="460"/>
      <c r="BY920" s="460"/>
      <c r="BZ920" s="460"/>
      <c r="CA920" s="460"/>
      <c r="CB920" s="460"/>
      <c r="CC920" s="460"/>
      <c r="CD920" s="460"/>
      <c r="CE920" s="460"/>
      <c r="CF920" s="460"/>
      <c r="CG920" s="460"/>
      <c r="CH920" s="460"/>
      <c r="CI920" s="460"/>
      <c r="CJ920" s="460"/>
      <c r="CK920" s="460"/>
    </row>
    <row r="921" spans="1:89" s="329" customFormat="1" ht="36" customHeight="1" x14ac:dyDescent="0.25">
      <c r="B921" s="33" t="s">
        <v>113</v>
      </c>
      <c r="C921" s="33"/>
      <c r="D921" s="330" t="s">
        <v>131</v>
      </c>
      <c r="E921" s="330" t="s">
        <v>131</v>
      </c>
      <c r="F921" s="330" t="s">
        <v>131</v>
      </c>
      <c r="G921" s="330" t="s">
        <v>131</v>
      </c>
      <c r="H921" s="330" t="s">
        <v>131</v>
      </c>
      <c r="I921" s="334">
        <f>SUM(I922:I928)</f>
        <v>10197.09</v>
      </c>
      <c r="J921" s="334">
        <f>SUM(J922:J928)</f>
        <v>9759.26</v>
      </c>
      <c r="K921" s="334">
        <f>SUM(K922:K928)</f>
        <v>8209</v>
      </c>
      <c r="L921" s="332">
        <f>SUM(L922:L928)</f>
        <v>474</v>
      </c>
      <c r="M921" s="330" t="s">
        <v>131</v>
      </c>
      <c r="N921" s="330" t="s">
        <v>131</v>
      </c>
      <c r="O921" s="333" t="s">
        <v>131</v>
      </c>
      <c r="P921" s="38">
        <v>26695520.850000001</v>
      </c>
      <c r="Q921" s="38">
        <f>SUM(Q922:Q928)</f>
        <v>0</v>
      </c>
      <c r="R921" s="38">
        <f>SUM(R922:R928)</f>
        <v>0</v>
      </c>
      <c r="S921" s="38">
        <f>SUM(S922:S928)</f>
        <v>26695520.850000001</v>
      </c>
      <c r="T921" s="38">
        <f t="shared" si="197"/>
        <v>2617.9548135791683</v>
      </c>
      <c r="U921" s="38">
        <f>MAX(U922:U928)</f>
        <v>7000.5513385293116</v>
      </c>
      <c r="V921" s="458">
        <f t="shared" si="177"/>
        <v>4382.5965249501432</v>
      </c>
      <c r="W921" s="458"/>
      <c r="X921" s="458"/>
      <c r="Y921" s="459"/>
      <c r="Z921" s="459"/>
      <c r="AA921" s="459"/>
      <c r="AB921" s="459"/>
      <c r="AC921" s="459"/>
      <c r="AD921" s="459"/>
      <c r="AE921" s="459"/>
      <c r="AF921" s="459"/>
      <c r="AG921" s="459"/>
      <c r="AH921" s="459"/>
      <c r="AI921" s="459"/>
      <c r="AJ921" s="459"/>
      <c r="AK921" s="459"/>
      <c r="AL921" s="459"/>
      <c r="AM921" s="459"/>
      <c r="AN921" s="459"/>
      <c r="AO921" s="459"/>
      <c r="AP921" s="460"/>
      <c r="AQ921" s="460"/>
      <c r="AR921" s="460"/>
      <c r="AS921" s="460"/>
      <c r="AT921" s="460"/>
      <c r="AU921" s="460"/>
      <c r="AV921" s="460"/>
      <c r="AW921" s="460"/>
      <c r="AX921" s="460"/>
      <c r="AY921" s="460"/>
      <c r="AZ921" s="460"/>
      <c r="BA921" s="460"/>
      <c r="BB921" s="460"/>
      <c r="BC921" s="460"/>
      <c r="BD921" s="460"/>
      <c r="BE921" s="460"/>
      <c r="BF921" s="460"/>
      <c r="BG921" s="460"/>
      <c r="BH921" s="460"/>
      <c r="BI921" s="460"/>
      <c r="BJ921" s="460"/>
      <c r="BK921" s="460"/>
      <c r="BL921" s="460"/>
      <c r="BM921" s="460"/>
      <c r="BN921" s="460"/>
      <c r="BO921" s="460"/>
      <c r="BP921" s="460"/>
      <c r="BQ921" s="460"/>
      <c r="BR921" s="460"/>
      <c r="BS921" s="460"/>
      <c r="BT921" s="460"/>
      <c r="BU921" s="460"/>
      <c r="BV921" s="460"/>
      <c r="BW921" s="460"/>
      <c r="BX921" s="460"/>
      <c r="BY921" s="460"/>
      <c r="BZ921" s="460"/>
      <c r="CA921" s="460"/>
      <c r="CB921" s="460"/>
      <c r="CC921" s="460"/>
      <c r="CD921" s="460"/>
      <c r="CE921" s="460"/>
      <c r="CF921" s="460"/>
      <c r="CG921" s="460"/>
      <c r="CH921" s="460"/>
      <c r="CI921" s="460"/>
      <c r="CJ921" s="460"/>
      <c r="CK921" s="460"/>
    </row>
    <row r="922" spans="1:89" s="329" customFormat="1" ht="36" customHeight="1" x14ac:dyDescent="0.25">
      <c r="A922" s="329">
        <v>1</v>
      </c>
      <c r="B922" s="39">
        <f>SUBTOTAL(103,$A$552:A922)</f>
        <v>328</v>
      </c>
      <c r="C922" s="33" t="s">
        <v>1666</v>
      </c>
      <c r="D922" s="330">
        <v>1970</v>
      </c>
      <c r="E922" s="330"/>
      <c r="F922" s="331" t="s">
        <v>48</v>
      </c>
      <c r="G922" s="330">
        <v>5</v>
      </c>
      <c r="H922" s="330" t="s">
        <v>56</v>
      </c>
      <c r="I922" s="334">
        <v>2323.8000000000002</v>
      </c>
      <c r="J922" s="334">
        <v>2094.89</v>
      </c>
      <c r="K922" s="334">
        <v>1789.25</v>
      </c>
      <c r="L922" s="332">
        <v>79</v>
      </c>
      <c r="M922" s="330" t="s">
        <v>46</v>
      </c>
      <c r="N922" s="330" t="s">
        <v>50</v>
      </c>
      <c r="O922" s="333" t="s">
        <v>2170</v>
      </c>
      <c r="P922" s="38">
        <v>3969553.4</v>
      </c>
      <c r="Q922" s="38">
        <v>0</v>
      </c>
      <c r="R922" s="38">
        <v>0</v>
      </c>
      <c r="S922" s="38">
        <f t="shared" ref="S922:S928" si="199">P922-Q922-R922</f>
        <v>3969553.4</v>
      </c>
      <c r="T922" s="38">
        <f t="shared" si="197"/>
        <v>1708.2164558051466</v>
      </c>
      <c r="U922" s="38">
        <v>1786.0857087529046</v>
      </c>
      <c r="V922" s="458">
        <f t="shared" si="177"/>
        <v>77.869252947758014</v>
      </c>
      <c r="W922" s="458">
        <f t="shared" ref="W922:W927" si="200">X922+Y922+Z922+AA922+AB922+AD922+AF922+AH922+AJ922+AL922+AN922+AO922</f>
        <v>1780.0143428866511</v>
      </c>
      <c r="X922" s="458">
        <v>0</v>
      </c>
      <c r="Y922" s="459">
        <v>0</v>
      </c>
      <c r="Z922" s="459">
        <v>0</v>
      </c>
      <c r="AA922" s="459">
        <v>0</v>
      </c>
      <c r="AB922" s="459">
        <v>0</v>
      </c>
      <c r="AC922" s="459">
        <v>0</v>
      </c>
      <c r="AD922" s="459">
        <v>0</v>
      </c>
      <c r="AE922" s="459">
        <v>663</v>
      </c>
      <c r="AF922" s="458">
        <f t="shared" ref="AF922:AF927" si="201">6238.91*AE922/I922</f>
        <v>1780.0143428866511</v>
      </c>
      <c r="AG922" s="459">
        <v>0</v>
      </c>
      <c r="AH922" s="458">
        <v>0</v>
      </c>
      <c r="AI922" s="459">
        <v>0</v>
      </c>
      <c r="AJ922" s="458">
        <v>0</v>
      </c>
      <c r="AK922" s="459">
        <v>0</v>
      </c>
      <c r="AL922" s="459">
        <v>0</v>
      </c>
      <c r="AM922" s="459">
        <v>0</v>
      </c>
      <c r="AN922" s="459"/>
      <c r="AO922" s="459">
        <v>0</v>
      </c>
      <c r="AP922" s="460"/>
      <c r="AQ922" s="460"/>
      <c r="AR922" s="460"/>
      <c r="AS922" s="460"/>
      <c r="AT922" s="460"/>
      <c r="AU922" s="460"/>
      <c r="AV922" s="460"/>
      <c r="AW922" s="460"/>
      <c r="AX922" s="460"/>
      <c r="AY922" s="460"/>
      <c r="AZ922" s="460"/>
      <c r="BA922" s="460"/>
      <c r="BB922" s="460"/>
      <c r="BC922" s="460"/>
      <c r="BD922" s="460"/>
      <c r="BE922" s="460"/>
      <c r="BF922" s="460"/>
      <c r="BG922" s="460"/>
      <c r="BH922" s="460"/>
      <c r="BI922" s="460"/>
      <c r="BJ922" s="460"/>
      <c r="BK922" s="460"/>
      <c r="BL922" s="460"/>
      <c r="BM922" s="460"/>
      <c r="BN922" s="460"/>
      <c r="BO922" s="460"/>
      <c r="BP922" s="460"/>
      <c r="BQ922" s="460"/>
      <c r="BR922" s="460"/>
      <c r="BS922" s="460"/>
      <c r="BT922" s="460"/>
      <c r="BU922" s="460"/>
      <c r="BV922" s="460"/>
      <c r="BW922" s="460"/>
      <c r="BX922" s="460"/>
      <c r="BY922" s="460"/>
      <c r="BZ922" s="460"/>
      <c r="CA922" s="460"/>
      <c r="CB922" s="460"/>
      <c r="CC922" s="460"/>
      <c r="CD922" s="460"/>
      <c r="CE922" s="460"/>
      <c r="CF922" s="460"/>
      <c r="CG922" s="460"/>
      <c r="CH922" s="460"/>
      <c r="CI922" s="460"/>
      <c r="CJ922" s="460"/>
      <c r="CK922" s="460"/>
    </row>
    <row r="923" spans="1:89" s="329" customFormat="1" ht="36" customHeight="1" x14ac:dyDescent="0.25">
      <c r="A923" s="329">
        <v>1</v>
      </c>
      <c r="B923" s="39">
        <f>SUBTOTAL(103,$A$552:A923)</f>
        <v>329</v>
      </c>
      <c r="C923" s="33" t="s">
        <v>1667</v>
      </c>
      <c r="D923" s="330">
        <v>1972</v>
      </c>
      <c r="E923" s="330"/>
      <c r="F923" s="331" t="s">
        <v>48</v>
      </c>
      <c r="G923" s="330">
        <v>2</v>
      </c>
      <c r="H923" s="330" t="s">
        <v>56</v>
      </c>
      <c r="I923" s="334">
        <v>590.20000000000005</v>
      </c>
      <c r="J923" s="334">
        <v>590.20000000000005</v>
      </c>
      <c r="K923" s="334">
        <v>529.79999999999995</v>
      </c>
      <c r="L923" s="332">
        <v>36</v>
      </c>
      <c r="M923" s="330" t="s">
        <v>46</v>
      </c>
      <c r="N923" s="330" t="s">
        <v>47</v>
      </c>
      <c r="O923" s="333" t="s">
        <v>49</v>
      </c>
      <c r="P923" s="38">
        <v>3834770.5000000005</v>
      </c>
      <c r="Q923" s="38">
        <v>0</v>
      </c>
      <c r="R923" s="38">
        <v>0</v>
      </c>
      <c r="S923" s="38">
        <f t="shared" si="199"/>
        <v>3834770.5000000005</v>
      </c>
      <c r="T923" s="38">
        <f t="shared" si="197"/>
        <v>6497.4085055913256</v>
      </c>
      <c r="U923" s="38">
        <v>7000.5513385293116</v>
      </c>
      <c r="V923" s="458">
        <f t="shared" si="177"/>
        <v>503.14283293798599</v>
      </c>
      <c r="W923" s="458">
        <f t="shared" si="200"/>
        <v>6976.754659437478</v>
      </c>
      <c r="X923" s="458">
        <v>0</v>
      </c>
      <c r="Y923" s="459">
        <v>0</v>
      </c>
      <c r="Z923" s="459">
        <v>0</v>
      </c>
      <c r="AA923" s="459">
        <v>0</v>
      </c>
      <c r="AB923" s="459">
        <v>0</v>
      </c>
      <c r="AC923" s="459">
        <v>0</v>
      </c>
      <c r="AD923" s="459">
        <v>0</v>
      </c>
      <c r="AE923" s="459">
        <v>660</v>
      </c>
      <c r="AF923" s="458">
        <f t="shared" si="201"/>
        <v>6976.754659437478</v>
      </c>
      <c r="AG923" s="459">
        <v>0</v>
      </c>
      <c r="AH923" s="458">
        <v>0</v>
      </c>
      <c r="AI923" s="459">
        <v>0</v>
      </c>
      <c r="AJ923" s="458">
        <v>0</v>
      </c>
      <c r="AK923" s="459">
        <v>0</v>
      </c>
      <c r="AL923" s="459">
        <v>0</v>
      </c>
      <c r="AM923" s="459">
        <v>0</v>
      </c>
      <c r="AN923" s="459"/>
      <c r="AO923" s="459">
        <v>0</v>
      </c>
      <c r="AP923" s="460"/>
      <c r="AQ923" s="460"/>
      <c r="AR923" s="460"/>
      <c r="AS923" s="460"/>
      <c r="AT923" s="460"/>
      <c r="AU923" s="460"/>
      <c r="AV923" s="460"/>
      <c r="AW923" s="460"/>
      <c r="AX923" s="460"/>
      <c r="AY923" s="460"/>
      <c r="AZ923" s="460"/>
      <c r="BA923" s="460"/>
      <c r="BB923" s="460"/>
      <c r="BC923" s="460"/>
      <c r="BD923" s="460"/>
      <c r="BE923" s="460"/>
      <c r="BF923" s="460"/>
      <c r="BG923" s="460"/>
      <c r="BH923" s="460"/>
      <c r="BI923" s="460"/>
      <c r="BJ923" s="460"/>
      <c r="BK923" s="460"/>
      <c r="BL923" s="460"/>
      <c r="BM923" s="460"/>
      <c r="BN923" s="460"/>
      <c r="BO923" s="460"/>
      <c r="BP923" s="460"/>
      <c r="BQ923" s="460"/>
      <c r="BR923" s="460"/>
      <c r="BS923" s="460"/>
      <c r="BT923" s="460"/>
      <c r="BU923" s="460"/>
      <c r="BV923" s="460"/>
      <c r="BW923" s="460"/>
      <c r="BX923" s="460"/>
      <c r="BY923" s="460"/>
      <c r="BZ923" s="460"/>
      <c r="CA923" s="460"/>
      <c r="CB923" s="460"/>
      <c r="CC923" s="460"/>
      <c r="CD923" s="460"/>
      <c r="CE923" s="460"/>
      <c r="CF923" s="460"/>
      <c r="CG923" s="460"/>
      <c r="CH923" s="460"/>
      <c r="CI923" s="460"/>
      <c r="CJ923" s="460"/>
      <c r="CK923" s="460"/>
    </row>
    <row r="924" spans="1:89" s="329" customFormat="1" ht="36" customHeight="1" x14ac:dyDescent="0.25">
      <c r="A924" s="329">
        <v>1</v>
      </c>
      <c r="B924" s="39">
        <f>SUBTOTAL(103,$A$552:A924)</f>
        <v>330</v>
      </c>
      <c r="C924" s="33" t="s">
        <v>1368</v>
      </c>
      <c r="D924" s="330">
        <v>1973</v>
      </c>
      <c r="E924" s="330"/>
      <c r="F924" s="331" t="s">
        <v>48</v>
      </c>
      <c r="G924" s="330">
        <v>2</v>
      </c>
      <c r="H924" s="330" t="s">
        <v>56</v>
      </c>
      <c r="I924" s="334">
        <v>701.7</v>
      </c>
      <c r="J924" s="334">
        <v>600.70000000000005</v>
      </c>
      <c r="K924" s="334">
        <v>482.5</v>
      </c>
      <c r="L924" s="332">
        <v>31</v>
      </c>
      <c r="M924" s="330" t="s">
        <v>46</v>
      </c>
      <c r="N924" s="330" t="s">
        <v>47</v>
      </c>
      <c r="O924" s="333" t="s">
        <v>49</v>
      </c>
      <c r="P924" s="38">
        <v>3291315.0500000003</v>
      </c>
      <c r="Q924" s="38">
        <v>0</v>
      </c>
      <c r="R924" s="38">
        <v>0</v>
      </c>
      <c r="S924" s="38">
        <f t="shared" si="199"/>
        <v>3291315.0500000003</v>
      </c>
      <c r="T924" s="38">
        <f t="shared" si="197"/>
        <v>4690.4874590280751</v>
      </c>
      <c r="U924" s="38">
        <v>5772.186019666523</v>
      </c>
      <c r="V924" s="458">
        <f t="shared" si="177"/>
        <v>1081.6985606384478</v>
      </c>
      <c r="W924" s="458">
        <f t="shared" si="200"/>
        <v>5752.5648710275045</v>
      </c>
      <c r="X924" s="458">
        <v>0</v>
      </c>
      <c r="Y924" s="459">
        <v>0</v>
      </c>
      <c r="Z924" s="459">
        <v>0</v>
      </c>
      <c r="AA924" s="459">
        <v>0</v>
      </c>
      <c r="AB924" s="459">
        <v>0</v>
      </c>
      <c r="AC924" s="459">
        <v>0</v>
      </c>
      <c r="AD924" s="459">
        <v>0</v>
      </c>
      <c r="AE924" s="459">
        <v>647</v>
      </c>
      <c r="AF924" s="458">
        <f t="shared" si="201"/>
        <v>5752.5648710275045</v>
      </c>
      <c r="AG924" s="459">
        <v>0</v>
      </c>
      <c r="AH924" s="458">
        <v>0</v>
      </c>
      <c r="AI924" s="459">
        <v>0</v>
      </c>
      <c r="AJ924" s="458">
        <v>0</v>
      </c>
      <c r="AK924" s="459">
        <v>0</v>
      </c>
      <c r="AL924" s="459">
        <v>0</v>
      </c>
      <c r="AM924" s="459">
        <v>0</v>
      </c>
      <c r="AN924" s="459"/>
      <c r="AO924" s="459">
        <v>0</v>
      </c>
      <c r="AP924" s="460"/>
      <c r="AQ924" s="460"/>
      <c r="AR924" s="460"/>
      <c r="AS924" s="460"/>
      <c r="AT924" s="460"/>
      <c r="AU924" s="460"/>
      <c r="AV924" s="460"/>
      <c r="AW924" s="460"/>
      <c r="AX924" s="460"/>
      <c r="AY924" s="460"/>
      <c r="AZ924" s="460"/>
      <c r="BA924" s="460"/>
      <c r="BB924" s="460"/>
      <c r="BC924" s="460"/>
      <c r="BD924" s="460"/>
      <c r="BE924" s="460"/>
      <c r="BF924" s="460"/>
      <c r="BG924" s="460"/>
      <c r="BH924" s="460"/>
      <c r="BI924" s="460"/>
      <c r="BJ924" s="460"/>
      <c r="BK924" s="460"/>
      <c r="BL924" s="460"/>
      <c r="BM924" s="460"/>
      <c r="BN924" s="460"/>
      <c r="BO924" s="460"/>
      <c r="BP924" s="460"/>
      <c r="BQ924" s="460"/>
      <c r="BR924" s="460"/>
      <c r="BS924" s="460"/>
      <c r="BT924" s="460"/>
      <c r="BU924" s="460"/>
      <c r="BV924" s="460"/>
      <c r="BW924" s="460"/>
      <c r="BX924" s="460"/>
      <c r="BY924" s="460"/>
      <c r="BZ924" s="460"/>
      <c r="CA924" s="460"/>
      <c r="CB924" s="460"/>
      <c r="CC924" s="460"/>
      <c r="CD924" s="460"/>
      <c r="CE924" s="460"/>
      <c r="CF924" s="460"/>
      <c r="CG924" s="460"/>
      <c r="CH924" s="460"/>
      <c r="CI924" s="460"/>
      <c r="CJ924" s="460"/>
      <c r="CK924" s="460"/>
    </row>
    <row r="925" spans="1:89" s="329" customFormat="1" ht="36" customHeight="1" x14ac:dyDescent="0.25">
      <c r="A925" s="329">
        <v>1</v>
      </c>
      <c r="B925" s="39">
        <f>SUBTOTAL(103,$A$552:A925)</f>
        <v>331</v>
      </c>
      <c r="C925" s="33" t="s">
        <v>1668</v>
      </c>
      <c r="D925" s="330">
        <v>1982</v>
      </c>
      <c r="E925" s="330"/>
      <c r="F925" s="331" t="s">
        <v>48</v>
      </c>
      <c r="G925" s="330">
        <v>2</v>
      </c>
      <c r="H925" s="330" t="s">
        <v>56</v>
      </c>
      <c r="I925" s="334">
        <v>549.6</v>
      </c>
      <c r="J925" s="334">
        <v>502.6</v>
      </c>
      <c r="K925" s="334">
        <v>318.10000000000002</v>
      </c>
      <c r="L925" s="332">
        <v>28</v>
      </c>
      <c r="M925" s="330" t="s">
        <v>46</v>
      </c>
      <c r="N925" s="330" t="s">
        <v>47</v>
      </c>
      <c r="O925" s="333" t="s">
        <v>49</v>
      </c>
      <c r="P925" s="38">
        <v>2799929.1599999997</v>
      </c>
      <c r="Q925" s="38">
        <v>0</v>
      </c>
      <c r="R925" s="38">
        <v>0</v>
      </c>
      <c r="S925" s="38">
        <f t="shared" si="199"/>
        <v>2799929.1599999997</v>
      </c>
      <c r="T925" s="38">
        <f t="shared" si="197"/>
        <v>5094.4853711790383</v>
      </c>
      <c r="U925" s="38">
        <v>6107.5580021834057</v>
      </c>
      <c r="V925" s="458">
        <f t="shared" si="177"/>
        <v>1013.0726310043674</v>
      </c>
      <c r="W925" s="458">
        <f t="shared" si="200"/>
        <v>6086.7968377001462</v>
      </c>
      <c r="X925" s="458">
        <v>0</v>
      </c>
      <c r="Y925" s="459">
        <v>0</v>
      </c>
      <c r="Z925" s="459">
        <v>0</v>
      </c>
      <c r="AA925" s="459">
        <v>0</v>
      </c>
      <c r="AB925" s="459">
        <v>0</v>
      </c>
      <c r="AC925" s="459">
        <v>0</v>
      </c>
      <c r="AD925" s="459">
        <v>0</v>
      </c>
      <c r="AE925" s="459">
        <v>536.20000000000005</v>
      </c>
      <c r="AF925" s="458">
        <f t="shared" si="201"/>
        <v>6086.7968377001462</v>
      </c>
      <c r="AG925" s="459">
        <v>0</v>
      </c>
      <c r="AH925" s="458">
        <v>0</v>
      </c>
      <c r="AI925" s="459">
        <v>0</v>
      </c>
      <c r="AJ925" s="458">
        <v>0</v>
      </c>
      <c r="AK925" s="459">
        <v>0</v>
      </c>
      <c r="AL925" s="459">
        <v>0</v>
      </c>
      <c r="AM925" s="459">
        <v>0</v>
      </c>
      <c r="AN925" s="459"/>
      <c r="AO925" s="459">
        <v>0</v>
      </c>
      <c r="AP925" s="460"/>
      <c r="AQ925" s="460"/>
      <c r="AR925" s="460"/>
      <c r="AS925" s="460"/>
      <c r="AT925" s="460"/>
      <c r="AU925" s="460"/>
      <c r="AV925" s="460"/>
      <c r="AW925" s="460"/>
      <c r="AX925" s="460"/>
      <c r="AY925" s="460"/>
      <c r="AZ925" s="460"/>
      <c r="BA925" s="460"/>
      <c r="BB925" s="460"/>
      <c r="BC925" s="460"/>
      <c r="BD925" s="460"/>
      <c r="BE925" s="460"/>
      <c r="BF925" s="460"/>
      <c r="BG925" s="460"/>
      <c r="BH925" s="460"/>
      <c r="BI925" s="460"/>
      <c r="BJ925" s="460"/>
      <c r="BK925" s="460"/>
      <c r="BL925" s="460"/>
      <c r="BM925" s="460"/>
      <c r="BN925" s="460"/>
      <c r="BO925" s="460"/>
      <c r="BP925" s="460"/>
      <c r="BQ925" s="460"/>
      <c r="BR925" s="460"/>
      <c r="BS925" s="460"/>
      <c r="BT925" s="460"/>
      <c r="BU925" s="460"/>
      <c r="BV925" s="460"/>
      <c r="BW925" s="460"/>
      <c r="BX925" s="460"/>
      <c r="BY925" s="460"/>
      <c r="BZ925" s="460"/>
      <c r="CA925" s="460"/>
      <c r="CB925" s="460"/>
      <c r="CC925" s="460"/>
      <c r="CD925" s="460"/>
      <c r="CE925" s="460"/>
      <c r="CF925" s="460"/>
      <c r="CG925" s="460"/>
      <c r="CH925" s="460"/>
      <c r="CI925" s="460"/>
      <c r="CJ925" s="460"/>
      <c r="CK925" s="460"/>
    </row>
    <row r="926" spans="1:89" s="329" customFormat="1" ht="36" customHeight="1" x14ac:dyDescent="0.25">
      <c r="A926" s="329">
        <v>1</v>
      </c>
      <c r="B926" s="39">
        <f>SUBTOTAL(103,$A$552:A926)</f>
        <v>332</v>
      </c>
      <c r="C926" s="33" t="s">
        <v>1367</v>
      </c>
      <c r="D926" s="330">
        <v>1970</v>
      </c>
      <c r="E926" s="330"/>
      <c r="F926" s="331" t="s">
        <v>48</v>
      </c>
      <c r="G926" s="330">
        <v>2</v>
      </c>
      <c r="H926" s="330" t="s">
        <v>56</v>
      </c>
      <c r="I926" s="334">
        <v>726.6</v>
      </c>
      <c r="J926" s="334">
        <v>665.68</v>
      </c>
      <c r="K926" s="334">
        <v>482.19</v>
      </c>
      <c r="L926" s="332">
        <v>33</v>
      </c>
      <c r="M926" s="330" t="s">
        <v>46</v>
      </c>
      <c r="N926" s="330" t="s">
        <v>47</v>
      </c>
      <c r="O926" s="333" t="s">
        <v>49</v>
      </c>
      <c r="P926" s="38">
        <v>3312780.06</v>
      </c>
      <c r="Q926" s="38">
        <v>0</v>
      </c>
      <c r="R926" s="38">
        <v>0</v>
      </c>
      <c r="S926" s="38">
        <f t="shared" si="199"/>
        <v>3312780.06</v>
      </c>
      <c r="T926" s="38">
        <f t="shared" si="197"/>
        <v>4559.2899256812552</v>
      </c>
      <c r="U926" s="38">
        <v>5610.5638976052851</v>
      </c>
      <c r="V926" s="458">
        <f t="shared" si="177"/>
        <v>1051.2739719240299</v>
      </c>
      <c r="W926" s="458">
        <f t="shared" si="200"/>
        <v>5555.429080649601</v>
      </c>
      <c r="X926" s="458">
        <v>0</v>
      </c>
      <c r="Y926" s="459">
        <v>0</v>
      </c>
      <c r="Z926" s="459">
        <v>0</v>
      </c>
      <c r="AA926" s="459">
        <v>0</v>
      </c>
      <c r="AB926" s="459">
        <v>0</v>
      </c>
      <c r="AC926" s="459">
        <v>0</v>
      </c>
      <c r="AD926" s="459">
        <v>0</v>
      </c>
      <c r="AE926" s="459">
        <v>647</v>
      </c>
      <c r="AF926" s="458">
        <f t="shared" si="201"/>
        <v>5555.429080649601</v>
      </c>
      <c r="AG926" s="459">
        <v>0</v>
      </c>
      <c r="AH926" s="458">
        <v>0</v>
      </c>
      <c r="AI926" s="459">
        <v>0</v>
      </c>
      <c r="AJ926" s="458">
        <v>0</v>
      </c>
      <c r="AK926" s="459">
        <v>0</v>
      </c>
      <c r="AL926" s="459">
        <v>0</v>
      </c>
      <c r="AM926" s="459">
        <v>0</v>
      </c>
      <c r="AN926" s="459"/>
      <c r="AO926" s="459">
        <v>0</v>
      </c>
      <c r="AP926" s="460"/>
      <c r="AQ926" s="460"/>
      <c r="AR926" s="460"/>
      <c r="AS926" s="460"/>
      <c r="AT926" s="460"/>
      <c r="AU926" s="460"/>
      <c r="AV926" s="460"/>
      <c r="AW926" s="460"/>
      <c r="AX926" s="460"/>
      <c r="AY926" s="460"/>
      <c r="AZ926" s="460"/>
      <c r="BA926" s="460"/>
      <c r="BB926" s="460"/>
      <c r="BC926" s="460"/>
      <c r="BD926" s="460"/>
      <c r="BE926" s="460"/>
      <c r="BF926" s="460"/>
      <c r="BG926" s="460"/>
      <c r="BH926" s="460"/>
      <c r="BI926" s="460"/>
      <c r="BJ926" s="460"/>
      <c r="BK926" s="460"/>
      <c r="BL926" s="460"/>
      <c r="BM926" s="460"/>
      <c r="BN926" s="460"/>
      <c r="BO926" s="460"/>
      <c r="BP926" s="460"/>
      <c r="BQ926" s="460"/>
      <c r="BR926" s="460"/>
      <c r="BS926" s="460"/>
      <c r="BT926" s="460"/>
      <c r="BU926" s="460"/>
      <c r="BV926" s="460"/>
      <c r="BW926" s="460"/>
      <c r="BX926" s="460"/>
      <c r="BY926" s="460"/>
      <c r="BZ926" s="460"/>
      <c r="CA926" s="460"/>
      <c r="CB926" s="460"/>
      <c r="CC926" s="460"/>
      <c r="CD926" s="460"/>
      <c r="CE926" s="460"/>
      <c r="CF926" s="460"/>
      <c r="CG926" s="460"/>
      <c r="CH926" s="460"/>
      <c r="CI926" s="460"/>
      <c r="CJ926" s="460"/>
      <c r="CK926" s="460"/>
    </row>
    <row r="927" spans="1:89" s="329" customFormat="1" ht="36" customHeight="1" x14ac:dyDescent="0.25">
      <c r="A927" s="329">
        <v>1</v>
      </c>
      <c r="B927" s="39">
        <f>SUBTOTAL(103,$A$552:A927)</f>
        <v>333</v>
      </c>
      <c r="C927" s="33" t="s">
        <v>1669</v>
      </c>
      <c r="D927" s="330">
        <v>1974</v>
      </c>
      <c r="E927" s="330"/>
      <c r="F927" s="331" t="s">
        <v>60</v>
      </c>
      <c r="G927" s="330">
        <v>5</v>
      </c>
      <c r="H927" s="330" t="s">
        <v>75</v>
      </c>
      <c r="I927" s="334">
        <v>3399.85</v>
      </c>
      <c r="J927" s="334">
        <v>3399.85</v>
      </c>
      <c r="K927" s="334">
        <v>2776.82</v>
      </c>
      <c r="L927" s="332">
        <v>166</v>
      </c>
      <c r="M927" s="330" t="s">
        <v>46</v>
      </c>
      <c r="N927" s="330" t="s">
        <v>50</v>
      </c>
      <c r="O927" s="333" t="s">
        <v>2088</v>
      </c>
      <c r="P927" s="38">
        <v>4373146.29</v>
      </c>
      <c r="Q927" s="38">
        <v>0</v>
      </c>
      <c r="R927" s="38">
        <v>0</v>
      </c>
      <c r="S927" s="38">
        <f t="shared" si="199"/>
        <v>4373146.29</v>
      </c>
      <c r="T927" s="38">
        <f t="shared" si="197"/>
        <v>1286.2762445402004</v>
      </c>
      <c r="U927" s="38">
        <v>6315.7463402797184</v>
      </c>
      <c r="V927" s="458">
        <f t="shared" si="177"/>
        <v>5029.470095739518</v>
      </c>
      <c r="W927" s="458">
        <f t="shared" si="200"/>
        <v>983.95621630366054</v>
      </c>
      <c r="X927" s="458">
        <v>0</v>
      </c>
      <c r="Y927" s="459">
        <v>0</v>
      </c>
      <c r="Z927" s="459">
        <v>0</v>
      </c>
      <c r="AA927" s="459">
        <v>0</v>
      </c>
      <c r="AB927" s="459">
        <v>0</v>
      </c>
      <c r="AC927" s="459">
        <v>0</v>
      </c>
      <c r="AD927" s="459">
        <v>0</v>
      </c>
      <c r="AE927" s="459">
        <v>536.20000000000005</v>
      </c>
      <c r="AF927" s="458">
        <f t="shared" si="201"/>
        <v>983.95621630366054</v>
      </c>
      <c r="AG927" s="459">
        <v>0</v>
      </c>
      <c r="AH927" s="458">
        <v>0</v>
      </c>
      <c r="AI927" s="459">
        <v>0</v>
      </c>
      <c r="AJ927" s="458">
        <v>0</v>
      </c>
      <c r="AK927" s="459">
        <v>0</v>
      </c>
      <c r="AL927" s="459">
        <v>0</v>
      </c>
      <c r="AM927" s="459">
        <v>0</v>
      </c>
      <c r="AN927" s="459"/>
      <c r="AO927" s="459">
        <v>0</v>
      </c>
      <c r="AP927" s="460"/>
      <c r="AQ927" s="460"/>
      <c r="AR927" s="460"/>
      <c r="AS927" s="460"/>
      <c r="AT927" s="460"/>
      <c r="AU927" s="460"/>
      <c r="AV927" s="460"/>
      <c r="AW927" s="460"/>
      <c r="AX927" s="460"/>
      <c r="AY927" s="460"/>
      <c r="AZ927" s="460"/>
      <c r="BA927" s="460"/>
      <c r="BB927" s="460"/>
      <c r="BC927" s="460"/>
      <c r="BD927" s="460"/>
      <c r="BE927" s="460"/>
      <c r="BF927" s="460"/>
      <c r="BG927" s="460"/>
      <c r="BH927" s="460"/>
      <c r="BI927" s="460"/>
      <c r="BJ927" s="460"/>
      <c r="BK927" s="460"/>
      <c r="BL927" s="460"/>
      <c r="BM927" s="460"/>
      <c r="BN927" s="460"/>
      <c r="BO927" s="460"/>
      <c r="BP927" s="460"/>
      <c r="BQ927" s="460"/>
      <c r="BR927" s="460"/>
      <c r="BS927" s="460"/>
      <c r="BT927" s="460"/>
      <c r="BU927" s="460"/>
      <c r="BV927" s="460"/>
      <c r="BW927" s="460"/>
      <c r="BX927" s="460"/>
      <c r="BY927" s="460"/>
      <c r="BZ927" s="460"/>
      <c r="CA927" s="460"/>
      <c r="CB927" s="460"/>
      <c r="CC927" s="460"/>
      <c r="CD927" s="460"/>
      <c r="CE927" s="460"/>
      <c r="CF927" s="460"/>
      <c r="CG927" s="460"/>
      <c r="CH927" s="460"/>
      <c r="CI927" s="460"/>
      <c r="CJ927" s="460"/>
      <c r="CK927" s="460"/>
    </row>
    <row r="928" spans="1:89" s="329" customFormat="1" ht="36" customHeight="1" x14ac:dyDescent="0.25">
      <c r="A928" s="329">
        <v>1</v>
      </c>
      <c r="B928" s="39">
        <f>SUBTOTAL(103,$A$552:A928)</f>
        <v>334</v>
      </c>
      <c r="C928" s="33" t="s">
        <v>1365</v>
      </c>
      <c r="D928" s="330">
        <v>1962</v>
      </c>
      <c r="E928" s="330"/>
      <c r="F928" s="331" t="s">
        <v>48</v>
      </c>
      <c r="G928" s="330">
        <v>4</v>
      </c>
      <c r="H928" s="330" t="s">
        <v>61</v>
      </c>
      <c r="I928" s="38">
        <v>1905.34</v>
      </c>
      <c r="J928" s="38">
        <v>1905.34</v>
      </c>
      <c r="K928" s="38">
        <v>1830.34</v>
      </c>
      <c r="L928" s="332">
        <v>101</v>
      </c>
      <c r="M928" s="330" t="s">
        <v>46</v>
      </c>
      <c r="N928" s="330" t="s">
        <v>47</v>
      </c>
      <c r="O928" s="333" t="s">
        <v>49</v>
      </c>
      <c r="P928" s="38">
        <v>5114026.3900000006</v>
      </c>
      <c r="Q928" s="38">
        <v>0</v>
      </c>
      <c r="R928" s="38">
        <v>0</v>
      </c>
      <c r="S928" s="38">
        <f t="shared" si="199"/>
        <v>5114026.3900000006</v>
      </c>
      <c r="T928" s="38">
        <f t="shared" si="197"/>
        <v>2684.0492458038989</v>
      </c>
      <c r="U928" s="38">
        <v>2946.8569446922857</v>
      </c>
      <c r="V928" s="458">
        <v>194.03382650865387</v>
      </c>
      <c r="W928" s="458">
        <v>2936.8398180902095</v>
      </c>
      <c r="X928" s="458">
        <v>0</v>
      </c>
      <c r="Y928" s="459">
        <v>0</v>
      </c>
      <c r="Z928" s="459">
        <v>0</v>
      </c>
      <c r="AA928" s="459">
        <v>0</v>
      </c>
      <c r="AB928" s="459">
        <v>0</v>
      </c>
      <c r="AC928" s="459">
        <v>0</v>
      </c>
      <c r="AD928" s="459">
        <v>0</v>
      </c>
      <c r="AE928" s="459">
        <v>896.9</v>
      </c>
      <c r="AF928" s="458">
        <v>2936.8398180902095</v>
      </c>
      <c r="AG928" s="459">
        <v>0</v>
      </c>
      <c r="AH928" s="458">
        <v>0</v>
      </c>
      <c r="AI928" s="459">
        <v>0</v>
      </c>
      <c r="AJ928" s="458">
        <v>0</v>
      </c>
      <c r="AK928" s="459">
        <v>0</v>
      </c>
      <c r="AL928" s="459">
        <v>0</v>
      </c>
      <c r="AM928" s="459">
        <v>0</v>
      </c>
      <c r="AN928" s="459"/>
      <c r="AO928" s="459">
        <v>0</v>
      </c>
      <c r="AP928" s="460"/>
      <c r="AQ928" s="460"/>
      <c r="AR928" s="460"/>
      <c r="AS928" s="460"/>
      <c r="AT928" s="460"/>
      <c r="AU928" s="460"/>
      <c r="AV928" s="460"/>
      <c r="AW928" s="460"/>
      <c r="AX928" s="460"/>
      <c r="AY928" s="460"/>
      <c r="AZ928" s="460"/>
      <c r="BA928" s="460"/>
      <c r="BB928" s="460"/>
      <c r="BC928" s="460"/>
      <c r="BD928" s="460"/>
      <c r="BE928" s="460"/>
      <c r="BF928" s="460"/>
      <c r="BG928" s="460"/>
      <c r="BH928" s="460"/>
      <c r="BI928" s="460"/>
      <c r="BJ928" s="460"/>
      <c r="BK928" s="460"/>
      <c r="BL928" s="460"/>
      <c r="BM928" s="460"/>
      <c r="BN928" s="460"/>
      <c r="BO928" s="460"/>
      <c r="BP928" s="460"/>
      <c r="BQ928" s="460"/>
      <c r="BR928" s="460"/>
      <c r="BS928" s="460"/>
      <c r="BT928" s="460"/>
      <c r="BU928" s="460"/>
      <c r="BV928" s="460"/>
      <c r="BW928" s="460"/>
      <c r="BX928" s="460"/>
      <c r="BY928" s="460"/>
      <c r="BZ928" s="460"/>
      <c r="CA928" s="460"/>
      <c r="CB928" s="460"/>
      <c r="CC928" s="460"/>
      <c r="CD928" s="460"/>
      <c r="CE928" s="460"/>
      <c r="CF928" s="460"/>
      <c r="CG928" s="460"/>
      <c r="CH928" s="460"/>
      <c r="CI928" s="460"/>
      <c r="CJ928" s="460"/>
      <c r="CK928" s="460"/>
    </row>
    <row r="929" spans="1:89" s="329" customFormat="1" ht="36" customHeight="1" x14ac:dyDescent="0.25">
      <c r="B929" s="33" t="s">
        <v>1369</v>
      </c>
      <c r="C929" s="462"/>
      <c r="D929" s="330" t="s">
        <v>131</v>
      </c>
      <c r="E929" s="330" t="s">
        <v>131</v>
      </c>
      <c r="F929" s="330" t="s">
        <v>131</v>
      </c>
      <c r="G929" s="330" t="s">
        <v>131</v>
      </c>
      <c r="H929" s="330" t="s">
        <v>131</v>
      </c>
      <c r="I929" s="334">
        <f>SUM(I930:I932)</f>
        <v>4675.3</v>
      </c>
      <c r="J929" s="334">
        <f t="shared" ref="J929:L929" si="202">SUM(J930:J932)</f>
        <v>3635.9999999999995</v>
      </c>
      <c r="K929" s="334">
        <f t="shared" si="202"/>
        <v>3472.5999999999995</v>
      </c>
      <c r="L929" s="332">
        <f t="shared" si="202"/>
        <v>143</v>
      </c>
      <c r="M929" s="330" t="s">
        <v>131</v>
      </c>
      <c r="N929" s="330" t="s">
        <v>131</v>
      </c>
      <c r="O929" s="333" t="s">
        <v>131</v>
      </c>
      <c r="P929" s="38">
        <v>8165392.25</v>
      </c>
      <c r="Q929" s="38">
        <f t="shared" ref="Q929:S929" si="203">SUM(Q930:Q932)</f>
        <v>0</v>
      </c>
      <c r="R929" s="38">
        <f t="shared" si="203"/>
        <v>0</v>
      </c>
      <c r="S929" s="38">
        <f t="shared" si="203"/>
        <v>8165392.25</v>
      </c>
      <c r="T929" s="38">
        <f t="shared" si="197"/>
        <v>1746.4958933116591</v>
      </c>
      <c r="U929" s="38">
        <f>MAX(U930:U932)</f>
        <v>5841.2326254826248</v>
      </c>
      <c r="V929" s="458">
        <f t="shared" si="177"/>
        <v>4094.7367321709658</v>
      </c>
      <c r="W929" s="458"/>
      <c r="X929" s="458"/>
      <c r="Y929" s="459"/>
      <c r="Z929" s="459"/>
      <c r="AA929" s="459"/>
      <c r="AB929" s="459"/>
      <c r="AC929" s="459"/>
      <c r="AD929" s="459"/>
      <c r="AE929" s="459"/>
      <c r="AF929" s="459"/>
      <c r="AG929" s="459"/>
      <c r="AH929" s="459"/>
      <c r="AI929" s="459"/>
      <c r="AJ929" s="459"/>
      <c r="AK929" s="459"/>
      <c r="AL929" s="459"/>
      <c r="AM929" s="459"/>
      <c r="AN929" s="459"/>
      <c r="AO929" s="459"/>
      <c r="AP929" s="460"/>
      <c r="AQ929" s="460"/>
      <c r="AR929" s="460"/>
      <c r="AS929" s="460"/>
      <c r="AT929" s="460"/>
      <c r="AU929" s="460"/>
      <c r="AV929" s="460"/>
      <c r="AW929" s="460"/>
      <c r="AX929" s="460"/>
      <c r="AY929" s="460"/>
      <c r="AZ929" s="460"/>
      <c r="BA929" s="460"/>
      <c r="BB929" s="460"/>
      <c r="BC929" s="460"/>
      <c r="BD929" s="460"/>
      <c r="BE929" s="460"/>
      <c r="BF929" s="460"/>
      <c r="BG929" s="460"/>
      <c r="BH929" s="460"/>
      <c r="BI929" s="460"/>
      <c r="BJ929" s="460"/>
      <c r="BK929" s="460"/>
      <c r="BL929" s="460"/>
      <c r="BM929" s="460"/>
      <c r="BN929" s="460"/>
      <c r="BO929" s="460"/>
      <c r="BP929" s="460"/>
      <c r="BQ929" s="460"/>
      <c r="BR929" s="460"/>
      <c r="BS929" s="460"/>
      <c r="BT929" s="460"/>
      <c r="BU929" s="460"/>
      <c r="BV929" s="460"/>
      <c r="BW929" s="460"/>
      <c r="BX929" s="460"/>
      <c r="BY929" s="460"/>
      <c r="BZ929" s="460"/>
      <c r="CA929" s="460"/>
      <c r="CB929" s="460"/>
      <c r="CC929" s="460"/>
      <c r="CD929" s="460"/>
      <c r="CE929" s="460"/>
      <c r="CF929" s="460"/>
      <c r="CG929" s="460"/>
      <c r="CH929" s="460"/>
      <c r="CI929" s="460"/>
      <c r="CJ929" s="460"/>
      <c r="CK929" s="460"/>
    </row>
    <row r="930" spans="1:89" s="329" customFormat="1" ht="36" customHeight="1" x14ac:dyDescent="0.25">
      <c r="A930" s="329">
        <v>1</v>
      </c>
      <c r="B930" s="39">
        <f>SUBTOTAL(103,$A$552:A930)</f>
        <v>335</v>
      </c>
      <c r="C930" s="33" t="s">
        <v>1670</v>
      </c>
      <c r="D930" s="330">
        <v>1988</v>
      </c>
      <c r="E930" s="330"/>
      <c r="F930" s="331" t="s">
        <v>48</v>
      </c>
      <c r="G930" s="330">
        <v>5</v>
      </c>
      <c r="H930" s="330" t="s">
        <v>59</v>
      </c>
      <c r="I930" s="334">
        <v>3662.2</v>
      </c>
      <c r="J930" s="334">
        <v>2766.2</v>
      </c>
      <c r="K930" s="334">
        <v>2766.2</v>
      </c>
      <c r="L930" s="332">
        <v>110</v>
      </c>
      <c r="M930" s="330" t="s">
        <v>46</v>
      </c>
      <c r="N930" s="330" t="s">
        <v>50</v>
      </c>
      <c r="O930" s="333" t="s">
        <v>2089</v>
      </c>
      <c r="P930" s="38">
        <v>4231329.66</v>
      </c>
      <c r="Q930" s="38">
        <v>0</v>
      </c>
      <c r="R930" s="38">
        <v>0</v>
      </c>
      <c r="S930" s="38">
        <f>P930-Q930-R930</f>
        <v>4231329.66</v>
      </c>
      <c r="T930" s="38">
        <f t="shared" si="197"/>
        <v>1155.4064933646443</v>
      </c>
      <c r="U930" s="38">
        <v>1466.671132106384</v>
      </c>
      <c r="V930" s="458">
        <f t="shared" si="177"/>
        <v>311.26463874173965</v>
      </c>
      <c r="W930" s="458">
        <f t="shared" ref="W930:W932" si="204">X930+Y930+Z930+AA930+AB930+AD930+AF930+AH930+AJ930+AL930+AN930+AO930</f>
        <v>1461.6855387472012</v>
      </c>
      <c r="X930" s="458">
        <v>0</v>
      </c>
      <c r="Y930" s="459">
        <v>0</v>
      </c>
      <c r="Z930" s="459">
        <v>0</v>
      </c>
      <c r="AA930" s="459">
        <v>0</v>
      </c>
      <c r="AB930" s="459">
        <v>0</v>
      </c>
      <c r="AC930" s="459">
        <v>0</v>
      </c>
      <c r="AD930" s="459">
        <v>0</v>
      </c>
      <c r="AE930" s="459">
        <v>858</v>
      </c>
      <c r="AF930" s="458">
        <f>6238.91*AE930/I930</f>
        <v>1461.6855387472012</v>
      </c>
      <c r="AG930" s="459">
        <v>0</v>
      </c>
      <c r="AH930" s="458">
        <v>0</v>
      </c>
      <c r="AI930" s="459">
        <v>0</v>
      </c>
      <c r="AJ930" s="458">
        <v>0</v>
      </c>
      <c r="AK930" s="459">
        <v>0</v>
      </c>
      <c r="AL930" s="459">
        <v>0</v>
      </c>
      <c r="AM930" s="459">
        <v>0</v>
      </c>
      <c r="AN930" s="459"/>
      <c r="AO930" s="459">
        <v>0</v>
      </c>
      <c r="AP930" s="460"/>
      <c r="AQ930" s="460"/>
      <c r="AR930" s="460"/>
      <c r="AS930" s="460"/>
      <c r="AT930" s="460"/>
      <c r="AU930" s="460"/>
      <c r="AV930" s="460"/>
      <c r="AW930" s="460"/>
      <c r="AX930" s="460"/>
      <c r="AY930" s="460"/>
      <c r="AZ930" s="460"/>
      <c r="BA930" s="460"/>
      <c r="BB930" s="460"/>
      <c r="BC930" s="460"/>
      <c r="BD930" s="460"/>
      <c r="BE930" s="460"/>
      <c r="BF930" s="460"/>
      <c r="BG930" s="460"/>
      <c r="BH930" s="460"/>
      <c r="BI930" s="460"/>
      <c r="BJ930" s="460"/>
      <c r="BK930" s="460"/>
      <c r="BL930" s="460"/>
      <c r="BM930" s="460"/>
      <c r="BN930" s="460"/>
      <c r="BO930" s="460"/>
      <c r="BP930" s="460"/>
      <c r="BQ930" s="460"/>
      <c r="BR930" s="460"/>
      <c r="BS930" s="460"/>
      <c r="BT930" s="460"/>
      <c r="BU930" s="460"/>
      <c r="BV930" s="460"/>
      <c r="BW930" s="460"/>
      <c r="BX930" s="460"/>
      <c r="BY930" s="460"/>
      <c r="BZ930" s="460"/>
      <c r="CA930" s="460"/>
      <c r="CB930" s="460"/>
      <c r="CC930" s="460"/>
      <c r="CD930" s="460"/>
      <c r="CE930" s="460"/>
      <c r="CF930" s="460"/>
      <c r="CG930" s="460"/>
      <c r="CH930" s="460"/>
      <c r="CI930" s="460"/>
      <c r="CJ930" s="460"/>
      <c r="CK930" s="460"/>
    </row>
    <row r="931" spans="1:89" s="329" customFormat="1" ht="36" customHeight="1" x14ac:dyDescent="0.25">
      <c r="A931" s="329">
        <v>1</v>
      </c>
      <c r="B931" s="39">
        <f>SUBTOTAL(103,$A$552:A931)</f>
        <v>336</v>
      </c>
      <c r="C931" s="33" t="s">
        <v>1671</v>
      </c>
      <c r="D931" s="330">
        <v>1966</v>
      </c>
      <c r="E931" s="330"/>
      <c r="F931" s="331" t="s">
        <v>48</v>
      </c>
      <c r="G931" s="330">
        <v>2</v>
      </c>
      <c r="H931" s="330" t="s">
        <v>57</v>
      </c>
      <c r="I931" s="334">
        <v>391.5</v>
      </c>
      <c r="J931" s="334">
        <v>367.2</v>
      </c>
      <c r="K931" s="334">
        <v>367.2</v>
      </c>
      <c r="L931" s="332">
        <v>8</v>
      </c>
      <c r="M931" s="330" t="s">
        <v>46</v>
      </c>
      <c r="N931" s="330" t="s">
        <v>50</v>
      </c>
      <c r="O931" s="333" t="s">
        <v>2089</v>
      </c>
      <c r="P931" s="38">
        <v>1801521</v>
      </c>
      <c r="Q931" s="38">
        <v>0</v>
      </c>
      <c r="R931" s="38">
        <v>0</v>
      </c>
      <c r="S931" s="38">
        <f>P931-Q931-R931</f>
        <v>1801521</v>
      </c>
      <c r="T931" s="38">
        <f t="shared" si="197"/>
        <v>4601.5862068965516</v>
      </c>
      <c r="U931" s="38">
        <v>5516.6425287356315</v>
      </c>
      <c r="V931" s="458">
        <f t="shared" si="177"/>
        <v>915.05632183907983</v>
      </c>
      <c r="W931" s="458">
        <f t="shared" si="204"/>
        <v>5497.8900383141754</v>
      </c>
      <c r="X931" s="458">
        <v>0</v>
      </c>
      <c r="Y931" s="459">
        <v>0</v>
      </c>
      <c r="Z931" s="459">
        <v>0</v>
      </c>
      <c r="AA931" s="459">
        <v>0</v>
      </c>
      <c r="AB931" s="459">
        <v>0</v>
      </c>
      <c r="AC931" s="459">
        <v>0</v>
      </c>
      <c r="AD931" s="459">
        <v>0</v>
      </c>
      <c r="AE931" s="459">
        <v>345</v>
      </c>
      <c r="AF931" s="458">
        <f>6238.91*AE931/I931</f>
        <v>5497.8900383141754</v>
      </c>
      <c r="AG931" s="459">
        <v>0</v>
      </c>
      <c r="AH931" s="458">
        <v>0</v>
      </c>
      <c r="AI931" s="459">
        <v>0</v>
      </c>
      <c r="AJ931" s="458">
        <v>0</v>
      </c>
      <c r="AK931" s="459">
        <v>0</v>
      </c>
      <c r="AL931" s="459">
        <v>0</v>
      </c>
      <c r="AM931" s="459">
        <v>0</v>
      </c>
      <c r="AN931" s="459"/>
      <c r="AO931" s="459">
        <v>0</v>
      </c>
      <c r="AP931" s="460"/>
      <c r="AQ931" s="460"/>
      <c r="AR931" s="460"/>
      <c r="AS931" s="460"/>
      <c r="AT931" s="460"/>
      <c r="AU931" s="460"/>
      <c r="AV931" s="460"/>
      <c r="AW931" s="460"/>
      <c r="AX931" s="460"/>
      <c r="AY931" s="460"/>
      <c r="AZ931" s="460"/>
      <c r="BA931" s="460"/>
      <c r="BB931" s="460"/>
      <c r="BC931" s="460"/>
      <c r="BD931" s="460"/>
      <c r="BE931" s="460"/>
      <c r="BF931" s="460"/>
      <c r="BG931" s="460"/>
      <c r="BH931" s="460"/>
      <c r="BI931" s="460"/>
      <c r="BJ931" s="460"/>
      <c r="BK931" s="460"/>
      <c r="BL931" s="460"/>
      <c r="BM931" s="460"/>
      <c r="BN931" s="460"/>
      <c r="BO931" s="460"/>
      <c r="BP931" s="460"/>
      <c r="BQ931" s="460"/>
      <c r="BR931" s="460"/>
      <c r="BS931" s="460"/>
      <c r="BT931" s="460"/>
      <c r="BU931" s="460"/>
      <c r="BV931" s="460"/>
      <c r="BW931" s="460"/>
      <c r="BX931" s="460"/>
      <c r="BY931" s="460"/>
      <c r="BZ931" s="460"/>
      <c r="CA931" s="460"/>
      <c r="CB931" s="460"/>
      <c r="CC931" s="460"/>
      <c r="CD931" s="460"/>
      <c r="CE931" s="460"/>
      <c r="CF931" s="460"/>
      <c r="CG931" s="460"/>
      <c r="CH931" s="460"/>
      <c r="CI931" s="460"/>
      <c r="CJ931" s="460"/>
      <c r="CK931" s="460"/>
    </row>
    <row r="932" spans="1:89" s="329" customFormat="1" ht="36" customHeight="1" x14ac:dyDescent="0.25">
      <c r="A932" s="329">
        <v>1</v>
      </c>
      <c r="B932" s="39">
        <f>SUBTOTAL(103,$A$552:A932)</f>
        <v>337</v>
      </c>
      <c r="C932" s="33" t="s">
        <v>1672</v>
      </c>
      <c r="D932" s="330">
        <v>1987</v>
      </c>
      <c r="E932" s="330"/>
      <c r="F932" s="331" t="s">
        <v>48</v>
      </c>
      <c r="G932" s="330">
        <v>2</v>
      </c>
      <c r="H932" s="330" t="s">
        <v>56</v>
      </c>
      <c r="I932" s="334">
        <v>621.6</v>
      </c>
      <c r="J932" s="334">
        <v>502.6</v>
      </c>
      <c r="K932" s="334">
        <v>339.2</v>
      </c>
      <c r="L932" s="332">
        <v>25</v>
      </c>
      <c r="M932" s="330" t="s">
        <v>46</v>
      </c>
      <c r="N932" s="330" t="s">
        <v>47</v>
      </c>
      <c r="O932" s="333" t="s">
        <v>49</v>
      </c>
      <c r="P932" s="38">
        <v>2132541.59</v>
      </c>
      <c r="Q932" s="38">
        <v>0</v>
      </c>
      <c r="R932" s="38">
        <v>0</v>
      </c>
      <c r="S932" s="38">
        <f>P932-Q932-R932</f>
        <v>2132541.59</v>
      </c>
      <c r="T932" s="38">
        <f t="shared" si="197"/>
        <v>3430.7297136422135</v>
      </c>
      <c r="U932" s="38">
        <v>5841.2326254826248</v>
      </c>
      <c r="V932" s="458">
        <f t="shared" si="177"/>
        <v>2410.5029118404113</v>
      </c>
      <c r="W932" s="458">
        <f t="shared" si="204"/>
        <v>5821.3767696267687</v>
      </c>
      <c r="X932" s="458">
        <v>0</v>
      </c>
      <c r="Y932" s="459">
        <v>0</v>
      </c>
      <c r="Z932" s="459">
        <v>0</v>
      </c>
      <c r="AA932" s="459">
        <v>0</v>
      </c>
      <c r="AB932" s="459">
        <v>0</v>
      </c>
      <c r="AC932" s="459">
        <v>0</v>
      </c>
      <c r="AD932" s="459">
        <v>0</v>
      </c>
      <c r="AE932" s="459">
        <v>580</v>
      </c>
      <c r="AF932" s="458">
        <f>6238.91*AE932/I932</f>
        <v>5821.3767696267687</v>
      </c>
      <c r="AG932" s="459">
        <v>0</v>
      </c>
      <c r="AH932" s="458">
        <v>0</v>
      </c>
      <c r="AI932" s="459">
        <v>0</v>
      </c>
      <c r="AJ932" s="458">
        <v>0</v>
      </c>
      <c r="AK932" s="459">
        <v>0</v>
      </c>
      <c r="AL932" s="459">
        <v>0</v>
      </c>
      <c r="AM932" s="459">
        <v>0</v>
      </c>
      <c r="AN932" s="459"/>
      <c r="AO932" s="459">
        <v>0</v>
      </c>
      <c r="AP932" s="460"/>
      <c r="AQ932" s="460"/>
      <c r="AR932" s="460"/>
      <c r="AS932" s="460"/>
      <c r="AT932" s="460"/>
      <c r="AU932" s="460"/>
      <c r="AV932" s="460"/>
      <c r="AW932" s="460"/>
      <c r="AX932" s="460"/>
      <c r="AY932" s="460"/>
      <c r="AZ932" s="460"/>
      <c r="BA932" s="460"/>
      <c r="BB932" s="460"/>
      <c r="BC932" s="460"/>
      <c r="BD932" s="460"/>
      <c r="BE932" s="460"/>
      <c r="BF932" s="460"/>
      <c r="BG932" s="460"/>
      <c r="BH932" s="460"/>
      <c r="BI932" s="460"/>
      <c r="BJ932" s="460"/>
      <c r="BK932" s="460"/>
      <c r="BL932" s="460"/>
      <c r="BM932" s="460"/>
      <c r="BN932" s="460"/>
      <c r="BO932" s="460"/>
      <c r="BP932" s="460"/>
      <c r="BQ932" s="460"/>
      <c r="BR932" s="460"/>
      <c r="BS932" s="460"/>
      <c r="BT932" s="460"/>
      <c r="BU932" s="460"/>
      <c r="BV932" s="460"/>
      <c r="BW932" s="460"/>
      <c r="BX932" s="460"/>
      <c r="BY932" s="460"/>
      <c r="BZ932" s="460"/>
      <c r="CA932" s="460"/>
      <c r="CB932" s="460"/>
      <c r="CC932" s="460"/>
      <c r="CD932" s="460"/>
      <c r="CE932" s="460"/>
      <c r="CF932" s="460"/>
      <c r="CG932" s="460"/>
      <c r="CH932" s="460"/>
      <c r="CI932" s="460"/>
      <c r="CJ932" s="460"/>
      <c r="CK932" s="460"/>
    </row>
    <row r="933" spans="1:89" s="329" customFormat="1" ht="36" customHeight="1" x14ac:dyDescent="0.25">
      <c r="B933" s="33" t="s">
        <v>237</v>
      </c>
      <c r="C933" s="462"/>
      <c r="D933" s="330" t="s">
        <v>131</v>
      </c>
      <c r="E933" s="330" t="s">
        <v>131</v>
      </c>
      <c r="F933" s="330" t="s">
        <v>131</v>
      </c>
      <c r="G933" s="330" t="s">
        <v>131</v>
      </c>
      <c r="H933" s="330" t="s">
        <v>131</v>
      </c>
      <c r="I933" s="334">
        <f>I934</f>
        <v>953.9</v>
      </c>
      <c r="J933" s="334">
        <f>J934</f>
        <v>865.7</v>
      </c>
      <c r="K933" s="334">
        <f>K934</f>
        <v>857.7</v>
      </c>
      <c r="L933" s="332">
        <f>L934</f>
        <v>28</v>
      </c>
      <c r="M933" s="330" t="s">
        <v>131</v>
      </c>
      <c r="N933" s="330" t="s">
        <v>131</v>
      </c>
      <c r="O933" s="333" t="s">
        <v>131</v>
      </c>
      <c r="P933" s="38">
        <v>4934808.43</v>
      </c>
      <c r="Q933" s="38">
        <f>Q934</f>
        <v>0</v>
      </c>
      <c r="R933" s="38">
        <f>R934</f>
        <v>0</v>
      </c>
      <c r="S933" s="38">
        <f>S934</f>
        <v>4934808.43</v>
      </c>
      <c r="T933" s="38">
        <f t="shared" si="197"/>
        <v>5173.2974420798828</v>
      </c>
      <c r="U933" s="38">
        <f>U934</f>
        <v>5173.2974420798828</v>
      </c>
      <c r="V933" s="458">
        <f t="shared" si="177"/>
        <v>0</v>
      </c>
      <c r="W933" s="458"/>
      <c r="X933" s="458"/>
      <c r="Y933" s="459"/>
      <c r="Z933" s="459"/>
      <c r="AA933" s="459"/>
      <c r="AB933" s="459"/>
      <c r="AC933" s="459"/>
      <c r="AD933" s="459"/>
      <c r="AE933" s="459"/>
      <c r="AF933" s="459"/>
      <c r="AG933" s="459"/>
      <c r="AH933" s="459"/>
      <c r="AI933" s="459"/>
      <c r="AJ933" s="459"/>
      <c r="AK933" s="459"/>
      <c r="AL933" s="459"/>
      <c r="AM933" s="459"/>
      <c r="AN933" s="459"/>
      <c r="AO933" s="459"/>
      <c r="AP933" s="460"/>
      <c r="AQ933" s="460"/>
      <c r="AR933" s="460"/>
      <c r="AS933" s="460"/>
      <c r="AT933" s="460"/>
      <c r="AU933" s="460"/>
      <c r="AV933" s="460"/>
      <c r="AW933" s="460"/>
      <c r="AX933" s="460"/>
      <c r="AY933" s="460"/>
      <c r="AZ933" s="460"/>
      <c r="BA933" s="460"/>
      <c r="BB933" s="460"/>
      <c r="BC933" s="460"/>
      <c r="BD933" s="460"/>
      <c r="BE933" s="460"/>
      <c r="BF933" s="460"/>
      <c r="BG933" s="460"/>
      <c r="BH933" s="460"/>
      <c r="BI933" s="460"/>
      <c r="BJ933" s="460"/>
      <c r="BK933" s="460"/>
      <c r="BL933" s="460"/>
      <c r="BM933" s="460"/>
      <c r="BN933" s="460"/>
      <c r="BO933" s="460"/>
      <c r="BP933" s="460"/>
      <c r="BQ933" s="460"/>
      <c r="BR933" s="460"/>
      <c r="BS933" s="460"/>
      <c r="BT933" s="460"/>
      <c r="BU933" s="460"/>
      <c r="BV933" s="460"/>
      <c r="BW933" s="460"/>
      <c r="BX933" s="460"/>
      <c r="BY933" s="460"/>
      <c r="BZ933" s="460"/>
      <c r="CA933" s="460"/>
      <c r="CB933" s="460"/>
      <c r="CC933" s="460"/>
      <c r="CD933" s="460"/>
      <c r="CE933" s="460"/>
      <c r="CF933" s="460"/>
      <c r="CG933" s="460"/>
      <c r="CH933" s="460"/>
      <c r="CI933" s="460"/>
      <c r="CJ933" s="460"/>
      <c r="CK933" s="460"/>
    </row>
    <row r="934" spans="1:89" s="329" customFormat="1" ht="36" customHeight="1" x14ac:dyDescent="0.25">
      <c r="A934" s="329">
        <v>1</v>
      </c>
      <c r="B934" s="39">
        <f>SUBTOTAL(103,$A$552:A934)</f>
        <v>338</v>
      </c>
      <c r="C934" s="33" t="s">
        <v>1370</v>
      </c>
      <c r="D934" s="330">
        <v>1984</v>
      </c>
      <c r="E934" s="330"/>
      <c r="F934" s="331" t="s">
        <v>48</v>
      </c>
      <c r="G934" s="330">
        <v>2</v>
      </c>
      <c r="H934" s="330" t="s">
        <v>61</v>
      </c>
      <c r="I934" s="334">
        <v>953.9</v>
      </c>
      <c r="J934" s="334">
        <v>865.7</v>
      </c>
      <c r="K934" s="334">
        <v>857.7</v>
      </c>
      <c r="L934" s="332">
        <v>28</v>
      </c>
      <c r="M934" s="330" t="s">
        <v>46</v>
      </c>
      <c r="N934" s="330" t="s">
        <v>47</v>
      </c>
      <c r="O934" s="333" t="s">
        <v>49</v>
      </c>
      <c r="P934" s="38">
        <v>4934808.43</v>
      </c>
      <c r="Q934" s="38">
        <v>0</v>
      </c>
      <c r="R934" s="38">
        <v>0</v>
      </c>
      <c r="S934" s="38">
        <f>P934-Q934-R934</f>
        <v>4934808.43</v>
      </c>
      <c r="T934" s="38">
        <f t="shared" si="197"/>
        <v>5173.2974420798828</v>
      </c>
      <c r="U934" s="38">
        <v>5173.2974420798828</v>
      </c>
      <c r="V934" s="458">
        <f>U934-T934</f>
        <v>0</v>
      </c>
      <c r="W934" s="458">
        <f>X934+Y934+Z934+AA934+AB934+AD934+AF934+AH934+AJ934+AL934+AN934+AO934</f>
        <v>2757.4370573435372</v>
      </c>
      <c r="X934" s="458">
        <v>0</v>
      </c>
      <c r="Y934" s="459">
        <v>0</v>
      </c>
      <c r="Z934" s="459">
        <v>0</v>
      </c>
      <c r="AA934" s="459">
        <v>0</v>
      </c>
      <c r="AB934" s="459">
        <v>795.31</v>
      </c>
      <c r="AC934" s="459">
        <v>0</v>
      </c>
      <c r="AD934" s="459">
        <v>0</v>
      </c>
      <c r="AE934" s="459">
        <v>300</v>
      </c>
      <c r="AF934" s="458">
        <f>6238.91*AE934/I934</f>
        <v>1962.1270573435372</v>
      </c>
      <c r="AG934" s="459">
        <v>0</v>
      </c>
      <c r="AH934" s="458">
        <v>0</v>
      </c>
      <c r="AI934" s="459">
        <v>0</v>
      </c>
      <c r="AJ934" s="458">
        <v>0</v>
      </c>
      <c r="AK934" s="459">
        <v>0</v>
      </c>
      <c r="AL934" s="459">
        <v>0</v>
      </c>
      <c r="AM934" s="459">
        <v>0</v>
      </c>
      <c r="AN934" s="459"/>
      <c r="AO934" s="459">
        <v>0</v>
      </c>
      <c r="AP934" s="460"/>
      <c r="AQ934" s="460"/>
      <c r="AR934" s="460"/>
      <c r="AS934" s="460"/>
      <c r="AT934" s="460"/>
      <c r="AU934" s="460"/>
      <c r="AV934" s="460"/>
      <c r="AW934" s="460"/>
      <c r="AX934" s="460"/>
      <c r="AY934" s="460"/>
      <c r="AZ934" s="460"/>
      <c r="BA934" s="460"/>
      <c r="BB934" s="460"/>
      <c r="BC934" s="460"/>
      <c r="BD934" s="460"/>
      <c r="BE934" s="460"/>
      <c r="BF934" s="460"/>
      <c r="BG934" s="460"/>
      <c r="BH934" s="460"/>
      <c r="BI934" s="460"/>
      <c r="BJ934" s="460"/>
      <c r="BK934" s="460"/>
      <c r="BL934" s="460"/>
      <c r="BM934" s="460"/>
      <c r="BN934" s="460"/>
      <c r="BO934" s="460"/>
      <c r="BP934" s="460"/>
      <c r="BQ934" s="460"/>
      <c r="BR934" s="460"/>
      <c r="BS934" s="460"/>
      <c r="BT934" s="460"/>
      <c r="BU934" s="460"/>
      <c r="BV934" s="460"/>
      <c r="BW934" s="460"/>
      <c r="BX934" s="460"/>
      <c r="BY934" s="460"/>
      <c r="BZ934" s="460"/>
      <c r="CA934" s="460"/>
      <c r="CB934" s="460"/>
      <c r="CC934" s="460"/>
      <c r="CD934" s="460"/>
      <c r="CE934" s="460"/>
      <c r="CF934" s="460"/>
      <c r="CG934" s="460"/>
      <c r="CH934" s="460"/>
      <c r="CI934" s="460"/>
      <c r="CJ934" s="460"/>
      <c r="CK934" s="460"/>
    </row>
    <row r="935" spans="1:89" s="329" customFormat="1" ht="36" customHeight="1" x14ac:dyDescent="0.25">
      <c r="B935" s="33" t="s">
        <v>1371</v>
      </c>
      <c r="C935" s="462"/>
      <c r="D935" s="330" t="s">
        <v>131</v>
      </c>
      <c r="E935" s="330" t="s">
        <v>131</v>
      </c>
      <c r="F935" s="330" t="s">
        <v>131</v>
      </c>
      <c r="G935" s="330" t="s">
        <v>131</v>
      </c>
      <c r="H935" s="330" t="s">
        <v>131</v>
      </c>
      <c r="I935" s="334">
        <f>SUM(I936:I937)</f>
        <v>1991.7200000000003</v>
      </c>
      <c r="J935" s="334">
        <f t="shared" ref="J935:L935" si="205">SUM(J936:J937)</f>
        <v>1312.72</v>
      </c>
      <c r="K935" s="334">
        <f t="shared" si="205"/>
        <v>433.34000000000003</v>
      </c>
      <c r="L935" s="332">
        <f t="shared" si="205"/>
        <v>99</v>
      </c>
      <c r="M935" s="330" t="s">
        <v>131</v>
      </c>
      <c r="N935" s="330" t="s">
        <v>131</v>
      </c>
      <c r="O935" s="333" t="s">
        <v>131</v>
      </c>
      <c r="P935" s="38">
        <v>7040608.0200000005</v>
      </c>
      <c r="Q935" s="38">
        <f t="shared" ref="Q935:S935" si="206">SUM(Q936:Q937)</f>
        <v>0</v>
      </c>
      <c r="R935" s="38">
        <f t="shared" si="206"/>
        <v>0</v>
      </c>
      <c r="S935" s="38">
        <f t="shared" si="206"/>
        <v>7040608.0200000005</v>
      </c>
      <c r="T935" s="38">
        <f t="shared" si="197"/>
        <v>3534.938656035989</v>
      </c>
      <c r="U935" s="38">
        <f>MAX(U936:U937)</f>
        <v>4254.2877038178012</v>
      </c>
      <c r="V935" s="458">
        <f t="shared" si="177"/>
        <v>719.34904778181226</v>
      </c>
      <c r="W935" s="458"/>
      <c r="X935" s="458"/>
      <c r="Y935" s="459"/>
      <c r="Z935" s="459"/>
      <c r="AA935" s="459"/>
      <c r="AB935" s="459"/>
      <c r="AC935" s="459"/>
      <c r="AD935" s="459"/>
      <c r="AE935" s="459"/>
      <c r="AF935" s="459"/>
      <c r="AG935" s="459"/>
      <c r="AH935" s="459"/>
      <c r="AI935" s="459"/>
      <c r="AJ935" s="459"/>
      <c r="AK935" s="459"/>
      <c r="AL935" s="459"/>
      <c r="AM935" s="459"/>
      <c r="AN935" s="459"/>
      <c r="AO935" s="459"/>
      <c r="AP935" s="460"/>
      <c r="AQ935" s="460"/>
      <c r="AR935" s="460"/>
      <c r="AS935" s="460"/>
      <c r="AT935" s="460"/>
      <c r="AU935" s="460"/>
      <c r="AV935" s="460"/>
      <c r="AW935" s="460"/>
      <c r="AX935" s="460"/>
      <c r="AY935" s="460"/>
      <c r="AZ935" s="460"/>
      <c r="BA935" s="460"/>
      <c r="BB935" s="460"/>
      <c r="BC935" s="460"/>
      <c r="BD935" s="460"/>
      <c r="BE935" s="460"/>
      <c r="BF935" s="460"/>
      <c r="BG935" s="460"/>
      <c r="BH935" s="460"/>
      <c r="BI935" s="460"/>
      <c r="BJ935" s="460"/>
      <c r="BK935" s="460"/>
      <c r="BL935" s="460"/>
      <c r="BM935" s="460"/>
      <c r="BN935" s="460"/>
      <c r="BO935" s="460"/>
      <c r="BP935" s="460"/>
      <c r="BQ935" s="460"/>
      <c r="BR935" s="460"/>
      <c r="BS935" s="460"/>
      <c r="BT935" s="460"/>
      <c r="BU935" s="460"/>
      <c r="BV935" s="460"/>
      <c r="BW935" s="460"/>
      <c r="BX935" s="460"/>
      <c r="BY935" s="460"/>
      <c r="BZ935" s="460"/>
      <c r="CA935" s="460"/>
      <c r="CB935" s="460"/>
      <c r="CC935" s="460"/>
      <c r="CD935" s="460"/>
      <c r="CE935" s="460"/>
      <c r="CF935" s="460"/>
      <c r="CG935" s="460"/>
      <c r="CH935" s="460"/>
      <c r="CI935" s="460"/>
      <c r="CJ935" s="460"/>
      <c r="CK935" s="460"/>
    </row>
    <row r="936" spans="1:89" s="329" customFormat="1" ht="36" customHeight="1" x14ac:dyDescent="0.25">
      <c r="A936" s="329">
        <v>1</v>
      </c>
      <c r="B936" s="39">
        <f>SUBTOTAL(103,$A$552:A936)</f>
        <v>339</v>
      </c>
      <c r="C936" s="33" t="s">
        <v>1673</v>
      </c>
      <c r="D936" s="330">
        <v>1968</v>
      </c>
      <c r="E936" s="330"/>
      <c r="F936" s="331" t="s">
        <v>48</v>
      </c>
      <c r="G936" s="330">
        <v>2</v>
      </c>
      <c r="H936" s="330" t="s">
        <v>57</v>
      </c>
      <c r="I936" s="334">
        <v>545.34</v>
      </c>
      <c r="J936" s="334">
        <v>316.54000000000002</v>
      </c>
      <c r="K936" s="334">
        <v>204.04</v>
      </c>
      <c r="L936" s="332">
        <v>21</v>
      </c>
      <c r="M936" s="330" t="s">
        <v>46</v>
      </c>
      <c r="N936" s="330" t="s">
        <v>50</v>
      </c>
      <c r="O936" s="333" t="s">
        <v>2090</v>
      </c>
      <c r="P936" s="38">
        <v>1822040.62</v>
      </c>
      <c r="Q936" s="38">
        <v>0</v>
      </c>
      <c r="R936" s="38">
        <v>0</v>
      </c>
      <c r="S936" s="38">
        <f>P936-Q936-R936</f>
        <v>1822040.62</v>
      </c>
      <c r="T936" s="38">
        <f t="shared" si="197"/>
        <v>3341.1094363149596</v>
      </c>
      <c r="U936" s="38">
        <v>4254.2877038178012</v>
      </c>
      <c r="V936" s="458">
        <f>U936-T936</f>
        <v>913.17826750284166</v>
      </c>
      <c r="W936" s="458">
        <f>X936+Y936+Z936+AA936+AB936+AD936+AF936+AH936+AJ936+AL936+AN936+AO936</f>
        <v>4227.4312454615465</v>
      </c>
      <c r="X936" s="458">
        <v>0</v>
      </c>
      <c r="Y936" s="459">
        <v>0</v>
      </c>
      <c r="Z936" s="459">
        <v>0</v>
      </c>
      <c r="AA936" s="459">
        <v>0</v>
      </c>
      <c r="AB936" s="459">
        <v>795.31</v>
      </c>
      <c r="AC936" s="459">
        <v>0</v>
      </c>
      <c r="AD936" s="459">
        <v>0</v>
      </c>
      <c r="AE936" s="459">
        <v>300</v>
      </c>
      <c r="AF936" s="458">
        <f>6238.91*AE936/I936</f>
        <v>3432.1212454615466</v>
      </c>
      <c r="AG936" s="459">
        <v>0</v>
      </c>
      <c r="AH936" s="458">
        <v>0</v>
      </c>
      <c r="AI936" s="459">
        <v>0</v>
      </c>
      <c r="AJ936" s="458">
        <v>0</v>
      </c>
      <c r="AK936" s="459">
        <v>0</v>
      </c>
      <c r="AL936" s="459">
        <v>0</v>
      </c>
      <c r="AM936" s="459">
        <v>0</v>
      </c>
      <c r="AN936" s="459"/>
      <c r="AO936" s="459">
        <v>0</v>
      </c>
      <c r="AP936" s="460"/>
      <c r="AQ936" s="460"/>
      <c r="AR936" s="460"/>
      <c r="AS936" s="460"/>
      <c r="AT936" s="460"/>
      <c r="AU936" s="460"/>
      <c r="AV936" s="460"/>
      <c r="AW936" s="460"/>
      <c r="AX936" s="460"/>
      <c r="AY936" s="460"/>
      <c r="AZ936" s="460"/>
      <c r="BA936" s="460"/>
      <c r="BB936" s="460"/>
      <c r="BC936" s="460"/>
      <c r="BD936" s="460"/>
      <c r="BE936" s="460"/>
      <c r="BF936" s="460"/>
      <c r="BG936" s="460"/>
      <c r="BH936" s="460"/>
      <c r="BI936" s="460"/>
      <c r="BJ936" s="460"/>
      <c r="BK936" s="460"/>
      <c r="BL936" s="460"/>
      <c r="BM936" s="460"/>
      <c r="BN936" s="460"/>
      <c r="BO936" s="460"/>
      <c r="BP936" s="460"/>
      <c r="BQ936" s="460"/>
      <c r="BR936" s="460"/>
      <c r="BS936" s="460"/>
      <c r="BT936" s="460"/>
      <c r="BU936" s="460"/>
      <c r="BV936" s="460"/>
      <c r="BW936" s="460"/>
      <c r="BX936" s="460"/>
      <c r="BY936" s="460"/>
      <c r="BZ936" s="460"/>
      <c r="CA936" s="460"/>
      <c r="CB936" s="460"/>
      <c r="CC936" s="460"/>
      <c r="CD936" s="460"/>
      <c r="CE936" s="460"/>
      <c r="CF936" s="460"/>
      <c r="CG936" s="460"/>
      <c r="CH936" s="460"/>
      <c r="CI936" s="460"/>
      <c r="CJ936" s="460"/>
      <c r="CK936" s="460"/>
    </row>
    <row r="937" spans="1:89" s="329" customFormat="1" ht="36" customHeight="1" x14ac:dyDescent="0.25">
      <c r="A937" s="329">
        <v>1</v>
      </c>
      <c r="B937" s="39">
        <f>SUBTOTAL(103,$A$552:A937)</f>
        <v>340</v>
      </c>
      <c r="C937" s="33" t="s">
        <v>1372</v>
      </c>
      <c r="D937" s="330">
        <v>1969</v>
      </c>
      <c r="E937" s="330"/>
      <c r="F937" s="331" t="s">
        <v>48</v>
      </c>
      <c r="G937" s="330">
        <v>2</v>
      </c>
      <c r="H937" s="330" t="s">
        <v>57</v>
      </c>
      <c r="I937" s="334">
        <v>1446.38</v>
      </c>
      <c r="J937" s="334">
        <v>996.18</v>
      </c>
      <c r="K937" s="334">
        <v>229.3</v>
      </c>
      <c r="L937" s="332">
        <v>78</v>
      </c>
      <c r="M937" s="330" t="s">
        <v>46</v>
      </c>
      <c r="N937" s="330" t="s">
        <v>50</v>
      </c>
      <c r="O937" s="333" t="s">
        <v>2090</v>
      </c>
      <c r="P937" s="38">
        <v>5218567.4000000004</v>
      </c>
      <c r="Q937" s="38">
        <v>0</v>
      </c>
      <c r="R937" s="38">
        <v>0</v>
      </c>
      <c r="S937" s="38">
        <f>P937-Q937-R937</f>
        <v>5218567.4000000004</v>
      </c>
      <c r="T937" s="38">
        <f t="shared" si="197"/>
        <v>3608.0196075720073</v>
      </c>
      <c r="U937" s="38">
        <v>4241.6143751987711</v>
      </c>
      <c r="V937" s="458">
        <f>U937-T937</f>
        <v>633.59476762676377</v>
      </c>
      <c r="W937" s="458">
        <f>X937+Y937+Z937+AA937+AB937+AD937+AF937+AH937+AJ937+AL937+AN937+AO937</f>
        <v>2089.3496023175098</v>
      </c>
      <c r="X937" s="458">
        <v>0</v>
      </c>
      <c r="Y937" s="459">
        <v>0</v>
      </c>
      <c r="Z937" s="459">
        <v>0</v>
      </c>
      <c r="AA937" s="459">
        <v>0</v>
      </c>
      <c r="AB937" s="459">
        <v>795.31</v>
      </c>
      <c r="AC937" s="459">
        <v>0</v>
      </c>
      <c r="AD937" s="459">
        <v>0</v>
      </c>
      <c r="AE937" s="459">
        <v>300</v>
      </c>
      <c r="AF937" s="458">
        <f>6238.91*AE937/I937</f>
        <v>1294.0396023175099</v>
      </c>
      <c r="AG937" s="459">
        <v>0</v>
      </c>
      <c r="AH937" s="458">
        <v>0</v>
      </c>
      <c r="AI937" s="459">
        <v>0</v>
      </c>
      <c r="AJ937" s="458">
        <v>0</v>
      </c>
      <c r="AK937" s="459">
        <v>0</v>
      </c>
      <c r="AL937" s="459">
        <v>0</v>
      </c>
      <c r="AM937" s="459">
        <v>0</v>
      </c>
      <c r="AN937" s="459"/>
      <c r="AO937" s="459">
        <v>0</v>
      </c>
      <c r="AP937" s="460"/>
      <c r="AQ937" s="460"/>
      <c r="AR937" s="460"/>
      <c r="AS937" s="460"/>
      <c r="AT937" s="460"/>
      <c r="AU937" s="460"/>
      <c r="AV937" s="460"/>
      <c r="AW937" s="460"/>
      <c r="AX937" s="460"/>
      <c r="AY937" s="460"/>
      <c r="AZ937" s="460"/>
      <c r="BA937" s="460"/>
      <c r="BB937" s="460"/>
      <c r="BC937" s="460"/>
      <c r="BD937" s="460"/>
      <c r="BE937" s="460"/>
      <c r="BF937" s="460"/>
      <c r="BG937" s="460"/>
      <c r="BH937" s="460"/>
      <c r="BI937" s="460"/>
      <c r="BJ937" s="460"/>
      <c r="BK937" s="460"/>
      <c r="BL937" s="460"/>
      <c r="BM937" s="460"/>
      <c r="BN937" s="460"/>
      <c r="BO937" s="460"/>
      <c r="BP937" s="460"/>
      <c r="BQ937" s="460"/>
      <c r="BR937" s="460"/>
      <c r="BS937" s="460"/>
      <c r="BT937" s="460"/>
      <c r="BU937" s="460"/>
      <c r="BV937" s="460"/>
      <c r="BW937" s="460"/>
      <c r="BX937" s="460"/>
      <c r="BY937" s="460"/>
      <c r="BZ937" s="460"/>
      <c r="CA937" s="460"/>
      <c r="CB937" s="460"/>
      <c r="CC937" s="460"/>
      <c r="CD937" s="460"/>
      <c r="CE937" s="460"/>
      <c r="CF937" s="460"/>
      <c r="CG937" s="460"/>
      <c r="CH937" s="460"/>
      <c r="CI937" s="460"/>
      <c r="CJ937" s="460"/>
      <c r="CK937" s="460"/>
    </row>
    <row r="938" spans="1:89" s="329" customFormat="1" ht="36" customHeight="1" x14ac:dyDescent="0.25">
      <c r="B938" s="33" t="s">
        <v>1674</v>
      </c>
      <c r="C938" s="33"/>
      <c r="D938" s="330" t="s">
        <v>131</v>
      </c>
      <c r="E938" s="330" t="s">
        <v>131</v>
      </c>
      <c r="F938" s="330" t="s">
        <v>131</v>
      </c>
      <c r="G938" s="330" t="s">
        <v>131</v>
      </c>
      <c r="H938" s="330" t="s">
        <v>131</v>
      </c>
      <c r="I938" s="334">
        <f>I939</f>
        <v>938.37</v>
      </c>
      <c r="J938" s="334">
        <f>J939</f>
        <v>938.37</v>
      </c>
      <c r="K938" s="334">
        <f>K939</f>
        <v>458.1</v>
      </c>
      <c r="L938" s="332">
        <f>L939</f>
        <v>47</v>
      </c>
      <c r="M938" s="330" t="s">
        <v>131</v>
      </c>
      <c r="N938" s="330" t="s">
        <v>131</v>
      </c>
      <c r="O938" s="333" t="s">
        <v>131</v>
      </c>
      <c r="P938" s="38">
        <v>3974620.0799999996</v>
      </c>
      <c r="Q938" s="38">
        <f>Q939</f>
        <v>0</v>
      </c>
      <c r="R938" s="38">
        <f>R939</f>
        <v>0</v>
      </c>
      <c r="S938" s="38">
        <f>S939</f>
        <v>3974620.0799999996</v>
      </c>
      <c r="T938" s="38">
        <f t="shared" si="197"/>
        <v>4235.6640557562578</v>
      </c>
      <c r="U938" s="38">
        <f>U939</f>
        <v>4403.1135914663964</v>
      </c>
      <c r="V938" s="458">
        <f t="shared" si="177"/>
        <v>167.44953571013866</v>
      </c>
      <c r="W938" s="458"/>
      <c r="X938" s="458"/>
      <c r="Y938" s="459"/>
      <c r="Z938" s="459"/>
      <c r="AA938" s="459"/>
      <c r="AB938" s="459"/>
      <c r="AC938" s="459"/>
      <c r="AD938" s="459"/>
      <c r="AE938" s="459"/>
      <c r="AF938" s="459"/>
      <c r="AG938" s="459"/>
      <c r="AH938" s="459"/>
      <c r="AI938" s="459"/>
      <c r="AJ938" s="459"/>
      <c r="AK938" s="459"/>
      <c r="AL938" s="459"/>
      <c r="AM938" s="459"/>
      <c r="AN938" s="459"/>
      <c r="AO938" s="459"/>
      <c r="AP938" s="460"/>
      <c r="AQ938" s="460"/>
      <c r="AR938" s="460"/>
      <c r="AS938" s="460"/>
      <c r="AT938" s="460"/>
      <c r="AU938" s="460"/>
      <c r="AV938" s="460"/>
      <c r="AW938" s="460"/>
      <c r="AX938" s="460"/>
      <c r="AY938" s="460"/>
      <c r="AZ938" s="460"/>
      <c r="BA938" s="460"/>
      <c r="BB938" s="460"/>
      <c r="BC938" s="460"/>
      <c r="BD938" s="460"/>
      <c r="BE938" s="460"/>
      <c r="BF938" s="460"/>
      <c r="BG938" s="460"/>
      <c r="BH938" s="460"/>
      <c r="BI938" s="460"/>
      <c r="BJ938" s="460"/>
      <c r="BK938" s="460"/>
      <c r="BL938" s="460"/>
      <c r="BM938" s="460"/>
      <c r="BN938" s="460"/>
      <c r="BO938" s="460"/>
      <c r="BP938" s="460"/>
      <c r="BQ938" s="460"/>
      <c r="BR938" s="460"/>
      <c r="BS938" s="460"/>
      <c r="BT938" s="460"/>
      <c r="BU938" s="460"/>
      <c r="BV938" s="460"/>
      <c r="BW938" s="460"/>
      <c r="BX938" s="460"/>
      <c r="BY938" s="460"/>
      <c r="BZ938" s="460"/>
      <c r="CA938" s="460"/>
      <c r="CB938" s="460"/>
      <c r="CC938" s="460"/>
      <c r="CD938" s="460"/>
      <c r="CE938" s="460"/>
      <c r="CF938" s="460"/>
      <c r="CG938" s="460"/>
      <c r="CH938" s="460"/>
      <c r="CI938" s="460"/>
      <c r="CJ938" s="460"/>
      <c r="CK938" s="460"/>
    </row>
    <row r="939" spans="1:89" s="329" customFormat="1" ht="36" customHeight="1" x14ac:dyDescent="0.25">
      <c r="A939" s="329">
        <v>1</v>
      </c>
      <c r="B939" s="39">
        <f>SUBTOTAL(103,$A$552:A939)</f>
        <v>341</v>
      </c>
      <c r="C939" s="33" t="s">
        <v>1675</v>
      </c>
      <c r="D939" s="330">
        <v>1979</v>
      </c>
      <c r="E939" s="330"/>
      <c r="F939" s="331" t="s">
        <v>48</v>
      </c>
      <c r="G939" s="330">
        <v>2</v>
      </c>
      <c r="H939" s="330" t="s">
        <v>61</v>
      </c>
      <c r="I939" s="334">
        <v>938.37</v>
      </c>
      <c r="J939" s="334">
        <v>938.37</v>
      </c>
      <c r="K939" s="334">
        <v>458.1</v>
      </c>
      <c r="L939" s="332">
        <v>47</v>
      </c>
      <c r="M939" s="330" t="s">
        <v>46</v>
      </c>
      <c r="N939" s="330" t="s">
        <v>50</v>
      </c>
      <c r="O939" s="333" t="s">
        <v>2091</v>
      </c>
      <c r="P939" s="38">
        <v>3974620.0799999996</v>
      </c>
      <c r="Q939" s="38">
        <v>0</v>
      </c>
      <c r="R939" s="38">
        <v>0</v>
      </c>
      <c r="S939" s="38">
        <f>P939-Q939-R939</f>
        <v>3974620.0799999996</v>
      </c>
      <c r="T939" s="38">
        <f t="shared" si="197"/>
        <v>4235.6640557562578</v>
      </c>
      <c r="U939" s="38">
        <v>4403.1135914663964</v>
      </c>
      <c r="V939" s="458">
        <f>U939-T939</f>
        <v>167.44953571013866</v>
      </c>
      <c r="W939" s="458">
        <f>X939+Y939+Z939+AA939+AB939+AD939+AF939+AH939+AJ939+AL939+AN939+AO939</f>
        <v>4388.1462730261565</v>
      </c>
      <c r="X939" s="458">
        <v>0</v>
      </c>
      <c r="Y939" s="459">
        <v>0</v>
      </c>
      <c r="Z939" s="459">
        <v>0</v>
      </c>
      <c r="AA939" s="459">
        <v>0</v>
      </c>
      <c r="AB939" s="459">
        <v>0</v>
      </c>
      <c r="AC939" s="459">
        <v>0</v>
      </c>
      <c r="AD939" s="459">
        <v>0</v>
      </c>
      <c r="AE939" s="459">
        <v>660.00388180300001</v>
      </c>
      <c r="AF939" s="458">
        <f>6238.91*AE939/I939</f>
        <v>4388.1462730261565</v>
      </c>
      <c r="AG939" s="459">
        <v>0</v>
      </c>
      <c r="AH939" s="458">
        <v>0</v>
      </c>
      <c r="AI939" s="459">
        <v>0</v>
      </c>
      <c r="AJ939" s="458">
        <v>0</v>
      </c>
      <c r="AK939" s="459">
        <v>0</v>
      </c>
      <c r="AL939" s="459">
        <v>0</v>
      </c>
      <c r="AM939" s="459">
        <v>0</v>
      </c>
      <c r="AN939" s="459"/>
      <c r="AO939" s="459">
        <v>0</v>
      </c>
      <c r="AP939" s="460"/>
      <c r="AQ939" s="460"/>
      <c r="AR939" s="460"/>
      <c r="AS939" s="460"/>
      <c r="AT939" s="460"/>
      <c r="AU939" s="460"/>
      <c r="AV939" s="460"/>
      <c r="AW939" s="460"/>
      <c r="AX939" s="460"/>
      <c r="AY939" s="460"/>
      <c r="AZ939" s="460"/>
      <c r="BA939" s="460"/>
      <c r="BB939" s="460"/>
      <c r="BC939" s="460"/>
      <c r="BD939" s="460"/>
      <c r="BE939" s="460"/>
      <c r="BF939" s="460"/>
      <c r="BG939" s="460"/>
      <c r="BH939" s="460"/>
      <c r="BI939" s="460"/>
      <c r="BJ939" s="460"/>
      <c r="BK939" s="460"/>
      <c r="BL939" s="460"/>
      <c r="BM939" s="460"/>
      <c r="BN939" s="460"/>
      <c r="BO939" s="460"/>
      <c r="BP939" s="460"/>
      <c r="BQ939" s="460"/>
      <c r="BR939" s="460"/>
      <c r="BS939" s="460"/>
      <c r="BT939" s="460"/>
      <c r="BU939" s="460"/>
      <c r="BV939" s="460"/>
      <c r="BW939" s="460"/>
      <c r="BX939" s="460"/>
      <c r="BY939" s="460"/>
      <c r="BZ939" s="460"/>
      <c r="CA939" s="460"/>
      <c r="CB939" s="460"/>
      <c r="CC939" s="460"/>
      <c r="CD939" s="460"/>
      <c r="CE939" s="460"/>
      <c r="CF939" s="460"/>
      <c r="CG939" s="460"/>
      <c r="CH939" s="460"/>
      <c r="CI939" s="460"/>
      <c r="CJ939" s="460"/>
      <c r="CK939" s="460"/>
    </row>
    <row r="940" spans="1:89" s="329" customFormat="1" ht="36" customHeight="1" x14ac:dyDescent="0.25">
      <c r="B940" s="33" t="s">
        <v>1676</v>
      </c>
      <c r="C940" s="33"/>
      <c r="D940" s="330" t="s">
        <v>131</v>
      </c>
      <c r="E940" s="330" t="s">
        <v>131</v>
      </c>
      <c r="F940" s="330" t="s">
        <v>131</v>
      </c>
      <c r="G940" s="330" t="s">
        <v>131</v>
      </c>
      <c r="H940" s="330" t="s">
        <v>131</v>
      </c>
      <c r="I940" s="334">
        <f>I941</f>
        <v>1367.9</v>
      </c>
      <c r="J940" s="334">
        <f>J941</f>
        <v>926.7</v>
      </c>
      <c r="K940" s="334">
        <f>K941</f>
        <v>324.89999999999998</v>
      </c>
      <c r="L940" s="332">
        <f>L941</f>
        <v>78</v>
      </c>
      <c r="M940" s="330" t="s">
        <v>131</v>
      </c>
      <c r="N940" s="330" t="s">
        <v>131</v>
      </c>
      <c r="O940" s="333" t="s">
        <v>131</v>
      </c>
      <c r="P940" s="38">
        <v>2957808</v>
      </c>
      <c r="Q940" s="38">
        <f>Q941</f>
        <v>0</v>
      </c>
      <c r="R940" s="38">
        <f>R941</f>
        <v>0</v>
      </c>
      <c r="S940" s="38">
        <f>S941</f>
        <v>2957808</v>
      </c>
      <c r="T940" s="38">
        <f t="shared" si="197"/>
        <v>2162.2984136267269</v>
      </c>
      <c r="U940" s="38">
        <f>U941</f>
        <v>2745.8980919657865</v>
      </c>
      <c r="V940" s="458">
        <f t="shared" si="177"/>
        <v>583.59967833905966</v>
      </c>
      <c r="W940" s="458"/>
      <c r="X940" s="458"/>
      <c r="Y940" s="459"/>
      <c r="Z940" s="459"/>
      <c r="AA940" s="459"/>
      <c r="AB940" s="459"/>
      <c r="AC940" s="459"/>
      <c r="AD940" s="459"/>
      <c r="AE940" s="459"/>
      <c r="AF940" s="459"/>
      <c r="AG940" s="459"/>
      <c r="AH940" s="459"/>
      <c r="AI940" s="459"/>
      <c r="AJ940" s="459"/>
      <c r="AK940" s="459"/>
      <c r="AL940" s="459"/>
      <c r="AM940" s="459"/>
      <c r="AN940" s="459"/>
      <c r="AO940" s="459"/>
      <c r="AP940" s="460"/>
      <c r="AQ940" s="460"/>
      <c r="AR940" s="460"/>
      <c r="AS940" s="460"/>
      <c r="AT940" s="460"/>
      <c r="AU940" s="460"/>
      <c r="AV940" s="460"/>
      <c r="AW940" s="460"/>
      <c r="AX940" s="460"/>
      <c r="AY940" s="460"/>
      <c r="AZ940" s="460"/>
      <c r="BA940" s="460"/>
      <c r="BB940" s="460"/>
      <c r="BC940" s="460"/>
      <c r="BD940" s="460"/>
      <c r="BE940" s="460"/>
      <c r="BF940" s="460"/>
      <c r="BG940" s="460"/>
      <c r="BH940" s="460"/>
      <c r="BI940" s="460"/>
      <c r="BJ940" s="460"/>
      <c r="BK940" s="460"/>
      <c r="BL940" s="460"/>
      <c r="BM940" s="460"/>
      <c r="BN940" s="460"/>
      <c r="BO940" s="460"/>
      <c r="BP940" s="460"/>
      <c r="BQ940" s="460"/>
      <c r="BR940" s="460"/>
      <c r="BS940" s="460"/>
      <c r="BT940" s="460"/>
      <c r="BU940" s="460"/>
      <c r="BV940" s="460"/>
      <c r="BW940" s="460"/>
      <c r="BX940" s="460"/>
      <c r="BY940" s="460"/>
      <c r="BZ940" s="460"/>
      <c r="CA940" s="460"/>
      <c r="CB940" s="460"/>
      <c r="CC940" s="460"/>
      <c r="CD940" s="460"/>
      <c r="CE940" s="460"/>
      <c r="CF940" s="460"/>
      <c r="CG940" s="460"/>
      <c r="CH940" s="460"/>
      <c r="CI940" s="460"/>
      <c r="CJ940" s="460"/>
      <c r="CK940" s="460"/>
    </row>
    <row r="941" spans="1:89" s="329" customFormat="1" ht="36" customHeight="1" x14ac:dyDescent="0.25">
      <c r="A941" s="329">
        <v>1</v>
      </c>
      <c r="B941" s="39">
        <f>SUBTOTAL(103,$A$552:A941)</f>
        <v>342</v>
      </c>
      <c r="C941" s="33" t="s">
        <v>1677</v>
      </c>
      <c r="D941" s="330">
        <v>1974</v>
      </c>
      <c r="E941" s="330"/>
      <c r="F941" s="331" t="s">
        <v>48</v>
      </c>
      <c r="G941" s="330">
        <v>2</v>
      </c>
      <c r="H941" s="330" t="s">
        <v>57</v>
      </c>
      <c r="I941" s="334">
        <v>1367.9</v>
      </c>
      <c r="J941" s="334">
        <v>926.7</v>
      </c>
      <c r="K941" s="334">
        <v>324.89999999999998</v>
      </c>
      <c r="L941" s="332">
        <v>78</v>
      </c>
      <c r="M941" s="330" t="s">
        <v>46</v>
      </c>
      <c r="N941" s="330" t="s">
        <v>50</v>
      </c>
      <c r="O941" s="333" t="s">
        <v>2090</v>
      </c>
      <c r="P941" s="38">
        <v>2957808</v>
      </c>
      <c r="Q941" s="38">
        <v>0</v>
      </c>
      <c r="R941" s="38">
        <v>0</v>
      </c>
      <c r="S941" s="38">
        <f>P941-Q941-R941</f>
        <v>2957808</v>
      </c>
      <c r="T941" s="38">
        <f t="shared" si="197"/>
        <v>2162.2984136267269</v>
      </c>
      <c r="U941" s="38">
        <v>2745.8980919657865</v>
      </c>
      <c r="V941" s="458">
        <f>U941-T941</f>
        <v>583.59967833905966</v>
      </c>
      <c r="W941" s="458">
        <f>X941+Y941+Z941+AA941+AB941+AD941+AF941+AH941+AJ941+AL941+AN941+AO941</f>
        <v>2736.5640763213682</v>
      </c>
      <c r="X941" s="458">
        <v>0</v>
      </c>
      <c r="Y941" s="459">
        <v>0</v>
      </c>
      <c r="Z941" s="459">
        <v>0</v>
      </c>
      <c r="AA941" s="459">
        <v>0</v>
      </c>
      <c r="AB941" s="459">
        <v>0</v>
      </c>
      <c r="AC941" s="459">
        <v>0</v>
      </c>
      <c r="AD941" s="459">
        <v>0</v>
      </c>
      <c r="AE941" s="459">
        <v>600</v>
      </c>
      <c r="AF941" s="458">
        <f>6238.91*AE941/I941</f>
        <v>2736.5640763213682</v>
      </c>
      <c r="AG941" s="459">
        <v>0</v>
      </c>
      <c r="AH941" s="458">
        <v>0</v>
      </c>
      <c r="AI941" s="459">
        <v>0</v>
      </c>
      <c r="AJ941" s="458">
        <v>0</v>
      </c>
      <c r="AK941" s="459">
        <v>0</v>
      </c>
      <c r="AL941" s="459">
        <v>0</v>
      </c>
      <c r="AM941" s="459">
        <v>0</v>
      </c>
      <c r="AN941" s="459"/>
      <c r="AO941" s="459">
        <v>0</v>
      </c>
      <c r="AP941" s="460"/>
      <c r="AQ941" s="460"/>
      <c r="AR941" s="460"/>
      <c r="AS941" s="460"/>
      <c r="AT941" s="460"/>
      <c r="AU941" s="460"/>
      <c r="AV941" s="460"/>
      <c r="AW941" s="460"/>
      <c r="AX941" s="460"/>
      <c r="AY941" s="460"/>
      <c r="AZ941" s="460"/>
      <c r="BA941" s="460"/>
      <c r="BB941" s="460"/>
      <c r="BC941" s="460"/>
      <c r="BD941" s="460"/>
      <c r="BE941" s="460"/>
      <c r="BF941" s="460"/>
      <c r="BG941" s="460"/>
      <c r="BH941" s="460"/>
      <c r="BI941" s="460"/>
      <c r="BJ941" s="460"/>
      <c r="BK941" s="460"/>
      <c r="BL941" s="460"/>
      <c r="BM941" s="460"/>
      <c r="BN941" s="460"/>
      <c r="BO941" s="460"/>
      <c r="BP941" s="460"/>
      <c r="BQ941" s="460"/>
      <c r="BR941" s="460"/>
      <c r="BS941" s="460"/>
      <c r="BT941" s="460"/>
      <c r="BU941" s="460"/>
      <c r="BV941" s="460"/>
      <c r="BW941" s="460"/>
      <c r="BX941" s="460"/>
      <c r="BY941" s="460"/>
      <c r="BZ941" s="460"/>
      <c r="CA941" s="460"/>
      <c r="CB941" s="460"/>
      <c r="CC941" s="460"/>
      <c r="CD941" s="460"/>
      <c r="CE941" s="460"/>
      <c r="CF941" s="460"/>
      <c r="CG941" s="460"/>
      <c r="CH941" s="460"/>
      <c r="CI941" s="460"/>
      <c r="CJ941" s="460"/>
      <c r="CK941" s="460"/>
    </row>
    <row r="942" spans="1:89" s="329" customFormat="1" ht="36" customHeight="1" x14ac:dyDescent="0.25">
      <c r="B942" s="33" t="s">
        <v>1373</v>
      </c>
      <c r="C942" s="33"/>
      <c r="D942" s="330" t="s">
        <v>131</v>
      </c>
      <c r="E942" s="330" t="s">
        <v>131</v>
      </c>
      <c r="F942" s="330" t="s">
        <v>131</v>
      </c>
      <c r="G942" s="330" t="s">
        <v>131</v>
      </c>
      <c r="H942" s="330" t="s">
        <v>131</v>
      </c>
      <c r="I942" s="334">
        <f>I943</f>
        <v>676.3</v>
      </c>
      <c r="J942" s="334">
        <f>J943</f>
        <v>633.29999999999995</v>
      </c>
      <c r="K942" s="334">
        <f>K943</f>
        <v>546.79</v>
      </c>
      <c r="L942" s="332">
        <f>L943</f>
        <v>32</v>
      </c>
      <c r="M942" s="330" t="s">
        <v>131</v>
      </c>
      <c r="N942" s="330" t="s">
        <v>131</v>
      </c>
      <c r="O942" s="333" t="s">
        <v>131</v>
      </c>
      <c r="P942" s="38">
        <v>2594808.33</v>
      </c>
      <c r="Q942" s="38">
        <f>Q943</f>
        <v>0</v>
      </c>
      <c r="R942" s="38">
        <f>R943</f>
        <v>0</v>
      </c>
      <c r="S942" s="38">
        <f>S943</f>
        <v>2594808.33</v>
      </c>
      <c r="T942" s="38">
        <f t="shared" si="197"/>
        <v>3836.7711518556857</v>
      </c>
      <c r="U942" s="38">
        <f>U943</f>
        <v>5823.2552200014361</v>
      </c>
      <c r="V942" s="458">
        <f t="shared" ref="V942" si="207">U942-T942</f>
        <v>1986.4840681457504</v>
      </c>
      <c r="W942" s="458"/>
      <c r="X942" s="458"/>
      <c r="Y942" s="459"/>
      <c r="Z942" s="459"/>
      <c r="AA942" s="459"/>
      <c r="AB942" s="459"/>
      <c r="AC942" s="459"/>
      <c r="AD942" s="459"/>
      <c r="AE942" s="459"/>
      <c r="AF942" s="459"/>
      <c r="AG942" s="459"/>
      <c r="AH942" s="459"/>
      <c r="AI942" s="459"/>
      <c r="AJ942" s="459"/>
      <c r="AK942" s="459"/>
      <c r="AL942" s="459"/>
      <c r="AM942" s="459"/>
      <c r="AN942" s="459"/>
      <c r="AO942" s="459"/>
      <c r="AP942" s="460"/>
      <c r="AQ942" s="460"/>
      <c r="AR942" s="460"/>
      <c r="AS942" s="460"/>
      <c r="AT942" s="460"/>
      <c r="AU942" s="460"/>
      <c r="AV942" s="460"/>
      <c r="AW942" s="460"/>
      <c r="AX942" s="460"/>
      <c r="AY942" s="460"/>
      <c r="AZ942" s="460"/>
      <c r="BA942" s="460"/>
      <c r="BB942" s="460"/>
      <c r="BC942" s="460"/>
      <c r="BD942" s="460"/>
      <c r="BE942" s="460"/>
      <c r="BF942" s="460"/>
      <c r="BG942" s="460"/>
      <c r="BH942" s="460"/>
      <c r="BI942" s="460"/>
      <c r="BJ942" s="460"/>
      <c r="BK942" s="460"/>
      <c r="BL942" s="460"/>
      <c r="BM942" s="460"/>
      <c r="BN942" s="460"/>
      <c r="BO942" s="460"/>
      <c r="BP942" s="460"/>
      <c r="BQ942" s="460"/>
      <c r="BR942" s="460"/>
      <c r="BS942" s="460"/>
      <c r="BT942" s="460"/>
      <c r="BU942" s="460"/>
      <c r="BV942" s="460"/>
      <c r="BW942" s="460"/>
      <c r="BX942" s="460"/>
      <c r="BY942" s="460"/>
      <c r="BZ942" s="460"/>
      <c r="CA942" s="460"/>
      <c r="CB942" s="460"/>
      <c r="CC942" s="460"/>
      <c r="CD942" s="460"/>
      <c r="CE942" s="460"/>
      <c r="CF942" s="460"/>
      <c r="CG942" s="460"/>
      <c r="CH942" s="460"/>
      <c r="CI942" s="460"/>
      <c r="CJ942" s="460"/>
      <c r="CK942" s="460"/>
    </row>
    <row r="943" spans="1:89" s="329" customFormat="1" ht="36" customHeight="1" x14ac:dyDescent="0.25">
      <c r="A943" s="329">
        <v>1</v>
      </c>
      <c r="B943" s="39">
        <f>SUBTOTAL(103,$A$552:A943)</f>
        <v>343</v>
      </c>
      <c r="C943" s="33" t="s">
        <v>1374</v>
      </c>
      <c r="D943" s="330">
        <v>1965</v>
      </c>
      <c r="E943" s="330"/>
      <c r="F943" s="331" t="s">
        <v>48</v>
      </c>
      <c r="G943" s="330">
        <v>2</v>
      </c>
      <c r="H943" s="330" t="s">
        <v>56</v>
      </c>
      <c r="I943" s="334">
        <v>676.3</v>
      </c>
      <c r="J943" s="334">
        <v>633.29999999999995</v>
      </c>
      <c r="K943" s="334">
        <v>546.79</v>
      </c>
      <c r="L943" s="332">
        <v>32</v>
      </c>
      <c r="M943" s="330" t="s">
        <v>46</v>
      </c>
      <c r="N943" s="330" t="s">
        <v>50</v>
      </c>
      <c r="O943" s="333" t="s">
        <v>2091</v>
      </c>
      <c r="P943" s="38">
        <v>2594808.33</v>
      </c>
      <c r="Q943" s="38">
        <v>0</v>
      </c>
      <c r="R943" s="38">
        <v>0</v>
      </c>
      <c r="S943" s="38">
        <f>P943-Q943-R943</f>
        <v>2594808.33</v>
      </c>
      <c r="T943" s="38">
        <f t="shared" si="197"/>
        <v>3836.7711518556857</v>
      </c>
      <c r="U943" s="38">
        <v>5823.2552200014361</v>
      </c>
      <c r="V943" s="458">
        <f>U943-T943</f>
        <v>1986.4840681457504</v>
      </c>
      <c r="W943" s="458">
        <f>X943+Y943+Z943+AA943+AB943+AD943+AF943+AH943+AJ943+AL943+AN943+AO943</f>
        <v>5535.0377051604319</v>
      </c>
      <c r="X943" s="458">
        <v>0</v>
      </c>
      <c r="Y943" s="459">
        <v>0</v>
      </c>
      <c r="Z943" s="459">
        <v>0</v>
      </c>
      <c r="AA943" s="459">
        <v>0</v>
      </c>
      <c r="AB943" s="459">
        <v>0</v>
      </c>
      <c r="AC943" s="459">
        <v>0</v>
      </c>
      <c r="AD943" s="459">
        <v>0</v>
      </c>
      <c r="AE943" s="459">
        <v>600</v>
      </c>
      <c r="AF943" s="458">
        <f>6238.91*AE943/I943</f>
        <v>5535.0377051604319</v>
      </c>
      <c r="AG943" s="459">
        <v>0</v>
      </c>
      <c r="AH943" s="458">
        <v>0</v>
      </c>
      <c r="AI943" s="459">
        <v>0</v>
      </c>
      <c r="AJ943" s="458">
        <v>0</v>
      </c>
      <c r="AK943" s="459">
        <v>0</v>
      </c>
      <c r="AL943" s="459">
        <v>0</v>
      </c>
      <c r="AM943" s="459">
        <v>0</v>
      </c>
      <c r="AN943" s="459"/>
      <c r="AO943" s="459">
        <v>0</v>
      </c>
      <c r="AP943" s="460"/>
      <c r="AQ943" s="460"/>
      <c r="AR943" s="460"/>
      <c r="AS943" s="460"/>
      <c r="AT943" s="460"/>
      <c r="AU943" s="460"/>
      <c r="AV943" s="460"/>
      <c r="AW943" s="460"/>
      <c r="AX943" s="460"/>
      <c r="AY943" s="460"/>
      <c r="AZ943" s="460"/>
      <c r="BA943" s="460"/>
      <c r="BB943" s="460"/>
      <c r="BC943" s="460"/>
      <c r="BD943" s="460"/>
      <c r="BE943" s="460"/>
      <c r="BF943" s="460"/>
      <c r="BG943" s="460"/>
      <c r="BH943" s="460"/>
      <c r="BI943" s="460"/>
      <c r="BJ943" s="460"/>
      <c r="BK943" s="460"/>
      <c r="BL943" s="460"/>
      <c r="BM943" s="460"/>
      <c r="BN943" s="460"/>
      <c r="BO943" s="460"/>
      <c r="BP943" s="460"/>
      <c r="BQ943" s="460"/>
      <c r="BR943" s="460"/>
      <c r="BS943" s="460"/>
      <c r="BT943" s="460"/>
      <c r="BU943" s="460"/>
      <c r="BV943" s="460"/>
      <c r="BW943" s="460"/>
      <c r="BX943" s="460"/>
      <c r="BY943" s="460"/>
      <c r="BZ943" s="460"/>
      <c r="CA943" s="460"/>
      <c r="CB943" s="460"/>
      <c r="CC943" s="460"/>
      <c r="CD943" s="460"/>
      <c r="CE943" s="460"/>
      <c r="CF943" s="460"/>
      <c r="CG943" s="460"/>
      <c r="CH943" s="460"/>
      <c r="CI943" s="460"/>
      <c r="CJ943" s="460"/>
      <c r="CK943" s="460"/>
    </row>
    <row r="944" spans="1:89" s="329" customFormat="1" ht="36" customHeight="1" x14ac:dyDescent="0.25">
      <c r="B944" s="33" t="s">
        <v>115</v>
      </c>
      <c r="C944" s="33"/>
      <c r="D944" s="330" t="s">
        <v>131</v>
      </c>
      <c r="E944" s="330" t="s">
        <v>131</v>
      </c>
      <c r="F944" s="330" t="s">
        <v>131</v>
      </c>
      <c r="G944" s="330" t="s">
        <v>131</v>
      </c>
      <c r="H944" s="330" t="s">
        <v>131</v>
      </c>
      <c r="I944" s="334">
        <f>SUM(I945:I947)</f>
        <v>4397.6899999999996</v>
      </c>
      <c r="J944" s="334">
        <f>SUM(J945:J947)</f>
        <v>4258.3</v>
      </c>
      <c r="K944" s="334">
        <f>SUM(K945:K947)</f>
        <v>2465.9899999999998</v>
      </c>
      <c r="L944" s="332">
        <f>SUM(L945:L947)</f>
        <v>167</v>
      </c>
      <c r="M944" s="330" t="s">
        <v>131</v>
      </c>
      <c r="N944" s="330" t="s">
        <v>131</v>
      </c>
      <c r="O944" s="333" t="s">
        <v>131</v>
      </c>
      <c r="P944" s="38">
        <v>11852193.1</v>
      </c>
      <c r="Q944" s="38">
        <f>SUM(Q945:Q947)</f>
        <v>0</v>
      </c>
      <c r="R944" s="38">
        <f>SUM(R945:R947)</f>
        <v>0</v>
      </c>
      <c r="S944" s="38">
        <f>SUM(S945:S947)</f>
        <v>11852193.1</v>
      </c>
      <c r="T944" s="38">
        <f t="shared" si="197"/>
        <v>2695.0951749668579</v>
      </c>
      <c r="U944" s="38">
        <f>MAX(U945:U947)</f>
        <v>4657.294181002243</v>
      </c>
      <c r="V944" s="458">
        <f t="shared" si="177"/>
        <v>1962.1990060353851</v>
      </c>
      <c r="W944" s="458"/>
      <c r="X944" s="458"/>
      <c r="Y944" s="459"/>
      <c r="Z944" s="459"/>
      <c r="AA944" s="459"/>
      <c r="AB944" s="459"/>
      <c r="AC944" s="459"/>
      <c r="AD944" s="459"/>
      <c r="AE944" s="459"/>
      <c r="AF944" s="459"/>
      <c r="AG944" s="459"/>
      <c r="AH944" s="459"/>
      <c r="AI944" s="459"/>
      <c r="AJ944" s="459"/>
      <c r="AK944" s="459"/>
      <c r="AL944" s="459"/>
      <c r="AM944" s="459"/>
      <c r="AN944" s="459"/>
      <c r="AO944" s="459"/>
      <c r="AP944" s="460"/>
      <c r="AQ944" s="460"/>
      <c r="AR944" s="460"/>
      <c r="AS944" s="460"/>
      <c r="AT944" s="460"/>
      <c r="AU944" s="460"/>
      <c r="AV944" s="460"/>
      <c r="AW944" s="460"/>
      <c r="AX944" s="460"/>
      <c r="AY944" s="460"/>
      <c r="AZ944" s="460"/>
      <c r="BA944" s="460"/>
      <c r="BB944" s="460"/>
      <c r="BC944" s="460"/>
      <c r="BD944" s="460"/>
      <c r="BE944" s="460"/>
      <c r="BF944" s="460"/>
      <c r="BG944" s="460"/>
      <c r="BH944" s="460"/>
      <c r="BI944" s="460"/>
      <c r="BJ944" s="460"/>
      <c r="BK944" s="460"/>
      <c r="BL944" s="460"/>
      <c r="BM944" s="460"/>
      <c r="BN944" s="460"/>
      <c r="BO944" s="460"/>
      <c r="BP944" s="460"/>
      <c r="BQ944" s="460"/>
      <c r="BR944" s="460"/>
      <c r="BS944" s="460"/>
      <c r="BT944" s="460"/>
      <c r="BU944" s="460"/>
      <c r="BV944" s="460"/>
      <c r="BW944" s="460"/>
      <c r="BX944" s="460"/>
      <c r="BY944" s="460"/>
      <c r="BZ944" s="460"/>
      <c r="CA944" s="460"/>
      <c r="CB944" s="460"/>
      <c r="CC944" s="460"/>
      <c r="CD944" s="460"/>
      <c r="CE944" s="460"/>
      <c r="CF944" s="460"/>
      <c r="CG944" s="460"/>
      <c r="CH944" s="460"/>
      <c r="CI944" s="460"/>
      <c r="CJ944" s="460"/>
      <c r="CK944" s="460"/>
    </row>
    <row r="945" spans="1:191" s="329" customFormat="1" ht="36" customHeight="1" x14ac:dyDescent="0.25">
      <c r="A945" s="329">
        <v>1</v>
      </c>
      <c r="B945" s="39">
        <f>SUBTOTAL(103,$A$552:A945)</f>
        <v>344</v>
      </c>
      <c r="C945" s="33" t="s">
        <v>1678</v>
      </c>
      <c r="D945" s="330">
        <v>1970</v>
      </c>
      <c r="E945" s="330"/>
      <c r="F945" s="331" t="s">
        <v>48</v>
      </c>
      <c r="G945" s="330" t="s">
        <v>59</v>
      </c>
      <c r="H945" s="330" t="s">
        <v>61</v>
      </c>
      <c r="I945" s="334">
        <v>2208.39</v>
      </c>
      <c r="J945" s="334">
        <v>2171</v>
      </c>
      <c r="K945" s="334">
        <v>446.69</v>
      </c>
      <c r="L945" s="332">
        <v>73</v>
      </c>
      <c r="M945" s="330" t="s">
        <v>46</v>
      </c>
      <c r="N945" s="330" t="s">
        <v>50</v>
      </c>
      <c r="O945" s="333" t="s">
        <v>54</v>
      </c>
      <c r="P945" s="38">
        <v>4621140.71</v>
      </c>
      <c r="Q945" s="38">
        <v>0</v>
      </c>
      <c r="R945" s="38">
        <v>0</v>
      </c>
      <c r="S945" s="38">
        <f>P945-Q945-R945</f>
        <v>4621140.71</v>
      </c>
      <c r="T945" s="38">
        <f t="shared" si="197"/>
        <v>2092.5383242996031</v>
      </c>
      <c r="U945" s="38">
        <v>2225.2632687161235</v>
      </c>
      <c r="V945" s="458">
        <f>U945-T945</f>
        <v>132.72494441652043</v>
      </c>
      <c r="W945" s="458">
        <f>X945+Y945+Z945+AA945+AB945+AD945+AF945+AH945+AJ945+AL945+AN945+AO945</f>
        <v>2217.6990250816207</v>
      </c>
      <c r="X945" s="458">
        <v>0</v>
      </c>
      <c r="Y945" s="459">
        <v>0</v>
      </c>
      <c r="Z945" s="459">
        <v>0</v>
      </c>
      <c r="AA945" s="459">
        <v>0</v>
      </c>
      <c r="AB945" s="459">
        <v>0</v>
      </c>
      <c r="AC945" s="459">
        <v>0</v>
      </c>
      <c r="AD945" s="459">
        <v>0</v>
      </c>
      <c r="AE945" s="459">
        <v>785</v>
      </c>
      <c r="AF945" s="458">
        <f>6238.91*AE945/I945</f>
        <v>2217.6990250816207</v>
      </c>
      <c r="AG945" s="459">
        <v>0</v>
      </c>
      <c r="AH945" s="458">
        <v>0</v>
      </c>
      <c r="AI945" s="459">
        <v>0</v>
      </c>
      <c r="AJ945" s="458">
        <v>0</v>
      </c>
      <c r="AK945" s="459">
        <v>0</v>
      </c>
      <c r="AL945" s="459">
        <v>0</v>
      </c>
      <c r="AM945" s="459">
        <v>0</v>
      </c>
      <c r="AN945" s="459"/>
      <c r="AO945" s="459">
        <v>0</v>
      </c>
      <c r="AP945" s="460"/>
      <c r="AQ945" s="460"/>
      <c r="AR945" s="460"/>
      <c r="AS945" s="460"/>
      <c r="AT945" s="460"/>
      <c r="AU945" s="460"/>
      <c r="AV945" s="460"/>
      <c r="AW945" s="460"/>
      <c r="AX945" s="460"/>
      <c r="AY945" s="460"/>
      <c r="AZ945" s="460"/>
      <c r="BA945" s="460"/>
      <c r="BB945" s="460"/>
      <c r="BC945" s="460"/>
      <c r="BD945" s="460"/>
      <c r="BE945" s="460"/>
      <c r="BF945" s="460"/>
      <c r="BG945" s="460"/>
      <c r="BH945" s="460"/>
      <c r="BI945" s="460"/>
      <c r="BJ945" s="460"/>
      <c r="BK945" s="460"/>
      <c r="BL945" s="460"/>
      <c r="BM945" s="460"/>
      <c r="BN945" s="460"/>
      <c r="BO945" s="460"/>
      <c r="BP945" s="460"/>
      <c r="BQ945" s="460"/>
      <c r="BR945" s="460"/>
      <c r="BS945" s="460"/>
      <c r="BT945" s="460"/>
      <c r="BU945" s="460"/>
      <c r="BV945" s="460"/>
      <c r="BW945" s="460"/>
      <c r="BX945" s="460"/>
      <c r="BY945" s="460"/>
      <c r="BZ945" s="460"/>
      <c r="CA945" s="460"/>
      <c r="CB945" s="460"/>
      <c r="CC945" s="460"/>
      <c r="CD945" s="460"/>
      <c r="CE945" s="460"/>
      <c r="CF945" s="460"/>
      <c r="CG945" s="460"/>
      <c r="CH945" s="460"/>
      <c r="CI945" s="460"/>
      <c r="CJ945" s="460"/>
      <c r="CK945" s="460"/>
    </row>
    <row r="946" spans="1:191" s="329" customFormat="1" ht="36" customHeight="1" x14ac:dyDescent="0.25">
      <c r="A946" s="329">
        <v>1</v>
      </c>
      <c r="B946" s="39">
        <f>SUBTOTAL(103,$A$552:A946)</f>
        <v>345</v>
      </c>
      <c r="C946" s="33" t="s">
        <v>1375</v>
      </c>
      <c r="D946" s="330">
        <v>1983</v>
      </c>
      <c r="E946" s="330"/>
      <c r="F946" s="331" t="s">
        <v>48</v>
      </c>
      <c r="G946" s="330">
        <v>3</v>
      </c>
      <c r="H946" s="330" t="s">
        <v>56</v>
      </c>
      <c r="I946" s="334">
        <v>1387.1</v>
      </c>
      <c r="J946" s="334">
        <v>1285.0999999999999</v>
      </c>
      <c r="K946" s="334">
        <v>1285.0999999999999</v>
      </c>
      <c r="L946" s="332">
        <v>58</v>
      </c>
      <c r="M946" s="330" t="s">
        <v>46</v>
      </c>
      <c r="N946" s="330" t="s">
        <v>50</v>
      </c>
      <c r="O946" s="333" t="s">
        <v>54</v>
      </c>
      <c r="P946" s="38">
        <v>4828153.3899999997</v>
      </c>
      <c r="Q946" s="38">
        <v>0</v>
      </c>
      <c r="R946" s="38">
        <v>0</v>
      </c>
      <c r="S946" s="38">
        <f>P946-Q946-R946</f>
        <v>4828153.3899999997</v>
      </c>
      <c r="T946" s="38">
        <f t="shared" si="197"/>
        <v>3480.7536515031361</v>
      </c>
      <c r="U946" s="38">
        <v>3480.7536515031361</v>
      </c>
      <c r="V946" s="458">
        <f>U946-T946</f>
        <v>0</v>
      </c>
      <c r="W946" s="458">
        <f>X946+Y946+Z946+AA946+AB946+AD946+AF946+AH946+AJ946+AL946+AN946+AO946</f>
        <v>3530.7795760940089</v>
      </c>
      <c r="X946" s="458">
        <v>0</v>
      </c>
      <c r="Y946" s="459">
        <v>0</v>
      </c>
      <c r="Z946" s="459">
        <v>0</v>
      </c>
      <c r="AA946" s="459">
        <v>0</v>
      </c>
      <c r="AB946" s="459">
        <v>0</v>
      </c>
      <c r="AC946" s="459">
        <v>0</v>
      </c>
      <c r="AD946" s="459">
        <v>0</v>
      </c>
      <c r="AE946" s="459">
        <v>785</v>
      </c>
      <c r="AF946" s="458">
        <f>6238.91*AE946/I946</f>
        <v>3530.7795760940089</v>
      </c>
      <c r="AG946" s="459">
        <v>0</v>
      </c>
      <c r="AH946" s="458">
        <v>0</v>
      </c>
      <c r="AI946" s="459">
        <v>0</v>
      </c>
      <c r="AJ946" s="458">
        <v>0</v>
      </c>
      <c r="AK946" s="459">
        <v>0</v>
      </c>
      <c r="AL946" s="459">
        <v>0</v>
      </c>
      <c r="AM946" s="459">
        <v>0</v>
      </c>
      <c r="AN946" s="459"/>
      <c r="AO946" s="459">
        <v>0</v>
      </c>
      <c r="AP946" s="460"/>
      <c r="AQ946" s="460"/>
      <c r="AR946" s="460"/>
      <c r="AS946" s="460"/>
      <c r="AT946" s="460"/>
      <c r="AU946" s="460"/>
      <c r="AV946" s="460"/>
      <c r="AW946" s="460"/>
      <c r="AX946" s="460"/>
      <c r="AY946" s="460"/>
      <c r="AZ946" s="460"/>
      <c r="BA946" s="460"/>
      <c r="BB946" s="460"/>
      <c r="BC946" s="460"/>
      <c r="BD946" s="460"/>
      <c r="BE946" s="460"/>
      <c r="BF946" s="460"/>
      <c r="BG946" s="460"/>
      <c r="BH946" s="460"/>
      <c r="BI946" s="460"/>
      <c r="BJ946" s="460"/>
      <c r="BK946" s="460"/>
      <c r="BL946" s="460"/>
      <c r="BM946" s="460"/>
      <c r="BN946" s="460"/>
      <c r="BO946" s="460"/>
      <c r="BP946" s="460"/>
      <c r="BQ946" s="460"/>
      <c r="BR946" s="460"/>
      <c r="BS946" s="460"/>
      <c r="BT946" s="460"/>
      <c r="BU946" s="460"/>
      <c r="BV946" s="460"/>
      <c r="BW946" s="460"/>
      <c r="BX946" s="460"/>
      <c r="BY946" s="460"/>
      <c r="BZ946" s="460"/>
      <c r="CA946" s="460"/>
      <c r="CB946" s="460"/>
      <c r="CC946" s="460"/>
      <c r="CD946" s="460"/>
      <c r="CE946" s="460"/>
      <c r="CF946" s="460"/>
      <c r="CG946" s="460"/>
      <c r="CH946" s="460"/>
      <c r="CI946" s="460"/>
      <c r="CJ946" s="460"/>
      <c r="CK946" s="460"/>
    </row>
    <row r="947" spans="1:191" s="329" customFormat="1" ht="36" customHeight="1" x14ac:dyDescent="0.25">
      <c r="A947" s="329">
        <v>1</v>
      </c>
      <c r="B947" s="39">
        <f>SUBTOTAL(103,$A$552:A947)</f>
        <v>346</v>
      </c>
      <c r="C947" s="33" t="s">
        <v>1377</v>
      </c>
      <c r="D947" s="330">
        <v>1974</v>
      </c>
      <c r="E947" s="330"/>
      <c r="F947" s="331" t="s">
        <v>48</v>
      </c>
      <c r="G947" s="330">
        <v>2</v>
      </c>
      <c r="H947" s="330" t="s">
        <v>56</v>
      </c>
      <c r="I947" s="334">
        <v>802.2</v>
      </c>
      <c r="J947" s="334">
        <v>802.2</v>
      </c>
      <c r="K947" s="334">
        <v>734.2</v>
      </c>
      <c r="L947" s="332">
        <v>36</v>
      </c>
      <c r="M947" s="330" t="s">
        <v>46</v>
      </c>
      <c r="N947" s="330" t="s">
        <v>47</v>
      </c>
      <c r="O947" s="333" t="s">
        <v>49</v>
      </c>
      <c r="P947" s="38">
        <v>2402899</v>
      </c>
      <c r="Q947" s="38">
        <v>0</v>
      </c>
      <c r="R947" s="38">
        <v>0</v>
      </c>
      <c r="S947" s="38">
        <f>P947-Q947-R947</f>
        <v>2402899</v>
      </c>
      <c r="T947" s="38">
        <f t="shared" si="197"/>
        <v>2995.3864372974317</v>
      </c>
      <c r="U947" s="38">
        <v>4657.294181002243</v>
      </c>
      <c r="V947" s="458">
        <f>U947-T947</f>
        <v>1661.9077437048113</v>
      </c>
      <c r="W947" s="458">
        <f>X947+Y947+Z947+AA947+AB947+AD947+AF947+AH947+AJ947+AL947+AN947+AO947</f>
        <v>6105.141298927947</v>
      </c>
      <c r="X947" s="458">
        <v>0</v>
      </c>
      <c r="Y947" s="459">
        <v>0</v>
      </c>
      <c r="Z947" s="459">
        <v>0</v>
      </c>
      <c r="AA947" s="459">
        <v>0</v>
      </c>
      <c r="AB947" s="459">
        <v>0</v>
      </c>
      <c r="AC947" s="459">
        <v>0</v>
      </c>
      <c r="AD947" s="459">
        <v>0</v>
      </c>
      <c r="AE947" s="459">
        <v>785</v>
      </c>
      <c r="AF947" s="458">
        <f>6238.91*AE947/I947</f>
        <v>6105.141298927947</v>
      </c>
      <c r="AG947" s="459">
        <v>0</v>
      </c>
      <c r="AH947" s="458">
        <v>0</v>
      </c>
      <c r="AI947" s="459">
        <v>0</v>
      </c>
      <c r="AJ947" s="458">
        <v>0</v>
      </c>
      <c r="AK947" s="459">
        <v>0</v>
      </c>
      <c r="AL947" s="459">
        <v>0</v>
      </c>
      <c r="AM947" s="459">
        <v>0</v>
      </c>
      <c r="AN947" s="459"/>
      <c r="AO947" s="459">
        <v>0</v>
      </c>
      <c r="AP947" s="460"/>
      <c r="AQ947" s="460"/>
      <c r="AR947" s="460"/>
      <c r="AS947" s="460"/>
      <c r="AT947" s="460"/>
      <c r="AU947" s="460"/>
      <c r="AV947" s="460"/>
      <c r="AW947" s="460"/>
      <c r="AX947" s="460"/>
      <c r="AY947" s="460"/>
      <c r="AZ947" s="460"/>
      <c r="BA947" s="460"/>
      <c r="BB947" s="460"/>
      <c r="BC947" s="460"/>
      <c r="BD947" s="460"/>
      <c r="BE947" s="460"/>
      <c r="BF947" s="460"/>
      <c r="BG947" s="460"/>
      <c r="BH947" s="460"/>
      <c r="BI947" s="460"/>
      <c r="BJ947" s="460"/>
      <c r="BK947" s="460"/>
      <c r="BL947" s="460"/>
      <c r="BM947" s="460"/>
      <c r="BN947" s="460"/>
      <c r="BO947" s="460"/>
      <c r="BP947" s="460"/>
      <c r="BQ947" s="460"/>
      <c r="BR947" s="460"/>
      <c r="BS947" s="460"/>
      <c r="BT947" s="460"/>
      <c r="BU947" s="460"/>
      <c r="BV947" s="460"/>
      <c r="BW947" s="460"/>
      <c r="BX947" s="460"/>
      <c r="BY947" s="460"/>
      <c r="BZ947" s="460"/>
      <c r="CA947" s="460"/>
      <c r="CB947" s="460"/>
      <c r="CC947" s="460"/>
      <c r="CD947" s="460"/>
      <c r="CE947" s="460"/>
      <c r="CF947" s="460"/>
      <c r="CG947" s="460"/>
      <c r="CH947" s="460"/>
      <c r="CI947" s="460"/>
      <c r="CJ947" s="460"/>
      <c r="CK947" s="460"/>
    </row>
    <row r="948" spans="1:191" s="329" customFormat="1" ht="36" customHeight="1" x14ac:dyDescent="0.25">
      <c r="B948" s="33" t="s">
        <v>116</v>
      </c>
      <c r="C948" s="33"/>
      <c r="D948" s="330" t="s">
        <v>131</v>
      </c>
      <c r="E948" s="330" t="s">
        <v>131</v>
      </c>
      <c r="F948" s="330" t="s">
        <v>131</v>
      </c>
      <c r="G948" s="330" t="s">
        <v>131</v>
      </c>
      <c r="H948" s="330" t="s">
        <v>131</v>
      </c>
      <c r="I948" s="334">
        <f>SUM(I949:I953)</f>
        <v>8018.76</v>
      </c>
      <c r="J948" s="334">
        <f t="shared" ref="J948:L948" si="208">SUM(J949:J953)</f>
        <v>6785.5800000000008</v>
      </c>
      <c r="K948" s="334">
        <f t="shared" si="208"/>
        <v>6268.3200000000006</v>
      </c>
      <c r="L948" s="332">
        <f t="shared" si="208"/>
        <v>440</v>
      </c>
      <c r="M948" s="330" t="s">
        <v>131</v>
      </c>
      <c r="N948" s="330" t="s">
        <v>131</v>
      </c>
      <c r="O948" s="333" t="s">
        <v>131</v>
      </c>
      <c r="P948" s="334">
        <v>17164297.239999998</v>
      </c>
      <c r="Q948" s="334">
        <f t="shared" ref="Q948:S948" si="209">SUM(Q949:Q953)</f>
        <v>0</v>
      </c>
      <c r="R948" s="334">
        <f t="shared" si="209"/>
        <v>0</v>
      </c>
      <c r="S948" s="334">
        <f t="shared" si="209"/>
        <v>17164297.239999998</v>
      </c>
      <c r="T948" s="38">
        <f t="shared" si="197"/>
        <v>2140.517641131546</v>
      </c>
      <c r="U948" s="38">
        <f>MAX(U949:U953)</f>
        <v>6817.9333935018049</v>
      </c>
      <c r="V948" s="458">
        <f t="shared" si="177"/>
        <v>4677.4157523702588</v>
      </c>
      <c r="W948" s="458"/>
      <c r="X948" s="458"/>
      <c r="Y948" s="459"/>
      <c r="Z948" s="459"/>
      <c r="AA948" s="459"/>
      <c r="AB948" s="459"/>
      <c r="AC948" s="459"/>
      <c r="AD948" s="459"/>
      <c r="AE948" s="459"/>
      <c r="AF948" s="459"/>
      <c r="AG948" s="459"/>
      <c r="AH948" s="459"/>
      <c r="AI948" s="459"/>
      <c r="AJ948" s="459"/>
      <c r="AK948" s="459"/>
      <c r="AL948" s="459"/>
      <c r="AM948" s="459"/>
      <c r="AN948" s="459"/>
      <c r="AO948" s="459"/>
      <c r="AP948" s="460"/>
      <c r="AQ948" s="460"/>
      <c r="AR948" s="460"/>
      <c r="AS948" s="460"/>
      <c r="AT948" s="460"/>
      <c r="AU948" s="460"/>
      <c r="AV948" s="460"/>
      <c r="AW948" s="460"/>
      <c r="AX948" s="460"/>
      <c r="AY948" s="460"/>
      <c r="AZ948" s="460"/>
      <c r="BA948" s="460"/>
      <c r="BB948" s="460"/>
      <c r="BC948" s="460"/>
      <c r="BD948" s="460"/>
      <c r="BE948" s="460"/>
      <c r="BF948" s="460"/>
      <c r="BG948" s="460"/>
      <c r="BH948" s="460"/>
      <c r="BI948" s="460"/>
      <c r="BJ948" s="460"/>
      <c r="BK948" s="460"/>
      <c r="BL948" s="460"/>
      <c r="BM948" s="460"/>
      <c r="BN948" s="460"/>
      <c r="BO948" s="460"/>
      <c r="BP948" s="460"/>
      <c r="BQ948" s="460"/>
      <c r="BR948" s="460"/>
      <c r="BS948" s="460"/>
      <c r="BT948" s="460"/>
      <c r="BU948" s="460"/>
      <c r="BV948" s="460"/>
      <c r="BW948" s="460"/>
      <c r="BX948" s="460"/>
      <c r="BY948" s="460"/>
      <c r="BZ948" s="460"/>
      <c r="CA948" s="460"/>
      <c r="CB948" s="460"/>
      <c r="CC948" s="460"/>
      <c r="CD948" s="460"/>
      <c r="CE948" s="460"/>
      <c r="CF948" s="460"/>
      <c r="CG948" s="460"/>
      <c r="CH948" s="460"/>
      <c r="CI948" s="460"/>
      <c r="CJ948" s="460"/>
      <c r="CK948" s="460"/>
    </row>
    <row r="949" spans="1:191" s="329" customFormat="1" ht="36" customHeight="1" x14ac:dyDescent="0.25">
      <c r="A949" s="329">
        <v>1</v>
      </c>
      <c r="B949" s="39">
        <f>SUBTOTAL(103,$A$552:A949)</f>
        <v>347</v>
      </c>
      <c r="C949" s="33" t="s">
        <v>1679</v>
      </c>
      <c r="D949" s="330">
        <v>1978</v>
      </c>
      <c r="E949" s="330"/>
      <c r="F949" s="331" t="s">
        <v>48</v>
      </c>
      <c r="G949" s="330">
        <v>2</v>
      </c>
      <c r="H949" s="330" t="s">
        <v>56</v>
      </c>
      <c r="I949" s="334">
        <v>1501</v>
      </c>
      <c r="J949" s="334">
        <v>739.5</v>
      </c>
      <c r="K949" s="334">
        <v>358.85</v>
      </c>
      <c r="L949" s="332">
        <v>42</v>
      </c>
      <c r="M949" s="330" t="s">
        <v>46</v>
      </c>
      <c r="N949" s="330" t="s">
        <v>50</v>
      </c>
      <c r="O949" s="333" t="s">
        <v>55</v>
      </c>
      <c r="P949" s="38">
        <v>3145116.58</v>
      </c>
      <c r="Q949" s="38">
        <v>0</v>
      </c>
      <c r="R949" s="38">
        <v>0</v>
      </c>
      <c r="S949" s="38">
        <f>P949-Q949-R949</f>
        <v>3145116.58</v>
      </c>
      <c r="T949" s="38">
        <f t="shared" si="197"/>
        <v>2095.3474883411059</v>
      </c>
      <c r="U949" s="38">
        <v>2512.021144536975</v>
      </c>
      <c r="V949" s="458">
        <f>U949-T949</f>
        <v>416.67365619586917</v>
      </c>
      <c r="W949" s="458">
        <f>X949+Y949+Z949+AA949+AB949+AD949+AF949+AH949+AJ949+AL949+AN949+AO949</f>
        <v>3262.8543304463687</v>
      </c>
      <c r="X949" s="458">
        <v>0</v>
      </c>
      <c r="Y949" s="459">
        <v>0</v>
      </c>
      <c r="Z949" s="459">
        <v>0</v>
      </c>
      <c r="AA949" s="459">
        <v>0</v>
      </c>
      <c r="AB949" s="459">
        <v>0</v>
      </c>
      <c r="AC949" s="459">
        <v>0</v>
      </c>
      <c r="AD949" s="459">
        <v>0</v>
      </c>
      <c r="AE949" s="459">
        <v>785</v>
      </c>
      <c r="AF949" s="458">
        <f>6238.91*AE949/I949</f>
        <v>3262.8543304463687</v>
      </c>
      <c r="AG949" s="459">
        <v>0</v>
      </c>
      <c r="AH949" s="458">
        <v>0</v>
      </c>
      <c r="AI949" s="459">
        <v>0</v>
      </c>
      <c r="AJ949" s="458">
        <v>0</v>
      </c>
      <c r="AK949" s="459">
        <v>0</v>
      </c>
      <c r="AL949" s="459">
        <v>0</v>
      </c>
      <c r="AM949" s="459">
        <v>0</v>
      </c>
      <c r="AN949" s="459"/>
      <c r="AO949" s="459">
        <v>0</v>
      </c>
      <c r="AP949" s="460"/>
      <c r="AQ949" s="460"/>
      <c r="AR949" s="460"/>
      <c r="AS949" s="460"/>
      <c r="AT949" s="460"/>
      <c r="AU949" s="460"/>
      <c r="AV949" s="460"/>
      <c r="AW949" s="460"/>
      <c r="AX949" s="460"/>
      <c r="AY949" s="460"/>
      <c r="AZ949" s="460"/>
      <c r="BA949" s="460"/>
      <c r="BB949" s="460"/>
      <c r="BC949" s="460"/>
      <c r="BD949" s="460"/>
      <c r="BE949" s="460"/>
      <c r="BF949" s="460"/>
      <c r="BG949" s="460"/>
      <c r="BH949" s="460"/>
      <c r="BI949" s="460"/>
      <c r="BJ949" s="460"/>
      <c r="BK949" s="460"/>
      <c r="BL949" s="460"/>
      <c r="BM949" s="460"/>
      <c r="BN949" s="460"/>
      <c r="BO949" s="460"/>
      <c r="BP949" s="460"/>
      <c r="BQ949" s="460"/>
      <c r="BR949" s="460"/>
      <c r="BS949" s="460"/>
      <c r="BT949" s="460"/>
      <c r="BU949" s="460"/>
      <c r="BV949" s="460"/>
      <c r="BW949" s="460"/>
      <c r="BX949" s="460"/>
      <c r="BY949" s="460"/>
      <c r="BZ949" s="460"/>
      <c r="CA949" s="460"/>
      <c r="CB949" s="460"/>
      <c r="CC949" s="460"/>
      <c r="CD949" s="460"/>
      <c r="CE949" s="460"/>
      <c r="CF949" s="460"/>
      <c r="CG949" s="460"/>
      <c r="CH949" s="460"/>
      <c r="CI949" s="460"/>
      <c r="CJ949" s="460"/>
      <c r="CK949" s="460"/>
    </row>
    <row r="950" spans="1:191" s="329" customFormat="1" ht="36" customHeight="1" x14ac:dyDescent="0.25">
      <c r="A950" s="329">
        <v>1</v>
      </c>
      <c r="B950" s="39">
        <f>SUBTOTAL(103,$A$552:A950)</f>
        <v>348</v>
      </c>
      <c r="C950" s="33" t="s">
        <v>1381</v>
      </c>
      <c r="D950" s="330">
        <v>1964</v>
      </c>
      <c r="E950" s="330"/>
      <c r="F950" s="331" t="s">
        <v>48</v>
      </c>
      <c r="G950" s="330">
        <v>2</v>
      </c>
      <c r="H950" s="330" t="s">
        <v>59</v>
      </c>
      <c r="I950" s="334">
        <v>768.3</v>
      </c>
      <c r="J950" s="334">
        <v>297</v>
      </c>
      <c r="K950" s="334">
        <v>253.5</v>
      </c>
      <c r="L950" s="332">
        <v>80</v>
      </c>
      <c r="M950" s="330" t="s">
        <v>46</v>
      </c>
      <c r="N950" s="330" t="s">
        <v>50</v>
      </c>
      <c r="O950" s="333" t="s">
        <v>2091</v>
      </c>
      <c r="P950" s="38">
        <v>506000</v>
      </c>
      <c r="Q950" s="38">
        <v>0</v>
      </c>
      <c r="R950" s="38">
        <v>0</v>
      </c>
      <c r="S950" s="38">
        <f>P950-Q950-R950</f>
        <v>506000</v>
      </c>
      <c r="T950" s="38">
        <f t="shared" si="197"/>
        <v>658.5969022517246</v>
      </c>
      <c r="U950" s="38">
        <v>658.5969022517246</v>
      </c>
      <c r="V950" s="458">
        <f>U950-T950</f>
        <v>0</v>
      </c>
      <c r="W950" s="458">
        <f>X950+Y950+Z950+AA950+AB950+AD950+AF950+AH950+AJ950+AL950+AN950+AO950</f>
        <v>6374.5208251984905</v>
      </c>
      <c r="X950" s="458">
        <v>0</v>
      </c>
      <c r="Y950" s="459">
        <v>0</v>
      </c>
      <c r="Z950" s="459">
        <v>0</v>
      </c>
      <c r="AA950" s="459">
        <v>0</v>
      </c>
      <c r="AB950" s="459">
        <v>0</v>
      </c>
      <c r="AC950" s="459">
        <v>0</v>
      </c>
      <c r="AD950" s="459">
        <v>0</v>
      </c>
      <c r="AE950" s="459">
        <v>785</v>
      </c>
      <c r="AF950" s="458">
        <f>6238.91*AE950/I950</f>
        <v>6374.5208251984905</v>
      </c>
      <c r="AG950" s="459">
        <v>0</v>
      </c>
      <c r="AH950" s="458">
        <v>0</v>
      </c>
      <c r="AI950" s="459">
        <v>0</v>
      </c>
      <c r="AJ950" s="458">
        <v>0</v>
      </c>
      <c r="AK950" s="459">
        <v>0</v>
      </c>
      <c r="AL950" s="459">
        <v>0</v>
      </c>
      <c r="AM950" s="459">
        <v>0</v>
      </c>
      <c r="AN950" s="459"/>
      <c r="AO950" s="459">
        <v>0</v>
      </c>
      <c r="AP950" s="460"/>
      <c r="AQ950" s="460"/>
      <c r="AR950" s="460"/>
      <c r="AS950" s="460"/>
      <c r="AT950" s="460"/>
      <c r="AU950" s="460"/>
      <c r="AV950" s="460"/>
      <c r="AW950" s="460"/>
      <c r="AX950" s="460"/>
      <c r="AY950" s="460"/>
      <c r="AZ950" s="460"/>
      <c r="BA950" s="460"/>
      <c r="BB950" s="460"/>
      <c r="BC950" s="460"/>
      <c r="BD950" s="460"/>
      <c r="BE950" s="460"/>
      <c r="BF950" s="460"/>
      <c r="BG950" s="460"/>
      <c r="BH950" s="460"/>
      <c r="BI950" s="460"/>
      <c r="BJ950" s="460"/>
      <c r="BK950" s="460"/>
      <c r="BL950" s="460"/>
      <c r="BM950" s="460"/>
      <c r="BN950" s="460"/>
      <c r="BO950" s="460"/>
      <c r="BP950" s="460"/>
      <c r="BQ950" s="460"/>
      <c r="BR950" s="460"/>
      <c r="BS950" s="460"/>
      <c r="BT950" s="460"/>
      <c r="BU950" s="460"/>
      <c r="BV950" s="460"/>
      <c r="BW950" s="460"/>
      <c r="BX950" s="460"/>
      <c r="BY950" s="460"/>
      <c r="BZ950" s="460"/>
      <c r="CA950" s="460"/>
      <c r="CB950" s="460"/>
      <c r="CC950" s="460"/>
      <c r="CD950" s="460"/>
      <c r="CE950" s="460"/>
      <c r="CF950" s="460"/>
      <c r="CG950" s="460"/>
      <c r="CH950" s="460"/>
      <c r="CI950" s="460"/>
      <c r="CJ950" s="460"/>
      <c r="CK950" s="460"/>
    </row>
    <row r="951" spans="1:191" s="329" customFormat="1" ht="36" customHeight="1" x14ac:dyDescent="0.25">
      <c r="A951" s="329">
        <v>1</v>
      </c>
      <c r="B951" s="39">
        <f>SUBTOTAL(103,$A$552:A951)</f>
        <v>349</v>
      </c>
      <c r="C951" s="33" t="s">
        <v>1133</v>
      </c>
      <c r="D951" s="330">
        <v>1958</v>
      </c>
      <c r="E951" s="330"/>
      <c r="F951" s="331" t="s">
        <v>48</v>
      </c>
      <c r="G951" s="330">
        <v>2</v>
      </c>
      <c r="H951" s="330" t="s">
        <v>56</v>
      </c>
      <c r="I951" s="334">
        <v>554</v>
      </c>
      <c r="J951" s="334">
        <v>554</v>
      </c>
      <c r="K951" s="334">
        <v>521.69000000000005</v>
      </c>
      <c r="L951" s="332">
        <v>30</v>
      </c>
      <c r="M951" s="330" t="s">
        <v>46</v>
      </c>
      <c r="N951" s="330" t="s">
        <v>50</v>
      </c>
      <c r="O951" s="333" t="s">
        <v>2091</v>
      </c>
      <c r="P951" s="38">
        <v>3777135.1</v>
      </c>
      <c r="Q951" s="38">
        <v>0</v>
      </c>
      <c r="R951" s="38">
        <v>0</v>
      </c>
      <c r="S951" s="38">
        <f>P951-Q951-R951</f>
        <v>3777135.1</v>
      </c>
      <c r="T951" s="38">
        <f t="shared" si="197"/>
        <v>6817.9333935018049</v>
      </c>
      <c r="U951" s="38">
        <v>6817.9333935018049</v>
      </c>
      <c r="V951" s="458">
        <f>U951-T951</f>
        <v>0</v>
      </c>
      <c r="W951" s="458">
        <f>X951+Y951+Z951+AA951+AB951+AD951+AF951+AH951+AJ951+AL951+AN951+AO951</f>
        <v>8840.3327617328505</v>
      </c>
      <c r="X951" s="458">
        <v>0</v>
      </c>
      <c r="Y951" s="459">
        <v>0</v>
      </c>
      <c r="Z951" s="459">
        <v>0</v>
      </c>
      <c r="AA951" s="459">
        <v>0</v>
      </c>
      <c r="AB951" s="459">
        <v>0</v>
      </c>
      <c r="AC951" s="459">
        <v>0</v>
      </c>
      <c r="AD951" s="459">
        <v>0</v>
      </c>
      <c r="AE951" s="459">
        <v>785</v>
      </c>
      <c r="AF951" s="458">
        <f>6238.91*AE951/I951</f>
        <v>8840.3327617328505</v>
      </c>
      <c r="AG951" s="459">
        <v>0</v>
      </c>
      <c r="AH951" s="458">
        <v>0</v>
      </c>
      <c r="AI951" s="459">
        <v>0</v>
      </c>
      <c r="AJ951" s="458">
        <v>0</v>
      </c>
      <c r="AK951" s="459">
        <v>0</v>
      </c>
      <c r="AL951" s="459">
        <v>0</v>
      </c>
      <c r="AM951" s="459">
        <v>0</v>
      </c>
      <c r="AN951" s="459"/>
      <c r="AO951" s="459">
        <v>0</v>
      </c>
      <c r="AP951" s="460"/>
      <c r="AQ951" s="460"/>
      <c r="AR951" s="460"/>
      <c r="AS951" s="460"/>
      <c r="AT951" s="460"/>
      <c r="AU951" s="460"/>
      <c r="AV951" s="460"/>
      <c r="AW951" s="460"/>
      <c r="AX951" s="460"/>
      <c r="AY951" s="460"/>
      <c r="AZ951" s="460"/>
      <c r="BA951" s="460"/>
      <c r="BB951" s="460"/>
      <c r="BC951" s="460"/>
      <c r="BD951" s="460"/>
      <c r="BE951" s="460"/>
      <c r="BF951" s="460"/>
      <c r="BG951" s="460"/>
      <c r="BH951" s="460"/>
      <c r="BI951" s="460"/>
      <c r="BJ951" s="460"/>
      <c r="BK951" s="460"/>
      <c r="BL951" s="460"/>
      <c r="BM951" s="460"/>
      <c r="BN951" s="460"/>
      <c r="BO951" s="460"/>
      <c r="BP951" s="460"/>
      <c r="BQ951" s="460"/>
      <c r="BR951" s="460"/>
      <c r="BS951" s="460"/>
      <c r="BT951" s="460"/>
      <c r="BU951" s="460"/>
      <c r="BV951" s="460"/>
      <c r="BW951" s="460"/>
      <c r="BX951" s="460"/>
      <c r="BY951" s="460"/>
      <c r="BZ951" s="460"/>
      <c r="CA951" s="460"/>
      <c r="CB951" s="460"/>
      <c r="CC951" s="460"/>
      <c r="CD951" s="460"/>
      <c r="CE951" s="460"/>
      <c r="CF951" s="460"/>
      <c r="CG951" s="460"/>
      <c r="CH951" s="460"/>
      <c r="CI951" s="460"/>
      <c r="CJ951" s="460"/>
      <c r="CK951" s="460"/>
    </row>
    <row r="952" spans="1:191" s="329" customFormat="1" ht="36" customHeight="1" x14ac:dyDescent="0.25">
      <c r="A952" s="329">
        <v>1</v>
      </c>
      <c r="B952" s="39">
        <f>SUBTOTAL(103,$A$552:A952)</f>
        <v>350</v>
      </c>
      <c r="C952" s="33" t="s">
        <v>1177</v>
      </c>
      <c r="D952" s="330">
        <v>1973</v>
      </c>
      <c r="E952" s="330"/>
      <c r="F952" s="331" t="s">
        <v>48</v>
      </c>
      <c r="G952" s="330">
        <v>5</v>
      </c>
      <c r="H952" s="330" t="s">
        <v>61</v>
      </c>
      <c r="I952" s="334">
        <v>3131.46</v>
      </c>
      <c r="J952" s="334">
        <v>3131.28</v>
      </c>
      <c r="K952" s="334">
        <v>3070.48</v>
      </c>
      <c r="L952" s="332">
        <v>208</v>
      </c>
      <c r="M952" s="330" t="s">
        <v>46</v>
      </c>
      <c r="N952" s="330" t="s">
        <v>50</v>
      </c>
      <c r="O952" s="333" t="s">
        <v>244</v>
      </c>
      <c r="P952" s="38">
        <v>4895345</v>
      </c>
      <c r="Q952" s="38">
        <v>0</v>
      </c>
      <c r="R952" s="38">
        <v>0</v>
      </c>
      <c r="S952" s="38">
        <f>P952-Q952-R952</f>
        <v>4895345</v>
      </c>
      <c r="T952" s="38">
        <f t="shared" si="197"/>
        <v>1563.2787900851361</v>
      </c>
      <c r="U952" s="38">
        <v>1915.1648176888734</v>
      </c>
      <c r="V952" s="458">
        <f>U952-T952</f>
        <v>351.88602760373738</v>
      </c>
      <c r="W952" s="458">
        <f>X952+Y952+Z952+AA952+AB952+AD952+AF952+AH952+AJ952+AL952+AN952+AO952</f>
        <v>1563.9811302076346</v>
      </c>
      <c r="X952" s="458">
        <v>0</v>
      </c>
      <c r="Y952" s="459">
        <v>0</v>
      </c>
      <c r="Z952" s="459">
        <v>0</v>
      </c>
      <c r="AA952" s="459">
        <v>0</v>
      </c>
      <c r="AB952" s="459">
        <v>0</v>
      </c>
      <c r="AC952" s="459">
        <v>0</v>
      </c>
      <c r="AD952" s="459">
        <v>0</v>
      </c>
      <c r="AE952" s="459">
        <v>785</v>
      </c>
      <c r="AF952" s="458">
        <f>6238.91*AE952/I952</f>
        <v>1563.9811302076346</v>
      </c>
      <c r="AG952" s="459">
        <v>0</v>
      </c>
      <c r="AH952" s="458">
        <v>0</v>
      </c>
      <c r="AI952" s="459">
        <v>0</v>
      </c>
      <c r="AJ952" s="458">
        <v>0</v>
      </c>
      <c r="AK952" s="459">
        <v>0</v>
      </c>
      <c r="AL952" s="459">
        <v>0</v>
      </c>
      <c r="AM952" s="459">
        <v>0</v>
      </c>
      <c r="AN952" s="459"/>
      <c r="AO952" s="459">
        <v>0</v>
      </c>
      <c r="AP952" s="460"/>
      <c r="AQ952" s="460"/>
      <c r="AR952" s="460"/>
      <c r="AS952" s="460"/>
      <c r="AT952" s="460"/>
      <c r="AU952" s="460"/>
      <c r="AV952" s="460"/>
      <c r="AW952" s="460"/>
      <c r="AX952" s="460"/>
      <c r="AY952" s="460"/>
      <c r="AZ952" s="460"/>
      <c r="BA952" s="460"/>
      <c r="BB952" s="460"/>
      <c r="BC952" s="460"/>
      <c r="BD952" s="460"/>
      <c r="BE952" s="460"/>
      <c r="BF952" s="460"/>
      <c r="BG952" s="460"/>
      <c r="BH952" s="460"/>
      <c r="BI952" s="460"/>
      <c r="BJ952" s="460"/>
      <c r="BK952" s="460"/>
      <c r="BL952" s="460"/>
      <c r="BM952" s="460"/>
      <c r="BN952" s="460"/>
      <c r="BO952" s="460"/>
      <c r="BP952" s="460"/>
      <c r="BQ952" s="460"/>
      <c r="BR952" s="460"/>
      <c r="BS952" s="460"/>
      <c r="BT952" s="460"/>
      <c r="BU952" s="460"/>
      <c r="BV952" s="460"/>
      <c r="BW952" s="460"/>
      <c r="BX952" s="460"/>
      <c r="BY952" s="460"/>
      <c r="BZ952" s="460"/>
      <c r="CA952" s="460"/>
      <c r="CB952" s="460"/>
      <c r="CC952" s="460"/>
      <c r="CD952" s="460"/>
      <c r="CE952" s="460"/>
      <c r="CF952" s="460"/>
      <c r="CG952" s="460"/>
      <c r="CH952" s="460"/>
      <c r="CI952" s="460"/>
      <c r="CJ952" s="460"/>
      <c r="CK952" s="460"/>
    </row>
    <row r="953" spans="1:191" s="329" customFormat="1" ht="36" customHeight="1" x14ac:dyDescent="0.25">
      <c r="A953" s="329">
        <v>1</v>
      </c>
      <c r="B953" s="39">
        <f>SUBTOTAL(103,$A$552:A953)</f>
        <v>351</v>
      </c>
      <c r="C953" s="33" t="s">
        <v>1680</v>
      </c>
      <c r="D953" s="330">
        <v>1984</v>
      </c>
      <c r="E953" s="330"/>
      <c r="F953" s="331" t="s">
        <v>1981</v>
      </c>
      <c r="G953" s="330" t="s">
        <v>61</v>
      </c>
      <c r="H953" s="330" t="s">
        <v>61</v>
      </c>
      <c r="I953" s="334">
        <v>2064</v>
      </c>
      <c r="J953" s="334">
        <v>2063.8000000000002</v>
      </c>
      <c r="K953" s="334">
        <v>2063.8000000000002</v>
      </c>
      <c r="L953" s="332">
        <v>80</v>
      </c>
      <c r="M953" s="330" t="s">
        <v>46</v>
      </c>
      <c r="N953" s="330" t="s">
        <v>50</v>
      </c>
      <c r="O953" s="333" t="s">
        <v>2091</v>
      </c>
      <c r="P953" s="38">
        <v>4840700.5599999996</v>
      </c>
      <c r="Q953" s="38">
        <v>0</v>
      </c>
      <c r="R953" s="38">
        <v>0</v>
      </c>
      <c r="S953" s="38">
        <f>P953-Q953-R953</f>
        <v>4840700.5599999996</v>
      </c>
      <c r="T953" s="38">
        <f t="shared" si="197"/>
        <v>2345.3006589147285</v>
      </c>
      <c r="U953" s="38">
        <v>3393.362680232558</v>
      </c>
      <c r="V953" s="458">
        <f>U953-T953</f>
        <v>1048.0620213178295</v>
      </c>
      <c r="W953" s="458">
        <f>X953+Y953+Z953+AA953+AB953+AD953+AF953+AH953+AJ953+AL953+AN953+AO953</f>
        <v>2372.841254844961</v>
      </c>
      <c r="X953" s="458">
        <v>0</v>
      </c>
      <c r="Y953" s="459">
        <v>0</v>
      </c>
      <c r="Z953" s="459">
        <v>0</v>
      </c>
      <c r="AA953" s="459">
        <v>0</v>
      </c>
      <c r="AB953" s="459">
        <v>0</v>
      </c>
      <c r="AC953" s="459">
        <v>0</v>
      </c>
      <c r="AD953" s="459">
        <v>0</v>
      </c>
      <c r="AE953" s="459">
        <v>785</v>
      </c>
      <c r="AF953" s="458">
        <f>6238.91*AE953/I953</f>
        <v>2372.841254844961</v>
      </c>
      <c r="AG953" s="459">
        <v>0</v>
      </c>
      <c r="AH953" s="458">
        <v>0</v>
      </c>
      <c r="AI953" s="459">
        <v>0</v>
      </c>
      <c r="AJ953" s="458">
        <v>0</v>
      </c>
      <c r="AK953" s="459">
        <v>0</v>
      </c>
      <c r="AL953" s="459">
        <v>0</v>
      </c>
      <c r="AM953" s="459">
        <v>0</v>
      </c>
      <c r="AN953" s="459"/>
      <c r="AO953" s="459">
        <v>0</v>
      </c>
      <c r="AP953" s="460"/>
      <c r="AQ953" s="460"/>
      <c r="AR953" s="460"/>
      <c r="AS953" s="460"/>
      <c r="AT953" s="460"/>
      <c r="AU953" s="460"/>
      <c r="AV953" s="460"/>
      <c r="AW953" s="460"/>
      <c r="AX953" s="460"/>
      <c r="AY953" s="460"/>
      <c r="AZ953" s="460"/>
      <c r="BA953" s="460"/>
      <c r="BB953" s="460"/>
      <c r="BC953" s="460"/>
      <c r="BD953" s="460"/>
      <c r="BE953" s="460"/>
      <c r="BF953" s="460"/>
      <c r="BG953" s="460"/>
      <c r="BH953" s="460"/>
      <c r="BI953" s="460"/>
      <c r="BJ953" s="460"/>
      <c r="BK953" s="460"/>
      <c r="BL953" s="460"/>
      <c r="BM953" s="460"/>
      <c r="BN953" s="460"/>
      <c r="BO953" s="460"/>
      <c r="BP953" s="460"/>
      <c r="BQ953" s="460"/>
      <c r="BR953" s="460"/>
      <c r="BS953" s="460"/>
      <c r="BT953" s="460"/>
      <c r="BU953" s="460"/>
      <c r="BV953" s="460"/>
      <c r="BW953" s="460"/>
      <c r="BX953" s="460"/>
      <c r="BY953" s="460"/>
      <c r="BZ953" s="460"/>
      <c r="CA953" s="460"/>
      <c r="CB953" s="460"/>
      <c r="CC953" s="460"/>
      <c r="CD953" s="460"/>
      <c r="CE953" s="460"/>
      <c r="CF953" s="460"/>
      <c r="CG953" s="460"/>
      <c r="CH953" s="460"/>
      <c r="CI953" s="460"/>
      <c r="CJ953" s="460"/>
      <c r="CK953" s="460"/>
    </row>
    <row r="954" spans="1:191" s="329" customFormat="1" ht="36" customHeight="1" x14ac:dyDescent="0.25">
      <c r="B954" s="33" t="s">
        <v>117</v>
      </c>
      <c r="C954" s="33"/>
      <c r="D954" s="330" t="s">
        <v>131</v>
      </c>
      <c r="E954" s="330" t="s">
        <v>131</v>
      </c>
      <c r="F954" s="330" t="s">
        <v>131</v>
      </c>
      <c r="G954" s="330" t="s">
        <v>131</v>
      </c>
      <c r="H954" s="330" t="s">
        <v>131</v>
      </c>
      <c r="I954" s="334">
        <f>SUM(I955:I959)</f>
        <v>21863.88</v>
      </c>
      <c r="J954" s="334">
        <f>SUM(J955:J959)</f>
        <v>17271.8</v>
      </c>
      <c r="K954" s="334">
        <f>SUM(K955:K959)</f>
        <v>14496</v>
      </c>
      <c r="L954" s="332">
        <f>SUM(L955:L959)</f>
        <v>871</v>
      </c>
      <c r="M954" s="330" t="s">
        <v>131</v>
      </c>
      <c r="N954" s="330" t="s">
        <v>131</v>
      </c>
      <c r="O954" s="333" t="s">
        <v>131</v>
      </c>
      <c r="P954" s="38">
        <v>28025089.940000001</v>
      </c>
      <c r="Q954" s="38">
        <f>SUM(Q955:Q959)</f>
        <v>0</v>
      </c>
      <c r="R954" s="38">
        <f>SUM(R955:R959)</f>
        <v>0</v>
      </c>
      <c r="S954" s="38">
        <f>SUM(S955:S959)</f>
        <v>28025089.940000001</v>
      </c>
      <c r="T954" s="38">
        <f t="shared" si="197"/>
        <v>1281.798561828916</v>
      </c>
      <c r="U954" s="38">
        <f>MAX(U955:U959)</f>
        <v>3977.8665612420928</v>
      </c>
      <c r="V954" s="458">
        <f t="shared" si="177"/>
        <v>2696.0679994131769</v>
      </c>
      <c r="W954" s="458"/>
      <c r="X954" s="458"/>
      <c r="Y954" s="459"/>
      <c r="Z954" s="459"/>
      <c r="AA954" s="459"/>
      <c r="AB954" s="459"/>
      <c r="AC954" s="459"/>
      <c r="AD954" s="459"/>
      <c r="AE954" s="459"/>
      <c r="AF954" s="459"/>
      <c r="AG954" s="459"/>
      <c r="AH954" s="459"/>
      <c r="AI954" s="459"/>
      <c r="AJ954" s="459"/>
      <c r="AK954" s="459"/>
      <c r="AL954" s="459"/>
      <c r="AM954" s="459"/>
      <c r="AN954" s="459"/>
      <c r="AO954" s="459"/>
      <c r="AP954" s="460"/>
      <c r="AQ954" s="460"/>
      <c r="AR954" s="460"/>
      <c r="AS954" s="460"/>
      <c r="AT954" s="460"/>
      <c r="AU954" s="460"/>
      <c r="AV954" s="460"/>
      <c r="AW954" s="460"/>
      <c r="AX954" s="460"/>
      <c r="AY954" s="460"/>
      <c r="AZ954" s="460"/>
      <c r="BA954" s="460"/>
      <c r="BB954" s="460"/>
      <c r="BC954" s="460"/>
      <c r="BD954" s="460"/>
      <c r="BE954" s="460"/>
      <c r="BF954" s="460"/>
      <c r="BG954" s="460"/>
      <c r="BH954" s="460"/>
      <c r="BI954" s="460"/>
      <c r="BJ954" s="460"/>
      <c r="BK954" s="460"/>
      <c r="BL954" s="460"/>
      <c r="BM954" s="460"/>
      <c r="BN954" s="460"/>
      <c r="BO954" s="460"/>
      <c r="BP954" s="460"/>
      <c r="BQ954" s="460"/>
      <c r="BR954" s="460"/>
      <c r="BS954" s="460"/>
      <c r="BT954" s="460"/>
      <c r="BU954" s="460"/>
      <c r="BV954" s="460"/>
      <c r="BW954" s="460"/>
      <c r="BX954" s="460"/>
      <c r="BY954" s="460"/>
      <c r="BZ954" s="460"/>
      <c r="CA954" s="460"/>
      <c r="CB954" s="460"/>
      <c r="CC954" s="460"/>
      <c r="CD954" s="460"/>
      <c r="CE954" s="460"/>
      <c r="CF954" s="460"/>
      <c r="CG954" s="460"/>
      <c r="CH954" s="460"/>
      <c r="CI954" s="460"/>
      <c r="CJ954" s="460"/>
      <c r="CK954" s="460"/>
    </row>
    <row r="955" spans="1:191" s="329" customFormat="1" ht="36" customHeight="1" x14ac:dyDescent="0.25">
      <c r="A955" s="329">
        <v>1</v>
      </c>
      <c r="B955" s="39">
        <f>SUBTOTAL(103,$A$552:A955)</f>
        <v>352</v>
      </c>
      <c r="C955" s="33" t="s">
        <v>1681</v>
      </c>
      <c r="D955" s="330">
        <v>1989</v>
      </c>
      <c r="E955" s="330"/>
      <c r="F955" s="331" t="s">
        <v>1991</v>
      </c>
      <c r="G955" s="330">
        <v>5</v>
      </c>
      <c r="H955" s="330" t="s">
        <v>75</v>
      </c>
      <c r="I955" s="334">
        <v>3901.1</v>
      </c>
      <c r="J955" s="334">
        <v>3901.1</v>
      </c>
      <c r="K955" s="334">
        <v>2252.1999999999998</v>
      </c>
      <c r="L955" s="332">
        <v>188</v>
      </c>
      <c r="M955" s="330" t="s">
        <v>46</v>
      </c>
      <c r="N955" s="330" t="s">
        <v>2094</v>
      </c>
      <c r="O955" s="333" t="s">
        <v>2171</v>
      </c>
      <c r="P955" s="38">
        <v>6331475.6600000011</v>
      </c>
      <c r="Q955" s="38">
        <v>0</v>
      </c>
      <c r="R955" s="38">
        <v>0</v>
      </c>
      <c r="S955" s="38">
        <f>P955-Q955-R955</f>
        <v>6331475.6600000011</v>
      </c>
      <c r="T955" s="38">
        <f t="shared" si="197"/>
        <v>1622.9975289021049</v>
      </c>
      <c r="U955" s="38">
        <v>1768.0852431365511</v>
      </c>
      <c r="V955" s="458">
        <f t="shared" ref="V955:V1037" si="210">U955-T955</f>
        <v>145.08771423444614</v>
      </c>
      <c r="W955" s="458">
        <f t="shared" ref="W955:W959" si="211">X955+Y955+Z955+AA955+AB955+AD955+AF955+AH955+AJ955+AL955+AN955+AO955</f>
        <v>1762.0750654943477</v>
      </c>
      <c r="X955" s="458">
        <v>0</v>
      </c>
      <c r="Y955" s="459">
        <v>0</v>
      </c>
      <c r="Z955" s="459">
        <v>0</v>
      </c>
      <c r="AA955" s="459">
        <v>0</v>
      </c>
      <c r="AB955" s="459">
        <v>0</v>
      </c>
      <c r="AC955" s="459">
        <v>0</v>
      </c>
      <c r="AD955" s="459">
        <v>0</v>
      </c>
      <c r="AE955" s="459">
        <v>1101.8</v>
      </c>
      <c r="AF955" s="458">
        <f>6238.91*AE955/I955</f>
        <v>1762.0750654943477</v>
      </c>
      <c r="AG955" s="459">
        <v>0</v>
      </c>
      <c r="AH955" s="458">
        <v>0</v>
      </c>
      <c r="AI955" s="459">
        <v>0</v>
      </c>
      <c r="AJ955" s="458">
        <v>0</v>
      </c>
      <c r="AK955" s="459">
        <v>0</v>
      </c>
      <c r="AL955" s="459">
        <v>0</v>
      </c>
      <c r="AM955" s="459">
        <v>0</v>
      </c>
      <c r="AN955" s="459"/>
      <c r="AO955" s="459">
        <v>0</v>
      </c>
      <c r="AP955" s="460"/>
      <c r="AQ955" s="460"/>
      <c r="AR955" s="460"/>
      <c r="AS955" s="460"/>
      <c r="AT955" s="460"/>
      <c r="AU955" s="460"/>
      <c r="AV955" s="460"/>
      <c r="AW955" s="460"/>
      <c r="AX955" s="460"/>
      <c r="AY955" s="460"/>
      <c r="AZ955" s="460"/>
      <c r="BA955" s="460"/>
      <c r="BB955" s="460"/>
      <c r="BC955" s="460"/>
      <c r="BD955" s="460"/>
      <c r="BE955" s="460"/>
      <c r="BF955" s="460"/>
      <c r="BG955" s="460"/>
      <c r="BH955" s="460"/>
      <c r="BI955" s="460"/>
      <c r="BJ955" s="460"/>
      <c r="BK955" s="460"/>
      <c r="BL955" s="460"/>
      <c r="BM955" s="460"/>
      <c r="BN955" s="460"/>
      <c r="BO955" s="460"/>
      <c r="BP955" s="460"/>
      <c r="BQ955" s="460"/>
      <c r="BR955" s="460"/>
      <c r="BS955" s="460"/>
      <c r="BT955" s="460"/>
      <c r="BU955" s="460"/>
      <c r="BV955" s="460"/>
      <c r="BW955" s="460"/>
      <c r="BX955" s="460"/>
      <c r="BY955" s="460"/>
      <c r="BZ955" s="460"/>
      <c r="CA955" s="460"/>
      <c r="CB955" s="460"/>
      <c r="CC955" s="460"/>
      <c r="CD955" s="460"/>
      <c r="CE955" s="460"/>
      <c r="CF955" s="460"/>
      <c r="CG955" s="460"/>
      <c r="CH955" s="460"/>
      <c r="CI955" s="460"/>
      <c r="CJ955" s="460"/>
      <c r="CK955" s="460"/>
    </row>
    <row r="956" spans="1:191" s="329" customFormat="1" ht="36" customHeight="1" x14ac:dyDescent="0.25">
      <c r="A956" s="329">
        <v>1</v>
      </c>
      <c r="B956" s="39">
        <f>SUBTOTAL(103,$A$552:A956)</f>
        <v>353</v>
      </c>
      <c r="C956" s="33" t="s">
        <v>1682</v>
      </c>
      <c r="D956" s="330">
        <v>1975</v>
      </c>
      <c r="E956" s="330"/>
      <c r="F956" s="331" t="s">
        <v>1991</v>
      </c>
      <c r="G956" s="330">
        <v>5</v>
      </c>
      <c r="H956" s="330" t="s">
        <v>1961</v>
      </c>
      <c r="I956" s="334">
        <v>8270.9699999999993</v>
      </c>
      <c r="J956" s="334">
        <v>6155.11</v>
      </c>
      <c r="K956" s="334">
        <v>6155.11</v>
      </c>
      <c r="L956" s="332">
        <v>231</v>
      </c>
      <c r="M956" s="330" t="s">
        <v>46</v>
      </c>
      <c r="N956" s="330" t="s">
        <v>50</v>
      </c>
      <c r="O956" s="333" t="s">
        <v>55</v>
      </c>
      <c r="P956" s="38">
        <v>6774880.0600000005</v>
      </c>
      <c r="Q956" s="38">
        <v>0</v>
      </c>
      <c r="R956" s="38">
        <v>0</v>
      </c>
      <c r="S956" s="38">
        <f>P956-Q956-R956</f>
        <v>6774880.0600000005</v>
      </c>
      <c r="T956" s="38">
        <f t="shared" si="197"/>
        <v>819.11554025706789</v>
      </c>
      <c r="U956" s="38">
        <v>1167.0062823949306</v>
      </c>
      <c r="V956" s="458">
        <f t="shared" si="210"/>
        <v>347.89074213786273</v>
      </c>
      <c r="W956" s="458">
        <f t="shared" si="211"/>
        <v>1163.0393271284988</v>
      </c>
      <c r="X956" s="458">
        <v>0</v>
      </c>
      <c r="Y956" s="459">
        <v>0</v>
      </c>
      <c r="Z956" s="459">
        <v>0</v>
      </c>
      <c r="AA956" s="459">
        <v>0</v>
      </c>
      <c r="AB956" s="459">
        <v>0</v>
      </c>
      <c r="AC956" s="459">
        <v>0</v>
      </c>
      <c r="AD956" s="459">
        <v>0</v>
      </c>
      <c r="AE956" s="459">
        <v>1541.85</v>
      </c>
      <c r="AF956" s="458">
        <f>6238.91*AE956/I956</f>
        <v>1163.0393271284988</v>
      </c>
      <c r="AG956" s="459">
        <v>0</v>
      </c>
      <c r="AH956" s="458">
        <v>0</v>
      </c>
      <c r="AI956" s="459">
        <v>0</v>
      </c>
      <c r="AJ956" s="458">
        <v>0</v>
      </c>
      <c r="AK956" s="459">
        <v>0</v>
      </c>
      <c r="AL956" s="459">
        <v>0</v>
      </c>
      <c r="AM956" s="459">
        <v>0</v>
      </c>
      <c r="AN956" s="459"/>
      <c r="AO956" s="459">
        <v>0</v>
      </c>
      <c r="AP956" s="460"/>
      <c r="AQ956" s="460"/>
      <c r="AR956" s="460"/>
      <c r="AS956" s="460"/>
      <c r="AT956" s="460"/>
      <c r="AU956" s="460"/>
      <c r="AV956" s="460"/>
      <c r="AW956" s="460"/>
      <c r="AX956" s="460"/>
      <c r="AY956" s="460"/>
      <c r="AZ956" s="460"/>
      <c r="BA956" s="460"/>
      <c r="BB956" s="460"/>
      <c r="BC956" s="460"/>
      <c r="BD956" s="460"/>
      <c r="BE956" s="460"/>
      <c r="BF956" s="460"/>
      <c r="BG956" s="460"/>
      <c r="BH956" s="460"/>
      <c r="BI956" s="460"/>
      <c r="BJ956" s="460"/>
      <c r="BK956" s="460"/>
      <c r="BL956" s="460"/>
      <c r="BM956" s="460"/>
      <c r="BN956" s="460"/>
      <c r="BO956" s="460"/>
      <c r="BP956" s="460"/>
      <c r="BQ956" s="460"/>
      <c r="BR956" s="460"/>
      <c r="BS956" s="460"/>
      <c r="BT956" s="460"/>
      <c r="BU956" s="460"/>
      <c r="BV956" s="460"/>
      <c r="BW956" s="460"/>
      <c r="BX956" s="460"/>
      <c r="BY956" s="460"/>
      <c r="BZ956" s="460"/>
      <c r="CA956" s="460"/>
      <c r="CB956" s="460"/>
      <c r="CC956" s="460"/>
      <c r="CD956" s="460"/>
      <c r="CE956" s="460"/>
      <c r="CF956" s="460"/>
      <c r="CG956" s="460"/>
      <c r="CH956" s="460"/>
      <c r="CI956" s="460"/>
      <c r="CJ956" s="460"/>
      <c r="CK956" s="460"/>
    </row>
    <row r="957" spans="1:191" s="266" customFormat="1" ht="36" customHeight="1" x14ac:dyDescent="0.25">
      <c r="A957" s="329">
        <v>1</v>
      </c>
      <c r="B957" s="39">
        <f>SUBTOTAL(103,$A$552:A957)</f>
        <v>354</v>
      </c>
      <c r="C957" s="336" t="s">
        <v>1683</v>
      </c>
      <c r="D957" s="330">
        <v>1979</v>
      </c>
      <c r="E957" s="330"/>
      <c r="F957" s="337" t="s">
        <v>48</v>
      </c>
      <c r="G957" s="330">
        <v>2</v>
      </c>
      <c r="H957" s="330" t="s">
        <v>61</v>
      </c>
      <c r="I957" s="334">
        <v>1556.1</v>
      </c>
      <c r="J957" s="334">
        <v>863</v>
      </c>
      <c r="K957" s="334">
        <v>863</v>
      </c>
      <c r="L957" s="338">
        <v>32</v>
      </c>
      <c r="M957" s="330" t="s">
        <v>46</v>
      </c>
      <c r="N957" s="330" t="s">
        <v>50</v>
      </c>
      <c r="O957" s="330" t="s">
        <v>55</v>
      </c>
      <c r="P957" s="334">
        <v>3822464.25</v>
      </c>
      <c r="Q957" s="334">
        <v>0</v>
      </c>
      <c r="R957" s="334">
        <v>0</v>
      </c>
      <c r="S957" s="334">
        <f>P957-Q957-R957</f>
        <v>3822464.25</v>
      </c>
      <c r="T957" s="38">
        <f t="shared" si="197"/>
        <v>2456.4386928860613</v>
      </c>
      <c r="U957" s="38">
        <v>2984.2210269905531</v>
      </c>
      <c r="V957" s="458">
        <f t="shared" si="210"/>
        <v>527.78233410449184</v>
      </c>
      <c r="W957" s="458">
        <f t="shared" si="211"/>
        <v>2974.0768902384166</v>
      </c>
      <c r="X957" s="458">
        <v>0</v>
      </c>
      <c r="Y957" s="459">
        <v>0</v>
      </c>
      <c r="Z957" s="459">
        <v>0</v>
      </c>
      <c r="AA957" s="459">
        <v>0</v>
      </c>
      <c r="AB957" s="459">
        <v>0</v>
      </c>
      <c r="AC957" s="459">
        <v>0</v>
      </c>
      <c r="AD957" s="459">
        <v>0</v>
      </c>
      <c r="AE957" s="459">
        <v>741.79</v>
      </c>
      <c r="AF957" s="458">
        <f>6238.91*AE957/I957</f>
        <v>2974.0768902384166</v>
      </c>
      <c r="AG957" s="459">
        <v>0</v>
      </c>
      <c r="AH957" s="458">
        <v>0</v>
      </c>
      <c r="AI957" s="459">
        <v>0</v>
      </c>
      <c r="AJ957" s="458">
        <v>0</v>
      </c>
      <c r="AK957" s="459">
        <v>0</v>
      </c>
      <c r="AL957" s="459">
        <v>0</v>
      </c>
      <c r="AM957" s="459">
        <v>0</v>
      </c>
      <c r="AN957" s="459"/>
      <c r="AO957" s="459">
        <v>0</v>
      </c>
      <c r="AP957" s="460"/>
      <c r="AQ957" s="250"/>
      <c r="AR957" s="250"/>
      <c r="AS957" s="250"/>
      <c r="AT957" s="250"/>
      <c r="AU957" s="250"/>
      <c r="AV957" s="250"/>
      <c r="AW957" s="250"/>
      <c r="AX957" s="250"/>
      <c r="AY957" s="250"/>
      <c r="AZ957" s="250"/>
      <c r="BA957" s="250"/>
      <c r="BB957" s="250"/>
      <c r="BC957" s="250"/>
      <c r="BD957" s="250"/>
      <c r="BE957" s="250"/>
      <c r="BF957" s="250"/>
      <c r="BG957" s="250"/>
      <c r="BH957" s="250"/>
      <c r="BI957" s="250"/>
      <c r="BJ957" s="250"/>
      <c r="BK957" s="250"/>
      <c r="BL957" s="250"/>
      <c r="BM957" s="250"/>
      <c r="BN957" s="250"/>
      <c r="BO957" s="250"/>
      <c r="BP957" s="250"/>
      <c r="BQ957" s="250"/>
      <c r="BR957" s="250"/>
      <c r="BS957" s="250"/>
      <c r="BT957" s="250"/>
      <c r="BU957" s="250"/>
      <c r="BV957" s="250"/>
      <c r="BW957" s="250"/>
      <c r="BX957" s="250"/>
      <c r="BY957" s="250"/>
      <c r="BZ957" s="250"/>
      <c r="CA957" s="250"/>
      <c r="CB957" s="250"/>
      <c r="CC957" s="250"/>
      <c r="CD957" s="250"/>
      <c r="CE957" s="250"/>
      <c r="CF957" s="250"/>
      <c r="CG957" s="250"/>
      <c r="CH957" s="250"/>
      <c r="CI957" s="250"/>
      <c r="CJ957" s="250"/>
      <c r="CK957" s="250"/>
      <c r="DQ957" s="339"/>
      <c r="DR957" s="339"/>
      <c r="DS957" s="339"/>
      <c r="EP957" s="340"/>
      <c r="FS957" s="341"/>
      <c r="GI957" s="342"/>
    </row>
    <row r="958" spans="1:191" s="329" customFormat="1" ht="36" customHeight="1" x14ac:dyDescent="0.25">
      <c r="A958" s="329">
        <v>1</v>
      </c>
      <c r="B958" s="39">
        <f>SUBTOTAL(103,$A$552:A958)</f>
        <v>355</v>
      </c>
      <c r="C958" s="33" t="s">
        <v>1107</v>
      </c>
      <c r="D958" s="330">
        <v>1928</v>
      </c>
      <c r="E958" s="330"/>
      <c r="F958" s="331" t="s">
        <v>48</v>
      </c>
      <c r="G958" s="330">
        <v>3</v>
      </c>
      <c r="H958" s="330" t="s">
        <v>61</v>
      </c>
      <c r="I958" s="334">
        <v>1739</v>
      </c>
      <c r="J958" s="334">
        <v>1665.2</v>
      </c>
      <c r="K958" s="334">
        <v>538.29999999999995</v>
      </c>
      <c r="L958" s="332">
        <v>235</v>
      </c>
      <c r="M958" s="330" t="s">
        <v>46</v>
      </c>
      <c r="N958" s="330" t="s">
        <v>50</v>
      </c>
      <c r="O958" s="333" t="s">
        <v>2091</v>
      </c>
      <c r="P958" s="38">
        <v>4749951.8099999996</v>
      </c>
      <c r="Q958" s="38">
        <v>0</v>
      </c>
      <c r="R958" s="38">
        <v>0</v>
      </c>
      <c r="S958" s="38">
        <f>P958-Q958-R958</f>
        <v>4749951.8099999996</v>
      </c>
      <c r="T958" s="38">
        <f t="shared" si="197"/>
        <v>2731.4271477860839</v>
      </c>
      <c r="U958" s="38">
        <v>3977.8665612420928</v>
      </c>
      <c r="V958" s="458">
        <f t="shared" si="210"/>
        <v>1246.4394134560089</v>
      </c>
      <c r="W958" s="458">
        <f t="shared" si="211"/>
        <v>5531.6063159861978</v>
      </c>
      <c r="X958" s="458">
        <v>0</v>
      </c>
      <c r="Y958" s="459">
        <v>0</v>
      </c>
      <c r="Z958" s="459">
        <v>0</v>
      </c>
      <c r="AA958" s="459">
        <v>0</v>
      </c>
      <c r="AB958" s="459">
        <v>0</v>
      </c>
      <c r="AC958" s="459">
        <v>0</v>
      </c>
      <c r="AD958" s="459">
        <v>0</v>
      </c>
      <c r="AE958" s="459">
        <v>1541.85</v>
      </c>
      <c r="AF958" s="458">
        <f>6238.91*AE958/I958</f>
        <v>5531.6063159861978</v>
      </c>
      <c r="AG958" s="459">
        <v>0</v>
      </c>
      <c r="AH958" s="458">
        <v>0</v>
      </c>
      <c r="AI958" s="459">
        <v>0</v>
      </c>
      <c r="AJ958" s="458">
        <v>0</v>
      </c>
      <c r="AK958" s="459">
        <v>0</v>
      </c>
      <c r="AL958" s="459">
        <v>0</v>
      </c>
      <c r="AM958" s="459">
        <v>0</v>
      </c>
      <c r="AN958" s="459"/>
      <c r="AO958" s="459">
        <v>0</v>
      </c>
      <c r="AP958" s="460"/>
      <c r="AQ958" s="460"/>
      <c r="AR958" s="460"/>
      <c r="AS958" s="460"/>
      <c r="AT958" s="460"/>
      <c r="AU958" s="460"/>
      <c r="AV958" s="460"/>
      <c r="AW958" s="460"/>
      <c r="AX958" s="460"/>
      <c r="AY958" s="460"/>
      <c r="AZ958" s="460"/>
      <c r="BA958" s="460"/>
      <c r="BB958" s="460"/>
      <c r="BC958" s="460"/>
      <c r="BD958" s="460"/>
      <c r="BE958" s="460"/>
      <c r="BF958" s="460"/>
      <c r="BG958" s="460"/>
      <c r="BH958" s="460"/>
      <c r="BI958" s="460"/>
      <c r="BJ958" s="460"/>
      <c r="BK958" s="460"/>
      <c r="BL958" s="460"/>
      <c r="BM958" s="460"/>
      <c r="BN958" s="460"/>
      <c r="BO958" s="460"/>
      <c r="BP958" s="460"/>
      <c r="BQ958" s="460"/>
      <c r="BR958" s="460"/>
      <c r="BS958" s="460"/>
      <c r="BT958" s="460"/>
      <c r="BU958" s="460"/>
      <c r="BV958" s="460"/>
      <c r="BW958" s="460"/>
      <c r="BX958" s="460"/>
      <c r="BY958" s="460"/>
      <c r="BZ958" s="460"/>
      <c r="CA958" s="460"/>
      <c r="CB958" s="460"/>
      <c r="CC958" s="460"/>
      <c r="CD958" s="460"/>
      <c r="CE958" s="460"/>
      <c r="CF958" s="460"/>
      <c r="CG958" s="460"/>
      <c r="CH958" s="460"/>
      <c r="CI958" s="460"/>
      <c r="CJ958" s="460"/>
      <c r="CK958" s="460"/>
    </row>
    <row r="959" spans="1:191" s="266" customFormat="1" ht="36" customHeight="1" x14ac:dyDescent="0.25">
      <c r="A959" s="329">
        <v>1</v>
      </c>
      <c r="B959" s="39">
        <f>SUBTOTAL(103,$A$552:A959)</f>
        <v>356</v>
      </c>
      <c r="C959" s="336" t="s">
        <v>1684</v>
      </c>
      <c r="D959" s="330">
        <v>1991</v>
      </c>
      <c r="E959" s="330"/>
      <c r="F959" s="337" t="s">
        <v>63</v>
      </c>
      <c r="G959" s="330" t="s">
        <v>75</v>
      </c>
      <c r="H959" s="330" t="s">
        <v>1969</v>
      </c>
      <c r="I959" s="334">
        <v>6396.71</v>
      </c>
      <c r="J959" s="334">
        <v>4687.3900000000003</v>
      </c>
      <c r="K959" s="334">
        <v>4687.3900000000003</v>
      </c>
      <c r="L959" s="338">
        <v>185</v>
      </c>
      <c r="M959" s="330" t="s">
        <v>46</v>
      </c>
      <c r="N959" s="330" t="s">
        <v>50</v>
      </c>
      <c r="O959" s="330" t="s">
        <v>55</v>
      </c>
      <c r="P959" s="334">
        <v>6346318.1600000001</v>
      </c>
      <c r="Q959" s="334">
        <v>0</v>
      </c>
      <c r="R959" s="334">
        <v>0</v>
      </c>
      <c r="S959" s="334">
        <f>P959-Q959-R959</f>
        <v>6346318.1600000001</v>
      </c>
      <c r="T959" s="38">
        <f t="shared" si="197"/>
        <v>992.1222253314595</v>
      </c>
      <c r="U959" s="38">
        <v>1206.9003459278285</v>
      </c>
      <c r="V959" s="458">
        <f t="shared" si="210"/>
        <v>214.77812059636904</v>
      </c>
      <c r="W959" s="458">
        <f t="shared" si="211"/>
        <v>723.49083339716822</v>
      </c>
      <c r="X959" s="458">
        <v>0</v>
      </c>
      <c r="Y959" s="459">
        <v>0</v>
      </c>
      <c r="Z959" s="459">
        <v>0</v>
      </c>
      <c r="AA959" s="459">
        <v>0</v>
      </c>
      <c r="AB959" s="459">
        <v>0</v>
      </c>
      <c r="AC959" s="459">
        <v>0</v>
      </c>
      <c r="AD959" s="459">
        <v>0</v>
      </c>
      <c r="AE959" s="459">
        <v>741.79</v>
      </c>
      <c r="AF959" s="458">
        <f>6238.91*AE959/I959</f>
        <v>723.49083339716822</v>
      </c>
      <c r="AG959" s="459">
        <v>0</v>
      </c>
      <c r="AH959" s="458">
        <v>0</v>
      </c>
      <c r="AI959" s="459">
        <v>0</v>
      </c>
      <c r="AJ959" s="458">
        <v>0</v>
      </c>
      <c r="AK959" s="459">
        <v>0</v>
      </c>
      <c r="AL959" s="459">
        <v>0</v>
      </c>
      <c r="AM959" s="459">
        <v>0</v>
      </c>
      <c r="AN959" s="459"/>
      <c r="AO959" s="459">
        <v>0</v>
      </c>
      <c r="AP959" s="460"/>
      <c r="AQ959" s="250"/>
      <c r="AR959" s="250"/>
      <c r="AS959" s="250"/>
      <c r="AT959" s="250"/>
      <c r="AU959" s="250"/>
      <c r="AV959" s="250"/>
      <c r="AW959" s="250"/>
      <c r="AX959" s="250"/>
      <c r="AY959" s="250"/>
      <c r="AZ959" s="250"/>
      <c r="BA959" s="250"/>
      <c r="BB959" s="250"/>
      <c r="BC959" s="250"/>
      <c r="BD959" s="250"/>
      <c r="BE959" s="250"/>
      <c r="BF959" s="250"/>
      <c r="BG959" s="250"/>
      <c r="BH959" s="250"/>
      <c r="BI959" s="250"/>
      <c r="BJ959" s="250"/>
      <c r="BK959" s="250"/>
      <c r="BL959" s="250"/>
      <c r="BM959" s="250"/>
      <c r="BN959" s="250"/>
      <c r="BO959" s="250"/>
      <c r="BP959" s="250"/>
      <c r="BQ959" s="250"/>
      <c r="BR959" s="250"/>
      <c r="BS959" s="250"/>
      <c r="BT959" s="250"/>
      <c r="BU959" s="250"/>
      <c r="BV959" s="250"/>
      <c r="BW959" s="250"/>
      <c r="BX959" s="250"/>
      <c r="BY959" s="250"/>
      <c r="BZ959" s="250"/>
      <c r="CA959" s="250"/>
      <c r="CB959" s="250"/>
      <c r="CC959" s="250"/>
      <c r="CD959" s="250"/>
      <c r="CE959" s="250"/>
      <c r="CF959" s="250"/>
      <c r="CG959" s="250"/>
      <c r="CH959" s="250"/>
      <c r="CI959" s="250"/>
      <c r="CJ959" s="250"/>
      <c r="CK959" s="250"/>
      <c r="DQ959" s="339"/>
      <c r="DR959" s="339"/>
      <c r="DS959" s="339"/>
      <c r="EP959" s="340"/>
      <c r="FS959" s="341"/>
      <c r="GI959" s="342"/>
    </row>
    <row r="960" spans="1:191" s="329" customFormat="1" ht="36" customHeight="1" x14ac:dyDescent="0.25">
      <c r="B960" s="33" t="s">
        <v>1392</v>
      </c>
      <c r="C960" s="462"/>
      <c r="D960" s="330" t="s">
        <v>131</v>
      </c>
      <c r="E960" s="330" t="s">
        <v>131</v>
      </c>
      <c r="F960" s="330" t="s">
        <v>131</v>
      </c>
      <c r="G960" s="330" t="s">
        <v>131</v>
      </c>
      <c r="H960" s="330" t="s">
        <v>131</v>
      </c>
      <c r="I960" s="334">
        <f>SUM(I961:I963)</f>
        <v>4721.28</v>
      </c>
      <c r="J960" s="334">
        <f>SUM(J961:J963)</f>
        <v>3756.3999999999996</v>
      </c>
      <c r="K960" s="334">
        <f>SUM(K961:K963)</f>
        <v>3632.2</v>
      </c>
      <c r="L960" s="332">
        <f>SUM(L961:L963)</f>
        <v>152</v>
      </c>
      <c r="M960" s="330" t="s">
        <v>131</v>
      </c>
      <c r="N960" s="330" t="s">
        <v>131</v>
      </c>
      <c r="O960" s="333" t="s">
        <v>131</v>
      </c>
      <c r="P960" s="38">
        <v>14805803.309999999</v>
      </c>
      <c r="Q960" s="38">
        <f>SUM(Q961:Q963)</f>
        <v>0</v>
      </c>
      <c r="R960" s="38">
        <f>SUM(R961:R963)</f>
        <v>0</v>
      </c>
      <c r="S960" s="38">
        <f>SUM(S961:S963)</f>
        <v>14805803.309999999</v>
      </c>
      <c r="T960" s="38">
        <f t="shared" si="197"/>
        <v>3135.9723020028464</v>
      </c>
      <c r="U960" s="38">
        <f>MAX(U961:U963)</f>
        <v>24013.858784215474</v>
      </c>
      <c r="V960" s="458">
        <f t="shared" si="210"/>
        <v>20877.886482212627</v>
      </c>
      <c r="W960" s="458"/>
      <c r="X960" s="458"/>
      <c r="Y960" s="459"/>
      <c r="Z960" s="459"/>
      <c r="AA960" s="459"/>
      <c r="AB960" s="459"/>
      <c r="AC960" s="459"/>
      <c r="AD960" s="459"/>
      <c r="AE960" s="459"/>
      <c r="AF960" s="459"/>
      <c r="AG960" s="459"/>
      <c r="AH960" s="459"/>
      <c r="AI960" s="459"/>
      <c r="AJ960" s="459"/>
      <c r="AK960" s="459"/>
      <c r="AL960" s="459"/>
      <c r="AM960" s="459"/>
      <c r="AN960" s="459"/>
      <c r="AO960" s="459"/>
      <c r="AP960" s="460"/>
      <c r="AQ960" s="460"/>
      <c r="AR960" s="460"/>
      <c r="AS960" s="460"/>
      <c r="AT960" s="460"/>
      <c r="AU960" s="460"/>
      <c r="AV960" s="460"/>
      <c r="AW960" s="460"/>
      <c r="AX960" s="460"/>
      <c r="AY960" s="460"/>
      <c r="AZ960" s="460"/>
      <c r="BA960" s="460"/>
      <c r="BB960" s="460"/>
      <c r="BC960" s="460"/>
      <c r="BD960" s="460"/>
      <c r="BE960" s="460"/>
      <c r="BF960" s="460"/>
      <c r="BG960" s="460"/>
      <c r="BH960" s="460"/>
      <c r="BI960" s="460"/>
      <c r="BJ960" s="460"/>
      <c r="BK960" s="460"/>
      <c r="BL960" s="460"/>
      <c r="BM960" s="460"/>
      <c r="BN960" s="460"/>
      <c r="BO960" s="460"/>
      <c r="BP960" s="460"/>
      <c r="BQ960" s="460"/>
      <c r="BR960" s="460"/>
      <c r="BS960" s="460"/>
      <c r="BT960" s="460"/>
      <c r="BU960" s="460"/>
      <c r="BV960" s="460"/>
      <c r="BW960" s="460"/>
      <c r="BX960" s="460"/>
      <c r="BY960" s="460"/>
      <c r="BZ960" s="460"/>
      <c r="CA960" s="460"/>
      <c r="CB960" s="460"/>
      <c r="CC960" s="460"/>
      <c r="CD960" s="460"/>
      <c r="CE960" s="460"/>
      <c r="CF960" s="460"/>
      <c r="CG960" s="460"/>
      <c r="CH960" s="460"/>
      <c r="CI960" s="460"/>
      <c r="CJ960" s="460"/>
      <c r="CK960" s="460"/>
    </row>
    <row r="961" spans="1:89" s="329" customFormat="1" ht="36" customHeight="1" x14ac:dyDescent="0.25">
      <c r="A961" s="329">
        <v>1</v>
      </c>
      <c r="B961" s="39">
        <f>SUBTOTAL(103,$A$552:A961)</f>
        <v>357</v>
      </c>
      <c r="C961" s="33" t="s">
        <v>1685</v>
      </c>
      <c r="D961" s="330">
        <v>1967</v>
      </c>
      <c r="E961" s="330"/>
      <c r="F961" s="331" t="s">
        <v>48</v>
      </c>
      <c r="G961" s="330">
        <v>2</v>
      </c>
      <c r="H961" s="330" t="s">
        <v>61</v>
      </c>
      <c r="I961" s="334">
        <v>987</v>
      </c>
      <c r="J961" s="334">
        <v>987</v>
      </c>
      <c r="K961" s="334">
        <v>915.8</v>
      </c>
      <c r="L961" s="332">
        <v>20</v>
      </c>
      <c r="M961" s="330" t="s">
        <v>46</v>
      </c>
      <c r="N961" s="330" t="s">
        <v>50</v>
      </c>
      <c r="O961" s="333" t="s">
        <v>52</v>
      </c>
      <c r="P961" s="38">
        <v>4020786</v>
      </c>
      <c r="Q961" s="38">
        <v>0</v>
      </c>
      <c r="R961" s="38">
        <v>0</v>
      </c>
      <c r="S961" s="38">
        <f>P961-Q961-R961</f>
        <v>4020786</v>
      </c>
      <c r="T961" s="38">
        <f t="shared" si="197"/>
        <v>4073.744680851064</v>
      </c>
      <c r="U961" s="38">
        <v>4883.8361702127659</v>
      </c>
      <c r="V961" s="458">
        <f t="shared" si="210"/>
        <v>810.09148936170186</v>
      </c>
      <c r="W961" s="458">
        <f t="shared" ref="W961:W963" si="212">X961+Y961+Z961+AA961+AB961+AD961+AF961+AH961+AJ961+AL961+AN961+AO961</f>
        <v>4867.2347517730495</v>
      </c>
      <c r="X961" s="458">
        <v>0</v>
      </c>
      <c r="Y961" s="459">
        <v>0</v>
      </c>
      <c r="Z961" s="459">
        <v>0</v>
      </c>
      <c r="AA961" s="459">
        <v>0</v>
      </c>
      <c r="AB961" s="459">
        <v>0</v>
      </c>
      <c r="AC961" s="459">
        <v>0</v>
      </c>
      <c r="AD961" s="459">
        <v>0</v>
      </c>
      <c r="AE961" s="459">
        <v>770</v>
      </c>
      <c r="AF961" s="458">
        <f>6238.91*AE961/I961</f>
        <v>4867.2347517730495</v>
      </c>
      <c r="AG961" s="459">
        <v>0</v>
      </c>
      <c r="AH961" s="458">
        <v>0</v>
      </c>
      <c r="AI961" s="459">
        <v>0</v>
      </c>
      <c r="AJ961" s="458">
        <v>0</v>
      </c>
      <c r="AK961" s="459">
        <v>0</v>
      </c>
      <c r="AL961" s="459">
        <v>0</v>
      </c>
      <c r="AM961" s="459">
        <v>0</v>
      </c>
      <c r="AN961" s="459"/>
      <c r="AO961" s="459">
        <v>0</v>
      </c>
      <c r="AP961" s="460"/>
      <c r="AQ961" s="460"/>
      <c r="AR961" s="460"/>
      <c r="AS961" s="460"/>
      <c r="AT961" s="460"/>
      <c r="AU961" s="460"/>
      <c r="AV961" s="460"/>
      <c r="AW961" s="460"/>
      <c r="AX961" s="460"/>
      <c r="AY961" s="460"/>
      <c r="AZ961" s="460"/>
      <c r="BA961" s="460"/>
      <c r="BB961" s="460"/>
      <c r="BC961" s="460"/>
      <c r="BD961" s="460"/>
      <c r="BE961" s="460"/>
      <c r="BF961" s="460"/>
      <c r="BG961" s="460"/>
      <c r="BH961" s="460"/>
      <c r="BI961" s="460"/>
      <c r="BJ961" s="460"/>
      <c r="BK961" s="460"/>
      <c r="BL961" s="460"/>
      <c r="BM961" s="460"/>
      <c r="BN961" s="460"/>
      <c r="BO961" s="460"/>
      <c r="BP961" s="460"/>
      <c r="BQ961" s="460"/>
      <c r="BR961" s="460"/>
      <c r="BS961" s="460"/>
      <c r="BT961" s="460"/>
      <c r="BU961" s="460"/>
      <c r="BV961" s="460"/>
      <c r="BW961" s="460"/>
      <c r="BX961" s="460"/>
      <c r="BY961" s="460"/>
      <c r="BZ961" s="460"/>
      <c r="CA961" s="460"/>
      <c r="CB961" s="460"/>
      <c r="CC961" s="460"/>
      <c r="CD961" s="460"/>
      <c r="CE961" s="460"/>
      <c r="CF961" s="460"/>
      <c r="CG961" s="460"/>
      <c r="CH961" s="460"/>
      <c r="CI961" s="460"/>
      <c r="CJ961" s="460"/>
      <c r="CK961" s="460"/>
    </row>
    <row r="962" spans="1:89" s="329" customFormat="1" ht="36" customHeight="1" x14ac:dyDescent="0.25">
      <c r="A962" s="329">
        <v>1</v>
      </c>
      <c r="B962" s="39">
        <f>SUBTOTAL(103,$A$552:A962)</f>
        <v>358</v>
      </c>
      <c r="C962" s="33" t="s">
        <v>1686</v>
      </c>
      <c r="D962" s="330">
        <v>1971</v>
      </c>
      <c r="E962" s="330"/>
      <c r="F962" s="331" t="s">
        <v>48</v>
      </c>
      <c r="G962" s="330">
        <v>5</v>
      </c>
      <c r="H962" s="330" t="s">
        <v>59</v>
      </c>
      <c r="I962" s="334">
        <v>3414.98</v>
      </c>
      <c r="J962" s="334">
        <v>2564.1999999999998</v>
      </c>
      <c r="K962" s="334">
        <v>2564.1999999999998</v>
      </c>
      <c r="L962" s="332">
        <v>118</v>
      </c>
      <c r="M962" s="330" t="s">
        <v>46</v>
      </c>
      <c r="N962" s="330" t="s">
        <v>50</v>
      </c>
      <c r="O962" s="333" t="s">
        <v>51</v>
      </c>
      <c r="P962" s="38">
        <v>5002484.3999999994</v>
      </c>
      <c r="Q962" s="38">
        <v>0</v>
      </c>
      <c r="R962" s="38">
        <v>0</v>
      </c>
      <c r="S962" s="38">
        <f>P962-Q962-R962</f>
        <v>5002484.3999999994</v>
      </c>
      <c r="T962" s="38">
        <f t="shared" si="197"/>
        <v>1464.8649186818077</v>
      </c>
      <c r="U962" s="38">
        <v>1756.1631459042219</v>
      </c>
      <c r="V962" s="458">
        <f t="shared" si="210"/>
        <v>291.2982272224142</v>
      </c>
      <c r="W962" s="458">
        <f t="shared" si="212"/>
        <v>1750.1934945446239</v>
      </c>
      <c r="X962" s="458">
        <v>0</v>
      </c>
      <c r="Y962" s="459">
        <v>0</v>
      </c>
      <c r="Z962" s="459">
        <v>0</v>
      </c>
      <c r="AA962" s="459">
        <v>0</v>
      </c>
      <c r="AB962" s="459">
        <v>0</v>
      </c>
      <c r="AC962" s="459">
        <v>0</v>
      </c>
      <c r="AD962" s="459">
        <v>0</v>
      </c>
      <c r="AE962" s="459">
        <v>958</v>
      </c>
      <c r="AF962" s="458">
        <f>6238.91*AE962/I962</f>
        <v>1750.1934945446239</v>
      </c>
      <c r="AG962" s="459">
        <v>0</v>
      </c>
      <c r="AH962" s="458">
        <v>0</v>
      </c>
      <c r="AI962" s="459">
        <v>0</v>
      </c>
      <c r="AJ962" s="458">
        <v>0</v>
      </c>
      <c r="AK962" s="459">
        <v>0</v>
      </c>
      <c r="AL962" s="459">
        <v>0</v>
      </c>
      <c r="AM962" s="459">
        <v>0</v>
      </c>
      <c r="AN962" s="459"/>
      <c r="AO962" s="459">
        <v>0</v>
      </c>
      <c r="AP962" s="460"/>
      <c r="AQ962" s="460"/>
      <c r="AR962" s="460"/>
      <c r="AS962" s="460"/>
      <c r="AT962" s="460"/>
      <c r="AU962" s="460"/>
      <c r="AV962" s="460"/>
      <c r="AW962" s="460"/>
      <c r="AX962" s="460"/>
      <c r="AY962" s="460"/>
      <c r="AZ962" s="460"/>
      <c r="BA962" s="460"/>
      <c r="BB962" s="460"/>
      <c r="BC962" s="460"/>
      <c r="BD962" s="460"/>
      <c r="BE962" s="460"/>
      <c r="BF962" s="460"/>
      <c r="BG962" s="460"/>
      <c r="BH962" s="460"/>
      <c r="BI962" s="460"/>
      <c r="BJ962" s="460"/>
      <c r="BK962" s="460"/>
      <c r="BL962" s="460"/>
      <c r="BM962" s="460"/>
      <c r="BN962" s="460"/>
      <c r="BO962" s="460"/>
      <c r="BP962" s="460"/>
      <c r="BQ962" s="460"/>
      <c r="BR962" s="460"/>
      <c r="BS962" s="460"/>
      <c r="BT962" s="460"/>
      <c r="BU962" s="460"/>
      <c r="BV962" s="460"/>
      <c r="BW962" s="460"/>
      <c r="BX962" s="460"/>
      <c r="BY962" s="460"/>
      <c r="BZ962" s="460"/>
      <c r="CA962" s="460"/>
      <c r="CB962" s="460"/>
      <c r="CC962" s="460"/>
      <c r="CD962" s="460"/>
      <c r="CE962" s="460"/>
      <c r="CF962" s="460"/>
      <c r="CG962" s="460"/>
      <c r="CH962" s="460"/>
      <c r="CI962" s="460"/>
      <c r="CJ962" s="460"/>
      <c r="CK962" s="460"/>
    </row>
    <row r="963" spans="1:89" s="329" customFormat="1" ht="36" customHeight="1" x14ac:dyDescent="0.25">
      <c r="A963" s="329">
        <v>1</v>
      </c>
      <c r="B963" s="39">
        <f>SUBTOTAL(103,$A$552:A963)</f>
        <v>359</v>
      </c>
      <c r="C963" s="33" t="s">
        <v>1396</v>
      </c>
      <c r="D963" s="330">
        <v>1917</v>
      </c>
      <c r="E963" s="330"/>
      <c r="F963" s="331" t="s">
        <v>48</v>
      </c>
      <c r="G963" s="330">
        <v>2</v>
      </c>
      <c r="H963" s="330" t="s">
        <v>57</v>
      </c>
      <c r="I963" s="38">
        <v>319.3</v>
      </c>
      <c r="J963" s="38">
        <v>205.2</v>
      </c>
      <c r="K963" s="38">
        <v>152.19999999999999</v>
      </c>
      <c r="L963" s="332">
        <v>14</v>
      </c>
      <c r="M963" s="330" t="s">
        <v>46</v>
      </c>
      <c r="N963" s="330" t="s">
        <v>47</v>
      </c>
      <c r="O963" s="333" t="s">
        <v>49</v>
      </c>
      <c r="P963" s="38">
        <v>5782532.9099999992</v>
      </c>
      <c r="Q963" s="38">
        <v>0</v>
      </c>
      <c r="R963" s="38">
        <v>0</v>
      </c>
      <c r="S963" s="38">
        <f>P963-Q963-R963</f>
        <v>5782532.9099999992</v>
      </c>
      <c r="T963" s="38">
        <f t="shared" si="197"/>
        <v>18110.031036642653</v>
      </c>
      <c r="U963" s="38">
        <v>24013.858784215474</v>
      </c>
      <c r="V963" s="458">
        <f t="shared" si="210"/>
        <v>5903.827747572821</v>
      </c>
      <c r="W963" s="458">
        <f t="shared" si="212"/>
        <v>7003.2888261822736</v>
      </c>
      <c r="X963" s="458">
        <v>0</v>
      </c>
      <c r="Y963" s="459">
        <v>0</v>
      </c>
      <c r="Z963" s="459">
        <v>0</v>
      </c>
      <c r="AA963" s="459">
        <v>0</v>
      </c>
      <c r="AB963" s="459">
        <v>0</v>
      </c>
      <c r="AC963" s="459">
        <v>0</v>
      </c>
      <c r="AD963" s="459">
        <v>0</v>
      </c>
      <c r="AE963" s="459">
        <v>358.42</v>
      </c>
      <c r="AF963" s="458">
        <f>6238.91*AE963/I963</f>
        <v>7003.2888261822736</v>
      </c>
      <c r="AG963" s="459">
        <v>0</v>
      </c>
      <c r="AH963" s="458">
        <v>0</v>
      </c>
      <c r="AI963" s="459">
        <v>0</v>
      </c>
      <c r="AJ963" s="458">
        <v>0</v>
      </c>
      <c r="AK963" s="459">
        <v>0</v>
      </c>
      <c r="AL963" s="459">
        <v>0</v>
      </c>
      <c r="AM963" s="459">
        <v>0</v>
      </c>
      <c r="AN963" s="459"/>
      <c r="AO963" s="459">
        <v>0</v>
      </c>
      <c r="AP963" s="460"/>
      <c r="AQ963" s="460"/>
      <c r="AR963" s="460"/>
      <c r="AS963" s="460"/>
      <c r="AT963" s="460"/>
      <c r="AU963" s="460"/>
      <c r="AV963" s="460"/>
      <c r="AW963" s="460"/>
      <c r="AX963" s="460"/>
      <c r="AY963" s="460"/>
      <c r="AZ963" s="460"/>
      <c r="BA963" s="460"/>
      <c r="BB963" s="460"/>
      <c r="BC963" s="460"/>
      <c r="BD963" s="460"/>
      <c r="BE963" s="460"/>
      <c r="BF963" s="460"/>
      <c r="BG963" s="460"/>
      <c r="BH963" s="460"/>
      <c r="BI963" s="460"/>
      <c r="BJ963" s="460"/>
      <c r="BK963" s="460"/>
      <c r="BL963" s="460"/>
      <c r="BM963" s="460"/>
      <c r="BN963" s="460"/>
      <c r="BO963" s="460"/>
      <c r="BP963" s="460"/>
      <c r="BQ963" s="460"/>
      <c r="BR963" s="460"/>
      <c r="BS963" s="460"/>
      <c r="BT963" s="460"/>
      <c r="BU963" s="460"/>
      <c r="BV963" s="460"/>
      <c r="BW963" s="460"/>
      <c r="BX963" s="460"/>
      <c r="BY963" s="460"/>
      <c r="BZ963" s="460"/>
      <c r="CA963" s="460"/>
      <c r="CB963" s="460"/>
      <c r="CC963" s="460"/>
      <c r="CD963" s="460"/>
      <c r="CE963" s="460"/>
      <c r="CF963" s="460"/>
      <c r="CG963" s="460"/>
      <c r="CH963" s="460"/>
      <c r="CI963" s="460"/>
      <c r="CJ963" s="460"/>
      <c r="CK963" s="460"/>
    </row>
    <row r="964" spans="1:89" s="329" customFormat="1" ht="36" customHeight="1" x14ac:dyDescent="0.25">
      <c r="B964" s="33" t="s">
        <v>1398</v>
      </c>
      <c r="C964" s="33"/>
      <c r="D964" s="330" t="s">
        <v>131</v>
      </c>
      <c r="E964" s="330" t="s">
        <v>131</v>
      </c>
      <c r="F964" s="330" t="s">
        <v>131</v>
      </c>
      <c r="G964" s="330" t="s">
        <v>131</v>
      </c>
      <c r="H964" s="330" t="s">
        <v>131</v>
      </c>
      <c r="I964" s="334">
        <f>I965</f>
        <v>708.1</v>
      </c>
      <c r="J964" s="334">
        <f>J965</f>
        <v>708.1</v>
      </c>
      <c r="K964" s="334">
        <f>K965</f>
        <v>650.9</v>
      </c>
      <c r="L964" s="332">
        <f>L965</f>
        <v>42</v>
      </c>
      <c r="M964" s="330" t="s">
        <v>131</v>
      </c>
      <c r="N964" s="330" t="s">
        <v>131</v>
      </c>
      <c r="O964" s="333" t="s">
        <v>131</v>
      </c>
      <c r="P964" s="38">
        <v>3019912.79</v>
      </c>
      <c r="Q964" s="38">
        <f>Q965</f>
        <v>0</v>
      </c>
      <c r="R964" s="38">
        <f>R965</f>
        <v>0</v>
      </c>
      <c r="S964" s="38">
        <f>S965</f>
        <v>3019912.79</v>
      </c>
      <c r="T964" s="38">
        <f t="shared" si="197"/>
        <v>4264.811170738596</v>
      </c>
      <c r="U964" s="38">
        <f>U965</f>
        <v>5216.0882643694385</v>
      </c>
      <c r="V964" s="458">
        <f t="shared" si="210"/>
        <v>951.2770936308425</v>
      </c>
      <c r="W964" s="458"/>
      <c r="X964" s="458"/>
      <c r="Y964" s="459"/>
      <c r="Z964" s="459"/>
      <c r="AA964" s="459"/>
      <c r="AB964" s="459"/>
      <c r="AC964" s="459"/>
      <c r="AD964" s="459"/>
      <c r="AE964" s="459"/>
      <c r="AF964" s="459"/>
      <c r="AG964" s="459"/>
      <c r="AH964" s="459"/>
      <c r="AI964" s="459"/>
      <c r="AJ964" s="459"/>
      <c r="AK964" s="459"/>
      <c r="AL964" s="459"/>
      <c r="AM964" s="459"/>
      <c r="AN964" s="459"/>
      <c r="AO964" s="459"/>
      <c r="AP964" s="460"/>
      <c r="AQ964" s="460"/>
      <c r="AR964" s="460"/>
      <c r="AS964" s="460"/>
      <c r="AT964" s="460"/>
      <c r="AU964" s="460"/>
      <c r="AV964" s="460"/>
      <c r="AW964" s="460"/>
      <c r="AX964" s="460"/>
      <c r="AY964" s="460"/>
      <c r="AZ964" s="460"/>
      <c r="BA964" s="460"/>
      <c r="BB964" s="460"/>
      <c r="BC964" s="460"/>
      <c r="BD964" s="460"/>
      <c r="BE964" s="460"/>
      <c r="BF964" s="460"/>
      <c r="BG964" s="460"/>
      <c r="BH964" s="460"/>
      <c r="BI964" s="460"/>
      <c r="BJ964" s="460"/>
      <c r="BK964" s="460"/>
      <c r="BL964" s="460"/>
      <c r="BM964" s="460"/>
      <c r="BN964" s="460"/>
      <c r="BO964" s="460"/>
      <c r="BP964" s="460"/>
      <c r="BQ964" s="460"/>
      <c r="BR964" s="460"/>
      <c r="BS964" s="460"/>
      <c r="BT964" s="460"/>
      <c r="BU964" s="460"/>
      <c r="BV964" s="460"/>
      <c r="BW964" s="460"/>
      <c r="BX964" s="460"/>
      <c r="BY964" s="460"/>
      <c r="BZ964" s="460"/>
      <c r="CA964" s="460"/>
      <c r="CB964" s="460"/>
      <c r="CC964" s="460"/>
      <c r="CD964" s="460"/>
      <c r="CE964" s="460"/>
      <c r="CF964" s="460"/>
      <c r="CG964" s="460"/>
      <c r="CH964" s="460"/>
      <c r="CI964" s="460"/>
      <c r="CJ964" s="460"/>
      <c r="CK964" s="460"/>
    </row>
    <row r="965" spans="1:89" s="329" customFormat="1" ht="36" customHeight="1" x14ac:dyDescent="0.25">
      <c r="A965" s="329">
        <v>1</v>
      </c>
      <c r="B965" s="39">
        <f>SUBTOTAL(103,$A$552:A965)</f>
        <v>360</v>
      </c>
      <c r="C965" s="33" t="s">
        <v>1400</v>
      </c>
      <c r="D965" s="330">
        <v>1969</v>
      </c>
      <c r="E965" s="330"/>
      <c r="F965" s="331" t="s">
        <v>48</v>
      </c>
      <c r="G965" s="330">
        <v>2</v>
      </c>
      <c r="H965" s="330" t="s">
        <v>56</v>
      </c>
      <c r="I965" s="334">
        <v>708.1</v>
      </c>
      <c r="J965" s="334">
        <v>708.1</v>
      </c>
      <c r="K965" s="334">
        <v>650.9</v>
      </c>
      <c r="L965" s="332">
        <v>42</v>
      </c>
      <c r="M965" s="330" t="s">
        <v>46</v>
      </c>
      <c r="N965" s="330" t="s">
        <v>50</v>
      </c>
      <c r="O965" s="333" t="s">
        <v>2103</v>
      </c>
      <c r="P965" s="38">
        <v>3019912.79</v>
      </c>
      <c r="Q965" s="38">
        <v>0</v>
      </c>
      <c r="R965" s="38">
        <v>0</v>
      </c>
      <c r="S965" s="38">
        <f>P965-Q965-R965</f>
        <v>3019912.79</v>
      </c>
      <c r="T965" s="38">
        <f t="shared" si="197"/>
        <v>4264.811170738596</v>
      </c>
      <c r="U965" s="38">
        <v>5216.0882643694385</v>
      </c>
      <c r="V965" s="458">
        <f>U965-T965</f>
        <v>951.2770936308425</v>
      </c>
      <c r="W965" s="458">
        <f>X965+Y965+Z965+AA965+AB965+AD965+AF965+AH965+AJ965+AL965+AN965+AO965</f>
        <v>5198.3574353904814</v>
      </c>
      <c r="X965" s="458">
        <v>0</v>
      </c>
      <c r="Y965" s="459">
        <v>0</v>
      </c>
      <c r="Z965" s="459">
        <v>0</v>
      </c>
      <c r="AA965" s="459">
        <v>0</v>
      </c>
      <c r="AB965" s="459">
        <v>0</v>
      </c>
      <c r="AC965" s="459">
        <v>0</v>
      </c>
      <c r="AD965" s="459">
        <v>0</v>
      </c>
      <c r="AE965" s="459">
        <v>590</v>
      </c>
      <c r="AF965" s="458">
        <f>6238.91*AE965/I965</f>
        <v>5198.3574353904814</v>
      </c>
      <c r="AG965" s="459">
        <v>0</v>
      </c>
      <c r="AH965" s="458">
        <v>0</v>
      </c>
      <c r="AI965" s="459">
        <v>0</v>
      </c>
      <c r="AJ965" s="458">
        <v>0</v>
      </c>
      <c r="AK965" s="459">
        <v>0</v>
      </c>
      <c r="AL965" s="459">
        <v>0</v>
      </c>
      <c r="AM965" s="459">
        <v>0</v>
      </c>
      <c r="AN965" s="459"/>
      <c r="AO965" s="459">
        <v>0</v>
      </c>
      <c r="AP965" s="460"/>
      <c r="AQ965" s="460"/>
      <c r="AR965" s="460"/>
      <c r="AS965" s="460"/>
      <c r="AT965" s="460"/>
      <c r="AU965" s="460"/>
      <c r="AV965" s="460"/>
      <c r="AW965" s="460"/>
      <c r="AX965" s="460"/>
      <c r="AY965" s="460"/>
      <c r="AZ965" s="460"/>
      <c r="BA965" s="460"/>
      <c r="BB965" s="460"/>
      <c r="BC965" s="460"/>
      <c r="BD965" s="460"/>
      <c r="BE965" s="460"/>
      <c r="BF965" s="460"/>
      <c r="BG965" s="460"/>
      <c r="BH965" s="460"/>
      <c r="BI965" s="460"/>
      <c r="BJ965" s="460"/>
      <c r="BK965" s="460"/>
      <c r="BL965" s="460"/>
      <c r="BM965" s="460"/>
      <c r="BN965" s="460"/>
      <c r="BO965" s="460"/>
      <c r="BP965" s="460"/>
      <c r="BQ965" s="460"/>
      <c r="BR965" s="460"/>
      <c r="BS965" s="460"/>
      <c r="BT965" s="460"/>
      <c r="BU965" s="460"/>
      <c r="BV965" s="460"/>
      <c r="BW965" s="460"/>
      <c r="BX965" s="460"/>
      <c r="BY965" s="460"/>
      <c r="BZ965" s="460"/>
      <c r="CA965" s="460"/>
      <c r="CB965" s="460"/>
      <c r="CC965" s="460"/>
      <c r="CD965" s="460"/>
      <c r="CE965" s="460"/>
      <c r="CF965" s="460"/>
      <c r="CG965" s="460"/>
      <c r="CH965" s="460"/>
      <c r="CI965" s="460"/>
      <c r="CJ965" s="460"/>
      <c r="CK965" s="460"/>
    </row>
    <row r="966" spans="1:89" s="329" customFormat="1" ht="36" customHeight="1" x14ac:dyDescent="0.25">
      <c r="B966" s="33" t="s">
        <v>1687</v>
      </c>
      <c r="C966" s="33"/>
      <c r="D966" s="330" t="s">
        <v>131</v>
      </c>
      <c r="E966" s="330" t="s">
        <v>131</v>
      </c>
      <c r="F966" s="330" t="s">
        <v>131</v>
      </c>
      <c r="G966" s="330" t="s">
        <v>131</v>
      </c>
      <c r="H966" s="330" t="s">
        <v>131</v>
      </c>
      <c r="I966" s="334">
        <f>I967</f>
        <v>788.3</v>
      </c>
      <c r="J966" s="334">
        <f>J967</f>
        <v>726.9</v>
      </c>
      <c r="K966" s="334">
        <f>K967</f>
        <v>726.9</v>
      </c>
      <c r="L966" s="332">
        <f>L967</f>
        <v>16</v>
      </c>
      <c r="M966" s="330" t="s">
        <v>131</v>
      </c>
      <c r="N966" s="330" t="s">
        <v>131</v>
      </c>
      <c r="O966" s="333" t="s">
        <v>131</v>
      </c>
      <c r="P966" s="38">
        <v>3567977.1799999997</v>
      </c>
      <c r="Q966" s="38">
        <f>Q967</f>
        <v>0</v>
      </c>
      <c r="R966" s="38">
        <f>R967</f>
        <v>0</v>
      </c>
      <c r="S966" s="38">
        <f>S967</f>
        <v>3567977.1799999997</v>
      </c>
      <c r="T966" s="38">
        <f t="shared" si="197"/>
        <v>4526.1666624381578</v>
      </c>
      <c r="U966" s="38">
        <f>U967</f>
        <v>5558.9661296460745</v>
      </c>
      <c r="V966" s="458">
        <f t="shared" si="210"/>
        <v>1032.7994672079167</v>
      </c>
      <c r="W966" s="458"/>
      <c r="X966" s="458"/>
      <c r="Y966" s="459"/>
      <c r="Z966" s="459"/>
      <c r="AA966" s="459"/>
      <c r="AB966" s="459"/>
      <c r="AC966" s="459"/>
      <c r="AD966" s="459"/>
      <c r="AE966" s="459"/>
      <c r="AF966" s="459"/>
      <c r="AG966" s="459"/>
      <c r="AH966" s="459"/>
      <c r="AI966" s="459"/>
      <c r="AJ966" s="459"/>
      <c r="AK966" s="459"/>
      <c r="AL966" s="459"/>
      <c r="AM966" s="459"/>
      <c r="AN966" s="459"/>
      <c r="AO966" s="459"/>
      <c r="AP966" s="460"/>
      <c r="AQ966" s="460"/>
      <c r="AR966" s="460"/>
      <c r="AS966" s="460"/>
      <c r="AT966" s="460"/>
      <c r="AU966" s="460"/>
      <c r="AV966" s="460"/>
      <c r="AW966" s="460"/>
      <c r="AX966" s="460"/>
      <c r="AY966" s="460"/>
      <c r="AZ966" s="460"/>
      <c r="BA966" s="460"/>
      <c r="BB966" s="460"/>
      <c r="BC966" s="460"/>
      <c r="BD966" s="460"/>
      <c r="BE966" s="460"/>
      <c r="BF966" s="460"/>
      <c r="BG966" s="460"/>
      <c r="BH966" s="460"/>
      <c r="BI966" s="460"/>
      <c r="BJ966" s="460"/>
      <c r="BK966" s="460"/>
      <c r="BL966" s="460"/>
      <c r="BM966" s="460"/>
      <c r="BN966" s="460"/>
      <c r="BO966" s="460"/>
      <c r="BP966" s="460"/>
      <c r="BQ966" s="460"/>
      <c r="BR966" s="460"/>
      <c r="BS966" s="460"/>
      <c r="BT966" s="460"/>
      <c r="BU966" s="460"/>
      <c r="BV966" s="460"/>
      <c r="BW966" s="460"/>
      <c r="BX966" s="460"/>
      <c r="BY966" s="460"/>
      <c r="BZ966" s="460"/>
      <c r="CA966" s="460"/>
      <c r="CB966" s="460"/>
      <c r="CC966" s="460"/>
      <c r="CD966" s="460"/>
      <c r="CE966" s="460"/>
      <c r="CF966" s="460"/>
      <c r="CG966" s="460"/>
      <c r="CH966" s="460"/>
      <c r="CI966" s="460"/>
      <c r="CJ966" s="460"/>
      <c r="CK966" s="460"/>
    </row>
    <row r="967" spans="1:89" s="329" customFormat="1" ht="36" customHeight="1" x14ac:dyDescent="0.25">
      <c r="A967" s="329">
        <v>1</v>
      </c>
      <c r="B967" s="39">
        <f>SUBTOTAL(103,$A$552:A967)</f>
        <v>361</v>
      </c>
      <c r="C967" s="33" t="s">
        <v>1406</v>
      </c>
      <c r="D967" s="330">
        <v>1972</v>
      </c>
      <c r="E967" s="330"/>
      <c r="F967" s="331" t="s">
        <v>48</v>
      </c>
      <c r="G967" s="330">
        <v>2</v>
      </c>
      <c r="H967" s="330" t="s">
        <v>56</v>
      </c>
      <c r="I967" s="334">
        <v>788.3</v>
      </c>
      <c r="J967" s="334">
        <v>726.9</v>
      </c>
      <c r="K967" s="334">
        <v>726.9</v>
      </c>
      <c r="L967" s="332">
        <v>16</v>
      </c>
      <c r="M967" s="330" t="s">
        <v>46</v>
      </c>
      <c r="N967" s="330" t="s">
        <v>2031</v>
      </c>
      <c r="O967" s="333" t="s">
        <v>49</v>
      </c>
      <c r="P967" s="38">
        <v>3567977.1799999997</v>
      </c>
      <c r="Q967" s="38">
        <v>0</v>
      </c>
      <c r="R967" s="38">
        <v>0</v>
      </c>
      <c r="S967" s="38">
        <f>P967-Q967-R967</f>
        <v>3567977.1799999997</v>
      </c>
      <c r="T967" s="38">
        <f t="shared" si="197"/>
        <v>4526.1666624381578</v>
      </c>
      <c r="U967" s="38">
        <v>5558.9661296460745</v>
      </c>
      <c r="V967" s="458">
        <f>U967-T967</f>
        <v>1032.7994672079167</v>
      </c>
      <c r="W967" s="458">
        <f>X967+Y967+Z967+AA967+AB967+AD967+AF967+AH967+AJ967+AL967+AN967+AO967</f>
        <v>5540.0697703919832</v>
      </c>
      <c r="X967" s="458">
        <v>0</v>
      </c>
      <c r="Y967" s="459">
        <v>0</v>
      </c>
      <c r="Z967" s="459">
        <v>0</v>
      </c>
      <c r="AA967" s="459">
        <v>0</v>
      </c>
      <c r="AB967" s="459">
        <v>0</v>
      </c>
      <c r="AC967" s="459">
        <v>0</v>
      </c>
      <c r="AD967" s="459">
        <v>0</v>
      </c>
      <c r="AE967" s="459">
        <v>700</v>
      </c>
      <c r="AF967" s="458">
        <f>6238.91*AE967/I967</f>
        <v>5540.0697703919832</v>
      </c>
      <c r="AG967" s="459">
        <v>0</v>
      </c>
      <c r="AH967" s="458">
        <v>0</v>
      </c>
      <c r="AI967" s="459">
        <v>0</v>
      </c>
      <c r="AJ967" s="458">
        <v>0</v>
      </c>
      <c r="AK967" s="459">
        <v>0</v>
      </c>
      <c r="AL967" s="459">
        <v>0</v>
      </c>
      <c r="AM967" s="459">
        <v>0</v>
      </c>
      <c r="AN967" s="459"/>
      <c r="AO967" s="459">
        <v>0</v>
      </c>
      <c r="AP967" s="460"/>
      <c r="AQ967" s="460"/>
      <c r="AR967" s="460"/>
      <c r="AS967" s="460"/>
      <c r="AT967" s="460"/>
      <c r="AU967" s="460"/>
      <c r="AV967" s="460"/>
      <c r="AW967" s="460"/>
      <c r="AX967" s="460"/>
      <c r="AY967" s="460"/>
      <c r="AZ967" s="460"/>
      <c r="BA967" s="460"/>
      <c r="BB967" s="460"/>
      <c r="BC967" s="460"/>
      <c r="BD967" s="460"/>
      <c r="BE967" s="460"/>
      <c r="BF967" s="460"/>
      <c r="BG967" s="460"/>
      <c r="BH967" s="460"/>
      <c r="BI967" s="460"/>
      <c r="BJ967" s="460"/>
      <c r="BK967" s="460"/>
      <c r="BL967" s="460"/>
      <c r="BM967" s="460"/>
      <c r="BN967" s="460"/>
      <c r="BO967" s="460"/>
      <c r="BP967" s="460"/>
      <c r="BQ967" s="460"/>
      <c r="BR967" s="460"/>
      <c r="BS967" s="460"/>
      <c r="BT967" s="460"/>
      <c r="BU967" s="460"/>
      <c r="BV967" s="460"/>
      <c r="BW967" s="460"/>
      <c r="BX967" s="460"/>
      <c r="BY967" s="460"/>
      <c r="BZ967" s="460"/>
      <c r="CA967" s="460"/>
      <c r="CB967" s="460"/>
      <c r="CC967" s="460"/>
      <c r="CD967" s="460"/>
      <c r="CE967" s="460"/>
      <c r="CF967" s="460"/>
      <c r="CG967" s="460"/>
      <c r="CH967" s="460"/>
      <c r="CI967" s="460"/>
      <c r="CJ967" s="460"/>
      <c r="CK967" s="460"/>
    </row>
    <row r="968" spans="1:89" s="329" customFormat="1" ht="36" customHeight="1" x14ac:dyDescent="0.25">
      <c r="B968" s="33" t="s">
        <v>118</v>
      </c>
      <c r="C968" s="33"/>
      <c r="D968" s="330" t="s">
        <v>131</v>
      </c>
      <c r="E968" s="330" t="s">
        <v>131</v>
      </c>
      <c r="F968" s="330" t="s">
        <v>131</v>
      </c>
      <c r="G968" s="330" t="s">
        <v>131</v>
      </c>
      <c r="H968" s="330" t="s">
        <v>131</v>
      </c>
      <c r="I968" s="334">
        <f>I969</f>
        <v>758.5</v>
      </c>
      <c r="J968" s="334">
        <f>J969</f>
        <v>758.5</v>
      </c>
      <c r="K968" s="334">
        <f>K969</f>
        <v>400</v>
      </c>
      <c r="L968" s="332">
        <f>L969</f>
        <v>31</v>
      </c>
      <c r="M968" s="330" t="s">
        <v>131</v>
      </c>
      <c r="N968" s="330" t="s">
        <v>131</v>
      </c>
      <c r="O968" s="333" t="s">
        <v>131</v>
      </c>
      <c r="P968" s="38">
        <v>877727.45000000007</v>
      </c>
      <c r="Q968" s="38">
        <f>Q969</f>
        <v>0</v>
      </c>
      <c r="R968" s="38">
        <f>R969</f>
        <v>0</v>
      </c>
      <c r="S968" s="38">
        <f>S969</f>
        <v>877727.45000000007</v>
      </c>
      <c r="T968" s="38">
        <f t="shared" si="197"/>
        <v>1157.1884640738301</v>
      </c>
      <c r="U968" s="38">
        <f>U969</f>
        <v>1147.3532102834542</v>
      </c>
      <c r="V968" s="458">
        <f t="shared" ref="V968" si="213">U968-T968</f>
        <v>-9.835253790375873</v>
      </c>
      <c r="W968" s="458"/>
      <c r="X968" s="458"/>
      <c r="Y968" s="459"/>
      <c r="Z968" s="459"/>
      <c r="AA968" s="459"/>
      <c r="AB968" s="459"/>
      <c r="AC968" s="459"/>
      <c r="AD968" s="459"/>
      <c r="AE968" s="459"/>
      <c r="AF968" s="459"/>
      <c r="AG968" s="459"/>
      <c r="AH968" s="459"/>
      <c r="AI968" s="459"/>
      <c r="AJ968" s="459"/>
      <c r="AK968" s="459"/>
      <c r="AL968" s="459"/>
      <c r="AM968" s="459"/>
      <c r="AN968" s="459"/>
      <c r="AO968" s="459"/>
      <c r="AP968" s="460"/>
      <c r="AQ968" s="460"/>
      <c r="AR968" s="460"/>
      <c r="AS968" s="460"/>
      <c r="AT968" s="460"/>
      <c r="AU968" s="460"/>
      <c r="AV968" s="460"/>
      <c r="AW968" s="460"/>
      <c r="AX968" s="460"/>
      <c r="AY968" s="460"/>
      <c r="AZ968" s="460"/>
      <c r="BA968" s="460"/>
      <c r="BB968" s="460"/>
      <c r="BC968" s="460"/>
      <c r="BD968" s="460"/>
      <c r="BE968" s="460"/>
      <c r="BF968" s="460"/>
      <c r="BG968" s="460"/>
      <c r="BH968" s="460"/>
      <c r="BI968" s="460"/>
      <c r="BJ968" s="460"/>
      <c r="BK968" s="460"/>
      <c r="BL968" s="460"/>
      <c r="BM968" s="460"/>
      <c r="BN968" s="460"/>
      <c r="BO968" s="460"/>
      <c r="BP968" s="460"/>
      <c r="BQ968" s="460"/>
      <c r="BR968" s="460"/>
      <c r="BS968" s="460"/>
      <c r="BT968" s="460"/>
      <c r="BU968" s="460"/>
      <c r="BV968" s="460"/>
      <c r="BW968" s="460"/>
      <c r="BX968" s="460"/>
      <c r="BY968" s="460"/>
      <c r="BZ968" s="460"/>
      <c r="CA968" s="460"/>
      <c r="CB968" s="460"/>
      <c r="CC968" s="460"/>
      <c r="CD968" s="460"/>
      <c r="CE968" s="460"/>
      <c r="CF968" s="460"/>
      <c r="CG968" s="460"/>
      <c r="CH968" s="460"/>
      <c r="CI968" s="460"/>
      <c r="CJ968" s="460"/>
      <c r="CK968" s="460"/>
    </row>
    <row r="969" spans="1:89" s="329" customFormat="1" ht="36" customHeight="1" x14ac:dyDescent="0.25">
      <c r="A969" s="329">
        <v>1</v>
      </c>
      <c r="B969" s="39">
        <f>SUBTOTAL(103,$A$552:A969)</f>
        <v>362</v>
      </c>
      <c r="C969" s="33" t="s">
        <v>1402</v>
      </c>
      <c r="D969" s="330">
        <v>1974</v>
      </c>
      <c r="E969" s="330"/>
      <c r="F969" s="331" t="s">
        <v>2004</v>
      </c>
      <c r="G969" s="330">
        <v>2</v>
      </c>
      <c r="H969" s="330" t="s">
        <v>61</v>
      </c>
      <c r="I969" s="334">
        <v>758.5</v>
      </c>
      <c r="J969" s="334">
        <v>758.5</v>
      </c>
      <c r="K969" s="334">
        <v>400</v>
      </c>
      <c r="L969" s="332">
        <v>31</v>
      </c>
      <c r="M969" s="330" t="s">
        <v>46</v>
      </c>
      <c r="N969" s="330" t="s">
        <v>47</v>
      </c>
      <c r="O969" s="333" t="s">
        <v>49</v>
      </c>
      <c r="P969" s="38">
        <v>877727.45000000007</v>
      </c>
      <c r="Q969" s="38">
        <v>0</v>
      </c>
      <c r="R969" s="38">
        <v>0</v>
      </c>
      <c r="S969" s="38">
        <f>P969-Q969-R969</f>
        <v>877727.45000000007</v>
      </c>
      <c r="T969" s="38">
        <f t="shared" si="197"/>
        <v>1157.1884640738301</v>
      </c>
      <c r="U969" s="38">
        <v>1147.3532102834542</v>
      </c>
      <c r="V969" s="458">
        <f>U969-T969</f>
        <v>-9.835253790375873</v>
      </c>
      <c r="W969" s="458">
        <f>X969+Y969+Z969+AA969+AB969+AD969+AF969+AH969+AJ969+AL969+AN969+AO969</f>
        <v>5757.7284113381675</v>
      </c>
      <c r="X969" s="458">
        <v>0</v>
      </c>
      <c r="Y969" s="459">
        <v>0</v>
      </c>
      <c r="Z969" s="459">
        <v>0</v>
      </c>
      <c r="AA969" s="459">
        <v>0</v>
      </c>
      <c r="AB969" s="459">
        <v>0</v>
      </c>
      <c r="AC969" s="459">
        <v>0</v>
      </c>
      <c r="AD969" s="459">
        <v>0</v>
      </c>
      <c r="AE969" s="459">
        <v>700</v>
      </c>
      <c r="AF969" s="458">
        <f>6238.91*AE969/I969</f>
        <v>5757.7284113381675</v>
      </c>
      <c r="AG969" s="459">
        <v>0</v>
      </c>
      <c r="AH969" s="458">
        <v>0</v>
      </c>
      <c r="AI969" s="459">
        <v>0</v>
      </c>
      <c r="AJ969" s="458">
        <v>0</v>
      </c>
      <c r="AK969" s="459">
        <v>0</v>
      </c>
      <c r="AL969" s="459">
        <v>0</v>
      </c>
      <c r="AM969" s="459">
        <v>0</v>
      </c>
      <c r="AN969" s="459"/>
      <c r="AO969" s="459">
        <v>0</v>
      </c>
      <c r="AP969" s="460"/>
      <c r="AQ969" s="460"/>
      <c r="AR969" s="460"/>
      <c r="AS969" s="460"/>
      <c r="AT969" s="460"/>
      <c r="AU969" s="460"/>
      <c r="AV969" s="460"/>
      <c r="AW969" s="460"/>
      <c r="AX969" s="460"/>
      <c r="AY969" s="460"/>
      <c r="AZ969" s="460"/>
      <c r="BA969" s="460"/>
      <c r="BB969" s="460"/>
      <c r="BC969" s="460"/>
      <c r="BD969" s="460"/>
      <c r="BE969" s="460"/>
      <c r="BF969" s="460"/>
      <c r="BG969" s="460"/>
      <c r="BH969" s="460"/>
      <c r="BI969" s="460"/>
      <c r="BJ969" s="460"/>
      <c r="BK969" s="460"/>
      <c r="BL969" s="460"/>
      <c r="BM969" s="460"/>
      <c r="BN969" s="460"/>
      <c r="BO969" s="460"/>
      <c r="BP969" s="460"/>
      <c r="BQ969" s="460"/>
      <c r="BR969" s="460"/>
      <c r="BS969" s="460"/>
      <c r="BT969" s="460"/>
      <c r="BU969" s="460"/>
      <c r="BV969" s="460"/>
      <c r="BW969" s="460"/>
      <c r="BX969" s="460"/>
      <c r="BY969" s="460"/>
      <c r="BZ969" s="460"/>
      <c r="CA969" s="460"/>
      <c r="CB969" s="460"/>
      <c r="CC969" s="460"/>
      <c r="CD969" s="460"/>
      <c r="CE969" s="460"/>
      <c r="CF969" s="460"/>
      <c r="CG969" s="460"/>
      <c r="CH969" s="460"/>
      <c r="CI969" s="460"/>
      <c r="CJ969" s="460"/>
      <c r="CK969" s="460"/>
    </row>
    <row r="970" spans="1:89" s="329" customFormat="1" ht="36" customHeight="1" x14ac:dyDescent="0.25">
      <c r="B970" s="33" t="s">
        <v>119</v>
      </c>
      <c r="C970" s="33"/>
      <c r="D970" s="330" t="s">
        <v>131</v>
      </c>
      <c r="E970" s="330" t="s">
        <v>131</v>
      </c>
      <c r="F970" s="330" t="s">
        <v>131</v>
      </c>
      <c r="G970" s="330" t="s">
        <v>131</v>
      </c>
      <c r="H970" s="330" t="s">
        <v>131</v>
      </c>
      <c r="I970" s="334">
        <f>I971</f>
        <v>707.1</v>
      </c>
      <c r="J970" s="334">
        <f>J971</f>
        <v>649.5</v>
      </c>
      <c r="K970" s="334">
        <f>K971</f>
        <v>464</v>
      </c>
      <c r="L970" s="332">
        <f>L971</f>
        <v>16</v>
      </c>
      <c r="M970" s="330" t="s">
        <v>131</v>
      </c>
      <c r="N970" s="330" t="s">
        <v>131</v>
      </c>
      <c r="O970" s="333" t="s">
        <v>131</v>
      </c>
      <c r="P970" s="38">
        <v>3108475.73</v>
      </c>
      <c r="Q970" s="38">
        <f>Q971</f>
        <v>0</v>
      </c>
      <c r="R970" s="38">
        <f>R971</f>
        <v>0</v>
      </c>
      <c r="S970" s="38">
        <f>S971</f>
        <v>3108475.73</v>
      </c>
      <c r="T970" s="38">
        <f t="shared" si="197"/>
        <v>4396.090694385518</v>
      </c>
      <c r="U970" s="38">
        <f>U971</f>
        <v>5223.4649978786583</v>
      </c>
      <c r="V970" s="458">
        <f t="shared" si="210"/>
        <v>827.37430349314036</v>
      </c>
      <c r="W970" s="458"/>
      <c r="X970" s="458"/>
      <c r="Y970" s="459"/>
      <c r="Z970" s="459"/>
      <c r="AA970" s="459"/>
      <c r="AB970" s="459"/>
      <c r="AC970" s="459"/>
      <c r="AD970" s="459"/>
      <c r="AE970" s="459"/>
      <c r="AF970" s="459"/>
      <c r="AG970" s="459"/>
      <c r="AH970" s="459"/>
      <c r="AI970" s="459"/>
      <c r="AJ970" s="459"/>
      <c r="AK970" s="459"/>
      <c r="AL970" s="459"/>
      <c r="AM970" s="459"/>
      <c r="AN970" s="459"/>
      <c r="AO970" s="459"/>
      <c r="AP970" s="460"/>
      <c r="AQ970" s="460"/>
      <c r="AR970" s="460"/>
      <c r="AS970" s="460"/>
      <c r="AT970" s="460"/>
      <c r="AU970" s="460"/>
      <c r="AV970" s="460"/>
      <c r="AW970" s="460"/>
      <c r="AX970" s="460"/>
      <c r="AY970" s="460"/>
      <c r="AZ970" s="460"/>
      <c r="BA970" s="460"/>
      <c r="BB970" s="460"/>
      <c r="BC970" s="460"/>
      <c r="BD970" s="460"/>
      <c r="BE970" s="460"/>
      <c r="BF970" s="460"/>
      <c r="BG970" s="460"/>
      <c r="BH970" s="460"/>
      <c r="BI970" s="460"/>
      <c r="BJ970" s="460"/>
      <c r="BK970" s="460"/>
      <c r="BL970" s="460"/>
      <c r="BM970" s="460"/>
      <c r="BN970" s="460"/>
      <c r="BO970" s="460"/>
      <c r="BP970" s="460"/>
      <c r="BQ970" s="460"/>
      <c r="BR970" s="460"/>
      <c r="BS970" s="460"/>
      <c r="BT970" s="460"/>
      <c r="BU970" s="460"/>
      <c r="BV970" s="460"/>
      <c r="BW970" s="460"/>
      <c r="BX970" s="460"/>
      <c r="BY970" s="460"/>
      <c r="BZ970" s="460"/>
      <c r="CA970" s="460"/>
      <c r="CB970" s="460"/>
      <c r="CC970" s="460"/>
      <c r="CD970" s="460"/>
      <c r="CE970" s="460"/>
      <c r="CF970" s="460"/>
      <c r="CG970" s="460"/>
      <c r="CH970" s="460"/>
      <c r="CI970" s="460"/>
      <c r="CJ970" s="460"/>
      <c r="CK970" s="460"/>
    </row>
    <row r="971" spans="1:89" s="329" customFormat="1" ht="36" customHeight="1" x14ac:dyDescent="0.25">
      <c r="A971" s="329">
        <v>1</v>
      </c>
      <c r="B971" s="39">
        <f>SUBTOTAL(103,$A$552:A971)</f>
        <v>363</v>
      </c>
      <c r="C971" s="33" t="s">
        <v>1688</v>
      </c>
      <c r="D971" s="330">
        <v>1971</v>
      </c>
      <c r="E971" s="330"/>
      <c r="F971" s="331" t="s">
        <v>48</v>
      </c>
      <c r="G971" s="330">
        <v>2</v>
      </c>
      <c r="H971" s="330" t="s">
        <v>56</v>
      </c>
      <c r="I971" s="334">
        <v>707.1</v>
      </c>
      <c r="J971" s="334">
        <v>649.5</v>
      </c>
      <c r="K971" s="334">
        <v>464</v>
      </c>
      <c r="L971" s="332">
        <v>16</v>
      </c>
      <c r="M971" s="330" t="s">
        <v>46</v>
      </c>
      <c r="N971" s="330" t="s">
        <v>50</v>
      </c>
      <c r="O971" s="333" t="s">
        <v>52</v>
      </c>
      <c r="P971" s="38">
        <v>3108475.73</v>
      </c>
      <c r="Q971" s="38">
        <v>0</v>
      </c>
      <c r="R971" s="38">
        <v>0</v>
      </c>
      <c r="S971" s="38">
        <f>P971-Q971-R971</f>
        <v>3108475.73</v>
      </c>
      <c r="T971" s="38">
        <f t="shared" si="197"/>
        <v>4396.090694385518</v>
      </c>
      <c r="U971" s="38">
        <v>5223.4649978786583</v>
      </c>
      <c r="V971" s="458">
        <f>U971-T971</f>
        <v>827.37430349314036</v>
      </c>
      <c r="W971" s="458">
        <f>X971+Y971+Z971+AA971+AB971+AD971+AF971+AH971+AJ971+AL971+AN971+AO971</f>
        <v>5205.7090934804128</v>
      </c>
      <c r="X971" s="458">
        <v>0</v>
      </c>
      <c r="Y971" s="459">
        <v>0</v>
      </c>
      <c r="Z971" s="459">
        <v>0</v>
      </c>
      <c r="AA971" s="459">
        <v>0</v>
      </c>
      <c r="AB971" s="459">
        <v>0</v>
      </c>
      <c r="AC971" s="459">
        <v>0</v>
      </c>
      <c r="AD971" s="459">
        <v>0</v>
      </c>
      <c r="AE971" s="459">
        <v>590</v>
      </c>
      <c r="AF971" s="458">
        <f>6238.91*AE971/I971</f>
        <v>5205.7090934804128</v>
      </c>
      <c r="AG971" s="459">
        <v>0</v>
      </c>
      <c r="AH971" s="458">
        <v>0</v>
      </c>
      <c r="AI971" s="459">
        <v>0</v>
      </c>
      <c r="AJ971" s="458">
        <v>0</v>
      </c>
      <c r="AK971" s="459">
        <v>0</v>
      </c>
      <c r="AL971" s="459">
        <v>0</v>
      </c>
      <c r="AM971" s="459">
        <v>0</v>
      </c>
      <c r="AN971" s="459"/>
      <c r="AO971" s="459">
        <v>0</v>
      </c>
      <c r="AP971" s="460"/>
      <c r="AQ971" s="460"/>
      <c r="AR971" s="460"/>
      <c r="AS971" s="460"/>
      <c r="AT971" s="460"/>
      <c r="AU971" s="460"/>
      <c r="AV971" s="460"/>
      <c r="AW971" s="460"/>
      <c r="AX971" s="460"/>
      <c r="AY971" s="460"/>
      <c r="AZ971" s="460"/>
      <c r="BA971" s="460"/>
      <c r="BB971" s="460"/>
      <c r="BC971" s="460"/>
      <c r="BD971" s="460"/>
      <c r="BE971" s="460"/>
      <c r="BF971" s="460"/>
      <c r="BG971" s="460"/>
      <c r="BH971" s="460"/>
      <c r="BI971" s="460"/>
      <c r="BJ971" s="460"/>
      <c r="BK971" s="460"/>
      <c r="BL971" s="460"/>
      <c r="BM971" s="460"/>
      <c r="BN971" s="460"/>
      <c r="BO971" s="460"/>
      <c r="BP971" s="460"/>
      <c r="BQ971" s="460"/>
      <c r="BR971" s="460"/>
      <c r="BS971" s="460"/>
      <c r="BT971" s="460"/>
      <c r="BU971" s="460"/>
      <c r="BV971" s="460"/>
      <c r="BW971" s="460"/>
      <c r="BX971" s="460"/>
      <c r="BY971" s="460"/>
      <c r="BZ971" s="460"/>
      <c r="CA971" s="460"/>
      <c r="CB971" s="460"/>
      <c r="CC971" s="460"/>
      <c r="CD971" s="460"/>
      <c r="CE971" s="460"/>
      <c r="CF971" s="460"/>
      <c r="CG971" s="460"/>
      <c r="CH971" s="460"/>
      <c r="CI971" s="460"/>
      <c r="CJ971" s="460"/>
      <c r="CK971" s="460"/>
    </row>
    <row r="972" spans="1:89" s="329" customFormat="1" ht="36" customHeight="1" x14ac:dyDescent="0.25">
      <c r="B972" s="33" t="s">
        <v>120</v>
      </c>
      <c r="C972" s="462"/>
      <c r="D972" s="330" t="s">
        <v>131</v>
      </c>
      <c r="E972" s="330" t="s">
        <v>131</v>
      </c>
      <c r="F972" s="330" t="s">
        <v>131</v>
      </c>
      <c r="G972" s="330" t="s">
        <v>131</v>
      </c>
      <c r="H972" s="330" t="s">
        <v>131</v>
      </c>
      <c r="I972" s="334">
        <f>SUM(I973:I977)</f>
        <v>3679.7</v>
      </c>
      <c r="J972" s="334">
        <f>SUM(J973:J977)</f>
        <v>2952.8999999999996</v>
      </c>
      <c r="K972" s="334">
        <f>SUM(K973:K977)</f>
        <v>2497.2999999999997</v>
      </c>
      <c r="L972" s="332">
        <f>SUM(L973:L977)</f>
        <v>153</v>
      </c>
      <c r="M972" s="330" t="s">
        <v>131</v>
      </c>
      <c r="N972" s="330" t="s">
        <v>131</v>
      </c>
      <c r="O972" s="333" t="s">
        <v>131</v>
      </c>
      <c r="P972" s="38">
        <v>10106938.780000001</v>
      </c>
      <c r="Q972" s="38">
        <f>Q973+Q974+Q976</f>
        <v>0</v>
      </c>
      <c r="R972" s="38">
        <f>R973+R974+R976</f>
        <v>0</v>
      </c>
      <c r="S972" s="38">
        <f>SUM(S973:S977)</f>
        <v>10106938.780000001</v>
      </c>
      <c r="T972" s="38">
        <f t="shared" si="197"/>
        <v>2746.6746691306362</v>
      </c>
      <c r="U972" s="38">
        <f>MAX(U973:U977)</f>
        <v>8459.7162162162167</v>
      </c>
      <c r="V972" s="458">
        <f t="shared" si="210"/>
        <v>5713.0415470855805</v>
      </c>
      <c r="W972" s="458"/>
      <c r="X972" s="458"/>
      <c r="Y972" s="459"/>
      <c r="Z972" s="459"/>
      <c r="AA972" s="459"/>
      <c r="AB972" s="459"/>
      <c r="AC972" s="459"/>
      <c r="AD972" s="459"/>
      <c r="AE972" s="459"/>
      <c r="AF972" s="459"/>
      <c r="AG972" s="459"/>
      <c r="AH972" s="459"/>
      <c r="AI972" s="459"/>
      <c r="AJ972" s="459"/>
      <c r="AK972" s="459"/>
      <c r="AL972" s="459"/>
      <c r="AM972" s="459"/>
      <c r="AN972" s="459"/>
      <c r="AO972" s="459"/>
      <c r="AP972" s="460"/>
      <c r="AQ972" s="460"/>
      <c r="AR972" s="460"/>
      <c r="AS972" s="460"/>
      <c r="AT972" s="460"/>
      <c r="AU972" s="460"/>
      <c r="AV972" s="460"/>
      <c r="AW972" s="460"/>
      <c r="AX972" s="460"/>
      <c r="AY972" s="460"/>
      <c r="AZ972" s="460"/>
      <c r="BA972" s="460"/>
      <c r="BB972" s="460"/>
      <c r="BC972" s="460"/>
      <c r="BD972" s="460"/>
      <c r="BE972" s="460"/>
      <c r="BF972" s="460"/>
      <c r="BG972" s="460"/>
      <c r="BH972" s="460"/>
      <c r="BI972" s="460"/>
      <c r="BJ972" s="460"/>
      <c r="BK972" s="460"/>
      <c r="BL972" s="460"/>
      <c r="BM972" s="460"/>
      <c r="BN972" s="460"/>
      <c r="BO972" s="460"/>
      <c r="BP972" s="460"/>
      <c r="BQ972" s="460"/>
      <c r="BR972" s="460"/>
      <c r="BS972" s="460"/>
      <c r="BT972" s="460"/>
      <c r="BU972" s="460"/>
      <c r="BV972" s="460"/>
      <c r="BW972" s="460"/>
      <c r="BX972" s="460"/>
      <c r="BY972" s="460"/>
      <c r="BZ972" s="460"/>
      <c r="CA972" s="460"/>
      <c r="CB972" s="460"/>
      <c r="CC972" s="460"/>
      <c r="CD972" s="460"/>
      <c r="CE972" s="460"/>
      <c r="CF972" s="460"/>
      <c r="CG972" s="460"/>
      <c r="CH972" s="460"/>
      <c r="CI972" s="460"/>
      <c r="CJ972" s="460"/>
      <c r="CK972" s="460"/>
    </row>
    <row r="973" spans="1:89" s="329" customFormat="1" ht="36" customHeight="1" x14ac:dyDescent="0.25">
      <c r="A973" s="329">
        <v>1</v>
      </c>
      <c r="B973" s="39">
        <f>SUBTOTAL(103,$A$552:A973)</f>
        <v>364</v>
      </c>
      <c r="C973" s="33" t="s">
        <v>1689</v>
      </c>
      <c r="D973" s="330" t="s">
        <v>2035</v>
      </c>
      <c r="E973" s="330"/>
      <c r="F973" s="331" t="s">
        <v>48</v>
      </c>
      <c r="G973" s="330" t="s">
        <v>56</v>
      </c>
      <c r="H973" s="330" t="s">
        <v>56</v>
      </c>
      <c r="I973" s="334">
        <v>953.3</v>
      </c>
      <c r="J973" s="334">
        <v>668.7</v>
      </c>
      <c r="K973" s="334">
        <v>542.29999999999995</v>
      </c>
      <c r="L973" s="332">
        <v>31</v>
      </c>
      <c r="M973" s="330" t="s">
        <v>46</v>
      </c>
      <c r="N973" s="330" t="s">
        <v>47</v>
      </c>
      <c r="O973" s="333" t="s">
        <v>49</v>
      </c>
      <c r="P973" s="38">
        <v>3524909.29</v>
      </c>
      <c r="Q973" s="38">
        <v>0</v>
      </c>
      <c r="R973" s="38">
        <v>0</v>
      </c>
      <c r="S973" s="38">
        <f>P973-Q973-R973</f>
        <v>3524909.29</v>
      </c>
      <c r="T973" s="38">
        <f t="shared" si="197"/>
        <v>3697.5865834469737</v>
      </c>
      <c r="U973" s="38">
        <v>4570.5362844854708</v>
      </c>
      <c r="V973" s="458">
        <f t="shared" si="210"/>
        <v>872.9497010384971</v>
      </c>
      <c r="W973" s="458">
        <f t="shared" ref="W973:W977" si="214">X973+Y973+Z973+AA973+AB973+AD973+AF973+AH973+AJ973+AL973+AN973+AO973</f>
        <v>4554.9998531417186</v>
      </c>
      <c r="X973" s="458">
        <v>0</v>
      </c>
      <c r="Y973" s="459">
        <v>0</v>
      </c>
      <c r="Z973" s="459">
        <v>0</v>
      </c>
      <c r="AA973" s="459">
        <v>0</v>
      </c>
      <c r="AB973" s="459">
        <v>0</v>
      </c>
      <c r="AC973" s="459">
        <v>0</v>
      </c>
      <c r="AD973" s="459">
        <v>0</v>
      </c>
      <c r="AE973" s="459">
        <v>696</v>
      </c>
      <c r="AF973" s="458">
        <f>6238.91*AE973/I973</f>
        <v>4554.9998531417186</v>
      </c>
      <c r="AG973" s="459">
        <v>0</v>
      </c>
      <c r="AH973" s="458">
        <v>0</v>
      </c>
      <c r="AI973" s="459">
        <v>0</v>
      </c>
      <c r="AJ973" s="458">
        <v>0</v>
      </c>
      <c r="AK973" s="459">
        <v>0</v>
      </c>
      <c r="AL973" s="459">
        <v>0</v>
      </c>
      <c r="AM973" s="459">
        <v>0</v>
      </c>
      <c r="AN973" s="459"/>
      <c r="AO973" s="459">
        <v>0</v>
      </c>
      <c r="AP973" s="460"/>
      <c r="AQ973" s="460"/>
      <c r="AR973" s="460"/>
      <c r="AS973" s="460"/>
      <c r="AT973" s="460"/>
      <c r="AU973" s="460"/>
      <c r="AV973" s="460"/>
      <c r="AW973" s="460"/>
      <c r="AX973" s="460"/>
      <c r="AY973" s="460"/>
      <c r="AZ973" s="460"/>
      <c r="BA973" s="460"/>
      <c r="BB973" s="460"/>
      <c r="BC973" s="460"/>
      <c r="BD973" s="460"/>
      <c r="BE973" s="460"/>
      <c r="BF973" s="460"/>
      <c r="BG973" s="460"/>
      <c r="BH973" s="460"/>
      <c r="BI973" s="460"/>
      <c r="BJ973" s="460"/>
      <c r="BK973" s="460"/>
      <c r="BL973" s="460"/>
      <c r="BM973" s="460"/>
      <c r="BN973" s="460"/>
      <c r="BO973" s="460"/>
      <c r="BP973" s="460"/>
      <c r="BQ973" s="460"/>
      <c r="BR973" s="460"/>
      <c r="BS973" s="460"/>
      <c r="BT973" s="460"/>
      <c r="BU973" s="460"/>
      <c r="BV973" s="460"/>
      <c r="BW973" s="460"/>
      <c r="BX973" s="460"/>
      <c r="BY973" s="460"/>
      <c r="BZ973" s="460"/>
      <c r="CA973" s="460"/>
      <c r="CB973" s="460"/>
      <c r="CC973" s="460"/>
      <c r="CD973" s="460"/>
      <c r="CE973" s="460"/>
      <c r="CF973" s="460"/>
      <c r="CG973" s="460"/>
      <c r="CH973" s="460"/>
      <c r="CI973" s="460"/>
      <c r="CJ973" s="460"/>
      <c r="CK973" s="460"/>
    </row>
    <row r="974" spans="1:89" s="329" customFormat="1" ht="36" customHeight="1" x14ac:dyDescent="0.25">
      <c r="A974" s="329">
        <v>1</v>
      </c>
      <c r="B974" s="39">
        <f>SUBTOTAL(103,$A$552:A974)</f>
        <v>365</v>
      </c>
      <c r="C974" s="33" t="s">
        <v>1690</v>
      </c>
      <c r="D974" s="330" t="s">
        <v>2105</v>
      </c>
      <c r="E974" s="330"/>
      <c r="F974" s="331" t="s">
        <v>48</v>
      </c>
      <c r="G974" s="330" t="s">
        <v>56</v>
      </c>
      <c r="H974" s="330" t="s">
        <v>57</v>
      </c>
      <c r="I974" s="334">
        <v>377.4</v>
      </c>
      <c r="J974" s="334">
        <v>377.4</v>
      </c>
      <c r="K974" s="334">
        <v>278.10000000000002</v>
      </c>
      <c r="L974" s="332">
        <v>31</v>
      </c>
      <c r="M974" s="330" t="s">
        <v>46</v>
      </c>
      <c r="N974" s="330" t="s">
        <v>47</v>
      </c>
      <c r="O974" s="333" t="s">
        <v>49</v>
      </c>
      <c r="P974" s="38">
        <v>2601000</v>
      </c>
      <c r="Q974" s="38">
        <v>0</v>
      </c>
      <c r="R974" s="38">
        <v>0</v>
      </c>
      <c r="S974" s="38">
        <f>P974-Q974-R974</f>
        <v>2601000</v>
      </c>
      <c r="T974" s="38">
        <f t="shared" si="197"/>
        <v>6891.8918918918926</v>
      </c>
      <c r="U974" s="38">
        <v>8459.7162162162167</v>
      </c>
      <c r="V974" s="458">
        <f t="shared" si="210"/>
        <v>1567.8243243243242</v>
      </c>
      <c r="W974" s="458">
        <f t="shared" si="214"/>
        <v>8430.95945945946</v>
      </c>
      <c r="X974" s="458">
        <v>0</v>
      </c>
      <c r="Y974" s="459">
        <v>0</v>
      </c>
      <c r="Z974" s="459">
        <v>0</v>
      </c>
      <c r="AA974" s="459">
        <v>0</v>
      </c>
      <c r="AB974" s="459">
        <v>0</v>
      </c>
      <c r="AC974" s="459">
        <v>0</v>
      </c>
      <c r="AD974" s="459">
        <v>0</v>
      </c>
      <c r="AE974" s="459">
        <v>510</v>
      </c>
      <c r="AF974" s="458">
        <f>6238.91*AE974/I974</f>
        <v>8430.95945945946</v>
      </c>
      <c r="AG974" s="459">
        <v>0</v>
      </c>
      <c r="AH974" s="458">
        <v>0</v>
      </c>
      <c r="AI974" s="459">
        <v>0</v>
      </c>
      <c r="AJ974" s="458">
        <v>0</v>
      </c>
      <c r="AK974" s="459">
        <v>0</v>
      </c>
      <c r="AL974" s="459">
        <v>0</v>
      </c>
      <c r="AM974" s="459">
        <v>0</v>
      </c>
      <c r="AN974" s="459"/>
      <c r="AO974" s="459">
        <v>0</v>
      </c>
      <c r="AP974" s="460"/>
      <c r="AQ974" s="460"/>
      <c r="AR974" s="460"/>
      <c r="AS974" s="460"/>
      <c r="AT974" s="460"/>
      <c r="AU974" s="460"/>
      <c r="AV974" s="460"/>
      <c r="AW974" s="460"/>
      <c r="AX974" s="460"/>
      <c r="AY974" s="460"/>
      <c r="AZ974" s="460"/>
      <c r="BA974" s="460"/>
      <c r="BB974" s="460"/>
      <c r="BC974" s="460"/>
      <c r="BD974" s="460"/>
      <c r="BE974" s="460"/>
      <c r="BF974" s="460"/>
      <c r="BG974" s="460"/>
      <c r="BH974" s="460"/>
      <c r="BI974" s="460"/>
      <c r="BJ974" s="460"/>
      <c r="BK974" s="460"/>
      <c r="BL974" s="460"/>
      <c r="BM974" s="460"/>
      <c r="BN974" s="460"/>
      <c r="BO974" s="460"/>
      <c r="BP974" s="460"/>
      <c r="BQ974" s="460"/>
      <c r="BR974" s="460"/>
      <c r="BS974" s="460"/>
      <c r="BT974" s="460"/>
      <c r="BU974" s="460"/>
      <c r="BV974" s="460"/>
      <c r="BW974" s="460"/>
      <c r="BX974" s="460"/>
      <c r="BY974" s="460"/>
      <c r="BZ974" s="460"/>
      <c r="CA974" s="460"/>
      <c r="CB974" s="460"/>
      <c r="CC974" s="460"/>
      <c r="CD974" s="460"/>
      <c r="CE974" s="460"/>
      <c r="CF974" s="460"/>
      <c r="CG974" s="460"/>
      <c r="CH974" s="460"/>
      <c r="CI974" s="460"/>
      <c r="CJ974" s="460"/>
      <c r="CK974" s="460"/>
    </row>
    <row r="975" spans="1:89" s="329" customFormat="1" ht="36" customHeight="1" x14ac:dyDescent="0.25">
      <c r="A975" s="329">
        <v>1</v>
      </c>
      <c r="B975" s="39">
        <f>SUBTOTAL(103,$A$552:A975)</f>
        <v>366</v>
      </c>
      <c r="C975" s="33" t="s">
        <v>1691</v>
      </c>
      <c r="D975" s="330" t="s">
        <v>2120</v>
      </c>
      <c r="E975" s="330"/>
      <c r="F975" s="331" t="s">
        <v>63</v>
      </c>
      <c r="G975" s="330" t="s">
        <v>56</v>
      </c>
      <c r="H975" s="330" t="s">
        <v>56</v>
      </c>
      <c r="I975" s="334">
        <v>1058.5999999999999</v>
      </c>
      <c r="J975" s="334">
        <v>653.79999999999995</v>
      </c>
      <c r="K975" s="334">
        <v>608.29999999999995</v>
      </c>
      <c r="L975" s="332">
        <v>42</v>
      </c>
      <c r="M975" s="330" t="s">
        <v>46</v>
      </c>
      <c r="N975" s="330" t="s">
        <v>47</v>
      </c>
      <c r="O975" s="333" t="s">
        <v>49</v>
      </c>
      <c r="P975" s="38">
        <v>1603819.24</v>
      </c>
      <c r="Q975" s="38">
        <v>0</v>
      </c>
      <c r="R975" s="38">
        <v>0</v>
      </c>
      <c r="S975" s="38">
        <f>P975-Q975-R975</f>
        <v>1603819.24</v>
      </c>
      <c r="T975" s="38">
        <f t="shared" si="197"/>
        <v>1515.0380124692992</v>
      </c>
      <c r="U975" s="38">
        <v>3731.4964103532971</v>
      </c>
      <c r="V975" s="458">
        <f t="shared" si="210"/>
        <v>2216.4583978839978</v>
      </c>
      <c r="W975" s="458">
        <f t="shared" si="214"/>
        <v>3913.8351690912527</v>
      </c>
      <c r="X975" s="458">
        <v>0</v>
      </c>
      <c r="Y975" s="459">
        <v>0</v>
      </c>
      <c r="Z975" s="459">
        <v>0</v>
      </c>
      <c r="AA975" s="459">
        <v>0</v>
      </c>
      <c r="AB975" s="459">
        <v>0</v>
      </c>
      <c r="AC975" s="459">
        <v>0</v>
      </c>
      <c r="AD975" s="459">
        <v>0</v>
      </c>
      <c r="AE975" s="459">
        <v>0</v>
      </c>
      <c r="AF975" s="458">
        <v>0</v>
      </c>
      <c r="AG975" s="459">
        <v>0</v>
      </c>
      <c r="AH975" s="458">
        <v>0</v>
      </c>
      <c r="AI975" s="459">
        <v>531</v>
      </c>
      <c r="AJ975" s="458">
        <f>7802.61*AI975/I975</f>
        <v>3913.8351690912527</v>
      </c>
      <c r="AK975" s="459">
        <v>0</v>
      </c>
      <c r="AL975" s="459">
        <v>0</v>
      </c>
      <c r="AM975" s="459">
        <v>0</v>
      </c>
      <c r="AN975" s="459"/>
      <c r="AO975" s="459">
        <v>0</v>
      </c>
      <c r="AP975" s="460"/>
      <c r="AQ975" s="460"/>
      <c r="AR975" s="460"/>
      <c r="AS975" s="460"/>
      <c r="AT975" s="460"/>
      <c r="AU975" s="460"/>
      <c r="AV975" s="460"/>
      <c r="AW975" s="460"/>
      <c r="AX975" s="460"/>
      <c r="AY975" s="460"/>
      <c r="AZ975" s="460"/>
      <c r="BA975" s="460"/>
      <c r="BB975" s="460"/>
      <c r="BC975" s="460"/>
      <c r="BD975" s="460"/>
      <c r="BE975" s="460"/>
      <c r="BF975" s="460"/>
      <c r="BG975" s="460"/>
      <c r="BH975" s="460"/>
      <c r="BI975" s="460"/>
      <c r="BJ975" s="460"/>
      <c r="BK975" s="460"/>
      <c r="BL975" s="460"/>
      <c r="BM975" s="460"/>
      <c r="BN975" s="460"/>
      <c r="BO975" s="460"/>
      <c r="BP975" s="460"/>
      <c r="BQ975" s="460"/>
      <c r="BR975" s="460"/>
      <c r="BS975" s="460"/>
      <c r="BT975" s="460"/>
      <c r="BU975" s="460"/>
      <c r="BV975" s="460"/>
      <c r="BW975" s="460"/>
      <c r="BX975" s="460"/>
      <c r="BY975" s="460"/>
      <c r="BZ975" s="460"/>
      <c r="CA975" s="460"/>
      <c r="CB975" s="460"/>
      <c r="CC975" s="460"/>
      <c r="CD975" s="460"/>
      <c r="CE975" s="460"/>
      <c r="CF975" s="460"/>
      <c r="CG975" s="460"/>
      <c r="CH975" s="460"/>
      <c r="CI975" s="460"/>
      <c r="CJ975" s="460"/>
      <c r="CK975" s="460"/>
    </row>
    <row r="976" spans="1:89" s="329" customFormat="1" ht="36" customHeight="1" x14ac:dyDescent="0.25">
      <c r="A976" s="329">
        <v>1</v>
      </c>
      <c r="B976" s="39">
        <f>SUBTOTAL(103,$A$552:A976)</f>
        <v>367</v>
      </c>
      <c r="C976" s="33" t="s">
        <v>1407</v>
      </c>
      <c r="D976" s="330" t="s">
        <v>2105</v>
      </c>
      <c r="E976" s="330"/>
      <c r="F976" s="331" t="s">
        <v>48</v>
      </c>
      <c r="G976" s="330" t="s">
        <v>56</v>
      </c>
      <c r="H976" s="330" t="s">
        <v>57</v>
      </c>
      <c r="I976" s="334">
        <v>365</v>
      </c>
      <c r="J976" s="334">
        <v>328</v>
      </c>
      <c r="K976" s="334">
        <v>309.2</v>
      </c>
      <c r="L976" s="332">
        <v>21</v>
      </c>
      <c r="M976" s="330" t="s">
        <v>46</v>
      </c>
      <c r="N976" s="330" t="s">
        <v>47</v>
      </c>
      <c r="O976" s="333" t="s">
        <v>49</v>
      </c>
      <c r="P976" s="38">
        <v>1650705.4600000002</v>
      </c>
      <c r="Q976" s="38">
        <v>0</v>
      </c>
      <c r="R976" s="38">
        <v>0</v>
      </c>
      <c r="S976" s="38">
        <f>P976-Q976-R976</f>
        <v>1650705.4600000002</v>
      </c>
      <c r="T976" s="38">
        <f t="shared" si="197"/>
        <v>4522.4807123287674</v>
      </c>
      <c r="U976" s="38">
        <v>5179.6640547945199</v>
      </c>
      <c r="V976" s="458">
        <f t="shared" si="210"/>
        <v>657.1833424657525</v>
      </c>
      <c r="W976" s="458">
        <f t="shared" si="214"/>
        <v>11351.194273972602</v>
      </c>
      <c r="X976" s="458">
        <v>0</v>
      </c>
      <c r="Y976" s="459">
        <v>0</v>
      </c>
      <c r="Z976" s="459">
        <v>0</v>
      </c>
      <c r="AA976" s="459">
        <v>0</v>
      </c>
      <c r="AB976" s="459">
        <v>0</v>
      </c>
      <c r="AC976" s="459">
        <v>0</v>
      </c>
      <c r="AD976" s="459">
        <v>0</v>
      </c>
      <c r="AE976" s="459">
        <v>0</v>
      </c>
      <c r="AF976" s="458">
        <v>0</v>
      </c>
      <c r="AG976" s="459">
        <v>0</v>
      </c>
      <c r="AH976" s="458">
        <v>0</v>
      </c>
      <c r="AI976" s="459">
        <v>531</v>
      </c>
      <c r="AJ976" s="458">
        <f>7802.61*AI976/I976</f>
        <v>11351.194273972602</v>
      </c>
      <c r="AK976" s="459">
        <v>0</v>
      </c>
      <c r="AL976" s="459">
        <v>0</v>
      </c>
      <c r="AM976" s="459">
        <v>0</v>
      </c>
      <c r="AN976" s="459"/>
      <c r="AO976" s="459">
        <v>0</v>
      </c>
      <c r="AP976" s="460"/>
      <c r="AQ976" s="460"/>
      <c r="AR976" s="460"/>
      <c r="AS976" s="460"/>
      <c r="AT976" s="460"/>
      <c r="AU976" s="460"/>
      <c r="AV976" s="460"/>
      <c r="AW976" s="460"/>
      <c r="AX976" s="460"/>
      <c r="AY976" s="460"/>
      <c r="AZ976" s="460"/>
      <c r="BA976" s="460"/>
      <c r="BB976" s="460"/>
      <c r="BC976" s="460"/>
      <c r="BD976" s="460"/>
      <c r="BE976" s="460"/>
      <c r="BF976" s="460"/>
      <c r="BG976" s="460"/>
      <c r="BH976" s="460"/>
      <c r="BI976" s="460"/>
      <c r="BJ976" s="460"/>
      <c r="BK976" s="460"/>
      <c r="BL976" s="460"/>
      <c r="BM976" s="460"/>
      <c r="BN976" s="460"/>
      <c r="BO976" s="460"/>
      <c r="BP976" s="460"/>
      <c r="BQ976" s="460"/>
      <c r="BR976" s="460"/>
      <c r="BS976" s="460"/>
      <c r="BT976" s="460"/>
      <c r="BU976" s="460"/>
      <c r="BV976" s="460"/>
      <c r="BW976" s="460"/>
      <c r="BX976" s="460"/>
      <c r="BY976" s="460"/>
      <c r="BZ976" s="460"/>
      <c r="CA976" s="460"/>
      <c r="CB976" s="460"/>
      <c r="CC976" s="460"/>
      <c r="CD976" s="460"/>
      <c r="CE976" s="460"/>
      <c r="CF976" s="460"/>
      <c r="CG976" s="460"/>
      <c r="CH976" s="460"/>
      <c r="CI976" s="460"/>
      <c r="CJ976" s="460"/>
      <c r="CK976" s="460"/>
    </row>
    <row r="977" spans="1:89" s="329" customFormat="1" ht="36" customHeight="1" x14ac:dyDescent="0.25">
      <c r="A977" s="329">
        <v>1</v>
      </c>
      <c r="B977" s="39">
        <f>SUBTOTAL(103,$A$552:A977)</f>
        <v>368</v>
      </c>
      <c r="C977" s="33" t="s">
        <v>1692</v>
      </c>
      <c r="D977" s="330">
        <v>1967</v>
      </c>
      <c r="E977" s="330">
        <v>2014</v>
      </c>
      <c r="F977" s="331" t="s">
        <v>48</v>
      </c>
      <c r="G977" s="330">
        <v>2</v>
      </c>
      <c r="H977" s="330" t="s">
        <v>59</v>
      </c>
      <c r="I977" s="38">
        <v>925.4</v>
      </c>
      <c r="J977" s="38">
        <v>925</v>
      </c>
      <c r="K977" s="38">
        <v>759.4</v>
      </c>
      <c r="L977" s="332">
        <v>28</v>
      </c>
      <c r="M977" s="330" t="s">
        <v>46</v>
      </c>
      <c r="N977" s="330" t="s">
        <v>50</v>
      </c>
      <c r="O977" s="333" t="s">
        <v>2109</v>
      </c>
      <c r="P977" s="38">
        <v>726504.79</v>
      </c>
      <c r="Q977" s="38">
        <v>0</v>
      </c>
      <c r="R977" s="38">
        <v>0</v>
      </c>
      <c r="S977" s="38">
        <f>P977-Q977-R977</f>
        <v>726504.79</v>
      </c>
      <c r="T977" s="38">
        <f t="shared" si="197"/>
        <v>785.07109358115417</v>
      </c>
      <c r="U977" s="38">
        <v>810.46</v>
      </c>
      <c r="V977" s="458">
        <f t="shared" si="210"/>
        <v>25.388906418845863</v>
      </c>
      <c r="W977" s="458">
        <f t="shared" si="214"/>
        <v>2036.0393559541822</v>
      </c>
      <c r="X977" s="458">
        <v>0</v>
      </c>
      <c r="Y977" s="459">
        <v>0</v>
      </c>
      <c r="Z977" s="459">
        <v>0</v>
      </c>
      <c r="AA977" s="459">
        <v>0</v>
      </c>
      <c r="AB977" s="459">
        <v>0</v>
      </c>
      <c r="AC977" s="459">
        <v>0</v>
      </c>
      <c r="AD977" s="459">
        <v>0</v>
      </c>
      <c r="AE977" s="459">
        <v>302</v>
      </c>
      <c r="AF977" s="458">
        <f>6238.91*AE977/I977</f>
        <v>2036.0393559541822</v>
      </c>
      <c r="AG977" s="459">
        <v>0</v>
      </c>
      <c r="AH977" s="458">
        <v>0</v>
      </c>
      <c r="AI977" s="459">
        <v>0</v>
      </c>
      <c r="AJ977" s="458">
        <v>0</v>
      </c>
      <c r="AK977" s="459">
        <v>0</v>
      </c>
      <c r="AL977" s="459">
        <v>0</v>
      </c>
      <c r="AM977" s="459">
        <v>0</v>
      </c>
      <c r="AN977" s="459"/>
      <c r="AO977" s="459">
        <v>0</v>
      </c>
      <c r="AP977" s="460"/>
      <c r="AQ977" s="460"/>
      <c r="AR977" s="460"/>
      <c r="AS977" s="460"/>
      <c r="AT977" s="460"/>
      <c r="AU977" s="460"/>
      <c r="AV977" s="460"/>
      <c r="AW977" s="460"/>
      <c r="AX977" s="460"/>
      <c r="AY977" s="460"/>
      <c r="AZ977" s="460"/>
      <c r="BA977" s="460"/>
      <c r="BB977" s="460"/>
      <c r="BC977" s="460"/>
      <c r="BD977" s="460"/>
      <c r="BE977" s="460"/>
      <c r="BF977" s="460"/>
      <c r="BG977" s="460"/>
      <c r="BH977" s="460"/>
      <c r="BI977" s="460"/>
      <c r="BJ977" s="460"/>
      <c r="BK977" s="460"/>
      <c r="BL977" s="460"/>
      <c r="BM977" s="460"/>
      <c r="BN977" s="460"/>
      <c r="BO977" s="460"/>
      <c r="BP977" s="460"/>
      <c r="BQ977" s="460"/>
      <c r="BR977" s="460"/>
      <c r="BS977" s="460"/>
      <c r="BT977" s="460"/>
      <c r="BU977" s="460"/>
      <c r="BV977" s="460"/>
      <c r="BW977" s="460"/>
      <c r="BX977" s="460"/>
      <c r="BY977" s="460"/>
      <c r="BZ977" s="460"/>
      <c r="CA977" s="460"/>
      <c r="CB977" s="460"/>
      <c r="CC977" s="460"/>
      <c r="CD977" s="460"/>
      <c r="CE977" s="460"/>
      <c r="CF977" s="460"/>
      <c r="CG977" s="460"/>
      <c r="CH977" s="460"/>
      <c r="CI977" s="460"/>
      <c r="CJ977" s="460"/>
      <c r="CK977" s="460"/>
    </row>
    <row r="978" spans="1:89" s="329" customFormat="1" ht="36" customHeight="1" x14ac:dyDescent="0.25">
      <c r="B978" s="33" t="s">
        <v>122</v>
      </c>
      <c r="C978" s="33"/>
      <c r="D978" s="330" t="s">
        <v>131</v>
      </c>
      <c r="E978" s="330" t="s">
        <v>131</v>
      </c>
      <c r="F978" s="330" t="s">
        <v>131</v>
      </c>
      <c r="G978" s="330" t="s">
        <v>131</v>
      </c>
      <c r="H978" s="330" t="s">
        <v>131</v>
      </c>
      <c r="I978" s="334">
        <f>I979</f>
        <v>834.7</v>
      </c>
      <c r="J978" s="334">
        <f>J979</f>
        <v>476.3</v>
      </c>
      <c r="K978" s="334">
        <f>K979</f>
        <v>476.3</v>
      </c>
      <c r="L978" s="332">
        <f>L979</f>
        <v>56</v>
      </c>
      <c r="M978" s="330" t="s">
        <v>131</v>
      </c>
      <c r="N978" s="330" t="s">
        <v>131</v>
      </c>
      <c r="O978" s="333" t="s">
        <v>131</v>
      </c>
      <c r="P978" s="38">
        <v>4758057.87</v>
      </c>
      <c r="Q978" s="38">
        <f>Q979</f>
        <v>0</v>
      </c>
      <c r="R978" s="38">
        <f>R979</f>
        <v>0</v>
      </c>
      <c r="S978" s="38">
        <f>S979</f>
        <v>4758057.87</v>
      </c>
      <c r="T978" s="38">
        <f t="shared" ref="T978:T1041" si="215">P978/I978</f>
        <v>5700.3209176949804</v>
      </c>
      <c r="U978" s="38">
        <f>U979</f>
        <v>6287.4147390679282</v>
      </c>
      <c r="V978" s="458">
        <f t="shared" si="210"/>
        <v>587.09382137294779</v>
      </c>
      <c r="W978" s="458"/>
      <c r="X978" s="458"/>
      <c r="Y978" s="459"/>
      <c r="Z978" s="459"/>
      <c r="AA978" s="459"/>
      <c r="AB978" s="459"/>
      <c r="AC978" s="459"/>
      <c r="AD978" s="459"/>
      <c r="AE978" s="459"/>
      <c r="AF978" s="459"/>
      <c r="AG978" s="459"/>
      <c r="AH978" s="459"/>
      <c r="AI978" s="459"/>
      <c r="AJ978" s="459"/>
      <c r="AK978" s="459"/>
      <c r="AL978" s="459"/>
      <c r="AM978" s="459"/>
      <c r="AN978" s="459"/>
      <c r="AO978" s="459"/>
      <c r="AP978" s="460"/>
      <c r="AQ978" s="460"/>
      <c r="AR978" s="460"/>
      <c r="AS978" s="460"/>
      <c r="AT978" s="460"/>
      <c r="AU978" s="460"/>
      <c r="AV978" s="460"/>
      <c r="AW978" s="460"/>
      <c r="AX978" s="460"/>
      <c r="AY978" s="460"/>
      <c r="AZ978" s="460"/>
      <c r="BA978" s="460"/>
      <c r="BB978" s="460"/>
      <c r="BC978" s="460"/>
      <c r="BD978" s="460"/>
      <c r="BE978" s="460"/>
      <c r="BF978" s="460"/>
      <c r="BG978" s="460"/>
      <c r="BH978" s="460"/>
      <c r="BI978" s="460"/>
      <c r="BJ978" s="460"/>
      <c r="BK978" s="460"/>
      <c r="BL978" s="460"/>
      <c r="BM978" s="460"/>
      <c r="BN978" s="460"/>
      <c r="BO978" s="460"/>
      <c r="BP978" s="460"/>
      <c r="BQ978" s="460"/>
      <c r="BR978" s="460"/>
      <c r="BS978" s="460"/>
      <c r="BT978" s="460"/>
      <c r="BU978" s="460"/>
      <c r="BV978" s="460"/>
      <c r="BW978" s="460"/>
      <c r="BX978" s="460"/>
      <c r="BY978" s="460"/>
      <c r="BZ978" s="460"/>
      <c r="CA978" s="460"/>
      <c r="CB978" s="460"/>
      <c r="CC978" s="460"/>
      <c r="CD978" s="460"/>
      <c r="CE978" s="460"/>
      <c r="CF978" s="460"/>
      <c r="CG978" s="460"/>
      <c r="CH978" s="460"/>
      <c r="CI978" s="460"/>
      <c r="CJ978" s="460"/>
      <c r="CK978" s="460"/>
    </row>
    <row r="979" spans="1:89" s="329" customFormat="1" ht="36" customHeight="1" x14ac:dyDescent="0.25">
      <c r="A979" s="329">
        <v>1</v>
      </c>
      <c r="B979" s="39">
        <f>SUBTOTAL(103,$A$552:A979)</f>
        <v>369</v>
      </c>
      <c r="C979" s="33" t="s">
        <v>1693</v>
      </c>
      <c r="D979" s="330" t="s">
        <v>2117</v>
      </c>
      <c r="E979" s="330"/>
      <c r="F979" s="331" t="s">
        <v>60</v>
      </c>
      <c r="G979" s="330" t="s">
        <v>56</v>
      </c>
      <c r="H979" s="330" t="s">
        <v>61</v>
      </c>
      <c r="I979" s="334">
        <v>834.7</v>
      </c>
      <c r="J979" s="334">
        <v>476.3</v>
      </c>
      <c r="K979" s="334">
        <v>476.3</v>
      </c>
      <c r="L979" s="332">
        <v>56</v>
      </c>
      <c r="M979" s="330" t="s">
        <v>46</v>
      </c>
      <c r="N979" s="330" t="s">
        <v>47</v>
      </c>
      <c r="O979" s="333" t="s">
        <v>49</v>
      </c>
      <c r="P979" s="38">
        <v>4758057.87</v>
      </c>
      <c r="Q979" s="38">
        <v>0</v>
      </c>
      <c r="R979" s="38">
        <v>0</v>
      </c>
      <c r="S979" s="38">
        <f>P979-Q979-R979</f>
        <v>4758057.87</v>
      </c>
      <c r="T979" s="38">
        <f t="shared" si="215"/>
        <v>5700.3209176949804</v>
      </c>
      <c r="U979" s="38">
        <v>6287.4147390679282</v>
      </c>
      <c r="V979" s="458">
        <f>U979-T979</f>
        <v>587.09382137294779</v>
      </c>
      <c r="W979" s="458">
        <f>X979+Y979+Z979+AA979+AB979+AD979+AF979+AH979+AJ979+AL979+AN979+AO979</f>
        <v>6266.0421951599374</v>
      </c>
      <c r="X979" s="458">
        <v>0</v>
      </c>
      <c r="Y979" s="459">
        <v>0</v>
      </c>
      <c r="Z979" s="459">
        <v>0</v>
      </c>
      <c r="AA979" s="459">
        <v>0</v>
      </c>
      <c r="AB979" s="459">
        <v>0</v>
      </c>
      <c r="AC979" s="459">
        <v>0</v>
      </c>
      <c r="AD979" s="459">
        <v>0</v>
      </c>
      <c r="AE979" s="459">
        <v>838.33</v>
      </c>
      <c r="AF979" s="458">
        <f>6238.91*AE979/I979</f>
        <v>6266.0421951599374</v>
      </c>
      <c r="AG979" s="459">
        <v>0</v>
      </c>
      <c r="AH979" s="458">
        <v>0</v>
      </c>
      <c r="AI979" s="459">
        <v>0</v>
      </c>
      <c r="AJ979" s="458">
        <v>0</v>
      </c>
      <c r="AK979" s="459">
        <v>0</v>
      </c>
      <c r="AL979" s="459">
        <v>0</v>
      </c>
      <c r="AM979" s="459">
        <v>0</v>
      </c>
      <c r="AN979" s="459"/>
      <c r="AO979" s="459">
        <v>0</v>
      </c>
      <c r="AP979" s="460"/>
      <c r="AQ979" s="460"/>
      <c r="AR979" s="460"/>
      <c r="AS979" s="460"/>
      <c r="AT979" s="460"/>
      <c r="AU979" s="460"/>
      <c r="AV979" s="460"/>
      <c r="AW979" s="460"/>
      <c r="AX979" s="460"/>
      <c r="AY979" s="460"/>
      <c r="AZ979" s="460"/>
      <c r="BA979" s="460"/>
      <c r="BB979" s="460"/>
      <c r="BC979" s="460"/>
      <c r="BD979" s="460"/>
      <c r="BE979" s="460"/>
      <c r="BF979" s="460"/>
      <c r="BG979" s="460"/>
      <c r="BH979" s="460"/>
      <c r="BI979" s="460"/>
      <c r="BJ979" s="460"/>
      <c r="BK979" s="460"/>
      <c r="BL979" s="460"/>
      <c r="BM979" s="460"/>
      <c r="BN979" s="460"/>
      <c r="BO979" s="460"/>
      <c r="BP979" s="460"/>
      <c r="BQ979" s="460"/>
      <c r="BR979" s="460"/>
      <c r="BS979" s="460"/>
      <c r="BT979" s="460"/>
      <c r="BU979" s="460"/>
      <c r="BV979" s="460"/>
      <c r="BW979" s="460"/>
      <c r="BX979" s="460"/>
      <c r="BY979" s="460"/>
      <c r="BZ979" s="460"/>
      <c r="CA979" s="460"/>
      <c r="CB979" s="460"/>
      <c r="CC979" s="460"/>
      <c r="CD979" s="460"/>
      <c r="CE979" s="460"/>
      <c r="CF979" s="460"/>
      <c r="CG979" s="460"/>
      <c r="CH979" s="460"/>
      <c r="CI979" s="460"/>
      <c r="CJ979" s="460"/>
      <c r="CK979" s="460"/>
    </row>
    <row r="980" spans="1:89" s="329" customFormat="1" ht="36" customHeight="1" x14ac:dyDescent="0.25">
      <c r="B980" s="33" t="s">
        <v>1411</v>
      </c>
      <c r="C980" s="33"/>
      <c r="D980" s="330" t="s">
        <v>131</v>
      </c>
      <c r="E980" s="330" t="s">
        <v>131</v>
      </c>
      <c r="F980" s="330" t="s">
        <v>131</v>
      </c>
      <c r="G980" s="330" t="s">
        <v>131</v>
      </c>
      <c r="H980" s="330" t="s">
        <v>131</v>
      </c>
      <c r="I980" s="334">
        <f>I981</f>
        <v>350.9</v>
      </c>
      <c r="J980" s="334">
        <f>J981</f>
        <v>350.9</v>
      </c>
      <c r="K980" s="334">
        <f>K981</f>
        <v>266.79999999999995</v>
      </c>
      <c r="L980" s="332">
        <f>L981</f>
        <v>18</v>
      </c>
      <c r="M980" s="330" t="s">
        <v>131</v>
      </c>
      <c r="N980" s="330" t="s">
        <v>131</v>
      </c>
      <c r="O980" s="333" t="s">
        <v>131</v>
      </c>
      <c r="P980" s="38">
        <v>1403643.06</v>
      </c>
      <c r="Q980" s="38">
        <f>Q981</f>
        <v>0</v>
      </c>
      <c r="R980" s="38">
        <f>R981</f>
        <v>0</v>
      </c>
      <c r="S980" s="38">
        <f>S981</f>
        <v>1403643.06</v>
      </c>
      <c r="T980" s="38">
        <f t="shared" si="215"/>
        <v>4000.1227130236539</v>
      </c>
      <c r="U980" s="38">
        <f>U981</f>
        <v>5953.8706432031922</v>
      </c>
      <c r="V980" s="458">
        <f t="shared" si="210"/>
        <v>1953.7479301795383</v>
      </c>
      <c r="W980" s="458"/>
      <c r="X980" s="458"/>
      <c r="Y980" s="459"/>
      <c r="Z980" s="459"/>
      <c r="AA980" s="459"/>
      <c r="AB980" s="459"/>
      <c r="AC980" s="459"/>
      <c r="AD980" s="459"/>
      <c r="AE980" s="459"/>
      <c r="AF980" s="459"/>
      <c r="AG980" s="459"/>
      <c r="AH980" s="459"/>
      <c r="AI980" s="459"/>
      <c r="AJ980" s="459"/>
      <c r="AK980" s="459"/>
      <c r="AL980" s="459"/>
      <c r="AM980" s="459"/>
      <c r="AN980" s="459"/>
      <c r="AO980" s="459"/>
      <c r="AP980" s="460"/>
      <c r="AQ980" s="460"/>
      <c r="AR980" s="460"/>
      <c r="AS980" s="460"/>
      <c r="AT980" s="460"/>
      <c r="AU980" s="460"/>
      <c r="AV980" s="460"/>
      <c r="AW980" s="460"/>
      <c r="AX980" s="460"/>
      <c r="AY980" s="460"/>
      <c r="AZ980" s="460"/>
      <c r="BA980" s="460"/>
      <c r="BB980" s="460"/>
      <c r="BC980" s="460"/>
      <c r="BD980" s="460"/>
      <c r="BE980" s="460"/>
      <c r="BF980" s="460"/>
      <c r="BG980" s="460"/>
      <c r="BH980" s="460"/>
      <c r="BI980" s="460"/>
      <c r="BJ980" s="460"/>
      <c r="BK980" s="460"/>
      <c r="BL980" s="460"/>
      <c r="BM980" s="460"/>
      <c r="BN980" s="460"/>
      <c r="BO980" s="460"/>
      <c r="BP980" s="460"/>
      <c r="BQ980" s="460"/>
      <c r="BR980" s="460"/>
      <c r="BS980" s="460"/>
      <c r="BT980" s="460"/>
      <c r="BU980" s="460"/>
      <c r="BV980" s="460"/>
      <c r="BW980" s="460"/>
      <c r="BX980" s="460"/>
      <c r="BY980" s="460"/>
      <c r="BZ980" s="460"/>
      <c r="CA980" s="460"/>
      <c r="CB980" s="460"/>
      <c r="CC980" s="460"/>
      <c r="CD980" s="460"/>
      <c r="CE980" s="460"/>
      <c r="CF980" s="460"/>
      <c r="CG980" s="460"/>
      <c r="CH980" s="460"/>
      <c r="CI980" s="460"/>
      <c r="CJ980" s="460"/>
      <c r="CK980" s="460"/>
    </row>
    <row r="981" spans="1:89" s="329" customFormat="1" ht="36" customHeight="1" x14ac:dyDescent="0.25">
      <c r="A981" s="329">
        <v>1</v>
      </c>
      <c r="B981" s="39">
        <f>SUBTOTAL(103,$A$552:A981)</f>
        <v>370</v>
      </c>
      <c r="C981" s="33" t="s">
        <v>1694</v>
      </c>
      <c r="D981" s="330">
        <v>1930</v>
      </c>
      <c r="E981" s="330"/>
      <c r="F981" s="331" t="s">
        <v>48</v>
      </c>
      <c r="G981" s="330">
        <v>2</v>
      </c>
      <c r="H981" s="330" t="s">
        <v>57</v>
      </c>
      <c r="I981" s="334">
        <v>350.9</v>
      </c>
      <c r="J981" s="334">
        <v>350.9</v>
      </c>
      <c r="K981" s="334">
        <v>266.79999999999995</v>
      </c>
      <c r="L981" s="332">
        <v>18</v>
      </c>
      <c r="M981" s="330" t="s">
        <v>46</v>
      </c>
      <c r="N981" s="330" t="s">
        <v>47</v>
      </c>
      <c r="O981" s="333" t="s">
        <v>49</v>
      </c>
      <c r="P981" s="38">
        <v>1403643.06</v>
      </c>
      <c r="Q981" s="38">
        <v>0</v>
      </c>
      <c r="R981" s="38">
        <v>0</v>
      </c>
      <c r="S981" s="38">
        <f>P981-Q981-R981</f>
        <v>1403643.06</v>
      </c>
      <c r="T981" s="38">
        <f t="shared" si="215"/>
        <v>4000.1227130236539</v>
      </c>
      <c r="U981" s="38">
        <v>5953.8706432031922</v>
      </c>
      <c r="V981" s="458">
        <f>U981-T981</f>
        <v>1953.7479301795383</v>
      </c>
      <c r="W981" s="458">
        <f>X981+Y981+Z981+AA981+AB981+AD981+AF981+AH981+AJ981+AL981+AN981+AO981</f>
        <v>5933.6319016813914</v>
      </c>
      <c r="X981" s="458">
        <v>0</v>
      </c>
      <c r="Y981" s="459">
        <v>0</v>
      </c>
      <c r="Z981" s="459">
        <v>0</v>
      </c>
      <c r="AA981" s="459">
        <v>0</v>
      </c>
      <c r="AB981" s="459">
        <v>0</v>
      </c>
      <c r="AC981" s="459">
        <v>0</v>
      </c>
      <c r="AD981" s="459">
        <v>0</v>
      </c>
      <c r="AE981" s="459">
        <v>333.73</v>
      </c>
      <c r="AF981" s="458">
        <f>6238.91*AE981/I981</f>
        <v>5933.6319016813914</v>
      </c>
      <c r="AG981" s="459">
        <v>0</v>
      </c>
      <c r="AH981" s="458">
        <v>0</v>
      </c>
      <c r="AI981" s="459">
        <v>0</v>
      </c>
      <c r="AJ981" s="458">
        <v>0</v>
      </c>
      <c r="AK981" s="459">
        <v>0</v>
      </c>
      <c r="AL981" s="459">
        <v>0</v>
      </c>
      <c r="AM981" s="459">
        <v>0</v>
      </c>
      <c r="AN981" s="459"/>
      <c r="AO981" s="459">
        <v>0</v>
      </c>
      <c r="AP981" s="460"/>
      <c r="AQ981" s="460"/>
      <c r="AR981" s="460"/>
      <c r="AS981" s="460"/>
      <c r="AT981" s="460"/>
      <c r="AU981" s="460"/>
      <c r="AV981" s="460"/>
      <c r="AW981" s="460"/>
      <c r="AX981" s="460"/>
      <c r="AY981" s="460"/>
      <c r="AZ981" s="460"/>
      <c r="BA981" s="460"/>
      <c r="BB981" s="460"/>
      <c r="BC981" s="460"/>
      <c r="BD981" s="460"/>
      <c r="BE981" s="460"/>
      <c r="BF981" s="460"/>
      <c r="BG981" s="460"/>
      <c r="BH981" s="460"/>
      <c r="BI981" s="460"/>
      <c r="BJ981" s="460"/>
      <c r="BK981" s="460"/>
      <c r="BL981" s="460"/>
      <c r="BM981" s="460"/>
      <c r="BN981" s="460"/>
      <c r="BO981" s="460"/>
      <c r="BP981" s="460"/>
      <c r="BQ981" s="460"/>
      <c r="BR981" s="460"/>
      <c r="BS981" s="460"/>
      <c r="BT981" s="460"/>
      <c r="BU981" s="460"/>
      <c r="BV981" s="460"/>
      <c r="BW981" s="460"/>
      <c r="BX981" s="460"/>
      <c r="BY981" s="460"/>
      <c r="BZ981" s="460"/>
      <c r="CA981" s="460"/>
      <c r="CB981" s="460"/>
      <c r="CC981" s="460"/>
      <c r="CD981" s="460"/>
      <c r="CE981" s="460"/>
      <c r="CF981" s="460"/>
      <c r="CG981" s="460"/>
      <c r="CH981" s="460"/>
      <c r="CI981" s="460"/>
      <c r="CJ981" s="460"/>
      <c r="CK981" s="460"/>
    </row>
    <row r="982" spans="1:89" s="329" customFormat="1" ht="36" customHeight="1" x14ac:dyDescent="0.25">
      <c r="B982" s="33" t="s">
        <v>123</v>
      </c>
      <c r="C982" s="462"/>
      <c r="D982" s="330" t="s">
        <v>131</v>
      </c>
      <c r="E982" s="330" t="s">
        <v>131</v>
      </c>
      <c r="F982" s="330" t="s">
        <v>131</v>
      </c>
      <c r="G982" s="330" t="s">
        <v>131</v>
      </c>
      <c r="H982" s="330" t="s">
        <v>131</v>
      </c>
      <c r="I982" s="334">
        <f>SUM(I983:I988)</f>
        <v>6896.38</v>
      </c>
      <c r="J982" s="334">
        <f t="shared" ref="J982:L982" si="216">SUM(J983:J988)</f>
        <v>5761.48</v>
      </c>
      <c r="K982" s="334">
        <f t="shared" si="216"/>
        <v>4965.5</v>
      </c>
      <c r="L982" s="332">
        <f t="shared" si="216"/>
        <v>316</v>
      </c>
      <c r="M982" s="330" t="s">
        <v>131</v>
      </c>
      <c r="N982" s="330" t="s">
        <v>131</v>
      </c>
      <c r="O982" s="333" t="s">
        <v>131</v>
      </c>
      <c r="P982" s="38">
        <v>15229676.24</v>
      </c>
      <c r="Q982" s="38">
        <f t="shared" ref="Q982:S982" si="217">SUM(Q983:Q988)</f>
        <v>0</v>
      </c>
      <c r="R982" s="38">
        <f t="shared" si="217"/>
        <v>0</v>
      </c>
      <c r="S982" s="38">
        <f t="shared" si="217"/>
        <v>15229676.24</v>
      </c>
      <c r="T982" s="38">
        <f t="shared" si="215"/>
        <v>2208.3580429152685</v>
      </c>
      <c r="U982" s="38">
        <f>MAX(U983:U988)</f>
        <v>4877.2024546424755</v>
      </c>
      <c r="V982" s="458">
        <f t="shared" si="210"/>
        <v>2668.844411727207</v>
      </c>
      <c r="W982" s="458"/>
      <c r="X982" s="458"/>
      <c r="Y982" s="459"/>
      <c r="Z982" s="459"/>
      <c r="AA982" s="459"/>
      <c r="AB982" s="459"/>
      <c r="AC982" s="459"/>
      <c r="AD982" s="459"/>
      <c r="AE982" s="459"/>
      <c r="AF982" s="459"/>
      <c r="AG982" s="459"/>
      <c r="AH982" s="459"/>
      <c r="AI982" s="459"/>
      <c r="AJ982" s="459"/>
      <c r="AK982" s="459"/>
      <c r="AL982" s="459"/>
      <c r="AM982" s="459"/>
      <c r="AN982" s="459"/>
      <c r="AO982" s="459"/>
      <c r="AP982" s="460"/>
      <c r="AQ982" s="460"/>
      <c r="AR982" s="460"/>
      <c r="AS982" s="460"/>
      <c r="AT982" s="460"/>
      <c r="AU982" s="460"/>
      <c r="AV982" s="460"/>
      <c r="AW982" s="460"/>
      <c r="AX982" s="460"/>
      <c r="AY982" s="460"/>
      <c r="AZ982" s="460"/>
      <c r="BA982" s="460"/>
      <c r="BB982" s="460"/>
      <c r="BC982" s="460"/>
      <c r="BD982" s="460"/>
      <c r="BE982" s="460"/>
      <c r="BF982" s="460"/>
      <c r="BG982" s="460"/>
      <c r="BH982" s="460"/>
      <c r="BI982" s="460"/>
      <c r="BJ982" s="460"/>
      <c r="BK982" s="460"/>
      <c r="BL982" s="460"/>
      <c r="BM982" s="460"/>
      <c r="BN982" s="460"/>
      <c r="BO982" s="460"/>
      <c r="BP982" s="460"/>
      <c r="BQ982" s="460"/>
      <c r="BR982" s="460"/>
      <c r="BS982" s="460"/>
      <c r="BT982" s="460"/>
      <c r="BU982" s="460"/>
      <c r="BV982" s="460"/>
      <c r="BW982" s="460"/>
      <c r="BX982" s="460"/>
      <c r="BY982" s="460"/>
      <c r="BZ982" s="460"/>
      <c r="CA982" s="460"/>
      <c r="CB982" s="460"/>
      <c r="CC982" s="460"/>
      <c r="CD982" s="460"/>
      <c r="CE982" s="460"/>
      <c r="CF982" s="460"/>
      <c r="CG982" s="460"/>
      <c r="CH982" s="460"/>
      <c r="CI982" s="460"/>
      <c r="CJ982" s="460"/>
      <c r="CK982" s="460"/>
    </row>
    <row r="983" spans="1:89" s="329" customFormat="1" ht="36" customHeight="1" x14ac:dyDescent="0.25">
      <c r="A983" s="329">
        <v>1</v>
      </c>
      <c r="B983" s="39">
        <f>SUBTOTAL(103,$A$552:A983)</f>
        <v>371</v>
      </c>
      <c r="C983" s="33" t="s">
        <v>1418</v>
      </c>
      <c r="D983" s="330">
        <v>1938</v>
      </c>
      <c r="E983" s="330"/>
      <c r="F983" s="331" t="s">
        <v>48</v>
      </c>
      <c r="G983" s="330">
        <v>3</v>
      </c>
      <c r="H983" s="330" t="s">
        <v>59</v>
      </c>
      <c r="I983" s="334">
        <v>1645.1</v>
      </c>
      <c r="J983" s="334">
        <v>1444.2</v>
      </c>
      <c r="K983" s="334">
        <v>1029.4000000000001</v>
      </c>
      <c r="L983" s="332">
        <v>58</v>
      </c>
      <c r="M983" s="330" t="s">
        <v>46</v>
      </c>
      <c r="N983" s="330" t="s">
        <v>47</v>
      </c>
      <c r="O983" s="333" t="s">
        <v>49</v>
      </c>
      <c r="P983" s="38">
        <v>6058289.959999999</v>
      </c>
      <c r="Q983" s="38">
        <v>0</v>
      </c>
      <c r="R983" s="38">
        <v>0</v>
      </c>
      <c r="S983" s="38">
        <f>P983-Q983-R983</f>
        <v>6058289.959999999</v>
      </c>
      <c r="T983" s="38">
        <f t="shared" si="215"/>
        <v>3682.6271716005103</v>
      </c>
      <c r="U983" s="38">
        <v>4577.8424229530119</v>
      </c>
      <c r="V983" s="458">
        <f t="shared" si="210"/>
        <v>895.21525135250158</v>
      </c>
      <c r="W983" s="458">
        <f t="shared" ref="W983:W988" si="218">X983+Y983+Z983+AA983+AB983+AD983+AF983+AH983+AJ983+AL983+AN983+AO983</f>
        <v>4562.2811561607195</v>
      </c>
      <c r="X983" s="458">
        <v>0</v>
      </c>
      <c r="Y983" s="459">
        <v>0</v>
      </c>
      <c r="Z983" s="459">
        <v>0</v>
      </c>
      <c r="AA983" s="459">
        <v>0</v>
      </c>
      <c r="AB983" s="459">
        <v>0</v>
      </c>
      <c r="AC983" s="459">
        <v>0</v>
      </c>
      <c r="AD983" s="459">
        <v>0</v>
      </c>
      <c r="AE983" s="459">
        <v>1203</v>
      </c>
      <c r="AF983" s="458">
        <f>6238.91*AE983/I983</f>
        <v>4562.2811561607195</v>
      </c>
      <c r="AG983" s="459">
        <v>0</v>
      </c>
      <c r="AH983" s="458">
        <v>0</v>
      </c>
      <c r="AI983" s="459">
        <v>0</v>
      </c>
      <c r="AJ983" s="458">
        <v>0</v>
      </c>
      <c r="AK983" s="459">
        <v>0</v>
      </c>
      <c r="AL983" s="459">
        <v>0</v>
      </c>
      <c r="AM983" s="459">
        <v>0</v>
      </c>
      <c r="AN983" s="459"/>
      <c r="AO983" s="459">
        <v>0</v>
      </c>
      <c r="AP983" s="460"/>
      <c r="AQ983" s="460"/>
      <c r="AR983" s="460"/>
      <c r="AS983" s="460"/>
      <c r="AT983" s="460"/>
      <c r="AU983" s="460"/>
      <c r="AV983" s="460"/>
      <c r="AW983" s="460"/>
      <c r="AX983" s="460"/>
      <c r="AY983" s="460"/>
      <c r="AZ983" s="460"/>
      <c r="BA983" s="460"/>
      <c r="BB983" s="460"/>
      <c r="BC983" s="460"/>
      <c r="BD983" s="460"/>
      <c r="BE983" s="460"/>
      <c r="BF983" s="460"/>
      <c r="BG983" s="460"/>
      <c r="BH983" s="460"/>
      <c r="BI983" s="460"/>
      <c r="BJ983" s="460"/>
      <c r="BK983" s="460"/>
      <c r="BL983" s="460"/>
      <c r="BM983" s="460"/>
      <c r="BN983" s="460"/>
      <c r="BO983" s="460"/>
      <c r="BP983" s="460"/>
      <c r="BQ983" s="460"/>
      <c r="BR983" s="460"/>
      <c r="BS983" s="460"/>
      <c r="BT983" s="460"/>
      <c r="BU983" s="460"/>
      <c r="BV983" s="460"/>
      <c r="BW983" s="460"/>
      <c r="BX983" s="460"/>
      <c r="BY983" s="460"/>
      <c r="BZ983" s="460"/>
      <c r="CA983" s="460"/>
      <c r="CB983" s="460"/>
      <c r="CC983" s="460"/>
      <c r="CD983" s="460"/>
      <c r="CE983" s="460"/>
      <c r="CF983" s="460"/>
      <c r="CG983" s="460"/>
      <c r="CH983" s="460"/>
      <c r="CI983" s="460"/>
      <c r="CJ983" s="460"/>
      <c r="CK983" s="460"/>
    </row>
    <row r="984" spans="1:89" s="329" customFormat="1" ht="36" customHeight="1" x14ac:dyDescent="0.25">
      <c r="A984" s="329">
        <v>1</v>
      </c>
      <c r="B984" s="39">
        <f>SUBTOTAL(103,$A$552:A984)</f>
        <v>372</v>
      </c>
      <c r="C984" s="33" t="s">
        <v>1419</v>
      </c>
      <c r="D984" s="330">
        <v>1974</v>
      </c>
      <c r="E984" s="330"/>
      <c r="F984" s="331" t="s">
        <v>48</v>
      </c>
      <c r="G984" s="330">
        <v>2</v>
      </c>
      <c r="H984" s="330" t="s">
        <v>56</v>
      </c>
      <c r="I984" s="334">
        <v>749.6</v>
      </c>
      <c r="J984" s="334">
        <v>685.4</v>
      </c>
      <c r="K984" s="334">
        <v>685.4</v>
      </c>
      <c r="L984" s="332">
        <v>36</v>
      </c>
      <c r="M984" s="330" t="s">
        <v>46</v>
      </c>
      <c r="N984" s="330" t="s">
        <v>50</v>
      </c>
      <c r="O984" s="333" t="s">
        <v>2113</v>
      </c>
      <c r="P984" s="38">
        <v>2944222.6500000004</v>
      </c>
      <c r="Q984" s="38">
        <v>0</v>
      </c>
      <c r="R984" s="38">
        <v>0</v>
      </c>
      <c r="S984" s="38">
        <f>P984-Q984-R984</f>
        <v>2944222.6500000004</v>
      </c>
      <c r="T984" s="38">
        <f t="shared" si="215"/>
        <v>3927.7249866595521</v>
      </c>
      <c r="U984" s="38">
        <v>4877.2024546424755</v>
      </c>
      <c r="V984" s="458">
        <f t="shared" si="210"/>
        <v>949.47746798292337</v>
      </c>
      <c r="W984" s="458">
        <f t="shared" si="218"/>
        <v>4860.6235859124863</v>
      </c>
      <c r="X984" s="458">
        <v>0</v>
      </c>
      <c r="Y984" s="459">
        <v>0</v>
      </c>
      <c r="Z984" s="459">
        <v>0</v>
      </c>
      <c r="AA984" s="459">
        <v>0</v>
      </c>
      <c r="AB984" s="459">
        <v>0</v>
      </c>
      <c r="AC984" s="459">
        <v>0</v>
      </c>
      <c r="AD984" s="459">
        <v>0</v>
      </c>
      <c r="AE984" s="459">
        <v>584</v>
      </c>
      <c r="AF984" s="458">
        <f>6238.91*AE984/I984</f>
        <v>4860.6235859124863</v>
      </c>
      <c r="AG984" s="459">
        <v>0</v>
      </c>
      <c r="AH984" s="458">
        <v>0</v>
      </c>
      <c r="AI984" s="459">
        <v>0</v>
      </c>
      <c r="AJ984" s="458">
        <v>0</v>
      </c>
      <c r="AK984" s="459">
        <v>0</v>
      </c>
      <c r="AL984" s="459">
        <v>0</v>
      </c>
      <c r="AM984" s="459">
        <v>0</v>
      </c>
      <c r="AN984" s="459"/>
      <c r="AO984" s="459">
        <v>0</v>
      </c>
      <c r="AP984" s="460"/>
      <c r="AQ984" s="460"/>
      <c r="AR984" s="460"/>
      <c r="AS984" s="460"/>
      <c r="AT984" s="460"/>
      <c r="AU984" s="460"/>
      <c r="AV984" s="460"/>
      <c r="AW984" s="460"/>
      <c r="AX984" s="460"/>
      <c r="AY984" s="460"/>
      <c r="AZ984" s="460"/>
      <c r="BA984" s="460"/>
      <c r="BB984" s="460"/>
      <c r="BC984" s="460"/>
      <c r="BD984" s="460"/>
      <c r="BE984" s="460"/>
      <c r="BF984" s="460"/>
      <c r="BG984" s="460"/>
      <c r="BH984" s="460"/>
      <c r="BI984" s="460"/>
      <c r="BJ984" s="460"/>
      <c r="BK984" s="460"/>
      <c r="BL984" s="460"/>
      <c r="BM984" s="460"/>
      <c r="BN984" s="460"/>
      <c r="BO984" s="460"/>
      <c r="BP984" s="460"/>
      <c r="BQ984" s="460"/>
      <c r="BR984" s="460"/>
      <c r="BS984" s="460"/>
      <c r="BT984" s="460"/>
      <c r="BU984" s="460"/>
      <c r="BV984" s="460"/>
      <c r="BW984" s="460"/>
      <c r="BX984" s="460"/>
      <c r="BY984" s="460"/>
      <c r="BZ984" s="460"/>
      <c r="CA984" s="460"/>
      <c r="CB984" s="460"/>
      <c r="CC984" s="460"/>
      <c r="CD984" s="460"/>
      <c r="CE984" s="460"/>
      <c r="CF984" s="460"/>
      <c r="CG984" s="460"/>
      <c r="CH984" s="460"/>
      <c r="CI984" s="460"/>
      <c r="CJ984" s="460"/>
      <c r="CK984" s="460"/>
    </row>
    <row r="985" spans="1:89" s="329" customFormat="1" ht="36" customHeight="1" x14ac:dyDescent="0.25">
      <c r="A985" s="329">
        <v>1</v>
      </c>
      <c r="B985" s="39">
        <f>SUBTOTAL(103,$A$552:A985)</f>
        <v>373</v>
      </c>
      <c r="C985" s="33" t="s">
        <v>1415</v>
      </c>
      <c r="D985" s="330">
        <v>1992</v>
      </c>
      <c r="E985" s="330"/>
      <c r="F985" s="331" t="s">
        <v>60</v>
      </c>
      <c r="G985" s="330">
        <v>2</v>
      </c>
      <c r="H985" s="330" t="s">
        <v>56</v>
      </c>
      <c r="I985" s="38">
        <v>690.3</v>
      </c>
      <c r="J985" s="38">
        <v>630.29999999999995</v>
      </c>
      <c r="K985" s="38">
        <v>630.29999999999995</v>
      </c>
      <c r="L985" s="332">
        <v>29</v>
      </c>
      <c r="M985" s="330" t="s">
        <v>46</v>
      </c>
      <c r="N985" s="330" t="s">
        <v>50</v>
      </c>
      <c r="O985" s="333" t="s">
        <v>2113</v>
      </c>
      <c r="P985" s="38">
        <v>653859.32000000007</v>
      </c>
      <c r="Q985" s="38">
        <v>0</v>
      </c>
      <c r="R985" s="38">
        <v>0</v>
      </c>
      <c r="S985" s="38">
        <f>P985-Q985-R985</f>
        <v>653859.32000000007</v>
      </c>
      <c r="T985" s="38">
        <f t="shared" si="215"/>
        <v>947.21037230189791</v>
      </c>
      <c r="U985" s="38">
        <v>3259.66</v>
      </c>
      <c r="V985" s="458">
        <f t="shared" si="210"/>
        <v>2312.4496276981017</v>
      </c>
      <c r="W985" s="458">
        <f t="shared" si="218"/>
        <v>3259.66</v>
      </c>
      <c r="X985" s="458">
        <v>0</v>
      </c>
      <c r="Y985" s="459">
        <v>0</v>
      </c>
      <c r="Z985" s="459">
        <v>3259.66</v>
      </c>
      <c r="AA985" s="459">
        <v>0</v>
      </c>
      <c r="AB985" s="459">
        <v>0</v>
      </c>
      <c r="AC985" s="459">
        <v>0</v>
      </c>
      <c r="AD985" s="459">
        <v>0</v>
      </c>
      <c r="AE985" s="459">
        <v>0</v>
      </c>
      <c r="AF985" s="458">
        <v>0</v>
      </c>
      <c r="AG985" s="459">
        <v>0</v>
      </c>
      <c r="AH985" s="458">
        <v>0</v>
      </c>
      <c r="AI985" s="459">
        <v>0</v>
      </c>
      <c r="AJ985" s="458">
        <v>0</v>
      </c>
      <c r="AK985" s="459">
        <v>0</v>
      </c>
      <c r="AL985" s="459">
        <v>0</v>
      </c>
      <c r="AM985" s="459">
        <v>0</v>
      </c>
      <c r="AN985" s="459"/>
      <c r="AO985" s="459">
        <v>0</v>
      </c>
      <c r="AP985" s="460"/>
      <c r="AQ985" s="460"/>
      <c r="AR985" s="460"/>
      <c r="AS985" s="460"/>
      <c r="AT985" s="460"/>
      <c r="AU985" s="460"/>
      <c r="AV985" s="460"/>
      <c r="AW985" s="460"/>
      <c r="AX985" s="460"/>
      <c r="AY985" s="460"/>
      <c r="AZ985" s="460"/>
      <c r="BA985" s="460"/>
      <c r="BB985" s="460"/>
      <c r="BC985" s="460"/>
      <c r="BD985" s="460"/>
      <c r="BE985" s="460"/>
      <c r="BF985" s="460"/>
      <c r="BG985" s="460"/>
      <c r="BH985" s="460"/>
      <c r="BI985" s="460"/>
      <c r="BJ985" s="460"/>
      <c r="BK985" s="460"/>
      <c r="BL985" s="460"/>
      <c r="BM985" s="460"/>
      <c r="BN985" s="460"/>
      <c r="BO985" s="460"/>
      <c r="BP985" s="460"/>
      <c r="BQ985" s="460"/>
      <c r="BR985" s="460"/>
      <c r="BS985" s="460"/>
      <c r="BT985" s="460"/>
      <c r="BU985" s="460"/>
      <c r="BV985" s="460"/>
      <c r="BW985" s="460"/>
      <c r="BX985" s="460"/>
      <c r="BY985" s="460"/>
      <c r="BZ985" s="460"/>
      <c r="CA985" s="460"/>
      <c r="CB985" s="460"/>
      <c r="CC985" s="460"/>
      <c r="CD985" s="460"/>
      <c r="CE985" s="460"/>
      <c r="CF985" s="460"/>
      <c r="CG985" s="460"/>
      <c r="CH985" s="460"/>
      <c r="CI985" s="460"/>
      <c r="CJ985" s="460"/>
      <c r="CK985" s="460"/>
    </row>
    <row r="986" spans="1:89" s="329" customFormat="1" ht="36" customHeight="1" x14ac:dyDescent="0.25">
      <c r="A986" s="329">
        <v>1</v>
      </c>
      <c r="B986" s="39">
        <f>SUBTOTAL(103,$A$552:A986)</f>
        <v>374</v>
      </c>
      <c r="C986" s="33" t="s">
        <v>1416</v>
      </c>
      <c r="D986" s="330">
        <v>1981</v>
      </c>
      <c r="E986" s="330"/>
      <c r="F986" s="331" t="s">
        <v>1981</v>
      </c>
      <c r="G986" s="330">
        <v>2</v>
      </c>
      <c r="H986" s="330" t="s">
        <v>61</v>
      </c>
      <c r="I986" s="38">
        <v>922.9</v>
      </c>
      <c r="J986" s="38">
        <v>838.7</v>
      </c>
      <c r="K986" s="38">
        <v>838.7</v>
      </c>
      <c r="L986" s="332">
        <v>43</v>
      </c>
      <c r="M986" s="330" t="s">
        <v>46</v>
      </c>
      <c r="N986" s="330" t="s">
        <v>47</v>
      </c>
      <c r="O986" s="333" t="s">
        <v>49</v>
      </c>
      <c r="P986" s="38">
        <v>1015000</v>
      </c>
      <c r="Q986" s="38">
        <v>0</v>
      </c>
      <c r="R986" s="38">
        <v>0</v>
      </c>
      <c r="S986" s="38">
        <f>P986-Q986-R986</f>
        <v>1015000</v>
      </c>
      <c r="T986" s="38">
        <f t="shared" si="215"/>
        <v>1099.7941272077148</v>
      </c>
      <c r="U986" s="38">
        <v>3259.66</v>
      </c>
      <c r="V986" s="458">
        <f t="shared" si="210"/>
        <v>2159.8658727922848</v>
      </c>
      <c r="W986" s="458">
        <f t="shared" si="218"/>
        <v>3259.66</v>
      </c>
      <c r="X986" s="458">
        <v>0</v>
      </c>
      <c r="Y986" s="459">
        <v>0</v>
      </c>
      <c r="Z986" s="459">
        <v>3259.66</v>
      </c>
      <c r="AA986" s="459">
        <v>0</v>
      </c>
      <c r="AB986" s="459">
        <v>0</v>
      </c>
      <c r="AC986" s="459">
        <v>0</v>
      </c>
      <c r="AD986" s="459">
        <v>0</v>
      </c>
      <c r="AE986" s="459">
        <v>0</v>
      </c>
      <c r="AF986" s="458">
        <v>0</v>
      </c>
      <c r="AG986" s="459">
        <v>0</v>
      </c>
      <c r="AH986" s="458">
        <v>0</v>
      </c>
      <c r="AI986" s="459">
        <v>0</v>
      </c>
      <c r="AJ986" s="458">
        <v>0</v>
      </c>
      <c r="AK986" s="459">
        <v>0</v>
      </c>
      <c r="AL986" s="459">
        <v>0</v>
      </c>
      <c r="AM986" s="459">
        <v>0</v>
      </c>
      <c r="AN986" s="459"/>
      <c r="AO986" s="459">
        <v>0</v>
      </c>
      <c r="AP986" s="460"/>
      <c r="AQ986" s="460"/>
      <c r="AR986" s="460"/>
      <c r="AS986" s="460"/>
      <c r="AT986" s="460"/>
      <c r="AU986" s="460"/>
      <c r="AV986" s="460"/>
      <c r="AW986" s="460"/>
      <c r="AX986" s="460"/>
      <c r="AY986" s="460"/>
      <c r="AZ986" s="460"/>
      <c r="BA986" s="460"/>
      <c r="BB986" s="460"/>
      <c r="BC986" s="460"/>
      <c r="BD986" s="460"/>
      <c r="BE986" s="460"/>
      <c r="BF986" s="460"/>
      <c r="BG986" s="460"/>
      <c r="BH986" s="460"/>
      <c r="BI986" s="460"/>
      <c r="BJ986" s="460"/>
      <c r="BK986" s="460"/>
      <c r="BL986" s="460"/>
      <c r="BM986" s="460"/>
      <c r="BN986" s="460"/>
      <c r="BO986" s="460"/>
      <c r="BP986" s="460"/>
      <c r="BQ986" s="460"/>
      <c r="BR986" s="460"/>
      <c r="BS986" s="460"/>
      <c r="BT986" s="460"/>
      <c r="BU986" s="460"/>
      <c r="BV986" s="460"/>
      <c r="BW986" s="460"/>
      <c r="BX986" s="460"/>
      <c r="BY986" s="460"/>
      <c r="BZ986" s="460"/>
      <c r="CA986" s="460"/>
      <c r="CB986" s="460"/>
      <c r="CC986" s="460"/>
      <c r="CD986" s="460"/>
      <c r="CE986" s="460"/>
      <c r="CF986" s="460"/>
      <c r="CG986" s="460"/>
      <c r="CH986" s="460"/>
      <c r="CI986" s="460"/>
      <c r="CJ986" s="460"/>
      <c r="CK986" s="460"/>
    </row>
    <row r="987" spans="1:89" s="329" customFormat="1" ht="36" customHeight="1" x14ac:dyDescent="0.25">
      <c r="A987" s="329">
        <v>1</v>
      </c>
      <c r="B987" s="39">
        <f>SUBTOTAL(103,$A$552:A987)</f>
        <v>375</v>
      </c>
      <c r="C987" s="33" t="s">
        <v>1417</v>
      </c>
      <c r="D987" s="330">
        <v>1980</v>
      </c>
      <c r="E987" s="330"/>
      <c r="F987" s="331" t="s">
        <v>1981</v>
      </c>
      <c r="G987" s="330">
        <v>2</v>
      </c>
      <c r="H987" s="330" t="s">
        <v>61</v>
      </c>
      <c r="I987" s="38">
        <v>1035.4000000000001</v>
      </c>
      <c r="J987" s="38">
        <v>947.5</v>
      </c>
      <c r="K987" s="38">
        <v>795.4</v>
      </c>
      <c r="L987" s="332">
        <v>35</v>
      </c>
      <c r="M987" s="330" t="s">
        <v>46</v>
      </c>
      <c r="N987" s="330" t="s">
        <v>47</v>
      </c>
      <c r="O987" s="333" t="s">
        <v>49</v>
      </c>
      <c r="P987" s="38">
        <v>964250</v>
      </c>
      <c r="Q987" s="38">
        <v>0</v>
      </c>
      <c r="R987" s="38">
        <v>0</v>
      </c>
      <c r="S987" s="38">
        <f>P987-R987-Q987</f>
        <v>964250</v>
      </c>
      <c r="T987" s="38">
        <f t="shared" si="215"/>
        <v>931.28259609812619</v>
      </c>
      <c r="U987" s="38">
        <v>3259.66</v>
      </c>
      <c r="V987" s="458">
        <f t="shared" si="210"/>
        <v>2328.3774039018735</v>
      </c>
      <c r="W987" s="458">
        <f t="shared" si="218"/>
        <v>3259.66</v>
      </c>
      <c r="X987" s="458">
        <v>0</v>
      </c>
      <c r="Y987" s="459">
        <v>0</v>
      </c>
      <c r="Z987" s="459">
        <v>3259.66</v>
      </c>
      <c r="AA987" s="459">
        <v>0</v>
      </c>
      <c r="AB987" s="459">
        <v>0</v>
      </c>
      <c r="AC987" s="459">
        <v>0</v>
      </c>
      <c r="AD987" s="459">
        <v>0</v>
      </c>
      <c r="AE987" s="459">
        <v>0</v>
      </c>
      <c r="AF987" s="458">
        <v>0</v>
      </c>
      <c r="AG987" s="459">
        <v>0</v>
      </c>
      <c r="AH987" s="458">
        <v>0</v>
      </c>
      <c r="AI987" s="459">
        <v>0</v>
      </c>
      <c r="AJ987" s="458">
        <v>0</v>
      </c>
      <c r="AK987" s="459">
        <v>0</v>
      </c>
      <c r="AL987" s="459">
        <v>0</v>
      </c>
      <c r="AM987" s="459">
        <v>0</v>
      </c>
      <c r="AN987" s="459"/>
      <c r="AO987" s="459">
        <v>0</v>
      </c>
      <c r="AP987" s="460"/>
      <c r="AQ987" s="460"/>
      <c r="AR987" s="460"/>
      <c r="AS987" s="460"/>
      <c r="AT987" s="460"/>
      <c r="AU987" s="460"/>
      <c r="AV987" s="460"/>
      <c r="AW987" s="460"/>
      <c r="AX987" s="460"/>
      <c r="AY987" s="460"/>
      <c r="AZ987" s="460"/>
      <c r="BA987" s="460"/>
      <c r="BB987" s="460"/>
      <c r="BC987" s="460"/>
      <c r="BD987" s="460"/>
      <c r="BE987" s="460"/>
      <c r="BF987" s="460"/>
      <c r="BG987" s="460"/>
      <c r="BH987" s="460"/>
      <c r="BI987" s="460"/>
      <c r="BJ987" s="460"/>
      <c r="BK987" s="460"/>
      <c r="BL987" s="460"/>
      <c r="BM987" s="460"/>
      <c r="BN987" s="460"/>
      <c r="BO987" s="460"/>
      <c r="BP987" s="460"/>
      <c r="BQ987" s="460"/>
      <c r="BR987" s="460"/>
      <c r="BS987" s="460"/>
      <c r="BT987" s="460"/>
      <c r="BU987" s="460"/>
      <c r="BV987" s="460"/>
      <c r="BW987" s="460"/>
      <c r="BX987" s="460"/>
      <c r="BY987" s="460"/>
      <c r="BZ987" s="460"/>
      <c r="CA987" s="460"/>
      <c r="CB987" s="460"/>
      <c r="CC987" s="460"/>
      <c r="CD987" s="460"/>
      <c r="CE987" s="460"/>
      <c r="CF987" s="460"/>
      <c r="CG987" s="460"/>
      <c r="CH987" s="460"/>
      <c r="CI987" s="460"/>
      <c r="CJ987" s="460"/>
      <c r="CK987" s="460"/>
    </row>
    <row r="988" spans="1:89" s="329" customFormat="1" ht="36" customHeight="1" x14ac:dyDescent="0.25">
      <c r="A988" s="329">
        <v>1</v>
      </c>
      <c r="B988" s="39">
        <f>SUBTOTAL(103,$A$552:A988)</f>
        <v>376</v>
      </c>
      <c r="C988" s="33" t="s">
        <v>1695</v>
      </c>
      <c r="D988" s="330">
        <v>1964</v>
      </c>
      <c r="E988" s="330"/>
      <c r="F988" s="331" t="s">
        <v>48</v>
      </c>
      <c r="G988" s="330">
        <v>2</v>
      </c>
      <c r="H988" s="330" t="s">
        <v>59</v>
      </c>
      <c r="I988" s="38">
        <v>1853.08</v>
      </c>
      <c r="J988" s="38">
        <v>1215.3800000000001</v>
      </c>
      <c r="K988" s="38">
        <v>986.3</v>
      </c>
      <c r="L988" s="332">
        <v>115</v>
      </c>
      <c r="M988" s="330" t="s">
        <v>46</v>
      </c>
      <c r="N988" s="330" t="s">
        <v>50</v>
      </c>
      <c r="O988" s="333" t="s">
        <v>2114</v>
      </c>
      <c r="P988" s="38">
        <v>3594054.31</v>
      </c>
      <c r="Q988" s="38">
        <v>0</v>
      </c>
      <c r="R988" s="38">
        <v>0</v>
      </c>
      <c r="S988" s="38">
        <f>P988-R988-Q988</f>
        <v>3594054.31</v>
      </c>
      <c r="T988" s="38">
        <f t="shared" si="215"/>
        <v>1939.5030489779178</v>
      </c>
      <c r="U988" s="38">
        <v>3259.66</v>
      </c>
      <c r="V988" s="458">
        <f t="shared" si="210"/>
        <v>1320.156951022082</v>
      </c>
      <c r="W988" s="458">
        <f t="shared" si="218"/>
        <v>3259.66</v>
      </c>
      <c r="X988" s="458">
        <v>0</v>
      </c>
      <c r="Y988" s="459">
        <v>0</v>
      </c>
      <c r="Z988" s="459">
        <v>3259.66</v>
      </c>
      <c r="AA988" s="459">
        <v>0</v>
      </c>
      <c r="AB988" s="459">
        <v>0</v>
      </c>
      <c r="AC988" s="459">
        <v>0</v>
      </c>
      <c r="AD988" s="459">
        <v>0</v>
      </c>
      <c r="AE988" s="459">
        <v>0</v>
      </c>
      <c r="AF988" s="458">
        <v>0</v>
      </c>
      <c r="AG988" s="459">
        <v>0</v>
      </c>
      <c r="AH988" s="458">
        <v>0</v>
      </c>
      <c r="AI988" s="459">
        <v>0</v>
      </c>
      <c r="AJ988" s="458">
        <v>0</v>
      </c>
      <c r="AK988" s="459">
        <v>0</v>
      </c>
      <c r="AL988" s="459">
        <v>0</v>
      </c>
      <c r="AM988" s="459">
        <v>0</v>
      </c>
      <c r="AN988" s="459"/>
      <c r="AO988" s="459">
        <v>0</v>
      </c>
      <c r="AP988" s="460"/>
      <c r="AQ988" s="460"/>
      <c r="AR988" s="460"/>
      <c r="AS988" s="460"/>
      <c r="AT988" s="460"/>
      <c r="AU988" s="460"/>
      <c r="AV988" s="460"/>
      <c r="AW988" s="460"/>
      <c r="AX988" s="460"/>
      <c r="AY988" s="460"/>
      <c r="AZ988" s="460"/>
      <c r="BA988" s="460"/>
      <c r="BB988" s="460"/>
      <c r="BC988" s="460"/>
      <c r="BD988" s="460"/>
      <c r="BE988" s="460"/>
      <c r="BF988" s="460"/>
      <c r="BG988" s="460"/>
      <c r="BH988" s="460"/>
      <c r="BI988" s="460"/>
      <c r="BJ988" s="460"/>
      <c r="BK988" s="460"/>
      <c r="BL988" s="460"/>
      <c r="BM988" s="460"/>
      <c r="BN988" s="460"/>
      <c r="BO988" s="460"/>
      <c r="BP988" s="460"/>
      <c r="BQ988" s="460"/>
      <c r="BR988" s="460"/>
      <c r="BS988" s="460"/>
      <c r="BT988" s="460"/>
      <c r="BU988" s="460"/>
      <c r="BV988" s="460"/>
      <c r="BW988" s="460"/>
      <c r="BX988" s="460"/>
      <c r="BY988" s="460"/>
      <c r="BZ988" s="460"/>
      <c r="CA988" s="460"/>
      <c r="CB988" s="460"/>
      <c r="CC988" s="460"/>
      <c r="CD988" s="460"/>
      <c r="CE988" s="460"/>
      <c r="CF988" s="460"/>
      <c r="CG988" s="460"/>
      <c r="CH988" s="460"/>
      <c r="CI988" s="460"/>
      <c r="CJ988" s="460"/>
      <c r="CK988" s="460"/>
    </row>
    <row r="989" spans="1:89" s="329" customFormat="1" ht="36" customHeight="1" x14ac:dyDescent="0.25">
      <c r="B989" s="33" t="s">
        <v>1420</v>
      </c>
      <c r="C989" s="33"/>
      <c r="D989" s="330" t="s">
        <v>131</v>
      </c>
      <c r="E989" s="330" t="s">
        <v>131</v>
      </c>
      <c r="F989" s="330" t="s">
        <v>131</v>
      </c>
      <c r="G989" s="330" t="s">
        <v>131</v>
      </c>
      <c r="H989" s="330" t="s">
        <v>131</v>
      </c>
      <c r="I989" s="334">
        <f>SUM(I990:I993)</f>
        <v>2986.5999999999995</v>
      </c>
      <c r="J989" s="334">
        <f t="shared" ref="J989:L989" si="219">SUM(J990:J993)</f>
        <v>2755.5999999999995</v>
      </c>
      <c r="K989" s="334">
        <f t="shared" si="219"/>
        <v>2730.5999999999995</v>
      </c>
      <c r="L989" s="332">
        <f t="shared" si="219"/>
        <v>122</v>
      </c>
      <c r="M989" s="330" t="s">
        <v>131</v>
      </c>
      <c r="N989" s="330" t="s">
        <v>131</v>
      </c>
      <c r="O989" s="333" t="s">
        <v>131</v>
      </c>
      <c r="P989" s="38">
        <v>8045705.7599999988</v>
      </c>
      <c r="Q989" s="38">
        <f t="shared" ref="Q989:S989" si="220">SUM(Q990:Q993)</f>
        <v>0</v>
      </c>
      <c r="R989" s="38">
        <f t="shared" si="220"/>
        <v>0</v>
      </c>
      <c r="S989" s="38">
        <f t="shared" si="220"/>
        <v>8045705.7599999988</v>
      </c>
      <c r="T989" s="38">
        <f t="shared" si="215"/>
        <v>2693.934828902431</v>
      </c>
      <c r="U989" s="38">
        <f>MAX(U990:U993)</f>
        <v>5278.3804572271383</v>
      </c>
      <c r="V989" s="458">
        <f t="shared" si="210"/>
        <v>2584.4456283247073</v>
      </c>
      <c r="W989" s="458"/>
      <c r="X989" s="458"/>
      <c r="Y989" s="459"/>
      <c r="Z989" s="459"/>
      <c r="AA989" s="459"/>
      <c r="AB989" s="459"/>
      <c r="AC989" s="459"/>
      <c r="AD989" s="459"/>
      <c r="AE989" s="459"/>
      <c r="AF989" s="459"/>
      <c r="AG989" s="459"/>
      <c r="AH989" s="459"/>
      <c r="AI989" s="459"/>
      <c r="AJ989" s="459"/>
      <c r="AK989" s="459"/>
      <c r="AL989" s="459"/>
      <c r="AM989" s="459"/>
      <c r="AN989" s="459"/>
      <c r="AO989" s="459"/>
      <c r="AP989" s="460"/>
      <c r="AQ989" s="460"/>
      <c r="AR989" s="460"/>
      <c r="AS989" s="460"/>
      <c r="AT989" s="460"/>
      <c r="AU989" s="460"/>
      <c r="AV989" s="460"/>
      <c r="AW989" s="460"/>
      <c r="AX989" s="460"/>
      <c r="AY989" s="460"/>
      <c r="AZ989" s="460"/>
      <c r="BA989" s="460"/>
      <c r="BB989" s="460"/>
      <c r="BC989" s="460"/>
      <c r="BD989" s="460"/>
      <c r="BE989" s="460"/>
      <c r="BF989" s="460"/>
      <c r="BG989" s="460"/>
      <c r="BH989" s="460"/>
      <c r="BI989" s="460"/>
      <c r="BJ989" s="460"/>
      <c r="BK989" s="460"/>
      <c r="BL989" s="460"/>
      <c r="BM989" s="460"/>
      <c r="BN989" s="460"/>
      <c r="BO989" s="460"/>
      <c r="BP989" s="460"/>
      <c r="BQ989" s="460"/>
      <c r="BR989" s="460"/>
      <c r="BS989" s="460"/>
      <c r="BT989" s="460"/>
      <c r="BU989" s="460"/>
      <c r="BV989" s="460"/>
      <c r="BW989" s="460"/>
      <c r="BX989" s="460"/>
      <c r="BY989" s="460"/>
      <c r="BZ989" s="460"/>
      <c r="CA989" s="460"/>
      <c r="CB989" s="460"/>
      <c r="CC989" s="460"/>
      <c r="CD989" s="460"/>
      <c r="CE989" s="460"/>
      <c r="CF989" s="460"/>
      <c r="CG989" s="460"/>
      <c r="CH989" s="460"/>
      <c r="CI989" s="460"/>
      <c r="CJ989" s="460"/>
      <c r="CK989" s="460"/>
    </row>
    <row r="990" spans="1:89" s="329" customFormat="1" ht="36" customHeight="1" x14ac:dyDescent="0.25">
      <c r="A990" s="329">
        <v>1</v>
      </c>
      <c r="B990" s="39">
        <f>SUBTOTAL(103,$A$552:A990)</f>
        <v>377</v>
      </c>
      <c r="C990" s="33" t="s">
        <v>1423</v>
      </c>
      <c r="D990" s="330">
        <v>1973</v>
      </c>
      <c r="E990" s="330"/>
      <c r="F990" s="331" t="s">
        <v>48</v>
      </c>
      <c r="G990" s="330">
        <v>2</v>
      </c>
      <c r="H990" s="330" t="s">
        <v>56</v>
      </c>
      <c r="I990" s="38">
        <v>813.6</v>
      </c>
      <c r="J990" s="38">
        <v>752.3</v>
      </c>
      <c r="K990" s="38">
        <v>752.3</v>
      </c>
      <c r="L990" s="332">
        <v>39</v>
      </c>
      <c r="M990" s="330" t="s">
        <v>46</v>
      </c>
      <c r="N990" s="330" t="s">
        <v>47</v>
      </c>
      <c r="O990" s="333" t="s">
        <v>49</v>
      </c>
      <c r="P990" s="38">
        <v>3575027.3</v>
      </c>
      <c r="Q990" s="38">
        <v>0</v>
      </c>
      <c r="R990" s="38">
        <v>0</v>
      </c>
      <c r="S990" s="38">
        <f>P990-Q990-R990</f>
        <v>3575027.3</v>
      </c>
      <c r="T990" s="38">
        <f t="shared" si="215"/>
        <v>4394.0846853490657</v>
      </c>
      <c r="U990" s="38">
        <v>5278.3804572271383</v>
      </c>
      <c r="V990" s="458">
        <f t="shared" si="210"/>
        <v>884.29577187807263</v>
      </c>
      <c r="W990" s="458">
        <f t="shared" ref="W990:W992" si="221">X990+Y990+Z990+AA990+AB990+AD990+AF990+AH990+AJ990+AL990+AN990+AO990</f>
        <v>3259.66</v>
      </c>
      <c r="X990" s="458">
        <v>0</v>
      </c>
      <c r="Y990" s="459">
        <v>0</v>
      </c>
      <c r="Z990" s="459">
        <v>3259.66</v>
      </c>
      <c r="AA990" s="459">
        <v>0</v>
      </c>
      <c r="AB990" s="459">
        <v>0</v>
      </c>
      <c r="AC990" s="459">
        <v>0</v>
      </c>
      <c r="AD990" s="459">
        <v>0</v>
      </c>
      <c r="AE990" s="459">
        <v>0</v>
      </c>
      <c r="AF990" s="458">
        <v>0</v>
      </c>
      <c r="AG990" s="459">
        <v>0</v>
      </c>
      <c r="AH990" s="458">
        <v>0</v>
      </c>
      <c r="AI990" s="459">
        <v>0</v>
      </c>
      <c r="AJ990" s="458">
        <v>0</v>
      </c>
      <c r="AK990" s="459">
        <v>0</v>
      </c>
      <c r="AL990" s="459">
        <v>0</v>
      </c>
      <c r="AM990" s="459">
        <v>0</v>
      </c>
      <c r="AN990" s="459"/>
      <c r="AO990" s="459">
        <v>0</v>
      </c>
      <c r="AP990" s="460"/>
      <c r="AQ990" s="460"/>
      <c r="AR990" s="460"/>
      <c r="AS990" s="460"/>
      <c r="AT990" s="460"/>
      <c r="AU990" s="460"/>
      <c r="AV990" s="460"/>
      <c r="AW990" s="460"/>
      <c r="AX990" s="460"/>
      <c r="AY990" s="460"/>
      <c r="AZ990" s="460"/>
      <c r="BA990" s="460"/>
      <c r="BB990" s="460"/>
      <c r="BC990" s="460"/>
      <c r="BD990" s="460"/>
      <c r="BE990" s="460"/>
      <c r="BF990" s="460"/>
      <c r="BG990" s="460"/>
      <c r="BH990" s="460"/>
      <c r="BI990" s="460"/>
      <c r="BJ990" s="460"/>
      <c r="BK990" s="460"/>
      <c r="BL990" s="460"/>
      <c r="BM990" s="460"/>
      <c r="BN990" s="460"/>
      <c r="BO990" s="460"/>
      <c r="BP990" s="460"/>
      <c r="BQ990" s="460"/>
      <c r="BR990" s="460"/>
      <c r="BS990" s="460"/>
      <c r="BT990" s="460"/>
      <c r="BU990" s="460"/>
      <c r="BV990" s="460"/>
      <c r="BW990" s="460"/>
      <c r="BX990" s="460"/>
      <c r="BY990" s="460"/>
      <c r="BZ990" s="460"/>
      <c r="CA990" s="460"/>
      <c r="CB990" s="460"/>
      <c r="CC990" s="460"/>
      <c r="CD990" s="460"/>
      <c r="CE990" s="460"/>
      <c r="CF990" s="460"/>
      <c r="CG990" s="460"/>
      <c r="CH990" s="460"/>
      <c r="CI990" s="460"/>
      <c r="CJ990" s="460"/>
      <c r="CK990" s="460"/>
    </row>
    <row r="991" spans="1:89" s="329" customFormat="1" ht="36" customHeight="1" x14ac:dyDescent="0.25">
      <c r="A991" s="329">
        <v>1</v>
      </c>
      <c r="B991" s="39">
        <f>SUBTOTAL(103,$A$552:A991)</f>
        <v>378</v>
      </c>
      <c r="C991" s="33" t="s">
        <v>1696</v>
      </c>
      <c r="D991" s="330">
        <v>1973</v>
      </c>
      <c r="E991" s="330"/>
      <c r="F991" s="331" t="s">
        <v>48</v>
      </c>
      <c r="G991" s="330">
        <v>2</v>
      </c>
      <c r="H991" s="330" t="s">
        <v>56</v>
      </c>
      <c r="I991" s="38">
        <v>775.5</v>
      </c>
      <c r="J991" s="38">
        <v>715.8</v>
      </c>
      <c r="K991" s="38">
        <v>715.8</v>
      </c>
      <c r="L991" s="332">
        <v>31</v>
      </c>
      <c r="M991" s="330" t="s">
        <v>46</v>
      </c>
      <c r="N991" s="330" t="s">
        <v>50</v>
      </c>
      <c r="O991" s="333" t="s">
        <v>2113</v>
      </c>
      <c r="P991" s="38">
        <v>400289.33999999997</v>
      </c>
      <c r="Q991" s="38">
        <v>0</v>
      </c>
      <c r="R991" s="38">
        <v>0</v>
      </c>
      <c r="S991" s="38">
        <f>P991-R991-Q991</f>
        <v>400289.33999999997</v>
      </c>
      <c r="T991" s="38">
        <f t="shared" si="215"/>
        <v>516.16936170212762</v>
      </c>
      <c r="U991" s="38">
        <v>516.16936170212762</v>
      </c>
      <c r="V991" s="458">
        <f t="shared" si="210"/>
        <v>0</v>
      </c>
      <c r="W991" s="458">
        <f t="shared" si="221"/>
        <v>3259.66</v>
      </c>
      <c r="X991" s="458">
        <v>0</v>
      </c>
      <c r="Y991" s="459">
        <v>0</v>
      </c>
      <c r="Z991" s="459">
        <v>3259.66</v>
      </c>
      <c r="AA991" s="459">
        <v>0</v>
      </c>
      <c r="AB991" s="459">
        <v>0</v>
      </c>
      <c r="AC991" s="459">
        <v>0</v>
      </c>
      <c r="AD991" s="459">
        <v>0</v>
      </c>
      <c r="AE991" s="459">
        <v>0</v>
      </c>
      <c r="AF991" s="458">
        <v>0</v>
      </c>
      <c r="AG991" s="459">
        <v>0</v>
      </c>
      <c r="AH991" s="458">
        <v>0</v>
      </c>
      <c r="AI991" s="459">
        <v>0</v>
      </c>
      <c r="AJ991" s="458">
        <v>0</v>
      </c>
      <c r="AK991" s="459">
        <v>0</v>
      </c>
      <c r="AL991" s="459">
        <v>0</v>
      </c>
      <c r="AM991" s="459">
        <v>0</v>
      </c>
      <c r="AN991" s="459"/>
      <c r="AO991" s="459">
        <v>0</v>
      </c>
      <c r="AP991" s="460"/>
      <c r="AQ991" s="460"/>
      <c r="AR991" s="460"/>
      <c r="AS991" s="460"/>
      <c r="AT991" s="460"/>
      <c r="AU991" s="460"/>
      <c r="AV991" s="460"/>
      <c r="AW991" s="460"/>
      <c r="AX991" s="460"/>
      <c r="AY991" s="460"/>
      <c r="AZ991" s="460"/>
      <c r="BA991" s="460"/>
      <c r="BB991" s="460"/>
      <c r="BC991" s="460"/>
      <c r="BD991" s="460"/>
      <c r="BE991" s="460"/>
      <c r="BF991" s="460"/>
      <c r="BG991" s="460"/>
      <c r="BH991" s="460"/>
      <c r="BI991" s="460"/>
      <c r="BJ991" s="460"/>
      <c r="BK991" s="460"/>
      <c r="BL991" s="460"/>
      <c r="BM991" s="460"/>
      <c r="BN991" s="460"/>
      <c r="BO991" s="460"/>
      <c r="BP991" s="460"/>
      <c r="BQ991" s="460"/>
      <c r="BR991" s="460"/>
      <c r="BS991" s="460"/>
      <c r="BT991" s="460"/>
      <c r="BU991" s="460"/>
      <c r="BV991" s="460"/>
      <c r="BW991" s="460"/>
      <c r="BX991" s="460"/>
      <c r="BY991" s="460"/>
      <c r="BZ991" s="460"/>
      <c r="CA991" s="460"/>
      <c r="CB991" s="460"/>
      <c r="CC991" s="460"/>
      <c r="CD991" s="460"/>
      <c r="CE991" s="460"/>
      <c r="CF991" s="460"/>
      <c r="CG991" s="460"/>
      <c r="CH991" s="460"/>
      <c r="CI991" s="460"/>
      <c r="CJ991" s="460"/>
      <c r="CK991" s="460"/>
    </row>
    <row r="992" spans="1:89" s="329" customFormat="1" ht="36" customHeight="1" x14ac:dyDescent="0.25">
      <c r="A992" s="329">
        <v>1</v>
      </c>
      <c r="B992" s="39">
        <f>SUBTOTAL(103,$A$552:A992)</f>
        <v>379</v>
      </c>
      <c r="C992" s="33" t="s">
        <v>1421</v>
      </c>
      <c r="D992" s="330">
        <v>1978</v>
      </c>
      <c r="E992" s="330"/>
      <c r="F992" s="331" t="s">
        <v>60</v>
      </c>
      <c r="G992" s="330">
        <v>3</v>
      </c>
      <c r="H992" s="330" t="s">
        <v>56</v>
      </c>
      <c r="I992" s="38">
        <v>1015.3</v>
      </c>
      <c r="J992" s="38">
        <v>929.3</v>
      </c>
      <c r="K992" s="38">
        <v>929.3</v>
      </c>
      <c r="L992" s="332">
        <v>37</v>
      </c>
      <c r="M992" s="330" t="s">
        <v>46</v>
      </c>
      <c r="N992" s="330" t="s">
        <v>50</v>
      </c>
      <c r="O992" s="333" t="s">
        <v>2113</v>
      </c>
      <c r="P992" s="38">
        <v>3386066.8299999996</v>
      </c>
      <c r="Q992" s="38">
        <v>0</v>
      </c>
      <c r="R992" s="38">
        <v>0</v>
      </c>
      <c r="S992" s="38">
        <f>P992-R992-Q992</f>
        <v>3386066.8299999996</v>
      </c>
      <c r="T992" s="38">
        <f t="shared" si="215"/>
        <v>3335.0407071801437</v>
      </c>
      <c r="U992" s="38">
        <v>3446.2236875800254</v>
      </c>
      <c r="V992" s="458">
        <f t="shared" si="210"/>
        <v>111.18298039988167</v>
      </c>
      <c r="W992" s="458">
        <f t="shared" si="221"/>
        <v>3259.66</v>
      </c>
      <c r="X992" s="458">
        <v>0</v>
      </c>
      <c r="Y992" s="459">
        <v>0</v>
      </c>
      <c r="Z992" s="459">
        <v>3259.66</v>
      </c>
      <c r="AA992" s="459">
        <v>0</v>
      </c>
      <c r="AB992" s="459">
        <v>0</v>
      </c>
      <c r="AC992" s="459">
        <v>0</v>
      </c>
      <c r="AD992" s="459">
        <v>0</v>
      </c>
      <c r="AE992" s="459">
        <v>0</v>
      </c>
      <c r="AF992" s="458">
        <v>0</v>
      </c>
      <c r="AG992" s="459">
        <v>0</v>
      </c>
      <c r="AH992" s="458">
        <v>0</v>
      </c>
      <c r="AI992" s="459">
        <v>0</v>
      </c>
      <c r="AJ992" s="458">
        <v>0</v>
      </c>
      <c r="AK992" s="459">
        <v>0</v>
      </c>
      <c r="AL992" s="459">
        <v>0</v>
      </c>
      <c r="AM992" s="459">
        <v>0</v>
      </c>
      <c r="AN992" s="459"/>
      <c r="AO992" s="459">
        <v>0</v>
      </c>
      <c r="AP992" s="460"/>
      <c r="AQ992" s="460"/>
      <c r="AR992" s="460"/>
      <c r="AS992" s="460"/>
      <c r="AT992" s="460"/>
      <c r="AU992" s="460"/>
      <c r="AV992" s="460"/>
      <c r="AW992" s="460"/>
      <c r="AX992" s="460"/>
      <c r="AY992" s="460"/>
      <c r="AZ992" s="460"/>
      <c r="BA992" s="460"/>
      <c r="BB992" s="460"/>
      <c r="BC992" s="460"/>
      <c r="BD992" s="460"/>
      <c r="BE992" s="460"/>
      <c r="BF992" s="460"/>
      <c r="BG992" s="460"/>
      <c r="BH992" s="460"/>
      <c r="BI992" s="460"/>
      <c r="BJ992" s="460"/>
      <c r="BK992" s="460"/>
      <c r="BL992" s="460"/>
      <c r="BM992" s="460"/>
      <c r="BN992" s="460"/>
      <c r="BO992" s="460"/>
      <c r="BP992" s="460"/>
      <c r="BQ992" s="460"/>
      <c r="BR992" s="460"/>
      <c r="BS992" s="460"/>
      <c r="BT992" s="460"/>
      <c r="BU992" s="460"/>
      <c r="BV992" s="460"/>
      <c r="BW992" s="460"/>
      <c r="BX992" s="460"/>
      <c r="BY992" s="460"/>
      <c r="BZ992" s="460"/>
      <c r="CA992" s="460"/>
      <c r="CB992" s="460"/>
      <c r="CC992" s="460"/>
      <c r="CD992" s="460"/>
      <c r="CE992" s="460"/>
      <c r="CF992" s="460"/>
      <c r="CG992" s="460"/>
      <c r="CH992" s="460"/>
      <c r="CI992" s="460"/>
      <c r="CJ992" s="460"/>
      <c r="CK992" s="460"/>
    </row>
    <row r="993" spans="1:89" s="329" customFormat="1" ht="36" customHeight="1" x14ac:dyDescent="0.25">
      <c r="A993" s="329">
        <v>1</v>
      </c>
      <c r="B993" s="39">
        <f>SUBTOTAL(103,$A$552:A993)</f>
        <v>380</v>
      </c>
      <c r="C993" s="33" t="s">
        <v>1697</v>
      </c>
      <c r="D993" s="330">
        <v>1970</v>
      </c>
      <c r="E993" s="330"/>
      <c r="F993" s="331" t="s">
        <v>48</v>
      </c>
      <c r="G993" s="330">
        <v>2</v>
      </c>
      <c r="H993" s="330" t="s">
        <v>57</v>
      </c>
      <c r="I993" s="334">
        <v>382.2</v>
      </c>
      <c r="J993" s="334">
        <v>358.2</v>
      </c>
      <c r="K993" s="334">
        <v>333.2</v>
      </c>
      <c r="L993" s="332">
        <v>15</v>
      </c>
      <c r="M993" s="330" t="s">
        <v>46</v>
      </c>
      <c r="N993" s="330" t="s">
        <v>50</v>
      </c>
      <c r="O993" s="333" t="s">
        <v>2172</v>
      </c>
      <c r="P993" s="38">
        <v>684322.28999999992</v>
      </c>
      <c r="Q993" s="38">
        <v>0</v>
      </c>
      <c r="R993" s="38">
        <v>0</v>
      </c>
      <c r="S993" s="38">
        <f>P993-Q993-R993</f>
        <v>684322.28999999992</v>
      </c>
      <c r="T993" s="38">
        <f t="shared" si="215"/>
        <v>1790.4821821036105</v>
      </c>
      <c r="U993" s="38">
        <v>1790.4821821036105</v>
      </c>
      <c r="V993" s="458">
        <f>U993-T993</f>
        <v>0</v>
      </c>
      <c r="W993" s="458">
        <f>X993+Y993+Z993+AA993+AB993+AD993+AF993+AH993+AJ993+AL993+AN993+AO993</f>
        <v>11198.043589743589</v>
      </c>
      <c r="X993" s="458">
        <v>0</v>
      </c>
      <c r="Y993" s="459">
        <v>0</v>
      </c>
      <c r="Z993" s="459">
        <v>0</v>
      </c>
      <c r="AA993" s="459">
        <v>0</v>
      </c>
      <c r="AB993" s="459">
        <v>0</v>
      </c>
      <c r="AC993" s="459">
        <v>0</v>
      </c>
      <c r="AD993" s="459">
        <v>0</v>
      </c>
      <c r="AE993" s="459">
        <v>686</v>
      </c>
      <c r="AF993" s="458">
        <f>6238.91*AE993/I993</f>
        <v>11198.043589743589</v>
      </c>
      <c r="AG993" s="459">
        <v>0</v>
      </c>
      <c r="AH993" s="458">
        <v>0</v>
      </c>
      <c r="AI993" s="459">
        <v>0</v>
      </c>
      <c r="AJ993" s="458">
        <v>0</v>
      </c>
      <c r="AK993" s="459">
        <v>0</v>
      </c>
      <c r="AL993" s="459">
        <v>0</v>
      </c>
      <c r="AM993" s="459">
        <v>0</v>
      </c>
      <c r="AN993" s="459"/>
      <c r="AO993" s="459">
        <v>0</v>
      </c>
      <c r="AP993" s="460"/>
      <c r="AQ993" s="460"/>
      <c r="AR993" s="460"/>
      <c r="AS993" s="460"/>
      <c r="AT993" s="460"/>
      <c r="AU993" s="460"/>
      <c r="AV993" s="460"/>
      <c r="AW993" s="460"/>
      <c r="AX993" s="460"/>
      <c r="AY993" s="460"/>
      <c r="AZ993" s="460"/>
      <c r="BA993" s="460"/>
      <c r="BB993" s="460"/>
      <c r="BC993" s="460"/>
      <c r="BD993" s="460"/>
      <c r="BE993" s="460"/>
      <c r="BF993" s="460"/>
      <c r="BG993" s="460"/>
      <c r="BH993" s="460"/>
      <c r="BI993" s="460"/>
      <c r="BJ993" s="460"/>
      <c r="BK993" s="460"/>
      <c r="BL993" s="460"/>
      <c r="BM993" s="460"/>
      <c r="BN993" s="460"/>
      <c r="BO993" s="460"/>
      <c r="BP993" s="460"/>
      <c r="BQ993" s="460"/>
      <c r="BR993" s="460"/>
      <c r="BS993" s="460"/>
      <c r="BT993" s="460"/>
      <c r="BU993" s="460"/>
      <c r="BV993" s="460"/>
      <c r="BW993" s="460"/>
      <c r="BX993" s="460"/>
      <c r="BY993" s="460"/>
      <c r="BZ993" s="460"/>
      <c r="CA993" s="460"/>
      <c r="CB993" s="460"/>
      <c r="CC993" s="460"/>
      <c r="CD993" s="460"/>
      <c r="CE993" s="460"/>
      <c r="CF993" s="460"/>
      <c r="CG993" s="460"/>
      <c r="CH993" s="460"/>
      <c r="CI993" s="460"/>
      <c r="CJ993" s="460"/>
      <c r="CK993" s="460"/>
    </row>
    <row r="994" spans="1:89" s="329" customFormat="1" ht="36" customHeight="1" x14ac:dyDescent="0.25">
      <c r="B994" s="33" t="s">
        <v>1427</v>
      </c>
      <c r="C994" s="33"/>
      <c r="D994" s="330" t="s">
        <v>131</v>
      </c>
      <c r="E994" s="330" t="s">
        <v>131</v>
      </c>
      <c r="F994" s="330" t="s">
        <v>131</v>
      </c>
      <c r="G994" s="330" t="s">
        <v>131</v>
      </c>
      <c r="H994" s="330" t="s">
        <v>131</v>
      </c>
      <c r="I994" s="334">
        <f>I995</f>
        <v>791.9</v>
      </c>
      <c r="J994" s="334">
        <f>J995</f>
        <v>736.9</v>
      </c>
      <c r="K994" s="334">
        <f>K995</f>
        <v>695.3</v>
      </c>
      <c r="L994" s="332">
        <f>L995</f>
        <v>27</v>
      </c>
      <c r="M994" s="330" t="s">
        <v>131</v>
      </c>
      <c r="N994" s="330" t="s">
        <v>131</v>
      </c>
      <c r="O994" s="333" t="s">
        <v>131</v>
      </c>
      <c r="P994" s="38">
        <v>3415978.9200000004</v>
      </c>
      <c r="Q994" s="38">
        <f>Q995</f>
        <v>0</v>
      </c>
      <c r="R994" s="38">
        <f>R995</f>
        <v>0</v>
      </c>
      <c r="S994" s="38">
        <f>S995</f>
        <v>3415978.9200000004</v>
      </c>
      <c r="T994" s="38">
        <f t="shared" si="215"/>
        <v>4313.649349665362</v>
      </c>
      <c r="U994" s="38">
        <f>U995</f>
        <v>5007.2033665866893</v>
      </c>
      <c r="V994" s="458">
        <f t="shared" ref="V994" si="222">U994-T994</f>
        <v>693.55401692132727</v>
      </c>
      <c r="W994" s="458"/>
      <c r="X994" s="458"/>
      <c r="Y994" s="459"/>
      <c r="Z994" s="459"/>
      <c r="AA994" s="459"/>
      <c r="AB994" s="459"/>
      <c r="AC994" s="459"/>
      <c r="AD994" s="459"/>
      <c r="AE994" s="459"/>
      <c r="AF994" s="459"/>
      <c r="AG994" s="459"/>
      <c r="AH994" s="459"/>
      <c r="AI994" s="459"/>
      <c r="AJ994" s="459"/>
      <c r="AK994" s="459"/>
      <c r="AL994" s="459"/>
      <c r="AM994" s="459"/>
      <c r="AN994" s="459"/>
      <c r="AO994" s="459"/>
      <c r="AP994" s="460"/>
      <c r="AQ994" s="460"/>
      <c r="AR994" s="460"/>
      <c r="AS994" s="460"/>
      <c r="AT994" s="460"/>
      <c r="AU994" s="460"/>
      <c r="AV994" s="460"/>
      <c r="AW994" s="460"/>
      <c r="AX994" s="460"/>
      <c r="AY994" s="460"/>
      <c r="AZ994" s="460"/>
      <c r="BA994" s="460"/>
      <c r="BB994" s="460"/>
      <c r="BC994" s="460"/>
      <c r="BD994" s="460"/>
      <c r="BE994" s="460"/>
      <c r="BF994" s="460"/>
      <c r="BG994" s="460"/>
      <c r="BH994" s="460"/>
      <c r="BI994" s="460"/>
      <c r="BJ994" s="460"/>
      <c r="BK994" s="460"/>
      <c r="BL994" s="460"/>
      <c r="BM994" s="460"/>
      <c r="BN994" s="460"/>
      <c r="BO994" s="460"/>
      <c r="BP994" s="460"/>
      <c r="BQ994" s="460"/>
      <c r="BR994" s="460"/>
      <c r="BS994" s="460"/>
      <c r="BT994" s="460"/>
      <c r="BU994" s="460"/>
      <c r="BV994" s="460"/>
      <c r="BW994" s="460"/>
      <c r="BX994" s="460"/>
      <c r="BY994" s="460"/>
      <c r="BZ994" s="460"/>
      <c r="CA994" s="460"/>
      <c r="CB994" s="460"/>
      <c r="CC994" s="460"/>
      <c r="CD994" s="460"/>
      <c r="CE994" s="460"/>
      <c r="CF994" s="460"/>
      <c r="CG994" s="460"/>
      <c r="CH994" s="460"/>
      <c r="CI994" s="460"/>
      <c r="CJ994" s="460"/>
      <c r="CK994" s="460"/>
    </row>
    <row r="995" spans="1:89" s="329" customFormat="1" ht="36" customHeight="1" x14ac:dyDescent="0.25">
      <c r="A995" s="329">
        <v>1</v>
      </c>
      <c r="B995" s="39">
        <f>SUBTOTAL(103,$A$552:A995)</f>
        <v>381</v>
      </c>
      <c r="C995" s="33" t="s">
        <v>1428</v>
      </c>
      <c r="D995" s="330">
        <v>1979</v>
      </c>
      <c r="E995" s="330"/>
      <c r="F995" s="331" t="s">
        <v>48</v>
      </c>
      <c r="G995" s="330">
        <v>2</v>
      </c>
      <c r="H995" s="330" t="s">
        <v>56</v>
      </c>
      <c r="I995" s="334">
        <v>791.9</v>
      </c>
      <c r="J995" s="334">
        <v>736.9</v>
      </c>
      <c r="K995" s="334">
        <v>695.3</v>
      </c>
      <c r="L995" s="332">
        <v>27</v>
      </c>
      <c r="M995" s="330" t="s">
        <v>46</v>
      </c>
      <c r="N995" s="330" t="s">
        <v>47</v>
      </c>
      <c r="O995" s="333" t="s">
        <v>49</v>
      </c>
      <c r="P995" s="38">
        <v>3415978.9200000004</v>
      </c>
      <c r="Q995" s="38">
        <v>0</v>
      </c>
      <c r="R995" s="38">
        <v>0</v>
      </c>
      <c r="S995" s="38">
        <f>P995-Q995-R995</f>
        <v>3415978.9200000004</v>
      </c>
      <c r="T995" s="38">
        <f t="shared" si="215"/>
        <v>4313.649349665362</v>
      </c>
      <c r="U995" s="38">
        <v>5007.2033665866893</v>
      </c>
      <c r="V995" s="458">
        <f>U995-T995</f>
        <v>693.55401692132727</v>
      </c>
      <c r="W995" s="458">
        <f>X995+Y995+Z995+AA995+AB995+AD995+AF995+AH995+AJ995+AL995+AN995+AO995</f>
        <v>4990.1825912362665</v>
      </c>
      <c r="X995" s="458">
        <v>0</v>
      </c>
      <c r="Y995" s="459">
        <v>0</v>
      </c>
      <c r="Z995" s="459">
        <v>0</v>
      </c>
      <c r="AA995" s="459">
        <v>0</v>
      </c>
      <c r="AB995" s="459">
        <v>0</v>
      </c>
      <c r="AC995" s="459">
        <v>0</v>
      </c>
      <c r="AD995" s="459">
        <v>0</v>
      </c>
      <c r="AE995" s="459">
        <v>633.4</v>
      </c>
      <c r="AF995" s="458">
        <f>6238.91*AE995/I995</f>
        <v>4990.1825912362665</v>
      </c>
      <c r="AG995" s="459">
        <v>0</v>
      </c>
      <c r="AH995" s="458">
        <v>0</v>
      </c>
      <c r="AI995" s="459">
        <v>0</v>
      </c>
      <c r="AJ995" s="458">
        <v>0</v>
      </c>
      <c r="AK995" s="459">
        <v>0</v>
      </c>
      <c r="AL995" s="459">
        <v>0</v>
      </c>
      <c r="AM995" s="459">
        <v>0</v>
      </c>
      <c r="AN995" s="459"/>
      <c r="AO995" s="459">
        <v>0</v>
      </c>
      <c r="AP995" s="460"/>
      <c r="AQ995" s="460"/>
      <c r="AR995" s="460"/>
      <c r="AS995" s="460"/>
      <c r="AT995" s="460"/>
      <c r="AU995" s="460"/>
      <c r="AV995" s="460"/>
      <c r="AW995" s="460"/>
      <c r="AX995" s="460"/>
      <c r="AY995" s="460"/>
      <c r="AZ995" s="460"/>
      <c r="BA995" s="460"/>
      <c r="BB995" s="460"/>
      <c r="BC995" s="460"/>
      <c r="BD995" s="460"/>
      <c r="BE995" s="460"/>
      <c r="BF995" s="460"/>
      <c r="BG995" s="460"/>
      <c r="BH995" s="460"/>
      <c r="BI995" s="460"/>
      <c r="BJ995" s="460"/>
      <c r="BK995" s="460"/>
      <c r="BL995" s="460"/>
      <c r="BM995" s="460"/>
      <c r="BN995" s="460"/>
      <c r="BO995" s="460"/>
      <c r="BP995" s="460"/>
      <c r="BQ995" s="460"/>
      <c r="BR995" s="460"/>
      <c r="BS995" s="460"/>
      <c r="BT995" s="460"/>
      <c r="BU995" s="460"/>
      <c r="BV995" s="460"/>
      <c r="BW995" s="460"/>
      <c r="BX995" s="460"/>
      <c r="BY995" s="460"/>
      <c r="BZ995" s="460"/>
      <c r="CA995" s="460"/>
      <c r="CB995" s="460"/>
      <c r="CC995" s="460"/>
      <c r="CD995" s="460"/>
      <c r="CE995" s="460"/>
      <c r="CF995" s="460"/>
      <c r="CG995" s="460"/>
      <c r="CH995" s="460"/>
      <c r="CI995" s="460"/>
      <c r="CJ995" s="460"/>
      <c r="CK995" s="460"/>
    </row>
    <row r="996" spans="1:89" s="329" customFormat="1" ht="36" customHeight="1" x14ac:dyDescent="0.25">
      <c r="B996" s="33" t="s">
        <v>1424</v>
      </c>
      <c r="C996" s="33"/>
      <c r="D996" s="330" t="s">
        <v>131</v>
      </c>
      <c r="E996" s="330" t="s">
        <v>131</v>
      </c>
      <c r="F996" s="330" t="s">
        <v>131</v>
      </c>
      <c r="G996" s="330" t="s">
        <v>131</v>
      </c>
      <c r="H996" s="330" t="s">
        <v>131</v>
      </c>
      <c r="I996" s="334">
        <f>I997</f>
        <v>212.1</v>
      </c>
      <c r="J996" s="334">
        <f>J997</f>
        <v>212.1</v>
      </c>
      <c r="K996" s="334">
        <f>K997</f>
        <v>187.1</v>
      </c>
      <c r="L996" s="332">
        <f>L997</f>
        <v>7</v>
      </c>
      <c r="M996" s="330" t="s">
        <v>131</v>
      </c>
      <c r="N996" s="330" t="s">
        <v>131</v>
      </c>
      <c r="O996" s="333" t="s">
        <v>131</v>
      </c>
      <c r="P996" s="38">
        <v>236034.47</v>
      </c>
      <c r="Q996" s="38">
        <f>Q997</f>
        <v>0</v>
      </c>
      <c r="R996" s="38">
        <f>R997</f>
        <v>0</v>
      </c>
      <c r="S996" s="38">
        <f>S997</f>
        <v>236034.47</v>
      </c>
      <c r="T996" s="38">
        <f t="shared" si="215"/>
        <v>1112.8452145214521</v>
      </c>
      <c r="U996" s="38">
        <f>U997</f>
        <v>1112.8452145214521</v>
      </c>
      <c r="V996" s="458">
        <f t="shared" si="210"/>
        <v>0</v>
      </c>
      <c r="W996" s="458"/>
      <c r="X996" s="458"/>
      <c r="Y996" s="459"/>
      <c r="Z996" s="459"/>
      <c r="AA996" s="459"/>
      <c r="AB996" s="459"/>
      <c r="AC996" s="459"/>
      <c r="AD996" s="459"/>
      <c r="AE996" s="459"/>
      <c r="AF996" s="459"/>
      <c r="AG996" s="459"/>
      <c r="AH996" s="459"/>
      <c r="AI996" s="459"/>
      <c r="AJ996" s="459"/>
      <c r="AK996" s="459"/>
      <c r="AL996" s="459"/>
      <c r="AM996" s="459"/>
      <c r="AN996" s="459"/>
      <c r="AO996" s="459"/>
      <c r="AP996" s="460"/>
      <c r="AQ996" s="460"/>
      <c r="AR996" s="460"/>
      <c r="AS996" s="460"/>
      <c r="AT996" s="460"/>
      <c r="AU996" s="460"/>
      <c r="AV996" s="460"/>
      <c r="AW996" s="460"/>
      <c r="AX996" s="460"/>
      <c r="AY996" s="460"/>
      <c r="AZ996" s="460"/>
      <c r="BA996" s="460"/>
      <c r="BB996" s="460"/>
      <c r="BC996" s="460"/>
      <c r="BD996" s="460"/>
      <c r="BE996" s="460"/>
      <c r="BF996" s="460"/>
      <c r="BG996" s="460"/>
      <c r="BH996" s="460"/>
      <c r="BI996" s="460"/>
      <c r="BJ996" s="460"/>
      <c r="BK996" s="460"/>
      <c r="BL996" s="460"/>
      <c r="BM996" s="460"/>
      <c r="BN996" s="460"/>
      <c r="BO996" s="460"/>
      <c r="BP996" s="460"/>
      <c r="BQ996" s="460"/>
      <c r="BR996" s="460"/>
      <c r="BS996" s="460"/>
      <c r="BT996" s="460"/>
      <c r="BU996" s="460"/>
      <c r="BV996" s="460"/>
      <c r="BW996" s="460"/>
      <c r="BX996" s="460"/>
      <c r="BY996" s="460"/>
      <c r="BZ996" s="460"/>
      <c r="CA996" s="460"/>
      <c r="CB996" s="460"/>
      <c r="CC996" s="460"/>
      <c r="CD996" s="460"/>
      <c r="CE996" s="460"/>
      <c r="CF996" s="460"/>
      <c r="CG996" s="460"/>
      <c r="CH996" s="460"/>
      <c r="CI996" s="460"/>
      <c r="CJ996" s="460"/>
      <c r="CK996" s="460"/>
    </row>
    <row r="997" spans="1:89" s="329" customFormat="1" ht="36" customHeight="1" x14ac:dyDescent="0.25">
      <c r="A997" s="329">
        <v>1</v>
      </c>
      <c r="B997" s="39">
        <f>SUBTOTAL(103,$A$552:A997)</f>
        <v>382</v>
      </c>
      <c r="C997" s="33" t="s">
        <v>1698</v>
      </c>
      <c r="D997" s="330">
        <v>1962</v>
      </c>
      <c r="E997" s="330"/>
      <c r="F997" s="331" t="s">
        <v>48</v>
      </c>
      <c r="G997" s="330">
        <v>2</v>
      </c>
      <c r="H997" s="330" t="s">
        <v>57</v>
      </c>
      <c r="I997" s="334">
        <v>212.1</v>
      </c>
      <c r="J997" s="334">
        <v>212.1</v>
      </c>
      <c r="K997" s="334">
        <v>187.1</v>
      </c>
      <c r="L997" s="332">
        <v>7</v>
      </c>
      <c r="M997" s="330" t="s">
        <v>46</v>
      </c>
      <c r="N997" s="330" t="s">
        <v>47</v>
      </c>
      <c r="O997" s="333" t="s">
        <v>49</v>
      </c>
      <c r="P997" s="38">
        <v>236034.47</v>
      </c>
      <c r="Q997" s="38">
        <v>0</v>
      </c>
      <c r="R997" s="38">
        <v>0</v>
      </c>
      <c r="S997" s="38">
        <f>P997-Q997-R997</f>
        <v>236034.47</v>
      </c>
      <c r="T997" s="38">
        <f t="shared" si="215"/>
        <v>1112.8452145214521</v>
      </c>
      <c r="U997" s="38">
        <v>1112.8452145214521</v>
      </c>
      <c r="V997" s="458">
        <f>U997-T997</f>
        <v>0</v>
      </c>
      <c r="W997" s="458">
        <f>X997+Y997+Z997+AA997+AB997+AD997+AF997+AH997+AJ997+AL997+AN997+AO997</f>
        <v>18631.426657237153</v>
      </c>
      <c r="X997" s="458">
        <v>0</v>
      </c>
      <c r="Y997" s="459">
        <v>0</v>
      </c>
      <c r="Z997" s="459">
        <v>0</v>
      </c>
      <c r="AA997" s="459">
        <v>0</v>
      </c>
      <c r="AB997" s="459">
        <v>0</v>
      </c>
      <c r="AC997" s="459">
        <v>0</v>
      </c>
      <c r="AD997" s="459">
        <v>0</v>
      </c>
      <c r="AE997" s="459">
        <v>633.4</v>
      </c>
      <c r="AF997" s="458">
        <f>6238.91*AE997/I997</f>
        <v>18631.426657237153</v>
      </c>
      <c r="AG997" s="459">
        <v>0</v>
      </c>
      <c r="AH997" s="458">
        <v>0</v>
      </c>
      <c r="AI997" s="459">
        <v>0</v>
      </c>
      <c r="AJ997" s="458">
        <v>0</v>
      </c>
      <c r="AK997" s="459">
        <v>0</v>
      </c>
      <c r="AL997" s="459">
        <v>0</v>
      </c>
      <c r="AM997" s="459">
        <v>0</v>
      </c>
      <c r="AN997" s="459"/>
      <c r="AO997" s="459">
        <v>0</v>
      </c>
      <c r="AP997" s="460"/>
      <c r="AQ997" s="460"/>
      <c r="AR997" s="460"/>
      <c r="AS997" s="460"/>
      <c r="AT997" s="460"/>
      <c r="AU997" s="460"/>
      <c r="AV997" s="460"/>
      <c r="AW997" s="460"/>
      <c r="AX997" s="460"/>
      <c r="AY997" s="460"/>
      <c r="AZ997" s="460"/>
      <c r="BA997" s="460"/>
      <c r="BB997" s="460"/>
      <c r="BC997" s="460"/>
      <c r="BD997" s="460"/>
      <c r="BE997" s="460"/>
      <c r="BF997" s="460"/>
      <c r="BG997" s="460"/>
      <c r="BH997" s="460"/>
      <c r="BI997" s="460"/>
      <c r="BJ997" s="460"/>
      <c r="BK997" s="460"/>
      <c r="BL997" s="460"/>
      <c r="BM997" s="460"/>
      <c r="BN997" s="460"/>
      <c r="BO997" s="460"/>
      <c r="BP997" s="460"/>
      <c r="BQ997" s="460"/>
      <c r="BR997" s="460"/>
      <c r="BS997" s="460"/>
      <c r="BT997" s="460"/>
      <c r="BU997" s="460"/>
      <c r="BV997" s="460"/>
      <c r="BW997" s="460"/>
      <c r="BX997" s="460"/>
      <c r="BY997" s="460"/>
      <c r="BZ997" s="460"/>
      <c r="CA997" s="460"/>
      <c r="CB997" s="460"/>
      <c r="CC997" s="460"/>
      <c r="CD997" s="460"/>
      <c r="CE997" s="460"/>
      <c r="CF997" s="460"/>
      <c r="CG997" s="460"/>
      <c r="CH997" s="460"/>
      <c r="CI997" s="460"/>
      <c r="CJ997" s="460"/>
      <c r="CK997" s="460"/>
    </row>
    <row r="998" spans="1:89" s="329" customFormat="1" ht="36" customHeight="1" x14ac:dyDescent="0.25">
      <c r="B998" s="33" t="s">
        <v>1699</v>
      </c>
      <c r="C998" s="457"/>
      <c r="D998" s="330" t="s">
        <v>131</v>
      </c>
      <c r="E998" s="330" t="s">
        <v>131</v>
      </c>
      <c r="F998" s="330" t="s">
        <v>131</v>
      </c>
      <c r="G998" s="330" t="s">
        <v>131</v>
      </c>
      <c r="H998" s="330" t="s">
        <v>131</v>
      </c>
      <c r="I998" s="334">
        <f>I999+I1062+I1077+I1104+I1116+I1119+I1128+I1131+I1135+I1138+I1140+I1142+I1145+I1147+I1149+I1156+I1160+I1162+I1164+I1166+I1169+I1172+I1174+I1176+I1178+I1185+I1188+I1192+I1195+I1197+I1201+I1203+I1205+I1207+I1209+I1211+I1213+I1217+I1219+I1221+I1223+I1227+I1229+I1231+I1233+I1236+I1240+I1244+I1248+I1251+I1253+I1255+I1258+I1262+I1264+I1266+I1268+I1272</f>
        <v>539373.54</v>
      </c>
      <c r="J998" s="334">
        <f>J999+J1062+J1077+J1104+J1116+J1119+J1128+J1131+J1135+J1138+J1140+J1142+J1145+J1147+J1149+J1156+J1160+J1162+J1164+J1166+J1169+J1172+J1174+J1176+J1178+J1185+J1188+J1192+J1195+J1197+J1201+J1203+J1205+J1207+J1209+J1211+J1213+J1217+J1219+J1221+J1223+J1227+J1229+J1231+J1233+J1236+J1240+J1244+J1248+J1251+J1253+J1255+J1258+J1262+J1264+J1266+J1268+J1272</f>
        <v>448632.93</v>
      </c>
      <c r="K998" s="334">
        <f>K999+K1062+K1077+K1104+K1116+K1119+K1128+K1131+K1135+K1138+K1140+K1142+K1145+K1147+K1149+K1156+K1160+K1162+K1164+K1166+K1169+K1172+K1174+K1176+K1178+K1185+K1188+K1192+K1195+K1197+K1201+K1203+K1205+K1207+K1209+K1211+K1213+K1217+K1219+K1221+K1223+K1227+K1229+K1231+K1233+K1236+K1240+K1244+K1248+K1251+K1253+K1255+K1258+K1262+K1264+K1266+K1268+K1272</f>
        <v>380635.3</v>
      </c>
      <c r="L998" s="332">
        <f>L999+L1062+L1077+L1104+L1116+L1119+L1128+L1131+L1135+L1138+L1140+L1142+L1145+L1147+L1149+L1156+L1160+L1162+L1164+L1166+L1169+L1172+L1174+L1176+L1178+L1185+L1188+L1192+L1195+L1197+L1201+L1203+L1205+L1207+L1209+L1211+L1213+L1217+L1219+L1221+L1223+L1227+L1229+L1231+L1233+L1236+L1240+L1244+L1248+L1251+L1253+L1255+L1258+L1262+L1264+L1266+L1268+L1272</f>
        <v>20582</v>
      </c>
      <c r="M998" s="330" t="s">
        <v>131</v>
      </c>
      <c r="N998" s="330" t="s">
        <v>131</v>
      </c>
      <c r="O998" s="333" t="s">
        <v>131</v>
      </c>
      <c r="P998" s="334">
        <v>814479561.79999995</v>
      </c>
      <c r="Q998" s="334">
        <f>Q999+Q1062+Q1077+Q1104+Q1116+Q1119+Q1128+Q1131+Q1135+Q1138+Q1140+Q1142+Q1145+Q1147+Q1149+Q1156+Q1160+Q1162+Q1164+Q1166+Q1169+Q1172+Q1174+Q1176+Q1178+Q1185+Q1188+Q1192+Q1195+Q1197+Q1201+Q1203+Q1205+Q1207+Q1209+Q1211+Q1213+Q1217+Q1219+Q1221+Q1223+Q1227+Q1229+Q1231+Q1233+Q1236+Q1240+Q1244+Q1248+Q1251+Q1253+Q1255+Q1258+Q1262+Q1264+Q1266+Q1268+Q1272</f>
        <v>0</v>
      </c>
      <c r="R998" s="334">
        <f>R999+R1062+R1077+R1104+R1116+R1119+R1128+R1131+R1135+R1138+R1140+R1142+R1145+R1147+R1149+R1156+R1160+R1162+R1164+R1166+R1169+R1172+R1174+R1176+R1178+R1185+R1188+R1192+R1195+R1197+R1201+R1203+R1205+R1207+R1209+R1211+R1213+R1217+R1219+R1221+R1223+R1227+R1229+R1231+R1233+R1236+R1240+R1244+R1248+R1251+R1253+R1255+R1258+R1262+R1264+R1266+R1268+R1272</f>
        <v>1851570.68</v>
      </c>
      <c r="S998" s="334">
        <f>S999+S1062+S1077+S1104+S1116+S1119+S1128+S1131+S1135+S1138+S1140+S1142+S1145+S1147+S1149+S1156+S1160+S1162+S1164+S1166+S1169+S1172+S1174+S1176+S1178+S1185+S1188+S1192+S1195+S1197+S1201+S1203+S1205+S1207+S1209+S1211+S1213+S1217+S1219+S1221+S1223+S1227+S1229+S1231+S1233+S1236+S1240+S1244+S1248+S1251+S1253+S1255+S1258+S1262+S1264+S1266+S1268+S1272</f>
        <v>812627991.12</v>
      </c>
      <c r="T998" s="38">
        <f t="shared" si="215"/>
        <v>1510.0473074745191</v>
      </c>
      <c r="U998" s="38">
        <f>MAX(U999:U1272)</f>
        <v>10261.043032202908</v>
      </c>
      <c r="V998" s="458">
        <f t="shared" si="210"/>
        <v>8750.9957247283892</v>
      </c>
      <c r="W998" s="458"/>
      <c r="X998" s="458"/>
      <c r="Y998" s="459"/>
      <c r="Z998" s="459"/>
      <c r="AA998" s="459"/>
      <c r="AB998" s="459"/>
      <c r="AC998" s="459"/>
      <c r="AD998" s="459"/>
      <c r="AE998" s="459"/>
      <c r="AF998" s="459"/>
      <c r="AG998" s="459"/>
      <c r="AH998" s="459"/>
      <c r="AI998" s="459"/>
      <c r="AJ998" s="459"/>
      <c r="AK998" s="459"/>
      <c r="AL998" s="459"/>
      <c r="AM998" s="459"/>
      <c r="AN998" s="459"/>
      <c r="AO998" s="459"/>
      <c r="AP998" s="460"/>
      <c r="AQ998" s="460"/>
      <c r="AR998" s="460"/>
      <c r="AS998" s="460"/>
      <c r="AT998" s="460"/>
      <c r="AU998" s="460"/>
      <c r="AV998" s="460"/>
      <c r="AW998" s="460"/>
      <c r="AX998" s="460"/>
      <c r="AY998" s="460"/>
      <c r="AZ998" s="460"/>
      <c r="BA998" s="460"/>
      <c r="BB998" s="460"/>
      <c r="BC998" s="460"/>
      <c r="BD998" s="460"/>
      <c r="BE998" s="460"/>
      <c r="BF998" s="460"/>
      <c r="BG998" s="460"/>
      <c r="BH998" s="460"/>
      <c r="BI998" s="460"/>
      <c r="BJ998" s="460"/>
      <c r="BK998" s="460"/>
      <c r="BL998" s="460"/>
      <c r="BM998" s="460"/>
      <c r="BN998" s="460"/>
      <c r="BO998" s="460"/>
      <c r="BP998" s="460"/>
      <c r="BQ998" s="460"/>
      <c r="BR998" s="460"/>
      <c r="BS998" s="460"/>
      <c r="BT998" s="460"/>
      <c r="BU998" s="460"/>
      <c r="BV998" s="460"/>
      <c r="BW998" s="460"/>
      <c r="BX998" s="460"/>
      <c r="BY998" s="460"/>
      <c r="BZ998" s="460"/>
      <c r="CA998" s="460"/>
      <c r="CB998" s="460"/>
      <c r="CC998" s="460"/>
      <c r="CD998" s="460"/>
      <c r="CE998" s="460"/>
      <c r="CF998" s="460"/>
      <c r="CG998" s="460"/>
      <c r="CH998" s="460"/>
      <c r="CI998" s="460"/>
      <c r="CJ998" s="460"/>
      <c r="CK998" s="460"/>
    </row>
    <row r="999" spans="1:89" s="329" customFormat="1" ht="36" customHeight="1" x14ac:dyDescent="0.25">
      <c r="B999" s="33" t="s">
        <v>912</v>
      </c>
      <c r="C999" s="462"/>
      <c r="D999" s="330" t="s">
        <v>131</v>
      </c>
      <c r="E999" s="330" t="s">
        <v>131</v>
      </c>
      <c r="F999" s="330" t="s">
        <v>131</v>
      </c>
      <c r="G999" s="330" t="s">
        <v>131</v>
      </c>
      <c r="H999" s="330" t="s">
        <v>131</v>
      </c>
      <c r="I999" s="334">
        <f>SUM(I1000:I1061)</f>
        <v>231782.3</v>
      </c>
      <c r="J999" s="334">
        <f>SUM(J1000:J1061)</f>
        <v>188587.13999999998</v>
      </c>
      <c r="K999" s="334">
        <f>SUM(K1000:K1061)</f>
        <v>160359.69000000003</v>
      </c>
      <c r="L999" s="332">
        <f>SUM(L1000:L1061)</f>
        <v>8634</v>
      </c>
      <c r="M999" s="330" t="s">
        <v>131</v>
      </c>
      <c r="N999" s="330" t="s">
        <v>131</v>
      </c>
      <c r="O999" s="333" t="s">
        <v>131</v>
      </c>
      <c r="P999" s="334">
        <v>250058047.12</v>
      </c>
      <c r="Q999" s="334">
        <f>SUM(Q1000:Q1061)</f>
        <v>0</v>
      </c>
      <c r="R999" s="334">
        <f>SUM(R1000:R1061)</f>
        <v>0</v>
      </c>
      <c r="S999" s="334">
        <f>SUM(S1000:S1061)</f>
        <v>250058047.12</v>
      </c>
      <c r="T999" s="38">
        <f t="shared" si="215"/>
        <v>1078.8487607552433</v>
      </c>
      <c r="U999" s="38">
        <f>MAX(U1000:U1061)</f>
        <v>7399.6240147991557</v>
      </c>
      <c r="V999" s="458">
        <f t="shared" si="210"/>
        <v>6320.7752540439124</v>
      </c>
      <c r="W999" s="458"/>
      <c r="X999" s="458"/>
      <c r="Y999" s="459"/>
      <c r="Z999" s="459"/>
      <c r="AA999" s="459"/>
      <c r="AB999" s="459"/>
      <c r="AC999" s="459"/>
      <c r="AD999" s="459"/>
      <c r="AE999" s="459"/>
      <c r="AF999" s="459"/>
      <c r="AG999" s="459"/>
      <c r="AH999" s="459"/>
      <c r="AI999" s="459"/>
      <c r="AJ999" s="459"/>
      <c r="AK999" s="459"/>
      <c r="AL999" s="459"/>
      <c r="AM999" s="459"/>
      <c r="AN999" s="459"/>
      <c r="AO999" s="459"/>
      <c r="AP999" s="460"/>
      <c r="AQ999" s="460"/>
      <c r="AR999" s="460"/>
      <c r="AS999" s="460"/>
      <c r="AT999" s="460"/>
      <c r="AU999" s="460"/>
      <c r="AV999" s="460"/>
      <c r="AW999" s="460"/>
      <c r="AX999" s="460"/>
      <c r="AY999" s="460"/>
      <c r="AZ999" s="460"/>
      <c r="BA999" s="460"/>
      <c r="BB999" s="460"/>
      <c r="BC999" s="460"/>
      <c r="BD999" s="460"/>
      <c r="BE999" s="460"/>
      <c r="BF999" s="460"/>
      <c r="BG999" s="460"/>
      <c r="BH999" s="460"/>
      <c r="BI999" s="460"/>
      <c r="BJ999" s="460"/>
      <c r="BK999" s="460"/>
      <c r="BL999" s="460"/>
      <c r="BM999" s="460"/>
      <c r="BN999" s="460"/>
      <c r="BO999" s="460"/>
      <c r="BP999" s="460"/>
      <c r="BQ999" s="460"/>
      <c r="BR999" s="460"/>
      <c r="BS999" s="460"/>
      <c r="BT999" s="460"/>
      <c r="BU999" s="460"/>
      <c r="BV999" s="460"/>
      <c r="BW999" s="460"/>
      <c r="BX999" s="460"/>
      <c r="BY999" s="460"/>
      <c r="BZ999" s="460"/>
      <c r="CA999" s="460"/>
      <c r="CB999" s="460"/>
      <c r="CC999" s="460"/>
      <c r="CD999" s="460"/>
      <c r="CE999" s="460"/>
      <c r="CF999" s="460"/>
      <c r="CG999" s="460"/>
      <c r="CH999" s="460"/>
      <c r="CI999" s="460"/>
      <c r="CJ999" s="460"/>
      <c r="CK999" s="460"/>
    </row>
    <row r="1000" spans="1:89" s="329" customFormat="1" ht="36" customHeight="1" x14ac:dyDescent="0.25">
      <c r="A1000" s="329">
        <v>1</v>
      </c>
      <c r="B1000" s="39">
        <f>SUBTOTAL(103,$A1000:A$1000)</f>
        <v>1</v>
      </c>
      <c r="C1000" s="33" t="s">
        <v>1700</v>
      </c>
      <c r="D1000" s="330">
        <v>1962</v>
      </c>
      <c r="E1000" s="330"/>
      <c r="F1000" s="331" t="s">
        <v>48</v>
      </c>
      <c r="G1000" s="330">
        <v>3</v>
      </c>
      <c r="H1000" s="330" t="s">
        <v>56</v>
      </c>
      <c r="I1000" s="334">
        <v>970.2</v>
      </c>
      <c r="J1000" s="334">
        <v>615</v>
      </c>
      <c r="K1000" s="334">
        <v>615</v>
      </c>
      <c r="L1000" s="332">
        <v>53</v>
      </c>
      <c r="M1000" s="330" t="s">
        <v>46</v>
      </c>
      <c r="N1000" s="330" t="s">
        <v>50</v>
      </c>
      <c r="O1000" s="333" t="s">
        <v>2129</v>
      </c>
      <c r="P1000" s="38">
        <v>2200000</v>
      </c>
      <c r="Q1000" s="38">
        <v>0</v>
      </c>
      <c r="R1000" s="38">
        <v>0</v>
      </c>
      <c r="S1000" s="38">
        <f t="shared" ref="S1000:S1061" si="223">P1000-Q1000-R1000</f>
        <v>2200000</v>
      </c>
      <c r="T1000" s="38">
        <f t="shared" si="215"/>
        <v>2267.5736961451248</v>
      </c>
      <c r="U1000" s="38">
        <v>2658.4191713048854</v>
      </c>
      <c r="V1000" s="458">
        <f t="shared" si="210"/>
        <v>390.84547515976055</v>
      </c>
      <c r="W1000" s="458">
        <f t="shared" ref="W1000:W1061" si="224">X1000+Y1000+Z1000+AA1000+AB1000+AD1000+AF1000+AH1000+AJ1000+AL1000+AN1000+AO1000</f>
        <v>4732.8775097917951</v>
      </c>
      <c r="X1000" s="458">
        <v>0</v>
      </c>
      <c r="Y1000" s="459">
        <v>0</v>
      </c>
      <c r="Z1000" s="459">
        <v>0</v>
      </c>
      <c r="AA1000" s="459">
        <v>0</v>
      </c>
      <c r="AB1000" s="459">
        <v>0</v>
      </c>
      <c r="AC1000" s="459">
        <v>0</v>
      </c>
      <c r="AD1000" s="459">
        <v>0</v>
      </c>
      <c r="AE1000" s="459">
        <v>736</v>
      </c>
      <c r="AF1000" s="458">
        <f t="shared" ref="AF1000:AF1022" si="225">6238.91*AE1000/I1000</f>
        <v>4732.8775097917951</v>
      </c>
      <c r="AG1000" s="459">
        <v>0</v>
      </c>
      <c r="AH1000" s="458">
        <v>0</v>
      </c>
      <c r="AI1000" s="459">
        <v>0</v>
      </c>
      <c r="AJ1000" s="458">
        <v>0</v>
      </c>
      <c r="AK1000" s="459">
        <v>0</v>
      </c>
      <c r="AL1000" s="459">
        <v>0</v>
      </c>
      <c r="AM1000" s="459">
        <v>0</v>
      </c>
      <c r="AN1000" s="459"/>
      <c r="AO1000" s="459">
        <v>0</v>
      </c>
      <c r="AP1000" s="460"/>
      <c r="AQ1000" s="460"/>
      <c r="AR1000" s="460"/>
      <c r="AS1000" s="460"/>
      <c r="AT1000" s="460"/>
      <c r="AU1000" s="460"/>
      <c r="AV1000" s="460"/>
      <c r="AW1000" s="460"/>
      <c r="AX1000" s="460"/>
      <c r="AY1000" s="460"/>
      <c r="AZ1000" s="460"/>
      <c r="BA1000" s="460"/>
      <c r="BB1000" s="460"/>
      <c r="BC1000" s="460"/>
      <c r="BD1000" s="460"/>
      <c r="BE1000" s="460"/>
      <c r="BF1000" s="460"/>
      <c r="BG1000" s="460"/>
      <c r="BH1000" s="460"/>
      <c r="BI1000" s="460"/>
      <c r="BJ1000" s="460"/>
      <c r="BK1000" s="460"/>
      <c r="BL1000" s="460"/>
      <c r="BM1000" s="460"/>
      <c r="BN1000" s="460"/>
      <c r="BO1000" s="460"/>
      <c r="BP1000" s="460"/>
      <c r="BQ1000" s="460"/>
      <c r="BR1000" s="460"/>
      <c r="BS1000" s="460"/>
      <c r="BT1000" s="460"/>
      <c r="BU1000" s="460"/>
      <c r="BV1000" s="460"/>
      <c r="BW1000" s="460"/>
      <c r="BX1000" s="460"/>
      <c r="BY1000" s="460"/>
      <c r="BZ1000" s="460"/>
      <c r="CA1000" s="460"/>
      <c r="CB1000" s="460"/>
      <c r="CC1000" s="460"/>
      <c r="CD1000" s="460"/>
      <c r="CE1000" s="460"/>
      <c r="CF1000" s="460"/>
      <c r="CG1000" s="460"/>
      <c r="CH1000" s="460"/>
      <c r="CI1000" s="460"/>
      <c r="CJ1000" s="460"/>
      <c r="CK1000" s="460"/>
    </row>
    <row r="1001" spans="1:89" s="329" customFormat="1" ht="36" customHeight="1" x14ac:dyDescent="0.25">
      <c r="A1001" s="329">
        <v>1</v>
      </c>
      <c r="B1001" s="39">
        <f>SUBTOTAL(103,$A$1000:A1001)</f>
        <v>2</v>
      </c>
      <c r="C1001" s="33" t="s">
        <v>1701</v>
      </c>
      <c r="D1001" s="330" t="s">
        <v>2116</v>
      </c>
      <c r="E1001" s="330"/>
      <c r="F1001" s="331" t="s">
        <v>60</v>
      </c>
      <c r="G1001" s="330" t="s">
        <v>75</v>
      </c>
      <c r="H1001" s="330" t="s">
        <v>61</v>
      </c>
      <c r="I1001" s="334">
        <v>2819.1</v>
      </c>
      <c r="J1001" s="334">
        <v>2572.5</v>
      </c>
      <c r="K1001" s="334">
        <v>1698</v>
      </c>
      <c r="L1001" s="332">
        <v>109</v>
      </c>
      <c r="M1001" s="330" t="s">
        <v>46</v>
      </c>
      <c r="N1001" s="330" t="s">
        <v>50</v>
      </c>
      <c r="O1001" s="333" t="s">
        <v>1956</v>
      </c>
      <c r="P1001" s="38">
        <v>3283875.94</v>
      </c>
      <c r="Q1001" s="38">
        <v>0</v>
      </c>
      <c r="R1001" s="38">
        <v>0</v>
      </c>
      <c r="S1001" s="38">
        <f t="shared" si="223"/>
        <v>3283875.94</v>
      </c>
      <c r="T1001" s="38">
        <f t="shared" si="215"/>
        <v>1164.8667801780709</v>
      </c>
      <c r="U1001" s="38">
        <v>1603.2979248696392</v>
      </c>
      <c r="V1001" s="458">
        <f t="shared" si="210"/>
        <v>438.43114469156831</v>
      </c>
      <c r="W1001" s="458">
        <f t="shared" si="224"/>
        <v>509.0097194139974</v>
      </c>
      <c r="X1001" s="458">
        <v>0</v>
      </c>
      <c r="Y1001" s="459">
        <v>0</v>
      </c>
      <c r="Z1001" s="459">
        <v>0</v>
      </c>
      <c r="AA1001" s="459">
        <v>0</v>
      </c>
      <c r="AB1001" s="459">
        <v>0</v>
      </c>
      <c r="AC1001" s="459">
        <v>0</v>
      </c>
      <c r="AD1001" s="459">
        <v>0</v>
      </c>
      <c r="AE1001" s="459">
        <v>230</v>
      </c>
      <c r="AF1001" s="458">
        <f t="shared" si="225"/>
        <v>509.0097194139974</v>
      </c>
      <c r="AG1001" s="459">
        <v>0</v>
      </c>
      <c r="AH1001" s="458">
        <v>0</v>
      </c>
      <c r="AI1001" s="459">
        <v>0</v>
      </c>
      <c r="AJ1001" s="458">
        <v>0</v>
      </c>
      <c r="AK1001" s="459">
        <v>0</v>
      </c>
      <c r="AL1001" s="459">
        <v>0</v>
      </c>
      <c r="AM1001" s="459">
        <v>0</v>
      </c>
      <c r="AN1001" s="459"/>
      <c r="AO1001" s="459">
        <v>0</v>
      </c>
      <c r="AP1001" s="460"/>
      <c r="AQ1001" s="460"/>
      <c r="AR1001" s="460"/>
      <c r="AS1001" s="460"/>
      <c r="AT1001" s="460"/>
      <c r="AU1001" s="460"/>
      <c r="AV1001" s="460"/>
      <c r="AW1001" s="460"/>
      <c r="AX1001" s="460"/>
      <c r="AY1001" s="460"/>
      <c r="AZ1001" s="460"/>
      <c r="BA1001" s="460"/>
      <c r="BB1001" s="460"/>
      <c r="BC1001" s="460"/>
      <c r="BD1001" s="460"/>
      <c r="BE1001" s="460"/>
      <c r="BF1001" s="460"/>
      <c r="BG1001" s="460"/>
      <c r="BH1001" s="460"/>
      <c r="BI1001" s="460"/>
      <c r="BJ1001" s="460"/>
      <c r="BK1001" s="460"/>
      <c r="BL1001" s="460"/>
      <c r="BM1001" s="460"/>
      <c r="BN1001" s="460"/>
      <c r="BO1001" s="460"/>
      <c r="BP1001" s="460"/>
      <c r="BQ1001" s="460"/>
      <c r="BR1001" s="460"/>
      <c r="BS1001" s="460"/>
      <c r="BT1001" s="460"/>
      <c r="BU1001" s="460"/>
      <c r="BV1001" s="460"/>
      <c r="BW1001" s="460"/>
      <c r="BX1001" s="460"/>
      <c r="BY1001" s="460"/>
      <c r="BZ1001" s="460"/>
      <c r="CA1001" s="460"/>
      <c r="CB1001" s="460"/>
      <c r="CC1001" s="460"/>
      <c r="CD1001" s="460"/>
      <c r="CE1001" s="460"/>
      <c r="CF1001" s="460"/>
      <c r="CG1001" s="460"/>
      <c r="CH1001" s="460"/>
      <c r="CI1001" s="460"/>
      <c r="CJ1001" s="460"/>
      <c r="CK1001" s="460"/>
    </row>
    <row r="1002" spans="1:89" s="329" customFormat="1" ht="36" customHeight="1" x14ac:dyDescent="0.25">
      <c r="A1002" s="329">
        <v>1</v>
      </c>
      <c r="B1002" s="39">
        <f>SUBTOTAL(103,$A$1000:A1002)</f>
        <v>3</v>
      </c>
      <c r="C1002" s="33" t="s">
        <v>1702</v>
      </c>
      <c r="D1002" s="330" t="s">
        <v>2116</v>
      </c>
      <c r="E1002" s="330"/>
      <c r="F1002" s="331" t="s">
        <v>60</v>
      </c>
      <c r="G1002" s="330" t="s">
        <v>75</v>
      </c>
      <c r="H1002" s="330" t="s">
        <v>75</v>
      </c>
      <c r="I1002" s="334">
        <v>5771.6</v>
      </c>
      <c r="J1002" s="334">
        <v>4780.3999999999996</v>
      </c>
      <c r="K1002" s="334">
        <v>4455.8999999999996</v>
      </c>
      <c r="L1002" s="332">
        <v>241</v>
      </c>
      <c r="M1002" s="330" t="s">
        <v>46</v>
      </c>
      <c r="N1002" s="330" t="s">
        <v>50</v>
      </c>
      <c r="O1002" s="333" t="s">
        <v>1956</v>
      </c>
      <c r="P1002" s="38">
        <v>5491207.6599999992</v>
      </c>
      <c r="Q1002" s="38">
        <v>0</v>
      </c>
      <c r="R1002" s="38">
        <v>0</v>
      </c>
      <c r="S1002" s="38">
        <f t="shared" si="223"/>
        <v>5491207.6599999992</v>
      </c>
      <c r="T1002" s="38">
        <f t="shared" si="215"/>
        <v>951.41861182341097</v>
      </c>
      <c r="U1002" s="38">
        <v>1301.5850024256704</v>
      </c>
      <c r="V1002" s="458">
        <f t="shared" si="210"/>
        <v>350.16639060225941</v>
      </c>
      <c r="W1002" s="458">
        <f t="shared" si="224"/>
        <v>445.35846559013095</v>
      </c>
      <c r="X1002" s="458">
        <v>0</v>
      </c>
      <c r="Y1002" s="459">
        <v>0</v>
      </c>
      <c r="Z1002" s="459">
        <v>0</v>
      </c>
      <c r="AA1002" s="459">
        <v>0</v>
      </c>
      <c r="AB1002" s="459">
        <v>0</v>
      </c>
      <c r="AC1002" s="459">
        <v>0</v>
      </c>
      <c r="AD1002" s="459">
        <v>0</v>
      </c>
      <c r="AE1002" s="459">
        <v>412</v>
      </c>
      <c r="AF1002" s="458">
        <f t="shared" si="225"/>
        <v>445.35846559013095</v>
      </c>
      <c r="AG1002" s="459">
        <v>0</v>
      </c>
      <c r="AH1002" s="458">
        <v>0</v>
      </c>
      <c r="AI1002" s="459">
        <v>0</v>
      </c>
      <c r="AJ1002" s="458">
        <v>0</v>
      </c>
      <c r="AK1002" s="459">
        <v>0</v>
      </c>
      <c r="AL1002" s="459">
        <v>0</v>
      </c>
      <c r="AM1002" s="459">
        <v>0</v>
      </c>
      <c r="AN1002" s="459"/>
      <c r="AO1002" s="459">
        <v>0</v>
      </c>
      <c r="AP1002" s="460"/>
      <c r="AQ1002" s="460"/>
      <c r="AR1002" s="460"/>
      <c r="AS1002" s="460"/>
      <c r="AT1002" s="460"/>
      <c r="AU1002" s="460"/>
      <c r="AV1002" s="460"/>
      <c r="AW1002" s="460"/>
      <c r="AX1002" s="460"/>
      <c r="AY1002" s="460"/>
      <c r="AZ1002" s="460"/>
      <c r="BA1002" s="460"/>
      <c r="BB1002" s="460"/>
      <c r="BC1002" s="460"/>
      <c r="BD1002" s="460"/>
      <c r="BE1002" s="460"/>
      <c r="BF1002" s="460"/>
      <c r="BG1002" s="460"/>
      <c r="BH1002" s="460"/>
      <c r="BI1002" s="460"/>
      <c r="BJ1002" s="460"/>
      <c r="BK1002" s="460"/>
      <c r="BL1002" s="460"/>
      <c r="BM1002" s="460"/>
      <c r="BN1002" s="460"/>
      <c r="BO1002" s="460"/>
      <c r="BP1002" s="460"/>
      <c r="BQ1002" s="460"/>
      <c r="BR1002" s="460"/>
      <c r="BS1002" s="460"/>
      <c r="BT1002" s="460"/>
      <c r="BU1002" s="460"/>
      <c r="BV1002" s="460"/>
      <c r="BW1002" s="460"/>
      <c r="BX1002" s="460"/>
      <c r="BY1002" s="460"/>
      <c r="BZ1002" s="460"/>
      <c r="CA1002" s="460"/>
      <c r="CB1002" s="460"/>
      <c r="CC1002" s="460"/>
      <c r="CD1002" s="460"/>
      <c r="CE1002" s="460"/>
      <c r="CF1002" s="460"/>
      <c r="CG1002" s="460"/>
      <c r="CH1002" s="460"/>
      <c r="CI1002" s="460"/>
      <c r="CJ1002" s="460"/>
      <c r="CK1002" s="460"/>
    </row>
    <row r="1003" spans="1:89" s="329" customFormat="1" ht="36" customHeight="1" x14ac:dyDescent="0.25">
      <c r="A1003" s="329">
        <v>1</v>
      </c>
      <c r="B1003" s="39">
        <f>SUBTOTAL(103,$A$1000:A1003)</f>
        <v>4</v>
      </c>
      <c r="C1003" s="33" t="s">
        <v>1703</v>
      </c>
      <c r="D1003" s="330" t="s">
        <v>2115</v>
      </c>
      <c r="E1003" s="330"/>
      <c r="F1003" s="331" t="s">
        <v>48</v>
      </c>
      <c r="G1003" s="330" t="s">
        <v>1965</v>
      </c>
      <c r="H1003" s="330" t="s">
        <v>57</v>
      </c>
      <c r="I1003" s="334">
        <v>2826.2</v>
      </c>
      <c r="J1003" s="334">
        <v>2826.2</v>
      </c>
      <c r="K1003" s="334">
        <v>1324.2</v>
      </c>
      <c r="L1003" s="332">
        <v>97</v>
      </c>
      <c r="M1003" s="330" t="s">
        <v>46</v>
      </c>
      <c r="N1003" s="330" t="s">
        <v>50</v>
      </c>
      <c r="O1003" s="333" t="s">
        <v>1956</v>
      </c>
      <c r="P1003" s="38">
        <v>1996320.0799999998</v>
      </c>
      <c r="Q1003" s="38">
        <v>0</v>
      </c>
      <c r="R1003" s="38">
        <v>0</v>
      </c>
      <c r="S1003" s="38">
        <f t="shared" si="223"/>
        <v>1996320.0799999998</v>
      </c>
      <c r="T1003" s="38">
        <f t="shared" si="215"/>
        <v>706.36192767673913</v>
      </c>
      <c r="U1003" s="38">
        <v>930.32333168211733</v>
      </c>
      <c r="V1003" s="458">
        <f t="shared" si="210"/>
        <v>223.9614040053782</v>
      </c>
      <c r="W1003" s="458">
        <f t="shared" si="224"/>
        <v>1593.8337768027741</v>
      </c>
      <c r="X1003" s="458">
        <v>0</v>
      </c>
      <c r="Y1003" s="459">
        <v>0</v>
      </c>
      <c r="Z1003" s="459">
        <v>0</v>
      </c>
      <c r="AA1003" s="459">
        <v>0</v>
      </c>
      <c r="AB1003" s="459">
        <v>0</v>
      </c>
      <c r="AC1003" s="459">
        <v>0</v>
      </c>
      <c r="AD1003" s="459">
        <v>0</v>
      </c>
      <c r="AE1003" s="459">
        <v>722</v>
      </c>
      <c r="AF1003" s="458">
        <f t="shared" si="225"/>
        <v>1593.8337768027741</v>
      </c>
      <c r="AG1003" s="459">
        <v>0</v>
      </c>
      <c r="AH1003" s="458">
        <v>0</v>
      </c>
      <c r="AI1003" s="459">
        <v>0</v>
      </c>
      <c r="AJ1003" s="458">
        <v>0</v>
      </c>
      <c r="AK1003" s="459">
        <v>0</v>
      </c>
      <c r="AL1003" s="459">
        <v>0</v>
      </c>
      <c r="AM1003" s="459">
        <v>0</v>
      </c>
      <c r="AN1003" s="459"/>
      <c r="AO1003" s="459">
        <v>0</v>
      </c>
      <c r="AP1003" s="460"/>
      <c r="AQ1003" s="460"/>
      <c r="AR1003" s="460"/>
      <c r="AS1003" s="460"/>
      <c r="AT1003" s="460"/>
      <c r="AU1003" s="460"/>
      <c r="AV1003" s="460"/>
      <c r="AW1003" s="460"/>
      <c r="AX1003" s="460"/>
      <c r="AY1003" s="460"/>
      <c r="AZ1003" s="460"/>
      <c r="BA1003" s="460"/>
      <c r="BB1003" s="460"/>
      <c r="BC1003" s="460"/>
      <c r="BD1003" s="460"/>
      <c r="BE1003" s="460"/>
      <c r="BF1003" s="460"/>
      <c r="BG1003" s="460"/>
      <c r="BH1003" s="460"/>
      <c r="BI1003" s="460"/>
      <c r="BJ1003" s="460"/>
      <c r="BK1003" s="460"/>
      <c r="BL1003" s="460"/>
      <c r="BM1003" s="460"/>
      <c r="BN1003" s="460"/>
      <c r="BO1003" s="460"/>
      <c r="BP1003" s="460"/>
      <c r="BQ1003" s="460"/>
      <c r="BR1003" s="460"/>
      <c r="BS1003" s="460"/>
      <c r="BT1003" s="460"/>
      <c r="BU1003" s="460"/>
      <c r="BV1003" s="460"/>
      <c r="BW1003" s="460"/>
      <c r="BX1003" s="460"/>
      <c r="BY1003" s="460"/>
      <c r="BZ1003" s="460"/>
      <c r="CA1003" s="460"/>
      <c r="CB1003" s="460"/>
      <c r="CC1003" s="460"/>
      <c r="CD1003" s="460"/>
      <c r="CE1003" s="460"/>
      <c r="CF1003" s="460"/>
      <c r="CG1003" s="460"/>
      <c r="CH1003" s="460"/>
      <c r="CI1003" s="460"/>
      <c r="CJ1003" s="460"/>
      <c r="CK1003" s="460"/>
    </row>
    <row r="1004" spans="1:89" s="329" customFormat="1" ht="36" customHeight="1" x14ac:dyDescent="0.25">
      <c r="A1004" s="329">
        <v>1</v>
      </c>
      <c r="B1004" s="39">
        <f>SUBTOTAL(103,$A$1000:A1004)</f>
        <v>5</v>
      </c>
      <c r="C1004" s="33" t="s">
        <v>1704</v>
      </c>
      <c r="D1004" s="330" t="s">
        <v>62</v>
      </c>
      <c r="E1004" s="330"/>
      <c r="F1004" s="331" t="s">
        <v>60</v>
      </c>
      <c r="G1004" s="330" t="s">
        <v>75</v>
      </c>
      <c r="H1004" s="330" t="s">
        <v>61</v>
      </c>
      <c r="I1004" s="334">
        <v>2495.6</v>
      </c>
      <c r="J1004" s="334">
        <v>2297</v>
      </c>
      <c r="K1004" s="334">
        <v>2070.8000000000002</v>
      </c>
      <c r="L1004" s="332">
        <v>117</v>
      </c>
      <c r="M1004" s="330" t="s">
        <v>46</v>
      </c>
      <c r="N1004" s="330" t="s">
        <v>50</v>
      </c>
      <c r="O1004" s="333" t="s">
        <v>2173</v>
      </c>
      <c r="P1004" s="38">
        <v>2818609.5</v>
      </c>
      <c r="Q1004" s="38">
        <v>0</v>
      </c>
      <c r="R1004" s="38">
        <v>0</v>
      </c>
      <c r="S1004" s="38">
        <f t="shared" si="223"/>
        <v>2818609.5</v>
      </c>
      <c r="T1004" s="38">
        <f t="shared" si="215"/>
        <v>1129.431599615323</v>
      </c>
      <c r="U1004" s="38">
        <v>1487.5351298284982</v>
      </c>
      <c r="V1004" s="458">
        <f t="shared" si="210"/>
        <v>358.10353021317519</v>
      </c>
      <c r="W1004" s="458">
        <f t="shared" si="224"/>
        <v>2999.9567238339478</v>
      </c>
      <c r="X1004" s="458">
        <v>0</v>
      </c>
      <c r="Y1004" s="459">
        <v>0</v>
      </c>
      <c r="Z1004" s="459">
        <v>0</v>
      </c>
      <c r="AA1004" s="459">
        <v>0</v>
      </c>
      <c r="AB1004" s="459">
        <v>0</v>
      </c>
      <c r="AC1004" s="459">
        <v>0</v>
      </c>
      <c r="AD1004" s="459">
        <v>0</v>
      </c>
      <c r="AE1004" s="459">
        <v>1200</v>
      </c>
      <c r="AF1004" s="458">
        <f t="shared" si="225"/>
        <v>2999.9567238339478</v>
      </c>
      <c r="AG1004" s="459">
        <v>0</v>
      </c>
      <c r="AH1004" s="458">
        <v>0</v>
      </c>
      <c r="AI1004" s="459">
        <v>0</v>
      </c>
      <c r="AJ1004" s="458">
        <v>0</v>
      </c>
      <c r="AK1004" s="459">
        <v>0</v>
      </c>
      <c r="AL1004" s="459">
        <v>0</v>
      </c>
      <c r="AM1004" s="459">
        <v>0</v>
      </c>
      <c r="AN1004" s="459"/>
      <c r="AO1004" s="459">
        <v>0</v>
      </c>
      <c r="AP1004" s="460"/>
      <c r="AQ1004" s="460"/>
      <c r="AR1004" s="460"/>
      <c r="AS1004" s="460"/>
      <c r="AT1004" s="460"/>
      <c r="AU1004" s="460"/>
      <c r="AV1004" s="460"/>
      <c r="AW1004" s="460"/>
      <c r="AX1004" s="460"/>
      <c r="AY1004" s="460"/>
      <c r="AZ1004" s="460"/>
      <c r="BA1004" s="460"/>
      <c r="BB1004" s="460"/>
      <c r="BC1004" s="460"/>
      <c r="BD1004" s="460"/>
      <c r="BE1004" s="460"/>
      <c r="BF1004" s="460"/>
      <c r="BG1004" s="460"/>
      <c r="BH1004" s="460"/>
      <c r="BI1004" s="460"/>
      <c r="BJ1004" s="460"/>
      <c r="BK1004" s="460"/>
      <c r="BL1004" s="460"/>
      <c r="BM1004" s="460"/>
      <c r="BN1004" s="460"/>
      <c r="BO1004" s="460"/>
      <c r="BP1004" s="460"/>
      <c r="BQ1004" s="460"/>
      <c r="BR1004" s="460"/>
      <c r="BS1004" s="460"/>
      <c r="BT1004" s="460"/>
      <c r="BU1004" s="460"/>
      <c r="BV1004" s="460"/>
      <c r="BW1004" s="460"/>
      <c r="BX1004" s="460"/>
      <c r="BY1004" s="460"/>
      <c r="BZ1004" s="460"/>
      <c r="CA1004" s="460"/>
      <c r="CB1004" s="460"/>
      <c r="CC1004" s="460"/>
      <c r="CD1004" s="460"/>
      <c r="CE1004" s="460"/>
      <c r="CF1004" s="460"/>
      <c r="CG1004" s="460"/>
      <c r="CH1004" s="460"/>
      <c r="CI1004" s="460"/>
      <c r="CJ1004" s="460"/>
      <c r="CK1004" s="460"/>
    </row>
    <row r="1005" spans="1:89" s="329" customFormat="1" ht="36" customHeight="1" x14ac:dyDescent="0.25">
      <c r="A1005" s="329">
        <v>1</v>
      </c>
      <c r="B1005" s="39">
        <f>SUBTOTAL(103,$A$1000:A1005)</f>
        <v>6</v>
      </c>
      <c r="C1005" s="33" t="s">
        <v>1705</v>
      </c>
      <c r="D1005" s="330">
        <v>1986</v>
      </c>
      <c r="E1005" s="330"/>
      <c r="F1005" s="331" t="s">
        <v>60</v>
      </c>
      <c r="G1005" s="330">
        <v>9</v>
      </c>
      <c r="H1005" s="330" t="s">
        <v>56</v>
      </c>
      <c r="I1005" s="334">
        <v>4308.3999999999996</v>
      </c>
      <c r="J1005" s="334">
        <v>3920.4</v>
      </c>
      <c r="K1005" s="334">
        <v>3608.2</v>
      </c>
      <c r="L1005" s="332">
        <v>108</v>
      </c>
      <c r="M1005" s="330" t="s">
        <v>46</v>
      </c>
      <c r="N1005" s="330" t="s">
        <v>50</v>
      </c>
      <c r="O1005" s="333" t="s">
        <v>1962</v>
      </c>
      <c r="P1005" s="38">
        <v>2963862.9899999998</v>
      </c>
      <c r="Q1005" s="38">
        <v>0</v>
      </c>
      <c r="R1005" s="38">
        <v>0</v>
      </c>
      <c r="S1005" s="38">
        <f t="shared" si="223"/>
        <v>2963862.9899999998</v>
      </c>
      <c r="T1005" s="38">
        <f t="shared" si="215"/>
        <v>687.92660616470152</v>
      </c>
      <c r="U1005" s="38">
        <v>812.23800250673105</v>
      </c>
      <c r="V1005" s="458">
        <f t="shared" si="210"/>
        <v>124.31139634202952</v>
      </c>
      <c r="W1005" s="458">
        <f t="shared" si="224"/>
        <v>608.19380744591956</v>
      </c>
      <c r="X1005" s="458">
        <v>0</v>
      </c>
      <c r="Y1005" s="459">
        <v>0</v>
      </c>
      <c r="Z1005" s="459">
        <v>0</v>
      </c>
      <c r="AA1005" s="459">
        <v>0</v>
      </c>
      <c r="AB1005" s="459">
        <v>0</v>
      </c>
      <c r="AC1005" s="459">
        <v>0</v>
      </c>
      <c r="AD1005" s="459">
        <v>0</v>
      </c>
      <c r="AE1005" s="459">
        <v>420</v>
      </c>
      <c r="AF1005" s="458">
        <f t="shared" si="225"/>
        <v>608.19380744591956</v>
      </c>
      <c r="AG1005" s="459">
        <v>0</v>
      </c>
      <c r="AH1005" s="458">
        <v>0</v>
      </c>
      <c r="AI1005" s="459">
        <v>0</v>
      </c>
      <c r="AJ1005" s="458">
        <v>0</v>
      </c>
      <c r="AK1005" s="459">
        <v>0</v>
      </c>
      <c r="AL1005" s="459">
        <v>0</v>
      </c>
      <c r="AM1005" s="459">
        <v>0</v>
      </c>
      <c r="AN1005" s="459"/>
      <c r="AO1005" s="459">
        <v>0</v>
      </c>
      <c r="AP1005" s="460"/>
      <c r="AQ1005" s="460"/>
      <c r="AR1005" s="460"/>
      <c r="AS1005" s="460"/>
      <c r="AT1005" s="460"/>
      <c r="AU1005" s="460"/>
      <c r="AV1005" s="460"/>
      <c r="AW1005" s="460"/>
      <c r="AX1005" s="460"/>
      <c r="AY1005" s="460"/>
      <c r="AZ1005" s="460"/>
      <c r="BA1005" s="460"/>
      <c r="BB1005" s="460"/>
      <c r="BC1005" s="460"/>
      <c r="BD1005" s="460"/>
      <c r="BE1005" s="460"/>
      <c r="BF1005" s="460"/>
      <c r="BG1005" s="460"/>
      <c r="BH1005" s="460"/>
      <c r="BI1005" s="460"/>
      <c r="BJ1005" s="460"/>
      <c r="BK1005" s="460"/>
      <c r="BL1005" s="460"/>
      <c r="BM1005" s="460"/>
      <c r="BN1005" s="460"/>
      <c r="BO1005" s="460"/>
      <c r="BP1005" s="460"/>
      <c r="BQ1005" s="460"/>
      <c r="BR1005" s="460"/>
      <c r="BS1005" s="460"/>
      <c r="BT1005" s="460"/>
      <c r="BU1005" s="460"/>
      <c r="BV1005" s="460"/>
      <c r="BW1005" s="460"/>
      <c r="BX1005" s="460"/>
      <c r="BY1005" s="460"/>
      <c r="BZ1005" s="460"/>
      <c r="CA1005" s="460"/>
      <c r="CB1005" s="460"/>
      <c r="CC1005" s="460"/>
      <c r="CD1005" s="460"/>
      <c r="CE1005" s="460"/>
      <c r="CF1005" s="460"/>
      <c r="CG1005" s="460"/>
      <c r="CH1005" s="460"/>
      <c r="CI1005" s="460"/>
      <c r="CJ1005" s="460"/>
      <c r="CK1005" s="460"/>
    </row>
    <row r="1006" spans="1:89" s="329" customFormat="1" ht="36" customHeight="1" x14ac:dyDescent="0.25">
      <c r="A1006" s="329">
        <v>1</v>
      </c>
      <c r="B1006" s="39">
        <f>SUBTOTAL(103,$A$1000:A1006)</f>
        <v>7</v>
      </c>
      <c r="C1006" s="33" t="s">
        <v>1706</v>
      </c>
      <c r="D1006" s="330" t="s">
        <v>78</v>
      </c>
      <c r="E1006" s="330"/>
      <c r="F1006" s="331" t="s">
        <v>48</v>
      </c>
      <c r="G1006" s="330" t="s">
        <v>1965</v>
      </c>
      <c r="H1006" s="330" t="s">
        <v>57</v>
      </c>
      <c r="I1006" s="334">
        <v>6352.8</v>
      </c>
      <c r="J1006" s="334">
        <v>4687.3999999999996</v>
      </c>
      <c r="K1006" s="334">
        <v>2543.4</v>
      </c>
      <c r="L1006" s="332">
        <v>201</v>
      </c>
      <c r="M1006" s="330" t="s">
        <v>46</v>
      </c>
      <c r="N1006" s="330" t="s">
        <v>50</v>
      </c>
      <c r="O1006" s="333" t="s">
        <v>1958</v>
      </c>
      <c r="P1006" s="38">
        <v>3753990.26</v>
      </c>
      <c r="Q1006" s="38">
        <v>0</v>
      </c>
      <c r="R1006" s="38">
        <v>0</v>
      </c>
      <c r="S1006" s="38">
        <f t="shared" si="223"/>
        <v>3753990.26</v>
      </c>
      <c r="T1006" s="38">
        <f t="shared" si="215"/>
        <v>590.91900579272124</v>
      </c>
      <c r="U1006" s="38">
        <v>782.42520778239509</v>
      </c>
      <c r="V1006" s="458">
        <f t="shared" si="210"/>
        <v>191.50620198967385</v>
      </c>
      <c r="W1006" s="458">
        <f t="shared" si="224"/>
        <v>582.36897588464922</v>
      </c>
      <c r="X1006" s="458">
        <v>0</v>
      </c>
      <c r="Y1006" s="459">
        <v>0</v>
      </c>
      <c r="Z1006" s="459">
        <v>0</v>
      </c>
      <c r="AA1006" s="459">
        <v>0</v>
      </c>
      <c r="AB1006" s="459">
        <v>0</v>
      </c>
      <c r="AC1006" s="459">
        <v>0</v>
      </c>
      <c r="AD1006" s="459">
        <v>0</v>
      </c>
      <c r="AE1006" s="459">
        <v>593</v>
      </c>
      <c r="AF1006" s="458">
        <f t="shared" si="225"/>
        <v>582.36897588464922</v>
      </c>
      <c r="AG1006" s="459">
        <v>0</v>
      </c>
      <c r="AH1006" s="458">
        <v>0</v>
      </c>
      <c r="AI1006" s="459">
        <v>0</v>
      </c>
      <c r="AJ1006" s="458">
        <v>0</v>
      </c>
      <c r="AK1006" s="459">
        <v>0</v>
      </c>
      <c r="AL1006" s="459">
        <v>0</v>
      </c>
      <c r="AM1006" s="459">
        <v>0</v>
      </c>
      <c r="AN1006" s="459"/>
      <c r="AO1006" s="459">
        <v>0</v>
      </c>
      <c r="AP1006" s="460"/>
      <c r="AQ1006" s="460"/>
      <c r="AR1006" s="460"/>
      <c r="AS1006" s="460"/>
      <c r="AT1006" s="460"/>
      <c r="AU1006" s="460"/>
      <c r="AV1006" s="460"/>
      <c r="AW1006" s="460"/>
      <c r="AX1006" s="460"/>
      <c r="AY1006" s="460"/>
      <c r="AZ1006" s="460"/>
      <c r="BA1006" s="460"/>
      <c r="BB1006" s="460"/>
      <c r="BC1006" s="460"/>
      <c r="BD1006" s="460"/>
      <c r="BE1006" s="460"/>
      <c r="BF1006" s="460"/>
      <c r="BG1006" s="460"/>
      <c r="BH1006" s="460"/>
      <c r="BI1006" s="460"/>
      <c r="BJ1006" s="460"/>
      <c r="BK1006" s="460"/>
      <c r="BL1006" s="460"/>
      <c r="BM1006" s="460"/>
      <c r="BN1006" s="460"/>
      <c r="BO1006" s="460"/>
      <c r="BP1006" s="460"/>
      <c r="BQ1006" s="460"/>
      <c r="BR1006" s="460"/>
      <c r="BS1006" s="460"/>
      <c r="BT1006" s="460"/>
      <c r="BU1006" s="460"/>
      <c r="BV1006" s="460"/>
      <c r="BW1006" s="460"/>
      <c r="BX1006" s="460"/>
      <c r="BY1006" s="460"/>
      <c r="BZ1006" s="460"/>
      <c r="CA1006" s="460"/>
      <c r="CB1006" s="460"/>
      <c r="CC1006" s="460"/>
      <c r="CD1006" s="460"/>
      <c r="CE1006" s="460"/>
      <c r="CF1006" s="460"/>
      <c r="CG1006" s="460"/>
      <c r="CH1006" s="460"/>
      <c r="CI1006" s="460"/>
      <c r="CJ1006" s="460"/>
      <c r="CK1006" s="460"/>
    </row>
    <row r="1007" spans="1:89" s="329" customFormat="1" ht="36" customHeight="1" x14ac:dyDescent="0.25">
      <c r="A1007" s="329">
        <v>1</v>
      </c>
      <c r="B1007" s="39">
        <f>SUBTOTAL(103,$A$1000:A1007)</f>
        <v>8</v>
      </c>
      <c r="C1007" s="33" t="s">
        <v>1707</v>
      </c>
      <c r="D1007" s="330">
        <v>1986</v>
      </c>
      <c r="E1007" s="330"/>
      <c r="F1007" s="331" t="s">
        <v>48</v>
      </c>
      <c r="G1007" s="330">
        <v>5</v>
      </c>
      <c r="H1007" s="330" t="s">
        <v>1969</v>
      </c>
      <c r="I1007" s="334">
        <v>5760.4</v>
      </c>
      <c r="J1007" s="334">
        <v>4094.2</v>
      </c>
      <c r="K1007" s="334">
        <v>3478.1</v>
      </c>
      <c r="L1007" s="332">
        <v>194</v>
      </c>
      <c r="M1007" s="330" t="s">
        <v>46</v>
      </c>
      <c r="N1007" s="330" t="s">
        <v>50</v>
      </c>
      <c r="O1007" s="333" t="s">
        <v>1958</v>
      </c>
      <c r="P1007" s="38">
        <v>5682500</v>
      </c>
      <c r="Q1007" s="38">
        <v>0</v>
      </c>
      <c r="R1007" s="38">
        <v>0</v>
      </c>
      <c r="S1007" s="38">
        <f t="shared" si="223"/>
        <v>5682500</v>
      </c>
      <c r="T1007" s="38">
        <f t="shared" si="215"/>
        <v>986.47663356711348</v>
      </c>
      <c r="U1007" s="38">
        <v>1454.0889903478926</v>
      </c>
      <c r="V1007" s="458">
        <f t="shared" si="210"/>
        <v>467.61235678077912</v>
      </c>
      <c r="W1007" s="458">
        <f t="shared" si="224"/>
        <v>605.43550621484621</v>
      </c>
      <c r="X1007" s="458">
        <v>0</v>
      </c>
      <c r="Y1007" s="459">
        <v>0</v>
      </c>
      <c r="Z1007" s="459">
        <v>0</v>
      </c>
      <c r="AA1007" s="459">
        <v>0</v>
      </c>
      <c r="AB1007" s="459">
        <v>0</v>
      </c>
      <c r="AC1007" s="459">
        <v>0</v>
      </c>
      <c r="AD1007" s="459">
        <v>0</v>
      </c>
      <c r="AE1007" s="459">
        <v>559</v>
      </c>
      <c r="AF1007" s="458">
        <f t="shared" si="225"/>
        <v>605.43550621484621</v>
      </c>
      <c r="AG1007" s="459">
        <v>0</v>
      </c>
      <c r="AH1007" s="458">
        <v>0</v>
      </c>
      <c r="AI1007" s="459">
        <v>0</v>
      </c>
      <c r="AJ1007" s="458">
        <v>0</v>
      </c>
      <c r="AK1007" s="459">
        <v>0</v>
      </c>
      <c r="AL1007" s="459">
        <v>0</v>
      </c>
      <c r="AM1007" s="459">
        <v>0</v>
      </c>
      <c r="AN1007" s="459"/>
      <c r="AO1007" s="459">
        <v>0</v>
      </c>
      <c r="AP1007" s="460"/>
      <c r="AQ1007" s="460"/>
      <c r="AR1007" s="460"/>
      <c r="AS1007" s="460"/>
      <c r="AT1007" s="460"/>
      <c r="AU1007" s="460"/>
      <c r="AV1007" s="460"/>
      <c r="AW1007" s="460"/>
      <c r="AX1007" s="460"/>
      <c r="AY1007" s="460"/>
      <c r="AZ1007" s="460"/>
      <c r="BA1007" s="460"/>
      <c r="BB1007" s="460"/>
      <c r="BC1007" s="460"/>
      <c r="BD1007" s="460"/>
      <c r="BE1007" s="460"/>
      <c r="BF1007" s="460"/>
      <c r="BG1007" s="460"/>
      <c r="BH1007" s="460"/>
      <c r="BI1007" s="460"/>
      <c r="BJ1007" s="460"/>
      <c r="BK1007" s="460"/>
      <c r="BL1007" s="460"/>
      <c r="BM1007" s="460"/>
      <c r="BN1007" s="460"/>
      <c r="BO1007" s="460"/>
      <c r="BP1007" s="460"/>
      <c r="BQ1007" s="460"/>
      <c r="BR1007" s="460"/>
      <c r="BS1007" s="460"/>
      <c r="BT1007" s="460"/>
      <c r="BU1007" s="460"/>
      <c r="BV1007" s="460"/>
      <c r="BW1007" s="460"/>
      <c r="BX1007" s="460"/>
      <c r="BY1007" s="460"/>
      <c r="BZ1007" s="460"/>
      <c r="CA1007" s="460"/>
      <c r="CB1007" s="460"/>
      <c r="CC1007" s="460"/>
      <c r="CD1007" s="460"/>
      <c r="CE1007" s="460"/>
      <c r="CF1007" s="460"/>
      <c r="CG1007" s="460"/>
      <c r="CH1007" s="460"/>
      <c r="CI1007" s="460"/>
      <c r="CJ1007" s="460"/>
      <c r="CK1007" s="460"/>
    </row>
    <row r="1008" spans="1:89" s="329" customFormat="1" ht="36" customHeight="1" x14ac:dyDescent="0.25">
      <c r="A1008" s="329">
        <v>1</v>
      </c>
      <c r="B1008" s="39">
        <f>SUBTOTAL(103,$A$1000:A1008)</f>
        <v>9</v>
      </c>
      <c r="C1008" s="33" t="s">
        <v>1708</v>
      </c>
      <c r="D1008" s="330" t="s">
        <v>2136</v>
      </c>
      <c r="E1008" s="330"/>
      <c r="F1008" s="331" t="s">
        <v>60</v>
      </c>
      <c r="G1008" s="330" t="s">
        <v>75</v>
      </c>
      <c r="H1008" s="330" t="s">
        <v>59</v>
      </c>
      <c r="I1008" s="334">
        <v>4042.4</v>
      </c>
      <c r="J1008" s="334">
        <v>3045.4</v>
      </c>
      <c r="K1008" s="334">
        <v>2978.7</v>
      </c>
      <c r="L1008" s="332">
        <v>118</v>
      </c>
      <c r="M1008" s="330" t="s">
        <v>46</v>
      </c>
      <c r="N1008" s="330" t="s">
        <v>50</v>
      </c>
      <c r="O1008" s="333" t="s">
        <v>1957</v>
      </c>
      <c r="P1008" s="38">
        <v>3593332.35</v>
      </c>
      <c r="Q1008" s="38">
        <v>0</v>
      </c>
      <c r="R1008" s="38">
        <v>0</v>
      </c>
      <c r="S1008" s="38">
        <f t="shared" si="223"/>
        <v>3593332.35</v>
      </c>
      <c r="T1008" s="38">
        <f t="shared" si="215"/>
        <v>888.91063477142291</v>
      </c>
      <c r="U1008" s="38">
        <v>1177.2700470017812</v>
      </c>
      <c r="V1008" s="458">
        <f t="shared" si="210"/>
        <v>288.35941223035832</v>
      </c>
      <c r="W1008" s="458">
        <f t="shared" si="224"/>
        <v>1225.434034237087</v>
      </c>
      <c r="X1008" s="458">
        <v>0</v>
      </c>
      <c r="Y1008" s="459">
        <v>0</v>
      </c>
      <c r="Z1008" s="459">
        <v>0</v>
      </c>
      <c r="AA1008" s="459">
        <v>0</v>
      </c>
      <c r="AB1008" s="459">
        <v>0</v>
      </c>
      <c r="AC1008" s="459">
        <v>0</v>
      </c>
      <c r="AD1008" s="459">
        <v>0</v>
      </c>
      <c r="AE1008" s="459">
        <v>794</v>
      </c>
      <c r="AF1008" s="458">
        <f t="shared" si="225"/>
        <v>1225.434034237087</v>
      </c>
      <c r="AG1008" s="459">
        <v>0</v>
      </c>
      <c r="AH1008" s="458">
        <v>0</v>
      </c>
      <c r="AI1008" s="459">
        <v>0</v>
      </c>
      <c r="AJ1008" s="458">
        <v>0</v>
      </c>
      <c r="AK1008" s="459">
        <v>0</v>
      </c>
      <c r="AL1008" s="459">
        <v>0</v>
      </c>
      <c r="AM1008" s="459">
        <v>0</v>
      </c>
      <c r="AN1008" s="459"/>
      <c r="AO1008" s="459">
        <v>0</v>
      </c>
      <c r="AP1008" s="460"/>
      <c r="AQ1008" s="460"/>
      <c r="AR1008" s="460"/>
      <c r="AS1008" s="460"/>
      <c r="AT1008" s="460"/>
      <c r="AU1008" s="460"/>
      <c r="AV1008" s="460"/>
      <c r="AW1008" s="460"/>
      <c r="AX1008" s="460"/>
      <c r="AY1008" s="460"/>
      <c r="AZ1008" s="460"/>
      <c r="BA1008" s="460"/>
      <c r="BB1008" s="460"/>
      <c r="BC1008" s="460"/>
      <c r="BD1008" s="460"/>
      <c r="BE1008" s="460"/>
      <c r="BF1008" s="460"/>
      <c r="BG1008" s="460"/>
      <c r="BH1008" s="460"/>
      <c r="BI1008" s="460"/>
      <c r="BJ1008" s="460"/>
      <c r="BK1008" s="460"/>
      <c r="BL1008" s="460"/>
      <c r="BM1008" s="460"/>
      <c r="BN1008" s="460"/>
      <c r="BO1008" s="460"/>
      <c r="BP1008" s="460"/>
      <c r="BQ1008" s="460"/>
      <c r="BR1008" s="460"/>
      <c r="BS1008" s="460"/>
      <c r="BT1008" s="460"/>
      <c r="BU1008" s="460"/>
      <c r="BV1008" s="460"/>
      <c r="BW1008" s="460"/>
      <c r="BX1008" s="460"/>
      <c r="BY1008" s="460"/>
      <c r="BZ1008" s="460"/>
      <c r="CA1008" s="460"/>
      <c r="CB1008" s="460"/>
      <c r="CC1008" s="460"/>
      <c r="CD1008" s="460"/>
      <c r="CE1008" s="460"/>
      <c r="CF1008" s="460"/>
      <c r="CG1008" s="460"/>
      <c r="CH1008" s="460"/>
      <c r="CI1008" s="460"/>
      <c r="CJ1008" s="460"/>
      <c r="CK1008" s="460"/>
    </row>
    <row r="1009" spans="1:89" s="329" customFormat="1" ht="36" customHeight="1" x14ac:dyDescent="0.25">
      <c r="A1009" s="329">
        <v>1</v>
      </c>
      <c r="B1009" s="39">
        <f>SUBTOTAL(103,$A$1000:A1009)</f>
        <v>10</v>
      </c>
      <c r="C1009" s="33" t="s">
        <v>1709</v>
      </c>
      <c r="D1009" s="330">
        <v>1971</v>
      </c>
      <c r="E1009" s="330"/>
      <c r="F1009" s="331" t="s">
        <v>48</v>
      </c>
      <c r="G1009" s="330">
        <v>5</v>
      </c>
      <c r="H1009" s="330" t="s">
        <v>1969</v>
      </c>
      <c r="I1009" s="334">
        <v>4541.8</v>
      </c>
      <c r="J1009" s="334">
        <v>4541.8</v>
      </c>
      <c r="K1009" s="334">
        <v>4403.2</v>
      </c>
      <c r="L1009" s="332">
        <v>240</v>
      </c>
      <c r="M1009" s="330" t="s">
        <v>46</v>
      </c>
      <c r="N1009" s="330" t="s">
        <v>50</v>
      </c>
      <c r="O1009" s="333" t="s">
        <v>1968</v>
      </c>
      <c r="P1009" s="38">
        <v>5851539.1200000001</v>
      </c>
      <c r="Q1009" s="38">
        <v>0</v>
      </c>
      <c r="R1009" s="38">
        <v>0</v>
      </c>
      <c r="S1009" s="38">
        <f t="shared" si="223"/>
        <v>5851539.1200000001</v>
      </c>
      <c r="T1009" s="38">
        <f t="shared" si="215"/>
        <v>1288.3744594654102</v>
      </c>
      <c r="U1009" s="38">
        <v>1737.2723316746662</v>
      </c>
      <c r="V1009" s="458">
        <f t="shared" si="210"/>
        <v>448.89787220925609</v>
      </c>
      <c r="W1009" s="458">
        <f t="shared" si="224"/>
        <v>1837.9632700691354</v>
      </c>
      <c r="X1009" s="458">
        <v>0</v>
      </c>
      <c r="Y1009" s="459">
        <v>0</v>
      </c>
      <c r="Z1009" s="459">
        <v>0</v>
      </c>
      <c r="AA1009" s="459">
        <v>0</v>
      </c>
      <c r="AB1009" s="459">
        <v>0</v>
      </c>
      <c r="AC1009" s="459">
        <v>0</v>
      </c>
      <c r="AD1009" s="459">
        <v>0</v>
      </c>
      <c r="AE1009" s="459">
        <v>1338</v>
      </c>
      <c r="AF1009" s="458">
        <f t="shared" si="225"/>
        <v>1837.9632700691354</v>
      </c>
      <c r="AG1009" s="459">
        <v>0</v>
      </c>
      <c r="AH1009" s="458">
        <v>0</v>
      </c>
      <c r="AI1009" s="459">
        <v>0</v>
      </c>
      <c r="AJ1009" s="458">
        <v>0</v>
      </c>
      <c r="AK1009" s="459">
        <v>0</v>
      </c>
      <c r="AL1009" s="459">
        <v>0</v>
      </c>
      <c r="AM1009" s="459">
        <v>0</v>
      </c>
      <c r="AN1009" s="459"/>
      <c r="AO1009" s="459">
        <v>0</v>
      </c>
      <c r="AP1009" s="460"/>
      <c r="AQ1009" s="460"/>
      <c r="AR1009" s="460"/>
      <c r="AS1009" s="460"/>
      <c r="AT1009" s="460"/>
      <c r="AU1009" s="460"/>
      <c r="AV1009" s="460"/>
      <c r="AW1009" s="460"/>
      <c r="AX1009" s="460"/>
      <c r="AY1009" s="460"/>
      <c r="AZ1009" s="460"/>
      <c r="BA1009" s="460"/>
      <c r="BB1009" s="460"/>
      <c r="BC1009" s="460"/>
      <c r="BD1009" s="460"/>
      <c r="BE1009" s="460"/>
      <c r="BF1009" s="460"/>
      <c r="BG1009" s="460"/>
      <c r="BH1009" s="460"/>
      <c r="BI1009" s="460"/>
      <c r="BJ1009" s="460"/>
      <c r="BK1009" s="460"/>
      <c r="BL1009" s="460"/>
      <c r="BM1009" s="460"/>
      <c r="BN1009" s="460"/>
      <c r="BO1009" s="460"/>
      <c r="BP1009" s="460"/>
      <c r="BQ1009" s="460"/>
      <c r="BR1009" s="460"/>
      <c r="BS1009" s="460"/>
      <c r="BT1009" s="460"/>
      <c r="BU1009" s="460"/>
      <c r="BV1009" s="460"/>
      <c r="BW1009" s="460"/>
      <c r="BX1009" s="460"/>
      <c r="BY1009" s="460"/>
      <c r="BZ1009" s="460"/>
      <c r="CA1009" s="460"/>
      <c r="CB1009" s="460"/>
      <c r="CC1009" s="460"/>
      <c r="CD1009" s="460"/>
      <c r="CE1009" s="460"/>
      <c r="CF1009" s="460"/>
      <c r="CG1009" s="460"/>
      <c r="CH1009" s="460"/>
      <c r="CI1009" s="460"/>
      <c r="CJ1009" s="460"/>
      <c r="CK1009" s="460"/>
    </row>
    <row r="1010" spans="1:89" s="329" customFormat="1" ht="36" customHeight="1" x14ac:dyDescent="0.25">
      <c r="A1010" s="329">
        <v>1</v>
      </c>
      <c r="B1010" s="39">
        <f>SUBTOTAL(103,$A$1000:A1010)</f>
        <v>11</v>
      </c>
      <c r="C1010" s="33" t="s">
        <v>1710</v>
      </c>
      <c r="D1010" s="330" t="s">
        <v>2035</v>
      </c>
      <c r="E1010" s="330"/>
      <c r="F1010" s="331" t="s">
        <v>60</v>
      </c>
      <c r="G1010" s="330" t="s">
        <v>75</v>
      </c>
      <c r="H1010" s="330" t="s">
        <v>1969</v>
      </c>
      <c r="I1010" s="334">
        <v>6071.1</v>
      </c>
      <c r="J1010" s="334">
        <v>4547.3999999999996</v>
      </c>
      <c r="K1010" s="334">
        <v>4155.2</v>
      </c>
      <c r="L1010" s="332">
        <v>218</v>
      </c>
      <c r="M1010" s="330" t="s">
        <v>46</v>
      </c>
      <c r="N1010" s="330" t="s">
        <v>50</v>
      </c>
      <c r="O1010" s="333" t="s">
        <v>1957</v>
      </c>
      <c r="P1010" s="38">
        <v>5450859.3200000003</v>
      </c>
      <c r="Q1010" s="38">
        <v>0</v>
      </c>
      <c r="R1010" s="38">
        <v>0</v>
      </c>
      <c r="S1010" s="38">
        <f t="shared" si="223"/>
        <v>5450859.3200000003</v>
      </c>
      <c r="T1010" s="38">
        <f t="shared" si="215"/>
        <v>897.83718271812359</v>
      </c>
      <c r="U1010" s="38">
        <v>1186.8489548846171</v>
      </c>
      <c r="V1010" s="458">
        <f t="shared" si="210"/>
        <v>289.01177216649353</v>
      </c>
      <c r="W1010" s="458">
        <f t="shared" si="224"/>
        <v>781.21252853683848</v>
      </c>
      <c r="X1010" s="458">
        <v>0</v>
      </c>
      <c r="Y1010" s="459">
        <v>0</v>
      </c>
      <c r="Z1010" s="459">
        <v>0</v>
      </c>
      <c r="AA1010" s="459">
        <v>0</v>
      </c>
      <c r="AB1010" s="459">
        <v>0</v>
      </c>
      <c r="AC1010" s="459">
        <v>0</v>
      </c>
      <c r="AD1010" s="459">
        <v>0</v>
      </c>
      <c r="AE1010" s="459">
        <v>760.2</v>
      </c>
      <c r="AF1010" s="458">
        <f t="shared" si="225"/>
        <v>781.21252853683848</v>
      </c>
      <c r="AG1010" s="459">
        <v>0</v>
      </c>
      <c r="AH1010" s="458">
        <v>0</v>
      </c>
      <c r="AI1010" s="459">
        <v>0</v>
      </c>
      <c r="AJ1010" s="458">
        <v>0</v>
      </c>
      <c r="AK1010" s="459">
        <v>0</v>
      </c>
      <c r="AL1010" s="459">
        <v>0</v>
      </c>
      <c r="AM1010" s="459">
        <v>0</v>
      </c>
      <c r="AN1010" s="459"/>
      <c r="AO1010" s="459">
        <v>0</v>
      </c>
      <c r="AP1010" s="460"/>
      <c r="AQ1010" s="460"/>
      <c r="AR1010" s="460"/>
      <c r="AS1010" s="460"/>
      <c r="AT1010" s="460"/>
      <c r="AU1010" s="460"/>
      <c r="AV1010" s="460"/>
      <c r="AW1010" s="460"/>
      <c r="AX1010" s="460"/>
      <c r="AY1010" s="460"/>
      <c r="AZ1010" s="460"/>
      <c r="BA1010" s="460"/>
      <c r="BB1010" s="460"/>
      <c r="BC1010" s="460"/>
      <c r="BD1010" s="460"/>
      <c r="BE1010" s="460"/>
      <c r="BF1010" s="460"/>
      <c r="BG1010" s="460"/>
      <c r="BH1010" s="460"/>
      <c r="BI1010" s="460"/>
      <c r="BJ1010" s="460"/>
      <c r="BK1010" s="460"/>
      <c r="BL1010" s="460"/>
      <c r="BM1010" s="460"/>
      <c r="BN1010" s="460"/>
      <c r="BO1010" s="460"/>
      <c r="BP1010" s="460"/>
      <c r="BQ1010" s="460"/>
      <c r="BR1010" s="460"/>
      <c r="BS1010" s="460"/>
      <c r="BT1010" s="460"/>
      <c r="BU1010" s="460"/>
      <c r="BV1010" s="460"/>
      <c r="BW1010" s="460"/>
      <c r="BX1010" s="460"/>
      <c r="BY1010" s="460"/>
      <c r="BZ1010" s="460"/>
      <c r="CA1010" s="460"/>
      <c r="CB1010" s="460"/>
      <c r="CC1010" s="460"/>
      <c r="CD1010" s="460"/>
      <c r="CE1010" s="460"/>
      <c r="CF1010" s="460"/>
      <c r="CG1010" s="460"/>
      <c r="CH1010" s="460"/>
      <c r="CI1010" s="460"/>
      <c r="CJ1010" s="460"/>
      <c r="CK1010" s="460"/>
    </row>
    <row r="1011" spans="1:89" s="329" customFormat="1" ht="36" customHeight="1" x14ac:dyDescent="0.25">
      <c r="A1011" s="329">
        <v>1</v>
      </c>
      <c r="B1011" s="39">
        <f>SUBTOTAL(103,$A$1000:A1011)</f>
        <v>12</v>
      </c>
      <c r="C1011" s="33" t="s">
        <v>1711</v>
      </c>
      <c r="D1011" s="330" t="s">
        <v>2174</v>
      </c>
      <c r="E1011" s="330"/>
      <c r="F1011" s="331" t="s">
        <v>60</v>
      </c>
      <c r="G1011" s="330" t="s">
        <v>1969</v>
      </c>
      <c r="H1011" s="330" t="s">
        <v>56</v>
      </c>
      <c r="I1011" s="334">
        <v>2963</v>
      </c>
      <c r="J1011" s="334">
        <v>2176.9</v>
      </c>
      <c r="K1011" s="334">
        <v>2084.1</v>
      </c>
      <c r="L1011" s="332">
        <v>138</v>
      </c>
      <c r="M1011" s="330" t="s">
        <v>46</v>
      </c>
      <c r="N1011" s="330" t="s">
        <v>50</v>
      </c>
      <c r="O1011" s="333" t="s">
        <v>1957</v>
      </c>
      <c r="P1011" s="38">
        <v>2859341.54</v>
      </c>
      <c r="Q1011" s="38">
        <v>0</v>
      </c>
      <c r="R1011" s="38">
        <v>0</v>
      </c>
      <c r="S1011" s="38">
        <f t="shared" si="223"/>
        <v>2859341.54</v>
      </c>
      <c r="T1011" s="38">
        <f t="shared" si="215"/>
        <v>965.0157070536618</v>
      </c>
      <c r="U1011" s="38">
        <v>981.81245123185943</v>
      </c>
      <c r="V1011" s="458">
        <f t="shared" si="210"/>
        <v>16.796744178197628</v>
      </c>
      <c r="W1011" s="458">
        <f t="shared" si="224"/>
        <v>2653.9055565305434</v>
      </c>
      <c r="X1011" s="458">
        <v>0</v>
      </c>
      <c r="Y1011" s="459">
        <v>0</v>
      </c>
      <c r="Z1011" s="459">
        <v>0</v>
      </c>
      <c r="AA1011" s="459">
        <v>0</v>
      </c>
      <c r="AB1011" s="459">
        <v>0</v>
      </c>
      <c r="AC1011" s="459">
        <v>0</v>
      </c>
      <c r="AD1011" s="459">
        <v>0</v>
      </c>
      <c r="AE1011" s="459">
        <v>1260.4000000000001</v>
      </c>
      <c r="AF1011" s="458">
        <f t="shared" si="225"/>
        <v>2653.9055565305434</v>
      </c>
      <c r="AG1011" s="459">
        <v>0</v>
      </c>
      <c r="AH1011" s="458">
        <v>0</v>
      </c>
      <c r="AI1011" s="459">
        <v>0</v>
      </c>
      <c r="AJ1011" s="458">
        <v>0</v>
      </c>
      <c r="AK1011" s="459">
        <v>0</v>
      </c>
      <c r="AL1011" s="459">
        <v>0</v>
      </c>
      <c r="AM1011" s="459">
        <v>0</v>
      </c>
      <c r="AN1011" s="459"/>
      <c r="AO1011" s="459">
        <v>0</v>
      </c>
      <c r="AP1011" s="460"/>
      <c r="AQ1011" s="460"/>
      <c r="AR1011" s="460"/>
      <c r="AS1011" s="460"/>
      <c r="AT1011" s="460"/>
      <c r="AU1011" s="460"/>
      <c r="AV1011" s="460"/>
      <c r="AW1011" s="460"/>
      <c r="AX1011" s="460"/>
      <c r="AY1011" s="460"/>
      <c r="AZ1011" s="460"/>
      <c r="BA1011" s="460"/>
      <c r="BB1011" s="460"/>
      <c r="BC1011" s="460"/>
      <c r="BD1011" s="460"/>
      <c r="BE1011" s="460"/>
      <c r="BF1011" s="460"/>
      <c r="BG1011" s="460"/>
      <c r="BH1011" s="460"/>
      <c r="BI1011" s="460"/>
      <c r="BJ1011" s="460"/>
      <c r="BK1011" s="460"/>
      <c r="BL1011" s="460"/>
      <c r="BM1011" s="460"/>
      <c r="BN1011" s="460"/>
      <c r="BO1011" s="460"/>
      <c r="BP1011" s="460"/>
      <c r="BQ1011" s="460"/>
      <c r="BR1011" s="460"/>
      <c r="BS1011" s="460"/>
      <c r="BT1011" s="460"/>
      <c r="BU1011" s="460"/>
      <c r="BV1011" s="460"/>
      <c r="BW1011" s="460"/>
      <c r="BX1011" s="460"/>
      <c r="BY1011" s="460"/>
      <c r="BZ1011" s="460"/>
      <c r="CA1011" s="460"/>
      <c r="CB1011" s="460"/>
      <c r="CC1011" s="460"/>
      <c r="CD1011" s="460"/>
      <c r="CE1011" s="460"/>
      <c r="CF1011" s="460"/>
      <c r="CG1011" s="460"/>
      <c r="CH1011" s="460"/>
      <c r="CI1011" s="460"/>
      <c r="CJ1011" s="460"/>
      <c r="CK1011" s="460"/>
    </row>
    <row r="1012" spans="1:89" s="329" customFormat="1" ht="36" customHeight="1" x14ac:dyDescent="0.25">
      <c r="A1012" s="329">
        <v>1</v>
      </c>
      <c r="B1012" s="39">
        <f>SUBTOTAL(103,$A$1000:A1012)</f>
        <v>13</v>
      </c>
      <c r="C1012" s="33" t="s">
        <v>1712</v>
      </c>
      <c r="D1012" s="330" t="s">
        <v>2175</v>
      </c>
      <c r="E1012" s="330"/>
      <c r="F1012" s="331" t="s">
        <v>60</v>
      </c>
      <c r="G1012" s="330" t="s">
        <v>1969</v>
      </c>
      <c r="H1012" s="330" t="s">
        <v>56</v>
      </c>
      <c r="I1012" s="334">
        <v>2482.1</v>
      </c>
      <c r="J1012" s="334">
        <v>2181.1</v>
      </c>
      <c r="K1012" s="334">
        <v>1858.6</v>
      </c>
      <c r="L1012" s="332">
        <v>130</v>
      </c>
      <c r="M1012" s="330" t="s">
        <v>46</v>
      </c>
      <c r="N1012" s="330" t="s">
        <v>50</v>
      </c>
      <c r="O1012" s="333" t="s">
        <v>251</v>
      </c>
      <c r="P1012" s="38">
        <v>2859341.54</v>
      </c>
      <c r="Q1012" s="38">
        <v>0</v>
      </c>
      <c r="R1012" s="38">
        <v>0</v>
      </c>
      <c r="S1012" s="38">
        <f t="shared" si="223"/>
        <v>2859341.54</v>
      </c>
      <c r="T1012" s="38">
        <f t="shared" si="215"/>
        <v>1151.9848273639257</v>
      </c>
      <c r="U1012" s="38">
        <v>1171.9854515128318</v>
      </c>
      <c r="V1012" s="458">
        <f t="shared" si="210"/>
        <v>20.000624148906127</v>
      </c>
      <c r="W1012" s="458">
        <f t="shared" si="224"/>
        <v>2893.1088231739254</v>
      </c>
      <c r="X1012" s="458">
        <v>0</v>
      </c>
      <c r="Y1012" s="459">
        <v>0</v>
      </c>
      <c r="Z1012" s="459">
        <v>0</v>
      </c>
      <c r="AA1012" s="459">
        <v>0</v>
      </c>
      <c r="AB1012" s="459">
        <v>0</v>
      </c>
      <c r="AC1012" s="459">
        <v>0</v>
      </c>
      <c r="AD1012" s="459">
        <v>0</v>
      </c>
      <c r="AE1012" s="459">
        <v>1151</v>
      </c>
      <c r="AF1012" s="458">
        <f t="shared" si="225"/>
        <v>2893.1088231739254</v>
      </c>
      <c r="AG1012" s="459">
        <v>0</v>
      </c>
      <c r="AH1012" s="458">
        <v>0</v>
      </c>
      <c r="AI1012" s="459">
        <v>0</v>
      </c>
      <c r="AJ1012" s="458">
        <v>0</v>
      </c>
      <c r="AK1012" s="459">
        <v>0</v>
      </c>
      <c r="AL1012" s="459">
        <v>0</v>
      </c>
      <c r="AM1012" s="459">
        <v>0</v>
      </c>
      <c r="AN1012" s="459"/>
      <c r="AO1012" s="459">
        <v>0</v>
      </c>
      <c r="AP1012" s="460"/>
      <c r="AQ1012" s="460"/>
      <c r="AR1012" s="460"/>
      <c r="AS1012" s="460"/>
      <c r="AT1012" s="460"/>
      <c r="AU1012" s="460"/>
      <c r="AV1012" s="460"/>
      <c r="AW1012" s="460"/>
      <c r="AX1012" s="460"/>
      <c r="AY1012" s="460"/>
      <c r="AZ1012" s="460"/>
      <c r="BA1012" s="460"/>
      <c r="BB1012" s="460"/>
      <c r="BC1012" s="460"/>
      <c r="BD1012" s="460"/>
      <c r="BE1012" s="460"/>
      <c r="BF1012" s="460"/>
      <c r="BG1012" s="460"/>
      <c r="BH1012" s="460"/>
      <c r="BI1012" s="460"/>
      <c r="BJ1012" s="460"/>
      <c r="BK1012" s="460"/>
      <c r="BL1012" s="460"/>
      <c r="BM1012" s="460"/>
      <c r="BN1012" s="460"/>
      <c r="BO1012" s="460"/>
      <c r="BP1012" s="460"/>
      <c r="BQ1012" s="460"/>
      <c r="BR1012" s="460"/>
      <c r="BS1012" s="460"/>
      <c r="BT1012" s="460"/>
      <c r="BU1012" s="460"/>
      <c r="BV1012" s="460"/>
      <c r="BW1012" s="460"/>
      <c r="BX1012" s="460"/>
      <c r="BY1012" s="460"/>
      <c r="BZ1012" s="460"/>
      <c r="CA1012" s="460"/>
      <c r="CB1012" s="460"/>
      <c r="CC1012" s="460"/>
      <c r="CD1012" s="460"/>
      <c r="CE1012" s="460"/>
      <c r="CF1012" s="460"/>
      <c r="CG1012" s="460"/>
      <c r="CH1012" s="460"/>
      <c r="CI1012" s="460"/>
      <c r="CJ1012" s="460"/>
      <c r="CK1012" s="460"/>
    </row>
    <row r="1013" spans="1:89" s="329" customFormat="1" ht="36" customHeight="1" x14ac:dyDescent="0.25">
      <c r="A1013" s="329">
        <v>1</v>
      </c>
      <c r="B1013" s="39">
        <f>SUBTOTAL(103,$A$1000:A1013)</f>
        <v>14</v>
      </c>
      <c r="C1013" s="33" t="s">
        <v>1713</v>
      </c>
      <c r="D1013" s="330">
        <v>1962</v>
      </c>
      <c r="E1013" s="330"/>
      <c r="F1013" s="331" t="s">
        <v>48</v>
      </c>
      <c r="G1013" s="330">
        <v>4</v>
      </c>
      <c r="H1013" s="330" t="s">
        <v>61</v>
      </c>
      <c r="I1013" s="334">
        <v>2743</v>
      </c>
      <c r="J1013" s="334">
        <v>2000.4</v>
      </c>
      <c r="K1013" s="334">
        <v>1836.7</v>
      </c>
      <c r="L1013" s="332">
        <v>91</v>
      </c>
      <c r="M1013" s="330" t="s">
        <v>46</v>
      </c>
      <c r="N1013" s="330" t="s">
        <v>50</v>
      </c>
      <c r="O1013" s="333" t="s">
        <v>1958</v>
      </c>
      <c r="P1013" s="38">
        <v>4261500</v>
      </c>
      <c r="Q1013" s="38">
        <v>0</v>
      </c>
      <c r="R1013" s="38">
        <v>0</v>
      </c>
      <c r="S1013" s="38">
        <f t="shared" si="223"/>
        <v>4261500</v>
      </c>
      <c r="T1013" s="38">
        <f t="shared" si="215"/>
        <v>1553.5909588042289</v>
      </c>
      <c r="U1013" s="38">
        <v>1889.6964345606998</v>
      </c>
      <c r="V1013" s="458">
        <f t="shared" si="210"/>
        <v>336.10547575647092</v>
      </c>
      <c r="W1013" s="458">
        <f t="shared" si="224"/>
        <v>1056.9527805322639</v>
      </c>
      <c r="X1013" s="458">
        <v>0</v>
      </c>
      <c r="Y1013" s="459">
        <v>0</v>
      </c>
      <c r="Z1013" s="459">
        <v>0</v>
      </c>
      <c r="AA1013" s="459">
        <v>0</v>
      </c>
      <c r="AB1013" s="459">
        <v>0</v>
      </c>
      <c r="AC1013" s="459">
        <v>0</v>
      </c>
      <c r="AD1013" s="459">
        <v>0</v>
      </c>
      <c r="AE1013" s="459">
        <v>464.7</v>
      </c>
      <c r="AF1013" s="458">
        <f t="shared" si="225"/>
        <v>1056.9527805322639</v>
      </c>
      <c r="AG1013" s="459">
        <v>0</v>
      </c>
      <c r="AH1013" s="458">
        <v>0</v>
      </c>
      <c r="AI1013" s="459">
        <v>0</v>
      </c>
      <c r="AJ1013" s="458">
        <v>0</v>
      </c>
      <c r="AK1013" s="459">
        <v>0</v>
      </c>
      <c r="AL1013" s="459">
        <v>0</v>
      </c>
      <c r="AM1013" s="459">
        <v>0</v>
      </c>
      <c r="AN1013" s="459"/>
      <c r="AO1013" s="459">
        <v>0</v>
      </c>
      <c r="AP1013" s="460"/>
      <c r="AQ1013" s="460"/>
      <c r="AR1013" s="460"/>
      <c r="AS1013" s="460"/>
      <c r="AT1013" s="460"/>
      <c r="AU1013" s="460"/>
      <c r="AV1013" s="460"/>
      <c r="AW1013" s="460"/>
      <c r="AX1013" s="460"/>
      <c r="AY1013" s="460"/>
      <c r="AZ1013" s="460"/>
      <c r="BA1013" s="460"/>
      <c r="BB1013" s="460"/>
      <c r="BC1013" s="460"/>
      <c r="BD1013" s="460"/>
      <c r="BE1013" s="460"/>
      <c r="BF1013" s="460"/>
      <c r="BG1013" s="460"/>
      <c r="BH1013" s="460"/>
      <c r="BI1013" s="460"/>
      <c r="BJ1013" s="460"/>
      <c r="BK1013" s="460"/>
      <c r="BL1013" s="460"/>
      <c r="BM1013" s="460"/>
      <c r="BN1013" s="460"/>
      <c r="BO1013" s="460"/>
      <c r="BP1013" s="460"/>
      <c r="BQ1013" s="460"/>
      <c r="BR1013" s="460"/>
      <c r="BS1013" s="460"/>
      <c r="BT1013" s="460"/>
      <c r="BU1013" s="460"/>
      <c r="BV1013" s="460"/>
      <c r="BW1013" s="460"/>
      <c r="BX1013" s="460"/>
      <c r="BY1013" s="460"/>
      <c r="BZ1013" s="460"/>
      <c r="CA1013" s="460"/>
      <c r="CB1013" s="460"/>
      <c r="CC1013" s="460"/>
      <c r="CD1013" s="460"/>
      <c r="CE1013" s="460"/>
      <c r="CF1013" s="460"/>
      <c r="CG1013" s="460"/>
      <c r="CH1013" s="460"/>
      <c r="CI1013" s="460"/>
      <c r="CJ1013" s="460"/>
      <c r="CK1013" s="460"/>
    </row>
    <row r="1014" spans="1:89" s="329" customFormat="1" ht="36" customHeight="1" x14ac:dyDescent="0.25">
      <c r="A1014" s="329">
        <v>1</v>
      </c>
      <c r="B1014" s="39">
        <f>SUBTOTAL(103,$A$1000:A1014)</f>
        <v>15</v>
      </c>
      <c r="C1014" s="33" t="s">
        <v>1714</v>
      </c>
      <c r="D1014" s="330" t="s">
        <v>2176</v>
      </c>
      <c r="E1014" s="330"/>
      <c r="F1014" s="331" t="s">
        <v>48</v>
      </c>
      <c r="G1014" s="330" t="s">
        <v>61</v>
      </c>
      <c r="H1014" s="330" t="s">
        <v>57</v>
      </c>
      <c r="I1014" s="334">
        <v>1637</v>
      </c>
      <c r="J1014" s="334">
        <v>1066.9000000000001</v>
      </c>
      <c r="K1014" s="334">
        <v>768.5</v>
      </c>
      <c r="L1014" s="332">
        <v>61</v>
      </c>
      <c r="M1014" s="330" t="s">
        <v>46</v>
      </c>
      <c r="N1014" s="330" t="s">
        <v>50</v>
      </c>
      <c r="O1014" s="333" t="s">
        <v>251</v>
      </c>
      <c r="P1014" s="38">
        <v>3614995.2</v>
      </c>
      <c r="Q1014" s="38">
        <v>0</v>
      </c>
      <c r="R1014" s="38">
        <v>0</v>
      </c>
      <c r="S1014" s="38">
        <f t="shared" si="223"/>
        <v>3614995.2</v>
      </c>
      <c r="T1014" s="38">
        <f t="shared" si="215"/>
        <v>2208.3049480757486</v>
      </c>
      <c r="U1014" s="38">
        <v>2963.7429749541843</v>
      </c>
      <c r="V1014" s="458">
        <f t="shared" si="210"/>
        <v>755.43802687843572</v>
      </c>
      <c r="W1014" s="458">
        <f t="shared" si="224"/>
        <v>1770.9814897984118</v>
      </c>
      <c r="X1014" s="458">
        <v>0</v>
      </c>
      <c r="Y1014" s="459">
        <v>0</v>
      </c>
      <c r="Z1014" s="459">
        <v>0</v>
      </c>
      <c r="AA1014" s="459">
        <v>0</v>
      </c>
      <c r="AB1014" s="459">
        <v>0</v>
      </c>
      <c r="AC1014" s="459">
        <v>0</v>
      </c>
      <c r="AD1014" s="459">
        <v>0</v>
      </c>
      <c r="AE1014" s="459">
        <v>464.68</v>
      </c>
      <c r="AF1014" s="458">
        <f t="shared" si="225"/>
        <v>1770.9814897984118</v>
      </c>
      <c r="AG1014" s="459">
        <v>0</v>
      </c>
      <c r="AH1014" s="458">
        <v>0</v>
      </c>
      <c r="AI1014" s="459">
        <v>0</v>
      </c>
      <c r="AJ1014" s="458">
        <v>0</v>
      </c>
      <c r="AK1014" s="459">
        <v>0</v>
      </c>
      <c r="AL1014" s="459">
        <v>0</v>
      </c>
      <c r="AM1014" s="459">
        <v>0</v>
      </c>
      <c r="AN1014" s="459"/>
      <c r="AO1014" s="459">
        <v>0</v>
      </c>
      <c r="AP1014" s="460"/>
      <c r="AQ1014" s="460"/>
      <c r="AR1014" s="460"/>
      <c r="AS1014" s="460"/>
      <c r="AT1014" s="460"/>
      <c r="AU1014" s="460"/>
      <c r="AV1014" s="460"/>
      <c r="AW1014" s="460"/>
      <c r="AX1014" s="460"/>
      <c r="AY1014" s="460"/>
      <c r="AZ1014" s="460"/>
      <c r="BA1014" s="460"/>
      <c r="BB1014" s="460"/>
      <c r="BC1014" s="460"/>
      <c r="BD1014" s="460"/>
      <c r="BE1014" s="460"/>
      <c r="BF1014" s="460"/>
      <c r="BG1014" s="460"/>
      <c r="BH1014" s="460"/>
      <c r="BI1014" s="460"/>
      <c r="BJ1014" s="460"/>
      <c r="BK1014" s="460"/>
      <c r="BL1014" s="460"/>
      <c r="BM1014" s="460"/>
      <c r="BN1014" s="460"/>
      <c r="BO1014" s="460"/>
      <c r="BP1014" s="460"/>
      <c r="BQ1014" s="460"/>
      <c r="BR1014" s="460"/>
      <c r="BS1014" s="460"/>
      <c r="BT1014" s="460"/>
      <c r="BU1014" s="460"/>
      <c r="BV1014" s="460"/>
      <c r="BW1014" s="460"/>
      <c r="BX1014" s="460"/>
      <c r="BY1014" s="460"/>
      <c r="BZ1014" s="460"/>
      <c r="CA1014" s="460"/>
      <c r="CB1014" s="460"/>
      <c r="CC1014" s="460"/>
      <c r="CD1014" s="460"/>
      <c r="CE1014" s="460"/>
      <c r="CF1014" s="460"/>
      <c r="CG1014" s="460"/>
      <c r="CH1014" s="460"/>
      <c r="CI1014" s="460"/>
      <c r="CJ1014" s="460"/>
      <c r="CK1014" s="460"/>
    </row>
    <row r="1015" spans="1:89" s="329" customFormat="1" ht="36" customHeight="1" x14ac:dyDescent="0.25">
      <c r="A1015" s="329">
        <v>1</v>
      </c>
      <c r="B1015" s="39">
        <f>SUBTOTAL(103,$A$1000:A1015)</f>
        <v>16</v>
      </c>
      <c r="C1015" s="33" t="s">
        <v>1715</v>
      </c>
      <c r="D1015" s="330" t="s">
        <v>2117</v>
      </c>
      <c r="E1015" s="330"/>
      <c r="F1015" s="331" t="s">
        <v>48</v>
      </c>
      <c r="G1015" s="330" t="s">
        <v>75</v>
      </c>
      <c r="H1015" s="330" t="s">
        <v>57</v>
      </c>
      <c r="I1015" s="334">
        <v>867.9</v>
      </c>
      <c r="J1015" s="334">
        <v>809.2</v>
      </c>
      <c r="K1015" s="334">
        <v>766.2</v>
      </c>
      <c r="L1015" s="332">
        <v>39</v>
      </c>
      <c r="M1015" s="330" t="s">
        <v>46</v>
      </c>
      <c r="N1015" s="330" t="s">
        <v>50</v>
      </c>
      <c r="O1015" s="333" t="s">
        <v>2118</v>
      </c>
      <c r="P1015" s="38">
        <v>1074208.6600000001</v>
      </c>
      <c r="Q1015" s="38">
        <v>0</v>
      </c>
      <c r="R1015" s="38">
        <v>0</v>
      </c>
      <c r="S1015" s="38">
        <f t="shared" si="223"/>
        <v>1074208.6600000001</v>
      </c>
      <c r="T1015" s="38">
        <f t="shared" si="215"/>
        <v>1237.710173983178</v>
      </c>
      <c r="U1015" s="38">
        <v>1630.145108883512</v>
      </c>
      <c r="V1015" s="458">
        <f t="shared" si="210"/>
        <v>392.43493490033393</v>
      </c>
      <c r="W1015" s="458">
        <f t="shared" si="224"/>
        <v>5952.0883511925331</v>
      </c>
      <c r="X1015" s="458">
        <v>0</v>
      </c>
      <c r="Y1015" s="459">
        <v>0</v>
      </c>
      <c r="Z1015" s="459">
        <v>0</v>
      </c>
      <c r="AA1015" s="459">
        <v>0</v>
      </c>
      <c r="AB1015" s="459">
        <v>0</v>
      </c>
      <c r="AC1015" s="459">
        <v>0</v>
      </c>
      <c r="AD1015" s="459">
        <v>0</v>
      </c>
      <c r="AE1015" s="459">
        <v>828</v>
      </c>
      <c r="AF1015" s="458">
        <f t="shared" si="225"/>
        <v>5952.0883511925331</v>
      </c>
      <c r="AG1015" s="459">
        <v>0</v>
      </c>
      <c r="AH1015" s="458">
        <v>0</v>
      </c>
      <c r="AI1015" s="459">
        <v>0</v>
      </c>
      <c r="AJ1015" s="458">
        <v>0</v>
      </c>
      <c r="AK1015" s="459">
        <v>0</v>
      </c>
      <c r="AL1015" s="459">
        <v>0</v>
      </c>
      <c r="AM1015" s="459">
        <v>0</v>
      </c>
      <c r="AN1015" s="459"/>
      <c r="AO1015" s="459">
        <v>0</v>
      </c>
      <c r="AP1015" s="460"/>
      <c r="AQ1015" s="460"/>
      <c r="AR1015" s="460"/>
      <c r="AS1015" s="460"/>
      <c r="AT1015" s="460"/>
      <c r="AU1015" s="460"/>
      <c r="AV1015" s="460"/>
      <c r="AW1015" s="460"/>
      <c r="AX1015" s="460"/>
      <c r="AY1015" s="460"/>
      <c r="AZ1015" s="460"/>
      <c r="BA1015" s="460"/>
      <c r="BB1015" s="460"/>
      <c r="BC1015" s="460"/>
      <c r="BD1015" s="460"/>
      <c r="BE1015" s="460"/>
      <c r="BF1015" s="460"/>
      <c r="BG1015" s="460"/>
      <c r="BH1015" s="460"/>
      <c r="BI1015" s="460"/>
      <c r="BJ1015" s="460"/>
      <c r="BK1015" s="460"/>
      <c r="BL1015" s="460"/>
      <c r="BM1015" s="460"/>
      <c r="BN1015" s="460"/>
      <c r="BO1015" s="460"/>
      <c r="BP1015" s="460"/>
      <c r="BQ1015" s="460"/>
      <c r="BR1015" s="460"/>
      <c r="BS1015" s="460"/>
      <c r="BT1015" s="460"/>
      <c r="BU1015" s="460"/>
      <c r="BV1015" s="460"/>
      <c r="BW1015" s="460"/>
      <c r="BX1015" s="460"/>
      <c r="BY1015" s="460"/>
      <c r="BZ1015" s="460"/>
      <c r="CA1015" s="460"/>
      <c r="CB1015" s="460"/>
      <c r="CC1015" s="460"/>
      <c r="CD1015" s="460"/>
      <c r="CE1015" s="460"/>
      <c r="CF1015" s="460"/>
      <c r="CG1015" s="460"/>
      <c r="CH1015" s="460"/>
      <c r="CI1015" s="460"/>
      <c r="CJ1015" s="460"/>
      <c r="CK1015" s="460"/>
    </row>
    <row r="1016" spans="1:89" s="329" customFormat="1" ht="36" customHeight="1" x14ac:dyDescent="0.25">
      <c r="A1016" s="329">
        <v>1</v>
      </c>
      <c r="B1016" s="39">
        <f>SUBTOTAL(103,$A$1000:A1016)</f>
        <v>17</v>
      </c>
      <c r="C1016" s="33" t="s">
        <v>1716</v>
      </c>
      <c r="D1016" s="330" t="s">
        <v>79</v>
      </c>
      <c r="E1016" s="330"/>
      <c r="F1016" s="331" t="s">
        <v>60</v>
      </c>
      <c r="G1016" s="330" t="s">
        <v>75</v>
      </c>
      <c r="H1016" s="330" t="s">
        <v>61</v>
      </c>
      <c r="I1016" s="334">
        <v>2653.8</v>
      </c>
      <c r="J1016" s="334">
        <v>2355.5</v>
      </c>
      <c r="K1016" s="334">
        <v>2354.1</v>
      </c>
      <c r="L1016" s="332">
        <v>102</v>
      </c>
      <c r="M1016" s="330" t="s">
        <v>46</v>
      </c>
      <c r="N1016" s="330" t="s">
        <v>50</v>
      </c>
      <c r="O1016" s="333" t="s">
        <v>1956</v>
      </c>
      <c r="P1016" s="38">
        <v>2983983.08</v>
      </c>
      <c r="Q1016" s="38">
        <v>0</v>
      </c>
      <c r="R1016" s="38">
        <v>0</v>
      </c>
      <c r="S1016" s="38">
        <f t="shared" si="223"/>
        <v>2983983.08</v>
      </c>
      <c r="T1016" s="38">
        <f t="shared" si="215"/>
        <v>1124.4189765619112</v>
      </c>
      <c r="U1016" s="38">
        <v>1490.8584218855979</v>
      </c>
      <c r="V1016" s="458">
        <f t="shared" si="210"/>
        <v>366.43944532368664</v>
      </c>
      <c r="W1016" s="458">
        <f t="shared" si="224"/>
        <v>1821.9742444796141</v>
      </c>
      <c r="X1016" s="458">
        <v>0</v>
      </c>
      <c r="Y1016" s="459">
        <v>0</v>
      </c>
      <c r="Z1016" s="459">
        <v>0</v>
      </c>
      <c r="AA1016" s="459">
        <v>0</v>
      </c>
      <c r="AB1016" s="459">
        <v>0</v>
      </c>
      <c r="AC1016" s="459">
        <v>0</v>
      </c>
      <c r="AD1016" s="459">
        <v>0</v>
      </c>
      <c r="AE1016" s="459">
        <v>775</v>
      </c>
      <c r="AF1016" s="458">
        <f t="shared" si="225"/>
        <v>1821.9742444796141</v>
      </c>
      <c r="AG1016" s="459">
        <v>0</v>
      </c>
      <c r="AH1016" s="458">
        <v>0</v>
      </c>
      <c r="AI1016" s="459">
        <v>0</v>
      </c>
      <c r="AJ1016" s="458">
        <v>0</v>
      </c>
      <c r="AK1016" s="459">
        <v>0</v>
      </c>
      <c r="AL1016" s="459">
        <v>0</v>
      </c>
      <c r="AM1016" s="459">
        <v>0</v>
      </c>
      <c r="AN1016" s="459"/>
      <c r="AO1016" s="459">
        <v>0</v>
      </c>
      <c r="AP1016" s="460"/>
      <c r="AQ1016" s="460"/>
      <c r="AR1016" s="460"/>
      <c r="AS1016" s="460"/>
      <c r="AT1016" s="460"/>
      <c r="AU1016" s="460"/>
      <c r="AV1016" s="460"/>
      <c r="AW1016" s="460"/>
      <c r="AX1016" s="460"/>
      <c r="AY1016" s="460"/>
      <c r="AZ1016" s="460"/>
      <c r="BA1016" s="460"/>
      <c r="BB1016" s="460"/>
      <c r="BC1016" s="460"/>
      <c r="BD1016" s="460"/>
      <c r="BE1016" s="460"/>
      <c r="BF1016" s="460"/>
      <c r="BG1016" s="460"/>
      <c r="BH1016" s="460"/>
      <c r="BI1016" s="460"/>
      <c r="BJ1016" s="460"/>
      <c r="BK1016" s="460"/>
      <c r="BL1016" s="460"/>
      <c r="BM1016" s="460"/>
      <c r="BN1016" s="460"/>
      <c r="BO1016" s="460"/>
      <c r="BP1016" s="460"/>
      <c r="BQ1016" s="460"/>
      <c r="BR1016" s="460"/>
      <c r="BS1016" s="460"/>
      <c r="BT1016" s="460"/>
      <c r="BU1016" s="460"/>
      <c r="BV1016" s="460"/>
      <c r="BW1016" s="460"/>
      <c r="BX1016" s="460"/>
      <c r="BY1016" s="460"/>
      <c r="BZ1016" s="460"/>
      <c r="CA1016" s="460"/>
      <c r="CB1016" s="460"/>
      <c r="CC1016" s="460"/>
      <c r="CD1016" s="460"/>
      <c r="CE1016" s="460"/>
      <c r="CF1016" s="460"/>
      <c r="CG1016" s="460"/>
      <c r="CH1016" s="460"/>
      <c r="CI1016" s="460"/>
      <c r="CJ1016" s="460"/>
      <c r="CK1016" s="460"/>
    </row>
    <row r="1017" spans="1:89" s="329" customFormat="1" ht="36" customHeight="1" x14ac:dyDescent="0.25">
      <c r="A1017" s="329">
        <v>1</v>
      </c>
      <c r="B1017" s="39">
        <f>SUBTOTAL(103,$A$1000:A1017)</f>
        <v>18</v>
      </c>
      <c r="C1017" s="33" t="s">
        <v>1717</v>
      </c>
      <c r="D1017" s="335" t="s">
        <v>79</v>
      </c>
      <c r="E1017" s="330"/>
      <c r="F1017" s="331" t="s">
        <v>60</v>
      </c>
      <c r="G1017" s="330" t="s">
        <v>75</v>
      </c>
      <c r="H1017" s="330" t="s">
        <v>61</v>
      </c>
      <c r="I1017" s="334">
        <v>2632.8</v>
      </c>
      <c r="J1017" s="334">
        <v>2335.8000000000002</v>
      </c>
      <c r="K1017" s="334">
        <v>2335.8000000000002</v>
      </c>
      <c r="L1017" s="332">
        <v>107</v>
      </c>
      <c r="M1017" s="330" t="s">
        <v>46</v>
      </c>
      <c r="N1017" s="330" t="s">
        <v>50</v>
      </c>
      <c r="O1017" s="333" t="s">
        <v>1956</v>
      </c>
      <c r="P1017" s="38">
        <v>2983983.08</v>
      </c>
      <c r="Q1017" s="38">
        <v>0</v>
      </c>
      <c r="R1017" s="38">
        <v>0</v>
      </c>
      <c r="S1017" s="38">
        <f t="shared" si="223"/>
        <v>2983983.08</v>
      </c>
      <c r="T1017" s="38">
        <f t="shared" si="215"/>
        <v>1133.3876785171681</v>
      </c>
      <c r="U1017" s="38">
        <v>1502.7499544211482</v>
      </c>
      <c r="V1017" s="458">
        <f t="shared" si="210"/>
        <v>369.36227590398016</v>
      </c>
      <c r="W1017" s="458">
        <f t="shared" si="224"/>
        <v>1319.9152499240352</v>
      </c>
      <c r="X1017" s="458">
        <v>0</v>
      </c>
      <c r="Y1017" s="459">
        <v>0</v>
      </c>
      <c r="Z1017" s="459">
        <v>0</v>
      </c>
      <c r="AA1017" s="459">
        <v>0</v>
      </c>
      <c r="AB1017" s="459">
        <v>0</v>
      </c>
      <c r="AC1017" s="459">
        <v>0</v>
      </c>
      <c r="AD1017" s="459">
        <v>0</v>
      </c>
      <c r="AE1017" s="459">
        <v>557</v>
      </c>
      <c r="AF1017" s="458">
        <f t="shared" si="225"/>
        <v>1319.9152499240352</v>
      </c>
      <c r="AG1017" s="459">
        <v>0</v>
      </c>
      <c r="AH1017" s="458">
        <v>0</v>
      </c>
      <c r="AI1017" s="459">
        <v>0</v>
      </c>
      <c r="AJ1017" s="458">
        <v>0</v>
      </c>
      <c r="AK1017" s="459">
        <v>0</v>
      </c>
      <c r="AL1017" s="459">
        <v>0</v>
      </c>
      <c r="AM1017" s="459">
        <v>0</v>
      </c>
      <c r="AN1017" s="459"/>
      <c r="AO1017" s="459">
        <v>0</v>
      </c>
      <c r="AP1017" s="460"/>
      <c r="AQ1017" s="460"/>
      <c r="AR1017" s="460"/>
      <c r="AS1017" s="460"/>
      <c r="AT1017" s="460"/>
      <c r="AU1017" s="460"/>
      <c r="AV1017" s="460"/>
      <c r="AW1017" s="460"/>
      <c r="AX1017" s="460"/>
      <c r="AY1017" s="460"/>
      <c r="AZ1017" s="460"/>
      <c r="BA1017" s="460"/>
      <c r="BB1017" s="460"/>
      <c r="BC1017" s="460"/>
      <c r="BD1017" s="460"/>
      <c r="BE1017" s="460"/>
      <c r="BF1017" s="460"/>
      <c r="BG1017" s="460"/>
      <c r="BH1017" s="460"/>
      <c r="BI1017" s="460"/>
      <c r="BJ1017" s="460"/>
      <c r="BK1017" s="460"/>
      <c r="BL1017" s="460"/>
      <c r="BM1017" s="460"/>
      <c r="BN1017" s="460"/>
      <c r="BO1017" s="460"/>
      <c r="BP1017" s="460"/>
      <c r="BQ1017" s="460"/>
      <c r="BR1017" s="460"/>
      <c r="BS1017" s="460"/>
      <c r="BT1017" s="460"/>
      <c r="BU1017" s="460"/>
      <c r="BV1017" s="460"/>
      <c r="BW1017" s="460"/>
      <c r="BX1017" s="460"/>
      <c r="BY1017" s="460"/>
      <c r="BZ1017" s="460"/>
      <c r="CA1017" s="460"/>
      <c r="CB1017" s="460"/>
      <c r="CC1017" s="460"/>
      <c r="CD1017" s="460"/>
      <c r="CE1017" s="460"/>
      <c r="CF1017" s="460"/>
      <c r="CG1017" s="460"/>
      <c r="CH1017" s="460"/>
      <c r="CI1017" s="460"/>
      <c r="CJ1017" s="460"/>
      <c r="CK1017" s="460"/>
    </row>
    <row r="1018" spans="1:89" s="329" customFormat="1" ht="36" customHeight="1" x14ac:dyDescent="0.25">
      <c r="A1018" s="329">
        <v>1</v>
      </c>
      <c r="B1018" s="39">
        <f>SUBTOTAL(103,$A$1000:A1018)</f>
        <v>19</v>
      </c>
      <c r="C1018" s="33" t="s">
        <v>1718</v>
      </c>
      <c r="D1018" s="335" t="s">
        <v>2117</v>
      </c>
      <c r="E1018" s="330"/>
      <c r="F1018" s="331" t="s">
        <v>48</v>
      </c>
      <c r="G1018" s="330" t="s">
        <v>1965</v>
      </c>
      <c r="H1018" s="330" t="s">
        <v>57</v>
      </c>
      <c r="I1018" s="334">
        <v>3626.2</v>
      </c>
      <c r="J1018" s="334">
        <v>3177.9</v>
      </c>
      <c r="K1018" s="334">
        <v>3152.1</v>
      </c>
      <c r="L1018" s="332">
        <v>152</v>
      </c>
      <c r="M1018" s="330" t="s">
        <v>46</v>
      </c>
      <c r="N1018" s="330" t="s">
        <v>50</v>
      </c>
      <c r="O1018" s="333" t="s">
        <v>1956</v>
      </c>
      <c r="P1018" s="38">
        <v>3402263</v>
      </c>
      <c r="Q1018" s="38">
        <v>0</v>
      </c>
      <c r="R1018" s="38">
        <v>0</v>
      </c>
      <c r="S1018" s="38">
        <f t="shared" si="223"/>
        <v>3402263</v>
      </c>
      <c r="T1018" s="38">
        <f t="shared" si="215"/>
        <v>938.24471898957586</v>
      </c>
      <c r="U1018" s="38">
        <v>1242.991782030776</v>
      </c>
      <c r="V1018" s="458">
        <f t="shared" si="210"/>
        <v>304.74706304120014</v>
      </c>
      <c r="W1018" s="458">
        <f t="shared" si="224"/>
        <v>388.83505046605262</v>
      </c>
      <c r="X1018" s="458">
        <v>0</v>
      </c>
      <c r="Y1018" s="459">
        <v>0</v>
      </c>
      <c r="Z1018" s="459">
        <v>0</v>
      </c>
      <c r="AA1018" s="459">
        <v>0</v>
      </c>
      <c r="AB1018" s="459">
        <v>0</v>
      </c>
      <c r="AC1018" s="459">
        <v>0</v>
      </c>
      <c r="AD1018" s="459">
        <v>0</v>
      </c>
      <c r="AE1018" s="459">
        <v>226</v>
      </c>
      <c r="AF1018" s="458">
        <f t="shared" si="225"/>
        <v>388.83505046605262</v>
      </c>
      <c r="AG1018" s="459">
        <v>0</v>
      </c>
      <c r="AH1018" s="458">
        <v>0</v>
      </c>
      <c r="AI1018" s="459">
        <v>0</v>
      </c>
      <c r="AJ1018" s="458">
        <v>0</v>
      </c>
      <c r="AK1018" s="459">
        <v>0</v>
      </c>
      <c r="AL1018" s="459">
        <v>0</v>
      </c>
      <c r="AM1018" s="459">
        <v>0</v>
      </c>
      <c r="AN1018" s="459"/>
      <c r="AO1018" s="459">
        <v>0</v>
      </c>
      <c r="AP1018" s="460"/>
      <c r="AQ1018" s="460"/>
      <c r="AR1018" s="460"/>
      <c r="AS1018" s="460"/>
      <c r="AT1018" s="460"/>
      <c r="AU1018" s="460"/>
      <c r="AV1018" s="460"/>
      <c r="AW1018" s="460"/>
      <c r="AX1018" s="460"/>
      <c r="AY1018" s="460"/>
      <c r="AZ1018" s="460"/>
      <c r="BA1018" s="460"/>
      <c r="BB1018" s="460"/>
      <c r="BC1018" s="460"/>
      <c r="BD1018" s="460"/>
      <c r="BE1018" s="460"/>
      <c r="BF1018" s="460"/>
      <c r="BG1018" s="460"/>
      <c r="BH1018" s="460"/>
      <c r="BI1018" s="460"/>
      <c r="BJ1018" s="460"/>
      <c r="BK1018" s="460"/>
      <c r="BL1018" s="460"/>
      <c r="BM1018" s="460"/>
      <c r="BN1018" s="460"/>
      <c r="BO1018" s="460"/>
      <c r="BP1018" s="460"/>
      <c r="BQ1018" s="460"/>
      <c r="BR1018" s="460"/>
      <c r="BS1018" s="460"/>
      <c r="BT1018" s="460"/>
      <c r="BU1018" s="460"/>
      <c r="BV1018" s="460"/>
      <c r="BW1018" s="460"/>
      <c r="BX1018" s="460"/>
      <c r="BY1018" s="460"/>
      <c r="BZ1018" s="460"/>
      <c r="CA1018" s="460"/>
      <c r="CB1018" s="460"/>
      <c r="CC1018" s="460"/>
      <c r="CD1018" s="460"/>
      <c r="CE1018" s="460"/>
      <c r="CF1018" s="460"/>
      <c r="CG1018" s="460"/>
      <c r="CH1018" s="460"/>
      <c r="CI1018" s="460"/>
      <c r="CJ1018" s="460"/>
      <c r="CK1018" s="460"/>
    </row>
    <row r="1019" spans="1:89" s="329" customFormat="1" ht="36" customHeight="1" x14ac:dyDescent="0.25">
      <c r="A1019" s="329">
        <v>1</v>
      </c>
      <c r="B1019" s="39">
        <f>SUBTOTAL(103,$A$1000:A1019)</f>
        <v>20</v>
      </c>
      <c r="C1019" s="33" t="s">
        <v>1719</v>
      </c>
      <c r="D1019" s="330" t="s">
        <v>80</v>
      </c>
      <c r="E1019" s="330"/>
      <c r="F1019" s="331" t="s">
        <v>60</v>
      </c>
      <c r="G1019" s="330" t="s">
        <v>75</v>
      </c>
      <c r="H1019" s="330" t="s">
        <v>59</v>
      </c>
      <c r="I1019" s="334">
        <v>3861</v>
      </c>
      <c r="J1019" s="334">
        <v>3552.1</v>
      </c>
      <c r="K1019" s="334">
        <v>3552.1</v>
      </c>
      <c r="L1019" s="332">
        <v>165</v>
      </c>
      <c r="M1019" s="330" t="s">
        <v>46</v>
      </c>
      <c r="N1019" s="330" t="s">
        <v>50</v>
      </c>
      <c r="O1019" s="333" t="s">
        <v>1956</v>
      </c>
      <c r="P1019" s="38">
        <v>4423303.57</v>
      </c>
      <c r="Q1019" s="38">
        <v>0</v>
      </c>
      <c r="R1019" s="38">
        <v>0</v>
      </c>
      <c r="S1019" s="38">
        <f t="shared" si="223"/>
        <v>4423303.57</v>
      </c>
      <c r="T1019" s="38">
        <f t="shared" si="215"/>
        <v>1145.6367702667703</v>
      </c>
      <c r="U1019" s="38">
        <v>1574.3704972804971</v>
      </c>
      <c r="V1019" s="458">
        <f t="shared" si="210"/>
        <v>428.73372701372682</v>
      </c>
      <c r="W1019" s="458">
        <f t="shared" si="224"/>
        <v>1021.2357213157213</v>
      </c>
      <c r="X1019" s="458">
        <v>0</v>
      </c>
      <c r="Y1019" s="459">
        <v>0</v>
      </c>
      <c r="Z1019" s="459">
        <v>0</v>
      </c>
      <c r="AA1019" s="459">
        <v>0</v>
      </c>
      <c r="AB1019" s="459">
        <v>0</v>
      </c>
      <c r="AC1019" s="459">
        <v>0</v>
      </c>
      <c r="AD1019" s="459">
        <v>0</v>
      </c>
      <c r="AE1019" s="459">
        <v>632</v>
      </c>
      <c r="AF1019" s="458">
        <f t="shared" si="225"/>
        <v>1021.2357213157213</v>
      </c>
      <c r="AG1019" s="459">
        <v>0</v>
      </c>
      <c r="AH1019" s="458">
        <v>0</v>
      </c>
      <c r="AI1019" s="459">
        <v>0</v>
      </c>
      <c r="AJ1019" s="458">
        <v>0</v>
      </c>
      <c r="AK1019" s="459">
        <v>0</v>
      </c>
      <c r="AL1019" s="459">
        <v>0</v>
      </c>
      <c r="AM1019" s="459">
        <v>0</v>
      </c>
      <c r="AN1019" s="459"/>
      <c r="AO1019" s="459">
        <v>0</v>
      </c>
      <c r="AP1019" s="460"/>
      <c r="AQ1019" s="460"/>
      <c r="AR1019" s="460"/>
      <c r="AS1019" s="460"/>
      <c r="AT1019" s="460"/>
      <c r="AU1019" s="460"/>
      <c r="AV1019" s="460"/>
      <c r="AW1019" s="460"/>
      <c r="AX1019" s="460"/>
      <c r="AY1019" s="460"/>
      <c r="AZ1019" s="460"/>
      <c r="BA1019" s="460"/>
      <c r="BB1019" s="460"/>
      <c r="BC1019" s="460"/>
      <c r="BD1019" s="460"/>
      <c r="BE1019" s="460"/>
      <c r="BF1019" s="460"/>
      <c r="BG1019" s="460"/>
      <c r="BH1019" s="460"/>
      <c r="BI1019" s="460"/>
      <c r="BJ1019" s="460"/>
      <c r="BK1019" s="460"/>
      <c r="BL1019" s="460"/>
      <c r="BM1019" s="460"/>
      <c r="BN1019" s="460"/>
      <c r="BO1019" s="460"/>
      <c r="BP1019" s="460"/>
      <c r="BQ1019" s="460"/>
      <c r="BR1019" s="460"/>
      <c r="BS1019" s="460"/>
      <c r="BT1019" s="460"/>
      <c r="BU1019" s="460"/>
      <c r="BV1019" s="460"/>
      <c r="BW1019" s="460"/>
      <c r="BX1019" s="460"/>
      <c r="BY1019" s="460"/>
      <c r="BZ1019" s="460"/>
      <c r="CA1019" s="460"/>
      <c r="CB1019" s="460"/>
      <c r="CC1019" s="460"/>
      <c r="CD1019" s="460"/>
      <c r="CE1019" s="460"/>
      <c r="CF1019" s="460"/>
      <c r="CG1019" s="460"/>
      <c r="CH1019" s="460"/>
      <c r="CI1019" s="460"/>
      <c r="CJ1019" s="460"/>
      <c r="CK1019" s="460"/>
    </row>
    <row r="1020" spans="1:89" s="329" customFormat="1" ht="36" customHeight="1" x14ac:dyDescent="0.25">
      <c r="A1020" s="329">
        <v>1</v>
      </c>
      <c r="B1020" s="39">
        <f>SUBTOTAL(103,$A$1000:A1020)</f>
        <v>21</v>
      </c>
      <c r="C1020" s="33" t="s">
        <v>1720</v>
      </c>
      <c r="D1020" s="330" t="s">
        <v>2177</v>
      </c>
      <c r="E1020" s="330"/>
      <c r="F1020" s="331" t="s">
        <v>48</v>
      </c>
      <c r="G1020" s="330" t="s">
        <v>1961</v>
      </c>
      <c r="H1020" s="330" t="s">
        <v>57</v>
      </c>
      <c r="I1020" s="334">
        <v>1800.4</v>
      </c>
      <c r="J1020" s="334">
        <v>1058.3</v>
      </c>
      <c r="K1020" s="334">
        <v>1043.0999999999999</v>
      </c>
      <c r="L1020" s="332">
        <v>51</v>
      </c>
      <c r="M1020" s="330" t="s">
        <v>46</v>
      </c>
      <c r="N1020" s="330" t="s">
        <v>50</v>
      </c>
      <c r="O1020" s="333" t="s">
        <v>2129</v>
      </c>
      <c r="P1020" s="38">
        <v>2349559.61</v>
      </c>
      <c r="Q1020" s="38">
        <v>0</v>
      </c>
      <c r="R1020" s="38">
        <v>0</v>
      </c>
      <c r="S1020" s="38">
        <f t="shared" si="223"/>
        <v>2349559.61</v>
      </c>
      <c r="T1020" s="38">
        <f t="shared" si="215"/>
        <v>1305.0208898022661</v>
      </c>
      <c r="U1020" s="38">
        <v>1320.5732059542324</v>
      </c>
      <c r="V1020" s="458">
        <f t="shared" si="210"/>
        <v>15.552316151966352</v>
      </c>
      <c r="W1020" s="458">
        <f t="shared" si="224"/>
        <v>2190.0639413463673</v>
      </c>
      <c r="X1020" s="458">
        <v>0</v>
      </c>
      <c r="Y1020" s="459">
        <v>0</v>
      </c>
      <c r="Z1020" s="459">
        <v>0</v>
      </c>
      <c r="AA1020" s="459">
        <v>0</v>
      </c>
      <c r="AB1020" s="459">
        <v>0</v>
      </c>
      <c r="AC1020" s="459">
        <v>0</v>
      </c>
      <c r="AD1020" s="459">
        <v>0</v>
      </c>
      <c r="AE1020" s="459">
        <v>632</v>
      </c>
      <c r="AF1020" s="458">
        <f t="shared" si="225"/>
        <v>2190.0639413463673</v>
      </c>
      <c r="AG1020" s="459">
        <v>0</v>
      </c>
      <c r="AH1020" s="458">
        <v>0</v>
      </c>
      <c r="AI1020" s="459">
        <v>0</v>
      </c>
      <c r="AJ1020" s="458">
        <v>0</v>
      </c>
      <c r="AK1020" s="459">
        <v>0</v>
      </c>
      <c r="AL1020" s="459">
        <v>0</v>
      </c>
      <c r="AM1020" s="459">
        <v>0</v>
      </c>
      <c r="AN1020" s="459"/>
      <c r="AO1020" s="459">
        <v>0</v>
      </c>
      <c r="AP1020" s="460"/>
      <c r="AQ1020" s="460"/>
      <c r="AR1020" s="460"/>
      <c r="AS1020" s="460"/>
      <c r="AT1020" s="460"/>
      <c r="AU1020" s="460"/>
      <c r="AV1020" s="460"/>
      <c r="AW1020" s="460"/>
      <c r="AX1020" s="460"/>
      <c r="AY1020" s="460"/>
      <c r="AZ1020" s="460"/>
      <c r="BA1020" s="460"/>
      <c r="BB1020" s="460"/>
      <c r="BC1020" s="460"/>
      <c r="BD1020" s="460"/>
      <c r="BE1020" s="460"/>
      <c r="BF1020" s="460"/>
      <c r="BG1020" s="460"/>
      <c r="BH1020" s="460"/>
      <c r="BI1020" s="460"/>
      <c r="BJ1020" s="460"/>
      <c r="BK1020" s="460"/>
      <c r="BL1020" s="460"/>
      <c r="BM1020" s="460"/>
      <c r="BN1020" s="460"/>
      <c r="BO1020" s="460"/>
      <c r="BP1020" s="460"/>
      <c r="BQ1020" s="460"/>
      <c r="BR1020" s="460"/>
      <c r="BS1020" s="460"/>
      <c r="BT1020" s="460"/>
      <c r="BU1020" s="460"/>
      <c r="BV1020" s="460"/>
      <c r="BW1020" s="460"/>
      <c r="BX1020" s="460"/>
      <c r="BY1020" s="460"/>
      <c r="BZ1020" s="460"/>
      <c r="CA1020" s="460"/>
      <c r="CB1020" s="460"/>
      <c r="CC1020" s="460"/>
      <c r="CD1020" s="460"/>
      <c r="CE1020" s="460"/>
      <c r="CF1020" s="460"/>
      <c r="CG1020" s="460"/>
      <c r="CH1020" s="460"/>
      <c r="CI1020" s="460"/>
      <c r="CJ1020" s="460"/>
      <c r="CK1020" s="460"/>
    </row>
    <row r="1021" spans="1:89" s="329" customFormat="1" ht="36" customHeight="1" x14ac:dyDescent="0.25">
      <c r="A1021" s="329">
        <v>1</v>
      </c>
      <c r="B1021" s="39">
        <f>SUBTOTAL(103,$A$1000:A1021)</f>
        <v>22</v>
      </c>
      <c r="C1021" s="33" t="s">
        <v>1721</v>
      </c>
      <c r="D1021" s="330">
        <v>1962</v>
      </c>
      <c r="E1021" s="330"/>
      <c r="F1021" s="331" t="s">
        <v>48</v>
      </c>
      <c r="G1021" s="330">
        <v>5</v>
      </c>
      <c r="H1021" s="330" t="s">
        <v>59</v>
      </c>
      <c r="I1021" s="334">
        <v>4073.9</v>
      </c>
      <c r="J1021" s="334">
        <v>3163.1</v>
      </c>
      <c r="K1021" s="334">
        <v>2004.3</v>
      </c>
      <c r="L1021" s="332">
        <v>146</v>
      </c>
      <c r="M1021" s="330" t="s">
        <v>46</v>
      </c>
      <c r="N1021" s="330" t="s">
        <v>50</v>
      </c>
      <c r="O1021" s="333" t="s">
        <v>1958</v>
      </c>
      <c r="P1021" s="38">
        <v>3999114.33</v>
      </c>
      <c r="Q1021" s="38">
        <v>0</v>
      </c>
      <c r="R1021" s="38">
        <v>0</v>
      </c>
      <c r="S1021" s="38">
        <f t="shared" si="223"/>
        <v>3999114.33</v>
      </c>
      <c r="T1021" s="38">
        <f t="shared" si="215"/>
        <v>981.64273300768309</v>
      </c>
      <c r="U1021" s="38">
        <v>1296.9391393995922</v>
      </c>
      <c r="V1021" s="458">
        <f t="shared" si="210"/>
        <v>315.29640639190916</v>
      </c>
      <c r="W1021" s="458">
        <f t="shared" si="224"/>
        <v>1102.6326615773582</v>
      </c>
      <c r="X1021" s="458">
        <v>0</v>
      </c>
      <c r="Y1021" s="459">
        <v>0</v>
      </c>
      <c r="Z1021" s="459">
        <v>0</v>
      </c>
      <c r="AA1021" s="459">
        <v>0</v>
      </c>
      <c r="AB1021" s="459">
        <v>0</v>
      </c>
      <c r="AC1021" s="459">
        <v>0</v>
      </c>
      <c r="AD1021" s="459">
        <v>0</v>
      </c>
      <c r="AE1021" s="459">
        <v>720</v>
      </c>
      <c r="AF1021" s="458">
        <f t="shared" si="225"/>
        <v>1102.6326615773582</v>
      </c>
      <c r="AG1021" s="459">
        <v>0</v>
      </c>
      <c r="AH1021" s="458">
        <v>0</v>
      </c>
      <c r="AI1021" s="459">
        <v>0</v>
      </c>
      <c r="AJ1021" s="458">
        <v>0</v>
      </c>
      <c r="AK1021" s="459">
        <v>0</v>
      </c>
      <c r="AL1021" s="459">
        <v>0</v>
      </c>
      <c r="AM1021" s="459">
        <v>0</v>
      </c>
      <c r="AN1021" s="459"/>
      <c r="AO1021" s="459">
        <v>0</v>
      </c>
      <c r="AP1021" s="460"/>
      <c r="AQ1021" s="460"/>
      <c r="AR1021" s="460"/>
      <c r="AS1021" s="460"/>
      <c r="AT1021" s="460"/>
      <c r="AU1021" s="460"/>
      <c r="AV1021" s="460"/>
      <c r="AW1021" s="460"/>
      <c r="AX1021" s="460"/>
      <c r="AY1021" s="460"/>
      <c r="AZ1021" s="460"/>
      <c r="BA1021" s="460"/>
      <c r="BB1021" s="460"/>
      <c r="BC1021" s="460"/>
      <c r="BD1021" s="460"/>
      <c r="BE1021" s="460"/>
      <c r="BF1021" s="460"/>
      <c r="BG1021" s="460"/>
      <c r="BH1021" s="460"/>
      <c r="BI1021" s="460"/>
      <c r="BJ1021" s="460"/>
      <c r="BK1021" s="460"/>
      <c r="BL1021" s="460"/>
      <c r="BM1021" s="460"/>
      <c r="BN1021" s="460"/>
      <c r="BO1021" s="460"/>
      <c r="BP1021" s="460"/>
      <c r="BQ1021" s="460"/>
      <c r="BR1021" s="460"/>
      <c r="BS1021" s="460"/>
      <c r="BT1021" s="460"/>
      <c r="BU1021" s="460"/>
      <c r="BV1021" s="460"/>
      <c r="BW1021" s="460"/>
      <c r="BX1021" s="460"/>
      <c r="BY1021" s="460"/>
      <c r="BZ1021" s="460"/>
      <c r="CA1021" s="460"/>
      <c r="CB1021" s="460"/>
      <c r="CC1021" s="460"/>
      <c r="CD1021" s="460"/>
      <c r="CE1021" s="460"/>
      <c r="CF1021" s="460"/>
      <c r="CG1021" s="460"/>
      <c r="CH1021" s="460"/>
      <c r="CI1021" s="460"/>
      <c r="CJ1021" s="460"/>
      <c r="CK1021" s="460"/>
    </row>
    <row r="1022" spans="1:89" s="329" customFormat="1" ht="36" customHeight="1" x14ac:dyDescent="0.25">
      <c r="A1022" s="329">
        <v>1</v>
      </c>
      <c r="B1022" s="39">
        <f>SUBTOTAL(103,$A$1000:A1022)</f>
        <v>23</v>
      </c>
      <c r="C1022" s="33" t="s">
        <v>1722</v>
      </c>
      <c r="D1022" s="330">
        <v>1962</v>
      </c>
      <c r="E1022" s="330"/>
      <c r="F1022" s="331" t="s">
        <v>48</v>
      </c>
      <c r="G1022" s="330">
        <v>4</v>
      </c>
      <c r="H1022" s="330" t="s">
        <v>61</v>
      </c>
      <c r="I1022" s="334">
        <v>2843.6</v>
      </c>
      <c r="J1022" s="334">
        <v>2001.7</v>
      </c>
      <c r="K1022" s="334">
        <v>1691.5</v>
      </c>
      <c r="L1022" s="332">
        <v>91</v>
      </c>
      <c r="M1022" s="330" t="s">
        <v>46</v>
      </c>
      <c r="N1022" s="330" t="s">
        <v>50</v>
      </c>
      <c r="O1022" s="333" t="s">
        <v>1958</v>
      </c>
      <c r="P1022" s="38">
        <v>4474650</v>
      </c>
      <c r="Q1022" s="38">
        <v>0</v>
      </c>
      <c r="R1022" s="38">
        <v>0</v>
      </c>
      <c r="S1022" s="38">
        <f t="shared" si="223"/>
        <v>4474650</v>
      </c>
      <c r="T1022" s="38">
        <f t="shared" si="215"/>
        <v>1573.5862990575326</v>
      </c>
      <c r="U1022" s="38">
        <v>2113.4415529610351</v>
      </c>
      <c r="V1022" s="458">
        <f t="shared" si="210"/>
        <v>539.85525390350244</v>
      </c>
      <c r="W1022" s="458">
        <f t="shared" si="224"/>
        <v>2130.3916197777462</v>
      </c>
      <c r="X1022" s="458">
        <v>0</v>
      </c>
      <c r="Y1022" s="459">
        <v>0</v>
      </c>
      <c r="Z1022" s="459">
        <v>0</v>
      </c>
      <c r="AA1022" s="459">
        <v>0</v>
      </c>
      <c r="AB1022" s="459">
        <v>0</v>
      </c>
      <c r="AC1022" s="459">
        <v>0</v>
      </c>
      <c r="AD1022" s="459">
        <v>0</v>
      </c>
      <c r="AE1022" s="459">
        <v>971</v>
      </c>
      <c r="AF1022" s="458">
        <f t="shared" si="225"/>
        <v>2130.3916197777462</v>
      </c>
      <c r="AG1022" s="459">
        <v>0</v>
      </c>
      <c r="AH1022" s="458">
        <v>0</v>
      </c>
      <c r="AI1022" s="459">
        <v>0</v>
      </c>
      <c r="AJ1022" s="458">
        <v>0</v>
      </c>
      <c r="AK1022" s="459">
        <v>0</v>
      </c>
      <c r="AL1022" s="459">
        <v>0</v>
      </c>
      <c r="AM1022" s="459">
        <v>0</v>
      </c>
      <c r="AN1022" s="459"/>
      <c r="AO1022" s="459">
        <v>0</v>
      </c>
      <c r="AP1022" s="460"/>
      <c r="AQ1022" s="460"/>
      <c r="AR1022" s="460"/>
      <c r="AS1022" s="460"/>
      <c r="AT1022" s="460"/>
      <c r="AU1022" s="460"/>
      <c r="AV1022" s="460"/>
      <c r="AW1022" s="460"/>
      <c r="AX1022" s="460"/>
      <c r="AY1022" s="460"/>
      <c r="AZ1022" s="460"/>
      <c r="BA1022" s="460"/>
      <c r="BB1022" s="460"/>
      <c r="BC1022" s="460"/>
      <c r="BD1022" s="460"/>
      <c r="BE1022" s="460"/>
      <c r="BF1022" s="460"/>
      <c r="BG1022" s="460"/>
      <c r="BH1022" s="460"/>
      <c r="BI1022" s="460"/>
      <c r="BJ1022" s="460"/>
      <c r="BK1022" s="460"/>
      <c r="BL1022" s="460"/>
      <c r="BM1022" s="460"/>
      <c r="BN1022" s="460"/>
      <c r="BO1022" s="460"/>
      <c r="BP1022" s="460"/>
      <c r="BQ1022" s="460"/>
      <c r="BR1022" s="460"/>
      <c r="BS1022" s="460"/>
      <c r="BT1022" s="460"/>
      <c r="BU1022" s="460"/>
      <c r="BV1022" s="460"/>
      <c r="BW1022" s="460"/>
      <c r="BX1022" s="460"/>
      <c r="BY1022" s="460"/>
      <c r="BZ1022" s="460"/>
      <c r="CA1022" s="460"/>
      <c r="CB1022" s="460"/>
      <c r="CC1022" s="460"/>
      <c r="CD1022" s="460"/>
      <c r="CE1022" s="460"/>
      <c r="CF1022" s="460"/>
      <c r="CG1022" s="460"/>
      <c r="CH1022" s="460"/>
      <c r="CI1022" s="460"/>
      <c r="CJ1022" s="460"/>
      <c r="CK1022" s="460"/>
    </row>
    <row r="1023" spans="1:89" s="329" customFormat="1" ht="36" customHeight="1" x14ac:dyDescent="0.25">
      <c r="A1023" s="329">
        <v>1</v>
      </c>
      <c r="B1023" s="39">
        <f>SUBTOTAL(103,$A$1000:A1023)</f>
        <v>24</v>
      </c>
      <c r="C1023" s="33" t="s">
        <v>1723</v>
      </c>
      <c r="D1023" s="330">
        <v>1961</v>
      </c>
      <c r="E1023" s="330"/>
      <c r="F1023" s="331" t="s">
        <v>48</v>
      </c>
      <c r="G1023" s="330">
        <v>5</v>
      </c>
      <c r="H1023" s="330" t="s">
        <v>59</v>
      </c>
      <c r="I1023" s="334">
        <v>3742.2</v>
      </c>
      <c r="J1023" s="334">
        <v>2832.1</v>
      </c>
      <c r="K1023" s="334">
        <v>2416.1999999999998</v>
      </c>
      <c r="L1023" s="332">
        <v>135</v>
      </c>
      <c r="M1023" s="330" t="s">
        <v>46</v>
      </c>
      <c r="N1023" s="330" t="s">
        <v>50</v>
      </c>
      <c r="O1023" s="333" t="s">
        <v>1958</v>
      </c>
      <c r="P1023" s="38">
        <v>5713232.8199999994</v>
      </c>
      <c r="Q1023" s="38">
        <v>0</v>
      </c>
      <c r="R1023" s="38">
        <v>0</v>
      </c>
      <c r="S1023" s="38">
        <f t="shared" si="223"/>
        <v>5713232.8199999994</v>
      </c>
      <c r="T1023" s="38">
        <f t="shared" si="215"/>
        <v>1526.7042969376303</v>
      </c>
      <c r="U1023" s="38">
        <v>1798.3283229116564</v>
      </c>
      <c r="V1023" s="458">
        <f t="shared" si="210"/>
        <v>271.62402597402615</v>
      </c>
      <c r="W1023" s="458">
        <f t="shared" si="224"/>
        <v>656.77943455721231</v>
      </c>
      <c r="X1023" s="458">
        <v>0</v>
      </c>
      <c r="Y1023" s="459">
        <v>0</v>
      </c>
      <c r="Z1023" s="459">
        <v>0</v>
      </c>
      <c r="AA1023" s="459">
        <v>0</v>
      </c>
      <c r="AB1023" s="459">
        <v>0</v>
      </c>
      <c r="AC1023" s="459">
        <v>1</v>
      </c>
      <c r="AD1023" s="458">
        <f>2457800*AC1023/I1023</f>
        <v>656.77943455721231</v>
      </c>
      <c r="AE1023" s="459">
        <v>0</v>
      </c>
      <c r="AF1023" s="458">
        <v>0</v>
      </c>
      <c r="AG1023" s="459">
        <v>0</v>
      </c>
      <c r="AH1023" s="458">
        <v>0</v>
      </c>
      <c r="AI1023" s="459">
        <v>0</v>
      </c>
      <c r="AJ1023" s="458">
        <v>0</v>
      </c>
      <c r="AK1023" s="459">
        <v>0</v>
      </c>
      <c r="AL1023" s="459">
        <v>0</v>
      </c>
      <c r="AM1023" s="459">
        <v>0</v>
      </c>
      <c r="AN1023" s="459"/>
      <c r="AO1023" s="459">
        <v>0</v>
      </c>
      <c r="AP1023" s="460"/>
      <c r="AQ1023" s="460"/>
      <c r="AR1023" s="460"/>
      <c r="AS1023" s="460"/>
      <c r="AT1023" s="460"/>
      <c r="AU1023" s="460"/>
      <c r="AV1023" s="460"/>
      <c r="AW1023" s="460"/>
      <c r="AX1023" s="460"/>
      <c r="AY1023" s="460"/>
      <c r="AZ1023" s="460"/>
      <c r="BA1023" s="460"/>
      <c r="BB1023" s="460"/>
      <c r="BC1023" s="460"/>
      <c r="BD1023" s="460"/>
      <c r="BE1023" s="460"/>
      <c r="BF1023" s="460"/>
      <c r="BG1023" s="460"/>
      <c r="BH1023" s="460"/>
      <c r="BI1023" s="460"/>
      <c r="BJ1023" s="460"/>
      <c r="BK1023" s="460"/>
      <c r="BL1023" s="460"/>
      <c r="BM1023" s="460"/>
      <c r="BN1023" s="460"/>
      <c r="BO1023" s="460"/>
      <c r="BP1023" s="460"/>
      <c r="BQ1023" s="460"/>
      <c r="BR1023" s="460"/>
      <c r="BS1023" s="460"/>
      <c r="BT1023" s="460"/>
      <c r="BU1023" s="460"/>
      <c r="BV1023" s="460"/>
      <c r="BW1023" s="460"/>
      <c r="BX1023" s="460"/>
      <c r="BY1023" s="460"/>
      <c r="BZ1023" s="460"/>
      <c r="CA1023" s="460"/>
      <c r="CB1023" s="460"/>
      <c r="CC1023" s="460"/>
      <c r="CD1023" s="460"/>
      <c r="CE1023" s="460"/>
      <c r="CF1023" s="460"/>
      <c r="CG1023" s="460"/>
      <c r="CH1023" s="460"/>
      <c r="CI1023" s="460"/>
      <c r="CJ1023" s="460"/>
      <c r="CK1023" s="460"/>
    </row>
    <row r="1024" spans="1:89" s="329" customFormat="1" ht="36" customHeight="1" x14ac:dyDescent="0.25">
      <c r="A1024" s="329">
        <v>1</v>
      </c>
      <c r="B1024" s="39">
        <f>SUBTOTAL(103,$A$1000:A1024)</f>
        <v>25</v>
      </c>
      <c r="C1024" s="33" t="s">
        <v>1724</v>
      </c>
      <c r="D1024" s="330" t="s">
        <v>2178</v>
      </c>
      <c r="E1024" s="330"/>
      <c r="F1024" s="331" t="s">
        <v>60</v>
      </c>
      <c r="G1024" s="330" t="s">
        <v>75</v>
      </c>
      <c r="H1024" s="330" t="s">
        <v>59</v>
      </c>
      <c r="I1024" s="334">
        <v>4425.6000000000004</v>
      </c>
      <c r="J1024" s="334">
        <v>3128.2</v>
      </c>
      <c r="K1024" s="334">
        <v>1799.3</v>
      </c>
      <c r="L1024" s="332">
        <v>135</v>
      </c>
      <c r="M1024" s="330" t="s">
        <v>46</v>
      </c>
      <c r="N1024" s="330" t="s">
        <v>50</v>
      </c>
      <c r="O1024" s="333" t="s">
        <v>1958</v>
      </c>
      <c r="P1024" s="38">
        <v>3934609.35</v>
      </c>
      <c r="Q1024" s="38">
        <v>0</v>
      </c>
      <c r="R1024" s="38">
        <v>0</v>
      </c>
      <c r="S1024" s="38">
        <f t="shared" si="223"/>
        <v>3934609.35</v>
      </c>
      <c r="T1024" s="38">
        <f t="shared" si="215"/>
        <v>889.05670417570491</v>
      </c>
      <c r="U1024" s="38">
        <v>1176.8976138828632</v>
      </c>
      <c r="V1024" s="458">
        <f t="shared" si="210"/>
        <v>287.84090970715829</v>
      </c>
      <c r="W1024" s="458">
        <f t="shared" si="224"/>
        <v>1189.813819595083</v>
      </c>
      <c r="X1024" s="458">
        <v>0</v>
      </c>
      <c r="Y1024" s="459">
        <v>0</v>
      </c>
      <c r="Z1024" s="459">
        <v>0</v>
      </c>
      <c r="AA1024" s="459">
        <v>0</v>
      </c>
      <c r="AB1024" s="459">
        <v>0</v>
      </c>
      <c r="AC1024" s="459">
        <v>0</v>
      </c>
      <c r="AD1024" s="459">
        <v>0</v>
      </c>
      <c r="AE1024" s="459">
        <v>844</v>
      </c>
      <c r="AF1024" s="458">
        <f t="shared" ref="AF1024:AF1029" si="226">6238.91*AE1024/I1024</f>
        <v>1189.813819595083</v>
      </c>
      <c r="AG1024" s="459">
        <v>0</v>
      </c>
      <c r="AH1024" s="458">
        <v>0</v>
      </c>
      <c r="AI1024" s="459">
        <v>0</v>
      </c>
      <c r="AJ1024" s="458">
        <v>0</v>
      </c>
      <c r="AK1024" s="459">
        <v>0</v>
      </c>
      <c r="AL1024" s="459">
        <v>0</v>
      </c>
      <c r="AM1024" s="459">
        <v>0</v>
      </c>
      <c r="AN1024" s="459"/>
      <c r="AO1024" s="459">
        <v>0</v>
      </c>
      <c r="AP1024" s="460"/>
      <c r="AQ1024" s="460"/>
      <c r="AR1024" s="460"/>
      <c r="AS1024" s="460"/>
      <c r="AT1024" s="460"/>
      <c r="AU1024" s="460"/>
      <c r="AV1024" s="460"/>
      <c r="AW1024" s="460"/>
      <c r="AX1024" s="460"/>
      <c r="AY1024" s="460"/>
      <c r="AZ1024" s="460"/>
      <c r="BA1024" s="460"/>
      <c r="BB1024" s="460"/>
      <c r="BC1024" s="460"/>
      <c r="BD1024" s="460"/>
      <c r="BE1024" s="460"/>
      <c r="BF1024" s="460"/>
      <c r="BG1024" s="460"/>
      <c r="BH1024" s="460"/>
      <c r="BI1024" s="460"/>
      <c r="BJ1024" s="460"/>
      <c r="BK1024" s="460"/>
      <c r="BL1024" s="460"/>
      <c r="BM1024" s="460"/>
      <c r="BN1024" s="460"/>
      <c r="BO1024" s="460"/>
      <c r="BP1024" s="460"/>
      <c r="BQ1024" s="460"/>
      <c r="BR1024" s="460"/>
      <c r="BS1024" s="460"/>
      <c r="BT1024" s="460"/>
      <c r="BU1024" s="460"/>
      <c r="BV1024" s="460"/>
      <c r="BW1024" s="460"/>
      <c r="BX1024" s="460"/>
      <c r="BY1024" s="460"/>
      <c r="BZ1024" s="460"/>
      <c r="CA1024" s="460"/>
      <c r="CB1024" s="460"/>
      <c r="CC1024" s="460"/>
      <c r="CD1024" s="460"/>
      <c r="CE1024" s="460"/>
      <c r="CF1024" s="460"/>
      <c r="CG1024" s="460"/>
      <c r="CH1024" s="460"/>
      <c r="CI1024" s="460"/>
      <c r="CJ1024" s="460"/>
      <c r="CK1024" s="460"/>
    </row>
    <row r="1025" spans="1:89" s="329" customFormat="1" ht="36" customHeight="1" x14ac:dyDescent="0.25">
      <c r="A1025" s="329">
        <v>1</v>
      </c>
      <c r="B1025" s="39">
        <f>SUBTOTAL(103,$A$1000:A1025)</f>
        <v>26</v>
      </c>
      <c r="C1025" s="33" t="s">
        <v>1725</v>
      </c>
      <c r="D1025" s="330">
        <v>1960</v>
      </c>
      <c r="E1025" s="330"/>
      <c r="F1025" s="331" t="s">
        <v>48</v>
      </c>
      <c r="G1025" s="330">
        <v>5</v>
      </c>
      <c r="H1025" s="330" t="s">
        <v>61</v>
      </c>
      <c r="I1025" s="334">
        <v>5055.5</v>
      </c>
      <c r="J1025" s="334">
        <v>4135.1000000000004</v>
      </c>
      <c r="K1025" s="334">
        <v>2288.9</v>
      </c>
      <c r="L1025" s="332">
        <v>135</v>
      </c>
      <c r="M1025" s="330" t="s">
        <v>46</v>
      </c>
      <c r="N1025" s="330" t="s">
        <v>50</v>
      </c>
      <c r="O1025" s="333" t="s">
        <v>1958</v>
      </c>
      <c r="P1025" s="38">
        <v>6697616.7399999993</v>
      </c>
      <c r="Q1025" s="38">
        <v>0</v>
      </c>
      <c r="R1025" s="38">
        <v>0</v>
      </c>
      <c r="S1025" s="38">
        <f t="shared" si="223"/>
        <v>6697616.7399999993</v>
      </c>
      <c r="T1025" s="38">
        <f t="shared" si="215"/>
        <v>1324.817869646919</v>
      </c>
      <c r="U1025" s="38">
        <v>1791.8098961527048</v>
      </c>
      <c r="V1025" s="458">
        <f t="shared" si="210"/>
        <v>466.99202650578582</v>
      </c>
      <c r="W1025" s="458">
        <f t="shared" si="224"/>
        <v>1184.7203243991692</v>
      </c>
      <c r="X1025" s="458">
        <v>0</v>
      </c>
      <c r="Y1025" s="459">
        <v>0</v>
      </c>
      <c r="Z1025" s="459">
        <v>0</v>
      </c>
      <c r="AA1025" s="459">
        <v>0</v>
      </c>
      <c r="AB1025" s="459">
        <v>0</v>
      </c>
      <c r="AC1025" s="459">
        <v>0</v>
      </c>
      <c r="AD1025" s="459">
        <v>0</v>
      </c>
      <c r="AE1025" s="459">
        <v>960</v>
      </c>
      <c r="AF1025" s="458">
        <f t="shared" si="226"/>
        <v>1184.7203243991692</v>
      </c>
      <c r="AG1025" s="459">
        <v>0</v>
      </c>
      <c r="AH1025" s="458">
        <v>0</v>
      </c>
      <c r="AI1025" s="459">
        <v>0</v>
      </c>
      <c r="AJ1025" s="458">
        <v>0</v>
      </c>
      <c r="AK1025" s="459">
        <v>0</v>
      </c>
      <c r="AL1025" s="459">
        <v>0</v>
      </c>
      <c r="AM1025" s="459">
        <v>0</v>
      </c>
      <c r="AN1025" s="459"/>
      <c r="AO1025" s="459">
        <v>0</v>
      </c>
      <c r="AP1025" s="460"/>
      <c r="AQ1025" s="460"/>
      <c r="AR1025" s="460"/>
      <c r="AS1025" s="460"/>
      <c r="AT1025" s="460"/>
      <c r="AU1025" s="460"/>
      <c r="AV1025" s="460"/>
      <c r="AW1025" s="460"/>
      <c r="AX1025" s="460"/>
      <c r="AY1025" s="460"/>
      <c r="AZ1025" s="460"/>
      <c r="BA1025" s="460"/>
      <c r="BB1025" s="460"/>
      <c r="BC1025" s="460"/>
      <c r="BD1025" s="460"/>
      <c r="BE1025" s="460"/>
      <c r="BF1025" s="460"/>
      <c r="BG1025" s="460"/>
      <c r="BH1025" s="460"/>
      <c r="BI1025" s="460"/>
      <c r="BJ1025" s="460"/>
      <c r="BK1025" s="460"/>
      <c r="BL1025" s="460"/>
      <c r="BM1025" s="460"/>
      <c r="BN1025" s="460"/>
      <c r="BO1025" s="460"/>
      <c r="BP1025" s="460"/>
      <c r="BQ1025" s="460"/>
      <c r="BR1025" s="460"/>
      <c r="BS1025" s="460"/>
      <c r="BT1025" s="460"/>
      <c r="BU1025" s="460"/>
      <c r="BV1025" s="460"/>
      <c r="BW1025" s="460"/>
      <c r="BX1025" s="460"/>
      <c r="BY1025" s="460"/>
      <c r="BZ1025" s="460"/>
      <c r="CA1025" s="460"/>
      <c r="CB1025" s="460"/>
      <c r="CC1025" s="460"/>
      <c r="CD1025" s="460"/>
      <c r="CE1025" s="460"/>
      <c r="CF1025" s="460"/>
      <c r="CG1025" s="460"/>
      <c r="CH1025" s="460"/>
      <c r="CI1025" s="460"/>
      <c r="CJ1025" s="460"/>
      <c r="CK1025" s="460"/>
    </row>
    <row r="1026" spans="1:89" s="329" customFormat="1" ht="36" customHeight="1" x14ac:dyDescent="0.25">
      <c r="A1026" s="329">
        <v>1</v>
      </c>
      <c r="B1026" s="39">
        <f>SUBTOTAL(103,$A$1000:A1026)</f>
        <v>27</v>
      </c>
      <c r="C1026" s="33" t="s">
        <v>1726</v>
      </c>
      <c r="D1026" s="330" t="s">
        <v>2133</v>
      </c>
      <c r="E1026" s="330"/>
      <c r="F1026" s="331" t="s">
        <v>48</v>
      </c>
      <c r="G1026" s="330" t="s">
        <v>75</v>
      </c>
      <c r="H1026" s="330" t="s">
        <v>61</v>
      </c>
      <c r="I1026" s="334">
        <v>2923.9</v>
      </c>
      <c r="J1026" s="334">
        <v>2704.4</v>
      </c>
      <c r="K1026" s="334">
        <v>1930.7</v>
      </c>
      <c r="L1026" s="332">
        <v>125</v>
      </c>
      <c r="M1026" s="330" t="s">
        <v>46</v>
      </c>
      <c r="N1026" s="330" t="s">
        <v>50</v>
      </c>
      <c r="O1026" s="333" t="s">
        <v>2173</v>
      </c>
      <c r="P1026" s="38">
        <v>5263885</v>
      </c>
      <c r="Q1026" s="38">
        <v>0</v>
      </c>
      <c r="R1026" s="38">
        <v>0</v>
      </c>
      <c r="S1026" s="38">
        <f t="shared" si="223"/>
        <v>5263885</v>
      </c>
      <c r="T1026" s="38">
        <f t="shared" si="215"/>
        <v>1800.295837750949</v>
      </c>
      <c r="U1026" s="38">
        <v>3907.9508875132533</v>
      </c>
      <c r="V1026" s="458">
        <f t="shared" si="210"/>
        <v>2107.6550497623043</v>
      </c>
      <c r="W1026" s="458">
        <f t="shared" si="224"/>
        <v>2293.7953589384042</v>
      </c>
      <c r="X1026" s="458">
        <v>0</v>
      </c>
      <c r="Y1026" s="459">
        <v>0</v>
      </c>
      <c r="Z1026" s="459">
        <v>0</v>
      </c>
      <c r="AA1026" s="459">
        <v>0</v>
      </c>
      <c r="AB1026" s="459">
        <v>0</v>
      </c>
      <c r="AC1026" s="459">
        <v>0</v>
      </c>
      <c r="AD1026" s="459">
        <v>0</v>
      </c>
      <c r="AE1026" s="459">
        <v>1075</v>
      </c>
      <c r="AF1026" s="458">
        <f t="shared" si="226"/>
        <v>2293.7953589384042</v>
      </c>
      <c r="AG1026" s="459">
        <v>0</v>
      </c>
      <c r="AH1026" s="458">
        <v>0</v>
      </c>
      <c r="AI1026" s="459">
        <v>0</v>
      </c>
      <c r="AJ1026" s="458">
        <v>0</v>
      </c>
      <c r="AK1026" s="459">
        <v>0</v>
      </c>
      <c r="AL1026" s="459">
        <v>0</v>
      </c>
      <c r="AM1026" s="459">
        <v>0</v>
      </c>
      <c r="AN1026" s="459"/>
      <c r="AO1026" s="459">
        <v>0</v>
      </c>
      <c r="AP1026" s="460"/>
      <c r="AQ1026" s="460"/>
      <c r="AR1026" s="460"/>
      <c r="AS1026" s="460"/>
      <c r="AT1026" s="460"/>
      <c r="AU1026" s="460"/>
      <c r="AV1026" s="460"/>
      <c r="AW1026" s="460"/>
      <c r="AX1026" s="460"/>
      <c r="AY1026" s="460"/>
      <c r="AZ1026" s="460"/>
      <c r="BA1026" s="460"/>
      <c r="BB1026" s="460"/>
      <c r="BC1026" s="460"/>
      <c r="BD1026" s="460"/>
      <c r="BE1026" s="460"/>
      <c r="BF1026" s="460"/>
      <c r="BG1026" s="460"/>
      <c r="BH1026" s="460"/>
      <c r="BI1026" s="460"/>
      <c r="BJ1026" s="460"/>
      <c r="BK1026" s="460"/>
      <c r="BL1026" s="460"/>
      <c r="BM1026" s="460"/>
      <c r="BN1026" s="460"/>
      <c r="BO1026" s="460"/>
      <c r="BP1026" s="460"/>
      <c r="BQ1026" s="460"/>
      <c r="BR1026" s="460"/>
      <c r="BS1026" s="460"/>
      <c r="BT1026" s="460"/>
      <c r="BU1026" s="460"/>
      <c r="BV1026" s="460"/>
      <c r="BW1026" s="460"/>
      <c r="BX1026" s="460"/>
      <c r="BY1026" s="460"/>
      <c r="BZ1026" s="460"/>
      <c r="CA1026" s="460"/>
      <c r="CB1026" s="460"/>
      <c r="CC1026" s="460"/>
      <c r="CD1026" s="460"/>
      <c r="CE1026" s="460"/>
      <c r="CF1026" s="460"/>
      <c r="CG1026" s="460"/>
      <c r="CH1026" s="460"/>
      <c r="CI1026" s="460"/>
      <c r="CJ1026" s="460"/>
      <c r="CK1026" s="460"/>
    </row>
    <row r="1027" spans="1:89" s="329" customFormat="1" ht="36" customHeight="1" x14ac:dyDescent="0.25">
      <c r="A1027" s="329">
        <v>1</v>
      </c>
      <c r="B1027" s="39">
        <f>SUBTOTAL(103,$A$1000:A1027)</f>
        <v>28</v>
      </c>
      <c r="C1027" s="33" t="s">
        <v>1727</v>
      </c>
      <c r="D1027" s="330" t="s">
        <v>2175</v>
      </c>
      <c r="E1027" s="330"/>
      <c r="F1027" s="331" t="s">
        <v>60</v>
      </c>
      <c r="G1027" s="330" t="s">
        <v>75</v>
      </c>
      <c r="H1027" s="330" t="s">
        <v>75</v>
      </c>
      <c r="I1027" s="334">
        <v>4700.6000000000004</v>
      </c>
      <c r="J1027" s="334">
        <v>3460</v>
      </c>
      <c r="K1027" s="334">
        <v>3460</v>
      </c>
      <c r="L1027" s="332">
        <v>148</v>
      </c>
      <c r="M1027" s="330" t="s">
        <v>46</v>
      </c>
      <c r="N1027" s="330" t="s">
        <v>50</v>
      </c>
      <c r="O1027" s="333" t="s">
        <v>2179</v>
      </c>
      <c r="P1027" s="38">
        <v>4443671.0699999994</v>
      </c>
      <c r="Q1027" s="38">
        <v>0</v>
      </c>
      <c r="R1027" s="38">
        <v>0</v>
      </c>
      <c r="S1027" s="38">
        <f t="shared" si="223"/>
        <v>4443671.0699999994</v>
      </c>
      <c r="T1027" s="38">
        <f t="shared" si="215"/>
        <v>945.34124792579655</v>
      </c>
      <c r="U1027" s="38">
        <v>1250.6795789899161</v>
      </c>
      <c r="V1027" s="458">
        <f t="shared" si="210"/>
        <v>305.33833106411953</v>
      </c>
      <c r="W1027" s="458">
        <f t="shared" si="224"/>
        <v>1104.2788409990214</v>
      </c>
      <c r="X1027" s="458">
        <v>0</v>
      </c>
      <c r="Y1027" s="459">
        <v>0</v>
      </c>
      <c r="Z1027" s="459">
        <v>0</v>
      </c>
      <c r="AA1027" s="459">
        <v>0</v>
      </c>
      <c r="AB1027" s="459">
        <v>0</v>
      </c>
      <c r="AC1027" s="459">
        <v>0</v>
      </c>
      <c r="AD1027" s="459">
        <v>0</v>
      </c>
      <c r="AE1027" s="459">
        <v>832</v>
      </c>
      <c r="AF1027" s="458">
        <f t="shared" si="226"/>
        <v>1104.2788409990214</v>
      </c>
      <c r="AG1027" s="459">
        <v>0</v>
      </c>
      <c r="AH1027" s="458">
        <v>0</v>
      </c>
      <c r="AI1027" s="459">
        <v>0</v>
      </c>
      <c r="AJ1027" s="458">
        <v>0</v>
      </c>
      <c r="AK1027" s="459">
        <v>0</v>
      </c>
      <c r="AL1027" s="459">
        <v>0</v>
      </c>
      <c r="AM1027" s="459">
        <v>0</v>
      </c>
      <c r="AN1027" s="459"/>
      <c r="AO1027" s="459">
        <v>0</v>
      </c>
      <c r="AP1027" s="460"/>
      <c r="AQ1027" s="460"/>
      <c r="AR1027" s="460"/>
      <c r="AS1027" s="460"/>
      <c r="AT1027" s="460"/>
      <c r="AU1027" s="460"/>
      <c r="AV1027" s="460"/>
      <c r="AW1027" s="460"/>
      <c r="AX1027" s="460"/>
      <c r="AY1027" s="460"/>
      <c r="AZ1027" s="460"/>
      <c r="BA1027" s="460"/>
      <c r="BB1027" s="460"/>
      <c r="BC1027" s="460"/>
      <c r="BD1027" s="460"/>
      <c r="BE1027" s="460"/>
      <c r="BF1027" s="460"/>
      <c r="BG1027" s="460"/>
      <c r="BH1027" s="460"/>
      <c r="BI1027" s="460"/>
      <c r="BJ1027" s="460"/>
      <c r="BK1027" s="460"/>
      <c r="BL1027" s="460"/>
      <c r="BM1027" s="460"/>
      <c r="BN1027" s="460"/>
      <c r="BO1027" s="460"/>
      <c r="BP1027" s="460"/>
      <c r="BQ1027" s="460"/>
      <c r="BR1027" s="460"/>
      <c r="BS1027" s="460"/>
      <c r="BT1027" s="460"/>
      <c r="BU1027" s="460"/>
      <c r="BV1027" s="460"/>
      <c r="BW1027" s="460"/>
      <c r="BX1027" s="460"/>
      <c r="BY1027" s="460"/>
      <c r="BZ1027" s="460"/>
      <c r="CA1027" s="460"/>
      <c r="CB1027" s="460"/>
      <c r="CC1027" s="460"/>
      <c r="CD1027" s="460"/>
      <c r="CE1027" s="460"/>
      <c r="CF1027" s="460"/>
      <c r="CG1027" s="460"/>
      <c r="CH1027" s="460"/>
      <c r="CI1027" s="460"/>
      <c r="CJ1027" s="460"/>
      <c r="CK1027" s="460"/>
    </row>
    <row r="1028" spans="1:89" s="329" customFormat="1" ht="36" customHeight="1" x14ac:dyDescent="0.25">
      <c r="A1028" s="329">
        <v>1</v>
      </c>
      <c r="B1028" s="39">
        <f>SUBTOTAL(103,$A$1000:A1028)</f>
        <v>29</v>
      </c>
      <c r="C1028" s="33" t="s">
        <v>1728</v>
      </c>
      <c r="D1028" s="330" t="s">
        <v>2117</v>
      </c>
      <c r="E1028" s="330"/>
      <c r="F1028" s="331" t="s">
        <v>48</v>
      </c>
      <c r="G1028" s="330" t="s">
        <v>75</v>
      </c>
      <c r="H1028" s="330" t="s">
        <v>59</v>
      </c>
      <c r="I1028" s="334">
        <v>3048.2</v>
      </c>
      <c r="J1028" s="334">
        <v>2288.5</v>
      </c>
      <c r="K1028" s="334">
        <v>2288.5</v>
      </c>
      <c r="L1028" s="332">
        <v>104</v>
      </c>
      <c r="M1028" s="330" t="s">
        <v>46</v>
      </c>
      <c r="N1028" s="330" t="s">
        <v>50</v>
      </c>
      <c r="O1028" s="333" t="s">
        <v>1972</v>
      </c>
      <c r="P1028" s="38">
        <v>3809856.13</v>
      </c>
      <c r="Q1028" s="38">
        <v>0</v>
      </c>
      <c r="R1028" s="38">
        <v>0</v>
      </c>
      <c r="S1028" s="38">
        <f t="shared" si="223"/>
        <v>3809856.13</v>
      </c>
      <c r="T1028" s="38">
        <f t="shared" si="215"/>
        <v>1249.8707860376617</v>
      </c>
      <c r="U1028" s="38">
        <v>1249.8707860376617</v>
      </c>
      <c r="V1028" s="458">
        <f t="shared" si="210"/>
        <v>0</v>
      </c>
      <c r="W1028" s="458">
        <f t="shared" si="224"/>
        <v>1272.0564808739584</v>
      </c>
      <c r="X1028" s="458">
        <v>0</v>
      </c>
      <c r="Y1028" s="459">
        <v>0</v>
      </c>
      <c r="Z1028" s="459">
        <v>0</v>
      </c>
      <c r="AA1028" s="459">
        <v>0</v>
      </c>
      <c r="AB1028" s="459">
        <v>0</v>
      </c>
      <c r="AC1028" s="459">
        <v>0</v>
      </c>
      <c r="AD1028" s="459">
        <v>0</v>
      </c>
      <c r="AE1028" s="459">
        <v>621.5</v>
      </c>
      <c r="AF1028" s="458">
        <f t="shared" si="226"/>
        <v>1272.0564808739584</v>
      </c>
      <c r="AG1028" s="459">
        <v>0</v>
      </c>
      <c r="AH1028" s="458">
        <v>0</v>
      </c>
      <c r="AI1028" s="459">
        <v>0</v>
      </c>
      <c r="AJ1028" s="458">
        <v>0</v>
      </c>
      <c r="AK1028" s="459">
        <v>0</v>
      </c>
      <c r="AL1028" s="459">
        <v>0</v>
      </c>
      <c r="AM1028" s="459">
        <v>0</v>
      </c>
      <c r="AN1028" s="459"/>
      <c r="AO1028" s="459">
        <v>0</v>
      </c>
      <c r="AP1028" s="460"/>
      <c r="AQ1028" s="460"/>
      <c r="AR1028" s="460"/>
      <c r="AS1028" s="460"/>
      <c r="AT1028" s="460"/>
      <c r="AU1028" s="460"/>
      <c r="AV1028" s="460"/>
      <c r="AW1028" s="460"/>
      <c r="AX1028" s="460"/>
      <c r="AY1028" s="460"/>
      <c r="AZ1028" s="460"/>
      <c r="BA1028" s="460"/>
      <c r="BB1028" s="460"/>
      <c r="BC1028" s="460"/>
      <c r="BD1028" s="460"/>
      <c r="BE1028" s="460"/>
      <c r="BF1028" s="460"/>
      <c r="BG1028" s="460"/>
      <c r="BH1028" s="460"/>
      <c r="BI1028" s="460"/>
      <c r="BJ1028" s="460"/>
      <c r="BK1028" s="460"/>
      <c r="BL1028" s="460"/>
      <c r="BM1028" s="460"/>
      <c r="BN1028" s="460"/>
      <c r="BO1028" s="460"/>
      <c r="BP1028" s="460"/>
      <c r="BQ1028" s="460"/>
      <c r="BR1028" s="460"/>
      <c r="BS1028" s="460"/>
      <c r="BT1028" s="460"/>
      <c r="BU1028" s="460"/>
      <c r="BV1028" s="460"/>
      <c r="BW1028" s="460"/>
      <c r="BX1028" s="460"/>
      <c r="BY1028" s="460"/>
      <c r="BZ1028" s="460"/>
      <c r="CA1028" s="460"/>
      <c r="CB1028" s="460"/>
      <c r="CC1028" s="460"/>
      <c r="CD1028" s="460"/>
      <c r="CE1028" s="460"/>
      <c r="CF1028" s="460"/>
      <c r="CG1028" s="460"/>
      <c r="CH1028" s="460"/>
      <c r="CI1028" s="460"/>
      <c r="CJ1028" s="460"/>
      <c r="CK1028" s="460"/>
    </row>
    <row r="1029" spans="1:89" s="329" customFormat="1" ht="36" customHeight="1" x14ac:dyDescent="0.25">
      <c r="A1029" s="329">
        <v>1</v>
      </c>
      <c r="B1029" s="39">
        <f>SUBTOTAL(103,$A$1000:A1029)</f>
        <v>30</v>
      </c>
      <c r="C1029" s="33" t="s">
        <v>1729</v>
      </c>
      <c r="D1029" s="330">
        <v>1963</v>
      </c>
      <c r="E1029" s="330"/>
      <c r="F1029" s="331" t="s">
        <v>48</v>
      </c>
      <c r="G1029" s="330">
        <v>5</v>
      </c>
      <c r="H1029" s="330" t="s">
        <v>56</v>
      </c>
      <c r="I1029" s="334">
        <v>1703.9</v>
      </c>
      <c r="J1029" s="334">
        <v>1558.5</v>
      </c>
      <c r="K1029" s="334">
        <v>1516.4</v>
      </c>
      <c r="L1029" s="332">
        <v>68</v>
      </c>
      <c r="M1029" s="330" t="s">
        <v>46</v>
      </c>
      <c r="N1029" s="330" t="s">
        <v>50</v>
      </c>
      <c r="O1029" s="333" t="s">
        <v>2118</v>
      </c>
      <c r="P1029" s="38">
        <v>4940291.25</v>
      </c>
      <c r="Q1029" s="38">
        <v>0</v>
      </c>
      <c r="R1029" s="38">
        <v>0</v>
      </c>
      <c r="S1029" s="38">
        <f t="shared" si="223"/>
        <v>4940291.25</v>
      </c>
      <c r="T1029" s="38">
        <f t="shared" si="215"/>
        <v>2899.402106931158</v>
      </c>
      <c r="U1029" s="38">
        <v>6221.4434532542982</v>
      </c>
      <c r="V1029" s="458">
        <f t="shared" si="210"/>
        <v>3322.0413463231403</v>
      </c>
      <c r="W1029" s="458">
        <f t="shared" si="224"/>
        <v>5298.2585656435231</v>
      </c>
      <c r="X1029" s="458">
        <v>0</v>
      </c>
      <c r="Y1029" s="459">
        <v>0</v>
      </c>
      <c r="Z1029" s="459">
        <v>0</v>
      </c>
      <c r="AA1029" s="459">
        <v>0</v>
      </c>
      <c r="AB1029" s="459">
        <v>0</v>
      </c>
      <c r="AC1029" s="459">
        <v>0</v>
      </c>
      <c r="AD1029" s="459">
        <v>0</v>
      </c>
      <c r="AE1029" s="459">
        <v>1447</v>
      </c>
      <c r="AF1029" s="458">
        <f t="shared" si="226"/>
        <v>5298.2585656435231</v>
      </c>
      <c r="AG1029" s="459">
        <v>0</v>
      </c>
      <c r="AH1029" s="458">
        <v>0</v>
      </c>
      <c r="AI1029" s="459">
        <v>0</v>
      </c>
      <c r="AJ1029" s="458">
        <v>0</v>
      </c>
      <c r="AK1029" s="459">
        <v>0</v>
      </c>
      <c r="AL1029" s="459">
        <v>0</v>
      </c>
      <c r="AM1029" s="459">
        <v>0</v>
      </c>
      <c r="AN1029" s="459"/>
      <c r="AO1029" s="459">
        <v>0</v>
      </c>
      <c r="AP1029" s="460"/>
      <c r="AQ1029" s="460"/>
      <c r="AR1029" s="460"/>
      <c r="AS1029" s="460"/>
      <c r="AT1029" s="460"/>
      <c r="AU1029" s="460"/>
      <c r="AV1029" s="460"/>
      <c r="AW1029" s="460"/>
      <c r="AX1029" s="460"/>
      <c r="AY1029" s="460"/>
      <c r="AZ1029" s="460"/>
      <c r="BA1029" s="460"/>
      <c r="BB1029" s="460"/>
      <c r="BC1029" s="460"/>
      <c r="BD1029" s="460"/>
      <c r="BE1029" s="460"/>
      <c r="BF1029" s="460"/>
      <c r="BG1029" s="460"/>
      <c r="BH1029" s="460"/>
      <c r="BI1029" s="460"/>
      <c r="BJ1029" s="460"/>
      <c r="BK1029" s="460"/>
      <c r="BL1029" s="460"/>
      <c r="BM1029" s="460"/>
      <c r="BN1029" s="460"/>
      <c r="BO1029" s="460"/>
      <c r="BP1029" s="460"/>
      <c r="BQ1029" s="460"/>
      <c r="BR1029" s="460"/>
      <c r="BS1029" s="460"/>
      <c r="BT1029" s="460"/>
      <c r="BU1029" s="460"/>
      <c r="BV1029" s="460"/>
      <c r="BW1029" s="460"/>
      <c r="BX1029" s="460"/>
      <c r="BY1029" s="460"/>
      <c r="BZ1029" s="460"/>
      <c r="CA1029" s="460"/>
      <c r="CB1029" s="460"/>
      <c r="CC1029" s="460"/>
      <c r="CD1029" s="460"/>
      <c r="CE1029" s="460"/>
      <c r="CF1029" s="460"/>
      <c r="CG1029" s="460"/>
      <c r="CH1029" s="460"/>
      <c r="CI1029" s="460"/>
      <c r="CJ1029" s="460"/>
      <c r="CK1029" s="460"/>
    </row>
    <row r="1030" spans="1:89" s="329" customFormat="1" ht="36" customHeight="1" x14ac:dyDescent="0.25">
      <c r="A1030" s="329">
        <v>1</v>
      </c>
      <c r="B1030" s="39">
        <f>SUBTOTAL(103,$A$1000:A1030)</f>
        <v>31</v>
      </c>
      <c r="C1030" s="33" t="s">
        <v>1730</v>
      </c>
      <c r="D1030" s="330">
        <v>1972</v>
      </c>
      <c r="E1030" s="330"/>
      <c r="F1030" s="331" t="s">
        <v>48</v>
      </c>
      <c r="G1030" s="330">
        <v>9</v>
      </c>
      <c r="H1030" s="330" t="s">
        <v>57</v>
      </c>
      <c r="I1030" s="334">
        <v>1896.4</v>
      </c>
      <c r="J1030" s="334">
        <v>1896.4</v>
      </c>
      <c r="K1030" s="334">
        <v>1859.1</v>
      </c>
      <c r="L1030" s="332">
        <v>90</v>
      </c>
      <c r="M1030" s="330" t="s">
        <v>46</v>
      </c>
      <c r="N1030" s="330" t="s">
        <v>50</v>
      </c>
      <c r="O1030" s="333" t="s">
        <v>1968</v>
      </c>
      <c r="P1030" s="38">
        <v>2089100.53</v>
      </c>
      <c r="Q1030" s="38">
        <v>0</v>
      </c>
      <c r="R1030" s="38">
        <v>0</v>
      </c>
      <c r="S1030" s="38">
        <f t="shared" si="223"/>
        <v>2089100.53</v>
      </c>
      <c r="T1030" s="38">
        <f t="shared" si="215"/>
        <v>1101.6138631090487</v>
      </c>
      <c r="U1030" s="38">
        <v>1569.0993461295084</v>
      </c>
      <c r="V1030" s="458">
        <f t="shared" si="210"/>
        <v>467.4854830204597</v>
      </c>
      <c r="W1030" s="458">
        <f t="shared" si="224"/>
        <v>6025.3414891373131</v>
      </c>
      <c r="X1030" s="458">
        <v>0</v>
      </c>
      <c r="Y1030" s="459">
        <v>0</v>
      </c>
      <c r="Z1030" s="459">
        <v>0</v>
      </c>
      <c r="AA1030" s="459">
        <v>0</v>
      </c>
      <c r="AB1030" s="459">
        <v>0</v>
      </c>
      <c r="AC1030" s="459">
        <v>0</v>
      </c>
      <c r="AD1030" s="459">
        <v>0</v>
      </c>
      <c r="AE1030" s="459">
        <v>0</v>
      </c>
      <c r="AF1030" s="458">
        <v>0</v>
      </c>
      <c r="AG1030" s="459">
        <v>0</v>
      </c>
      <c r="AH1030" s="458">
        <v>0</v>
      </c>
      <c r="AI1030" s="459">
        <v>1536</v>
      </c>
      <c r="AJ1030" s="458">
        <f>7439.1*AI1030/I1030</f>
        <v>6025.3414891373131</v>
      </c>
      <c r="AK1030" s="459">
        <v>0</v>
      </c>
      <c r="AL1030" s="459">
        <v>0</v>
      </c>
      <c r="AM1030" s="459">
        <v>0</v>
      </c>
      <c r="AN1030" s="459"/>
      <c r="AO1030" s="459">
        <v>0</v>
      </c>
      <c r="AP1030" s="460"/>
      <c r="AQ1030" s="460"/>
      <c r="AR1030" s="460"/>
      <c r="AS1030" s="460"/>
      <c r="AT1030" s="460"/>
      <c r="AU1030" s="460"/>
      <c r="AV1030" s="460"/>
      <c r="AW1030" s="460"/>
      <c r="AX1030" s="460"/>
      <c r="AY1030" s="460"/>
      <c r="AZ1030" s="460"/>
      <c r="BA1030" s="460"/>
      <c r="BB1030" s="460"/>
      <c r="BC1030" s="460"/>
      <c r="BD1030" s="460"/>
      <c r="BE1030" s="460"/>
      <c r="BF1030" s="460"/>
      <c r="BG1030" s="460"/>
      <c r="BH1030" s="460"/>
      <c r="BI1030" s="460"/>
      <c r="BJ1030" s="460"/>
      <c r="BK1030" s="460"/>
      <c r="BL1030" s="460"/>
      <c r="BM1030" s="460"/>
      <c r="BN1030" s="460"/>
      <c r="BO1030" s="460"/>
      <c r="BP1030" s="460"/>
      <c r="BQ1030" s="460"/>
      <c r="BR1030" s="460"/>
      <c r="BS1030" s="460"/>
      <c r="BT1030" s="460"/>
      <c r="BU1030" s="460"/>
      <c r="BV1030" s="460"/>
      <c r="BW1030" s="460"/>
      <c r="BX1030" s="460"/>
      <c r="BY1030" s="460"/>
      <c r="BZ1030" s="460"/>
      <c r="CA1030" s="460"/>
      <c r="CB1030" s="460"/>
      <c r="CC1030" s="460"/>
      <c r="CD1030" s="460"/>
      <c r="CE1030" s="460"/>
      <c r="CF1030" s="460"/>
      <c r="CG1030" s="460"/>
      <c r="CH1030" s="460"/>
      <c r="CI1030" s="460"/>
      <c r="CJ1030" s="460"/>
      <c r="CK1030" s="460"/>
    </row>
    <row r="1031" spans="1:89" s="329" customFormat="1" ht="36" customHeight="1" x14ac:dyDescent="0.25">
      <c r="A1031" s="329">
        <v>1</v>
      </c>
      <c r="B1031" s="39">
        <f>SUBTOTAL(103,$A$1000:A1031)</f>
        <v>32</v>
      </c>
      <c r="C1031" s="33" t="s">
        <v>1731</v>
      </c>
      <c r="D1031" s="330" t="s">
        <v>2180</v>
      </c>
      <c r="E1031" s="330"/>
      <c r="F1031" s="331" t="s">
        <v>60</v>
      </c>
      <c r="G1031" s="330" t="s">
        <v>75</v>
      </c>
      <c r="H1031" s="330" t="s">
        <v>59</v>
      </c>
      <c r="I1031" s="334">
        <v>3873.3</v>
      </c>
      <c r="J1031" s="334">
        <v>3541.2</v>
      </c>
      <c r="K1031" s="334">
        <v>3540.2</v>
      </c>
      <c r="L1031" s="332">
        <v>165</v>
      </c>
      <c r="M1031" s="330" t="s">
        <v>46</v>
      </c>
      <c r="N1031" s="330" t="s">
        <v>50</v>
      </c>
      <c r="O1031" s="333" t="s">
        <v>1956</v>
      </c>
      <c r="P1031" s="38">
        <v>4372967.33</v>
      </c>
      <c r="Q1031" s="38">
        <v>0</v>
      </c>
      <c r="R1031" s="38">
        <v>0</v>
      </c>
      <c r="S1031" s="38">
        <f t="shared" si="223"/>
        <v>4372967.33</v>
      </c>
      <c r="T1031" s="38">
        <f t="shared" si="215"/>
        <v>1129.0030026075956</v>
      </c>
      <c r="U1031" s="38">
        <v>1551.5922856478969</v>
      </c>
      <c r="V1031" s="458">
        <f t="shared" si="210"/>
        <v>422.58928304030132</v>
      </c>
      <c r="W1031" s="458">
        <f t="shared" si="224"/>
        <v>1512.6533914233341</v>
      </c>
      <c r="X1031" s="458">
        <v>0</v>
      </c>
      <c r="Y1031" s="459">
        <v>0</v>
      </c>
      <c r="Z1031" s="459">
        <v>0</v>
      </c>
      <c r="AA1031" s="459">
        <v>0</v>
      </c>
      <c r="AB1031" s="459">
        <v>0</v>
      </c>
      <c r="AC1031" s="459">
        <v>0</v>
      </c>
      <c r="AD1031" s="459">
        <v>0</v>
      </c>
      <c r="AE1031" s="459">
        <v>939.1</v>
      </c>
      <c r="AF1031" s="458">
        <f>6238.91*AE1031/I1031</f>
        <v>1512.6533914233341</v>
      </c>
      <c r="AG1031" s="459">
        <v>0</v>
      </c>
      <c r="AH1031" s="458">
        <v>0</v>
      </c>
      <c r="AI1031" s="459">
        <v>0</v>
      </c>
      <c r="AJ1031" s="458">
        <v>0</v>
      </c>
      <c r="AK1031" s="459">
        <v>0</v>
      </c>
      <c r="AL1031" s="459">
        <v>0</v>
      </c>
      <c r="AM1031" s="459">
        <v>0</v>
      </c>
      <c r="AN1031" s="459"/>
      <c r="AO1031" s="459">
        <v>0</v>
      </c>
      <c r="AP1031" s="460"/>
      <c r="AQ1031" s="460"/>
      <c r="AR1031" s="460"/>
      <c r="AS1031" s="460"/>
      <c r="AT1031" s="460"/>
      <c r="AU1031" s="460"/>
      <c r="AV1031" s="460"/>
      <c r="AW1031" s="460"/>
      <c r="AX1031" s="460"/>
      <c r="AY1031" s="460"/>
      <c r="AZ1031" s="460"/>
      <c r="BA1031" s="460"/>
      <c r="BB1031" s="460"/>
      <c r="BC1031" s="460"/>
      <c r="BD1031" s="460"/>
      <c r="BE1031" s="460"/>
      <c r="BF1031" s="460"/>
      <c r="BG1031" s="460"/>
      <c r="BH1031" s="460"/>
      <c r="BI1031" s="460"/>
      <c r="BJ1031" s="460"/>
      <c r="BK1031" s="460"/>
      <c r="BL1031" s="460"/>
      <c r="BM1031" s="460"/>
      <c r="BN1031" s="460"/>
      <c r="BO1031" s="460"/>
      <c r="BP1031" s="460"/>
      <c r="BQ1031" s="460"/>
      <c r="BR1031" s="460"/>
      <c r="BS1031" s="460"/>
      <c r="BT1031" s="460"/>
      <c r="BU1031" s="460"/>
      <c r="BV1031" s="460"/>
      <c r="BW1031" s="460"/>
      <c r="BX1031" s="460"/>
      <c r="BY1031" s="460"/>
      <c r="BZ1031" s="460"/>
      <c r="CA1031" s="460"/>
      <c r="CB1031" s="460"/>
      <c r="CC1031" s="460"/>
      <c r="CD1031" s="460"/>
      <c r="CE1031" s="460"/>
      <c r="CF1031" s="460"/>
      <c r="CG1031" s="460"/>
      <c r="CH1031" s="460"/>
      <c r="CI1031" s="460"/>
      <c r="CJ1031" s="460"/>
      <c r="CK1031" s="460"/>
    </row>
    <row r="1032" spans="1:89" s="329" customFormat="1" ht="36" customHeight="1" x14ac:dyDescent="0.25">
      <c r="A1032" s="329">
        <v>1</v>
      </c>
      <c r="B1032" s="39">
        <f>SUBTOTAL(103,$A$1000:A1032)</f>
        <v>33</v>
      </c>
      <c r="C1032" s="33" t="s">
        <v>1732</v>
      </c>
      <c r="D1032" s="330" t="s">
        <v>2181</v>
      </c>
      <c r="E1032" s="330"/>
      <c r="F1032" s="331" t="s">
        <v>60</v>
      </c>
      <c r="G1032" s="330" t="s">
        <v>75</v>
      </c>
      <c r="H1032" s="330" t="s">
        <v>59</v>
      </c>
      <c r="I1032" s="334">
        <v>3881.3</v>
      </c>
      <c r="J1032" s="334">
        <v>3552.7</v>
      </c>
      <c r="K1032" s="334">
        <v>3551.2</v>
      </c>
      <c r="L1032" s="332">
        <v>182</v>
      </c>
      <c r="M1032" s="330" t="s">
        <v>46</v>
      </c>
      <c r="N1032" s="330" t="s">
        <v>50</v>
      </c>
      <c r="O1032" s="333" t="s">
        <v>1956</v>
      </c>
      <c r="P1032" s="38">
        <v>4372967.33</v>
      </c>
      <c r="Q1032" s="38">
        <v>0</v>
      </c>
      <c r="R1032" s="38">
        <v>0</v>
      </c>
      <c r="S1032" s="38">
        <f t="shared" si="223"/>
        <v>4372967.33</v>
      </c>
      <c r="T1032" s="38">
        <f t="shared" si="215"/>
        <v>1126.6759410506788</v>
      </c>
      <c r="U1032" s="38">
        <v>1548.3941978203177</v>
      </c>
      <c r="V1032" s="458">
        <f t="shared" si="210"/>
        <v>421.71825676963886</v>
      </c>
      <c r="W1032" s="458">
        <f t="shared" si="224"/>
        <v>945.16761909669435</v>
      </c>
      <c r="X1032" s="458">
        <v>0</v>
      </c>
      <c r="Y1032" s="459">
        <v>0</v>
      </c>
      <c r="Z1032" s="459">
        <v>0</v>
      </c>
      <c r="AA1032" s="459">
        <v>0</v>
      </c>
      <c r="AB1032" s="459">
        <v>0</v>
      </c>
      <c r="AC1032" s="459">
        <v>0</v>
      </c>
      <c r="AD1032" s="459">
        <v>0</v>
      </c>
      <c r="AE1032" s="459">
        <v>588</v>
      </c>
      <c r="AF1032" s="458">
        <f>6238.91*AE1032/I1032</f>
        <v>945.16761909669435</v>
      </c>
      <c r="AG1032" s="459">
        <v>0</v>
      </c>
      <c r="AH1032" s="458">
        <v>0</v>
      </c>
      <c r="AI1032" s="459">
        <v>0</v>
      </c>
      <c r="AJ1032" s="458">
        <v>0</v>
      </c>
      <c r="AK1032" s="459">
        <v>0</v>
      </c>
      <c r="AL1032" s="459">
        <v>0</v>
      </c>
      <c r="AM1032" s="459">
        <v>0</v>
      </c>
      <c r="AN1032" s="459"/>
      <c r="AO1032" s="459">
        <v>0</v>
      </c>
      <c r="AP1032" s="460"/>
      <c r="AQ1032" s="460"/>
      <c r="AR1032" s="460"/>
      <c r="AS1032" s="460"/>
      <c r="AT1032" s="460"/>
      <c r="AU1032" s="460"/>
      <c r="AV1032" s="460"/>
      <c r="AW1032" s="460"/>
      <c r="AX1032" s="460"/>
      <c r="AY1032" s="460"/>
      <c r="AZ1032" s="460"/>
      <c r="BA1032" s="460"/>
      <c r="BB1032" s="460"/>
      <c r="BC1032" s="460"/>
      <c r="BD1032" s="460"/>
      <c r="BE1032" s="460"/>
      <c r="BF1032" s="460"/>
      <c r="BG1032" s="460"/>
      <c r="BH1032" s="460"/>
      <c r="BI1032" s="460"/>
      <c r="BJ1032" s="460"/>
      <c r="BK1032" s="460"/>
      <c r="BL1032" s="460"/>
      <c r="BM1032" s="460"/>
      <c r="BN1032" s="460"/>
      <c r="BO1032" s="460"/>
      <c r="BP1032" s="460"/>
      <c r="BQ1032" s="460"/>
      <c r="BR1032" s="460"/>
      <c r="BS1032" s="460"/>
      <c r="BT1032" s="460"/>
      <c r="BU1032" s="460"/>
      <c r="BV1032" s="460"/>
      <c r="BW1032" s="460"/>
      <c r="BX1032" s="460"/>
      <c r="BY1032" s="460"/>
      <c r="BZ1032" s="460"/>
      <c r="CA1032" s="460"/>
      <c r="CB1032" s="460"/>
      <c r="CC1032" s="460"/>
      <c r="CD1032" s="460"/>
      <c r="CE1032" s="460"/>
      <c r="CF1032" s="460"/>
      <c r="CG1032" s="460"/>
      <c r="CH1032" s="460"/>
      <c r="CI1032" s="460"/>
      <c r="CJ1032" s="460"/>
      <c r="CK1032" s="460"/>
    </row>
    <row r="1033" spans="1:89" s="329" customFormat="1" ht="36" customHeight="1" x14ac:dyDescent="0.25">
      <c r="A1033" s="329">
        <v>1</v>
      </c>
      <c r="B1033" s="39">
        <f>SUBTOTAL(103,$A$1000:A1033)</f>
        <v>34</v>
      </c>
      <c r="C1033" s="33" t="s">
        <v>1733</v>
      </c>
      <c r="D1033" s="330" t="s">
        <v>74</v>
      </c>
      <c r="E1033" s="330"/>
      <c r="F1033" s="331" t="s">
        <v>48</v>
      </c>
      <c r="G1033" s="330" t="s">
        <v>1965</v>
      </c>
      <c r="H1033" s="330" t="s">
        <v>57</v>
      </c>
      <c r="I1033" s="334">
        <v>2154.4</v>
      </c>
      <c r="J1033" s="334">
        <v>1828.2</v>
      </c>
      <c r="K1033" s="334">
        <v>1783.4</v>
      </c>
      <c r="L1033" s="332">
        <v>76</v>
      </c>
      <c r="M1033" s="330" t="s">
        <v>46</v>
      </c>
      <c r="N1033" s="330" t="s">
        <v>50</v>
      </c>
      <c r="O1033" s="333" t="s">
        <v>1972</v>
      </c>
      <c r="P1033" s="38">
        <v>1733943.5899999999</v>
      </c>
      <c r="Q1033" s="38">
        <v>0</v>
      </c>
      <c r="R1033" s="38">
        <v>0</v>
      </c>
      <c r="S1033" s="38">
        <f t="shared" si="223"/>
        <v>1733943.5899999999</v>
      </c>
      <c r="T1033" s="38">
        <f t="shared" si="215"/>
        <v>804.83827979948001</v>
      </c>
      <c r="U1033" s="38">
        <v>1060.0247456368361</v>
      </c>
      <c r="V1033" s="458">
        <f t="shared" si="210"/>
        <v>255.18646583735608</v>
      </c>
      <c r="W1033" s="458">
        <f t="shared" si="224"/>
        <v>4920.4964259190492</v>
      </c>
      <c r="X1033" s="458">
        <v>0</v>
      </c>
      <c r="Y1033" s="459">
        <v>0</v>
      </c>
      <c r="Z1033" s="459">
        <v>0</v>
      </c>
      <c r="AA1033" s="459">
        <v>0</v>
      </c>
      <c r="AB1033" s="459">
        <v>0</v>
      </c>
      <c r="AC1033" s="459">
        <v>0</v>
      </c>
      <c r="AD1033" s="459">
        <v>0</v>
      </c>
      <c r="AE1033" s="459">
        <v>0</v>
      </c>
      <c r="AF1033" s="458">
        <v>0</v>
      </c>
      <c r="AG1033" s="459">
        <v>0</v>
      </c>
      <c r="AH1033" s="458">
        <v>0</v>
      </c>
      <c r="AI1033" s="459">
        <v>1425</v>
      </c>
      <c r="AJ1033" s="458">
        <f>7439.1*AI1033/I1033</f>
        <v>4920.4964259190492</v>
      </c>
      <c r="AK1033" s="459">
        <v>0</v>
      </c>
      <c r="AL1033" s="459">
        <v>0</v>
      </c>
      <c r="AM1033" s="459">
        <v>0</v>
      </c>
      <c r="AN1033" s="459"/>
      <c r="AO1033" s="459">
        <v>0</v>
      </c>
      <c r="AP1033" s="460"/>
      <c r="AQ1033" s="460"/>
      <c r="AR1033" s="460"/>
      <c r="AS1033" s="460"/>
      <c r="AT1033" s="460"/>
      <c r="AU1033" s="460"/>
      <c r="AV1033" s="460"/>
      <c r="AW1033" s="460"/>
      <c r="AX1033" s="460"/>
      <c r="AY1033" s="460"/>
      <c r="AZ1033" s="460"/>
      <c r="BA1033" s="460"/>
      <c r="BB1033" s="460"/>
      <c r="BC1033" s="460"/>
      <c r="BD1033" s="460"/>
      <c r="BE1033" s="460"/>
      <c r="BF1033" s="460"/>
      <c r="BG1033" s="460"/>
      <c r="BH1033" s="460"/>
      <c r="BI1033" s="460"/>
      <c r="BJ1033" s="460"/>
      <c r="BK1033" s="460"/>
      <c r="BL1033" s="460"/>
      <c r="BM1033" s="460"/>
      <c r="BN1033" s="460"/>
      <c r="BO1033" s="460"/>
      <c r="BP1033" s="460"/>
      <c r="BQ1033" s="460"/>
      <c r="BR1033" s="460"/>
      <c r="BS1033" s="460"/>
      <c r="BT1033" s="460"/>
      <c r="BU1033" s="460"/>
      <c r="BV1033" s="460"/>
      <c r="BW1033" s="460"/>
      <c r="BX1033" s="460"/>
      <c r="BY1033" s="460"/>
      <c r="BZ1033" s="460"/>
      <c r="CA1033" s="460"/>
      <c r="CB1033" s="460"/>
      <c r="CC1033" s="460"/>
      <c r="CD1033" s="460"/>
      <c r="CE1033" s="460"/>
      <c r="CF1033" s="460"/>
      <c r="CG1033" s="460"/>
      <c r="CH1033" s="460"/>
      <c r="CI1033" s="460"/>
      <c r="CJ1033" s="460"/>
      <c r="CK1033" s="460"/>
    </row>
    <row r="1034" spans="1:89" s="329" customFormat="1" ht="36" customHeight="1" x14ac:dyDescent="0.25">
      <c r="A1034" s="329">
        <v>1</v>
      </c>
      <c r="B1034" s="39">
        <f>SUBTOTAL(103,$A$1000:A1034)</f>
        <v>35</v>
      </c>
      <c r="C1034" s="33" t="s">
        <v>1734</v>
      </c>
      <c r="D1034" s="330" t="s">
        <v>2182</v>
      </c>
      <c r="E1034" s="330"/>
      <c r="F1034" s="331" t="s">
        <v>60</v>
      </c>
      <c r="G1034" s="330" t="s">
        <v>75</v>
      </c>
      <c r="H1034" s="330" t="s">
        <v>59</v>
      </c>
      <c r="I1034" s="334">
        <v>3888.9</v>
      </c>
      <c r="J1034" s="334">
        <v>3557.6</v>
      </c>
      <c r="K1034" s="334">
        <v>3511.4</v>
      </c>
      <c r="L1034" s="332">
        <v>169</v>
      </c>
      <c r="M1034" s="330" t="s">
        <v>46</v>
      </c>
      <c r="N1034" s="330" t="s">
        <v>50</v>
      </c>
      <c r="O1034" s="333" t="s">
        <v>1956</v>
      </c>
      <c r="P1034" s="38">
        <v>4372967.33</v>
      </c>
      <c r="Q1034" s="38">
        <v>0</v>
      </c>
      <c r="R1034" s="38">
        <v>0</v>
      </c>
      <c r="S1034" s="38">
        <f t="shared" si="223"/>
        <v>4372967.33</v>
      </c>
      <c r="T1034" s="38">
        <f t="shared" si="215"/>
        <v>1124.4741006454267</v>
      </c>
      <c r="U1034" s="38">
        <v>1545.3682018051375</v>
      </c>
      <c r="V1034" s="458">
        <f t="shared" si="210"/>
        <v>420.89410115971077</v>
      </c>
      <c r="W1034" s="458">
        <f t="shared" si="224"/>
        <v>901.6090462598678</v>
      </c>
      <c r="X1034" s="458">
        <v>0</v>
      </c>
      <c r="Y1034" s="459">
        <v>0</v>
      </c>
      <c r="Z1034" s="459">
        <v>0</v>
      </c>
      <c r="AA1034" s="459">
        <v>0</v>
      </c>
      <c r="AB1034" s="459">
        <v>0</v>
      </c>
      <c r="AC1034" s="459">
        <v>0</v>
      </c>
      <c r="AD1034" s="459">
        <v>0</v>
      </c>
      <c r="AE1034" s="459">
        <v>562</v>
      </c>
      <c r="AF1034" s="458">
        <f>6238.91*AE1034/I1034</f>
        <v>901.6090462598678</v>
      </c>
      <c r="AG1034" s="459">
        <v>0</v>
      </c>
      <c r="AH1034" s="458">
        <v>0</v>
      </c>
      <c r="AI1034" s="459">
        <v>0</v>
      </c>
      <c r="AJ1034" s="458">
        <v>0</v>
      </c>
      <c r="AK1034" s="459">
        <v>0</v>
      </c>
      <c r="AL1034" s="459">
        <v>0</v>
      </c>
      <c r="AM1034" s="459">
        <v>0</v>
      </c>
      <c r="AN1034" s="459"/>
      <c r="AO1034" s="459">
        <v>0</v>
      </c>
      <c r="AP1034" s="460"/>
      <c r="AQ1034" s="460"/>
      <c r="AR1034" s="460"/>
      <c r="AS1034" s="460"/>
      <c r="AT1034" s="460"/>
      <c r="AU1034" s="460"/>
      <c r="AV1034" s="460"/>
      <c r="AW1034" s="460"/>
      <c r="AX1034" s="460"/>
      <c r="AY1034" s="460"/>
      <c r="AZ1034" s="460"/>
      <c r="BA1034" s="460"/>
      <c r="BB1034" s="460"/>
      <c r="BC1034" s="460"/>
      <c r="BD1034" s="460"/>
      <c r="BE1034" s="460"/>
      <c r="BF1034" s="460"/>
      <c r="BG1034" s="460"/>
      <c r="BH1034" s="460"/>
      <c r="BI1034" s="460"/>
      <c r="BJ1034" s="460"/>
      <c r="BK1034" s="460"/>
      <c r="BL1034" s="460"/>
      <c r="BM1034" s="460"/>
      <c r="BN1034" s="460"/>
      <c r="BO1034" s="460"/>
      <c r="BP1034" s="460"/>
      <c r="BQ1034" s="460"/>
      <c r="BR1034" s="460"/>
      <c r="BS1034" s="460"/>
      <c r="BT1034" s="460"/>
      <c r="BU1034" s="460"/>
      <c r="BV1034" s="460"/>
      <c r="BW1034" s="460"/>
      <c r="BX1034" s="460"/>
      <c r="BY1034" s="460"/>
      <c r="BZ1034" s="460"/>
      <c r="CA1034" s="460"/>
      <c r="CB1034" s="460"/>
      <c r="CC1034" s="460"/>
      <c r="CD1034" s="460"/>
      <c r="CE1034" s="460"/>
      <c r="CF1034" s="460"/>
      <c r="CG1034" s="460"/>
      <c r="CH1034" s="460"/>
      <c r="CI1034" s="460"/>
      <c r="CJ1034" s="460"/>
      <c r="CK1034" s="460"/>
    </row>
    <row r="1035" spans="1:89" s="329" customFormat="1" ht="36" customHeight="1" x14ac:dyDescent="0.25">
      <c r="A1035" s="329">
        <v>1</v>
      </c>
      <c r="B1035" s="39">
        <f>SUBTOTAL(103,$A$1000:A1035)</f>
        <v>36</v>
      </c>
      <c r="C1035" s="33" t="s">
        <v>1735</v>
      </c>
      <c r="D1035" s="330" t="s">
        <v>79</v>
      </c>
      <c r="E1035" s="330"/>
      <c r="F1035" s="331" t="s">
        <v>48</v>
      </c>
      <c r="G1035" s="330" t="s">
        <v>75</v>
      </c>
      <c r="H1035" s="330" t="s">
        <v>61</v>
      </c>
      <c r="I1035" s="334">
        <v>2600.9</v>
      </c>
      <c r="J1035" s="334">
        <v>2217.3000000000002</v>
      </c>
      <c r="K1035" s="334">
        <v>2214.6</v>
      </c>
      <c r="L1035" s="332">
        <v>77</v>
      </c>
      <c r="M1035" s="330" t="s">
        <v>46</v>
      </c>
      <c r="N1035" s="330" t="s">
        <v>50</v>
      </c>
      <c r="O1035" s="333" t="s">
        <v>251</v>
      </c>
      <c r="P1035" s="38">
        <v>3164601.1799999997</v>
      </c>
      <c r="Q1035" s="38">
        <v>0</v>
      </c>
      <c r="R1035" s="38">
        <v>0</v>
      </c>
      <c r="S1035" s="38">
        <f t="shared" si="223"/>
        <v>3164601.1799999997</v>
      </c>
      <c r="T1035" s="38">
        <f t="shared" si="215"/>
        <v>1216.7331231496787</v>
      </c>
      <c r="U1035" s="38">
        <v>4776.5377369372136</v>
      </c>
      <c r="V1035" s="458">
        <f t="shared" si="210"/>
        <v>3559.8046137875349</v>
      </c>
      <c r="W1035" s="458">
        <f t="shared" si="224"/>
        <v>1144.0808950747817</v>
      </c>
      <c r="X1035" s="458">
        <v>0</v>
      </c>
      <c r="Y1035" s="459">
        <v>0</v>
      </c>
      <c r="Z1035" s="459">
        <v>0</v>
      </c>
      <c r="AA1035" s="459">
        <v>0</v>
      </c>
      <c r="AB1035" s="459">
        <v>0</v>
      </c>
      <c r="AC1035" s="459">
        <v>0</v>
      </c>
      <c r="AD1035" s="459">
        <v>0</v>
      </c>
      <c r="AE1035" s="459">
        <v>0</v>
      </c>
      <c r="AF1035" s="458">
        <v>0</v>
      </c>
      <c r="AG1035" s="459">
        <v>0</v>
      </c>
      <c r="AH1035" s="458">
        <v>0</v>
      </c>
      <c r="AI1035" s="459">
        <v>400</v>
      </c>
      <c r="AJ1035" s="458">
        <f>7439.1*AI1035/I1035</f>
        <v>1144.0808950747817</v>
      </c>
      <c r="AK1035" s="459">
        <v>0</v>
      </c>
      <c r="AL1035" s="459">
        <v>0</v>
      </c>
      <c r="AM1035" s="459">
        <v>0</v>
      </c>
      <c r="AN1035" s="459"/>
      <c r="AO1035" s="459">
        <v>0</v>
      </c>
      <c r="AP1035" s="460"/>
      <c r="AQ1035" s="460"/>
      <c r="AR1035" s="460"/>
      <c r="AS1035" s="460"/>
      <c r="AT1035" s="460"/>
      <c r="AU1035" s="460"/>
      <c r="AV1035" s="460"/>
      <c r="AW1035" s="460"/>
      <c r="AX1035" s="460"/>
      <c r="AY1035" s="460"/>
      <c r="AZ1035" s="460"/>
      <c r="BA1035" s="460"/>
      <c r="BB1035" s="460"/>
      <c r="BC1035" s="460"/>
      <c r="BD1035" s="460"/>
      <c r="BE1035" s="460"/>
      <c r="BF1035" s="460"/>
      <c r="BG1035" s="460"/>
      <c r="BH1035" s="460"/>
      <c r="BI1035" s="460"/>
      <c r="BJ1035" s="460"/>
      <c r="BK1035" s="460"/>
      <c r="BL1035" s="460"/>
      <c r="BM1035" s="460"/>
      <c r="BN1035" s="460"/>
      <c r="BO1035" s="460"/>
      <c r="BP1035" s="460"/>
      <c r="BQ1035" s="460"/>
      <c r="BR1035" s="460"/>
      <c r="BS1035" s="460"/>
      <c r="BT1035" s="460"/>
      <c r="BU1035" s="460"/>
      <c r="BV1035" s="460"/>
      <c r="BW1035" s="460"/>
      <c r="BX1035" s="460"/>
      <c r="BY1035" s="460"/>
      <c r="BZ1035" s="460"/>
      <c r="CA1035" s="460"/>
      <c r="CB1035" s="460"/>
      <c r="CC1035" s="460"/>
      <c r="CD1035" s="460"/>
      <c r="CE1035" s="460"/>
      <c r="CF1035" s="460"/>
      <c r="CG1035" s="460"/>
      <c r="CH1035" s="460"/>
      <c r="CI1035" s="460"/>
      <c r="CJ1035" s="460"/>
      <c r="CK1035" s="460"/>
    </row>
    <row r="1036" spans="1:89" s="329" customFormat="1" ht="36" customHeight="1" x14ac:dyDescent="0.25">
      <c r="A1036" s="329">
        <v>1</v>
      </c>
      <c r="B1036" s="39">
        <f>SUBTOTAL(103,$A$1000:A1036)</f>
        <v>37</v>
      </c>
      <c r="C1036" s="33" t="s">
        <v>1736</v>
      </c>
      <c r="D1036" s="330" t="s">
        <v>78</v>
      </c>
      <c r="E1036" s="330"/>
      <c r="F1036" s="331" t="s">
        <v>48</v>
      </c>
      <c r="G1036" s="330" t="s">
        <v>75</v>
      </c>
      <c r="H1036" s="330" t="s">
        <v>57</v>
      </c>
      <c r="I1036" s="334">
        <v>1129.8</v>
      </c>
      <c r="J1036" s="334">
        <v>1033.3</v>
      </c>
      <c r="K1036" s="334">
        <v>841.7</v>
      </c>
      <c r="L1036" s="332">
        <v>42</v>
      </c>
      <c r="M1036" s="330" t="s">
        <v>46</v>
      </c>
      <c r="N1036" s="330" t="s">
        <v>50</v>
      </c>
      <c r="O1036" s="333" t="s">
        <v>2118</v>
      </c>
      <c r="P1036" s="38">
        <v>1146986.94</v>
      </c>
      <c r="Q1036" s="38">
        <v>0</v>
      </c>
      <c r="R1036" s="38">
        <v>0</v>
      </c>
      <c r="S1036" s="38">
        <f t="shared" si="223"/>
        <v>1146986.94</v>
      </c>
      <c r="T1036" s="38">
        <f t="shared" si="215"/>
        <v>1015.2123738714816</v>
      </c>
      <c r="U1036" s="38">
        <v>1302.1283855549655</v>
      </c>
      <c r="V1036" s="458">
        <f t="shared" si="210"/>
        <v>286.91601168348382</v>
      </c>
      <c r="W1036" s="458">
        <f t="shared" si="224"/>
        <v>5301.2511949017526</v>
      </c>
      <c r="X1036" s="458">
        <v>0</v>
      </c>
      <c r="Y1036" s="459">
        <v>0</v>
      </c>
      <c r="Z1036" s="459">
        <v>0</v>
      </c>
      <c r="AA1036" s="459">
        <v>0</v>
      </c>
      <c r="AB1036" s="459">
        <v>0</v>
      </c>
      <c r="AC1036" s="459">
        <v>0</v>
      </c>
      <c r="AD1036" s="459">
        <v>0</v>
      </c>
      <c r="AE1036" s="459">
        <v>960</v>
      </c>
      <c r="AF1036" s="458">
        <f t="shared" ref="AF1036:AF1051" si="227">6238.91*AE1036/I1036</f>
        <v>5301.2511949017526</v>
      </c>
      <c r="AG1036" s="459">
        <v>0</v>
      </c>
      <c r="AH1036" s="458">
        <v>0</v>
      </c>
      <c r="AI1036" s="459">
        <v>0</v>
      </c>
      <c r="AJ1036" s="458">
        <v>0</v>
      </c>
      <c r="AK1036" s="459">
        <v>0</v>
      </c>
      <c r="AL1036" s="459">
        <v>0</v>
      </c>
      <c r="AM1036" s="459">
        <v>0</v>
      </c>
      <c r="AN1036" s="459"/>
      <c r="AO1036" s="459">
        <v>0</v>
      </c>
      <c r="AP1036" s="460"/>
      <c r="AQ1036" s="460"/>
      <c r="AR1036" s="460"/>
      <c r="AS1036" s="460"/>
      <c r="AT1036" s="460"/>
      <c r="AU1036" s="460"/>
      <c r="AV1036" s="460"/>
      <c r="AW1036" s="460"/>
      <c r="AX1036" s="460"/>
      <c r="AY1036" s="460"/>
      <c r="AZ1036" s="460"/>
      <c r="BA1036" s="460"/>
      <c r="BB1036" s="460"/>
      <c r="BC1036" s="460"/>
      <c r="BD1036" s="460"/>
      <c r="BE1036" s="460"/>
      <c r="BF1036" s="460"/>
      <c r="BG1036" s="460"/>
      <c r="BH1036" s="460"/>
      <c r="BI1036" s="460"/>
      <c r="BJ1036" s="460"/>
      <c r="BK1036" s="460"/>
      <c r="BL1036" s="460"/>
      <c r="BM1036" s="460"/>
      <c r="BN1036" s="460"/>
      <c r="BO1036" s="460"/>
      <c r="BP1036" s="460"/>
      <c r="BQ1036" s="460"/>
      <c r="BR1036" s="460"/>
      <c r="BS1036" s="460"/>
      <c r="BT1036" s="460"/>
      <c r="BU1036" s="460"/>
      <c r="BV1036" s="460"/>
      <c r="BW1036" s="460"/>
      <c r="BX1036" s="460"/>
      <c r="BY1036" s="460"/>
      <c r="BZ1036" s="460"/>
      <c r="CA1036" s="460"/>
      <c r="CB1036" s="460"/>
      <c r="CC1036" s="460"/>
      <c r="CD1036" s="460"/>
      <c r="CE1036" s="460"/>
      <c r="CF1036" s="460"/>
      <c r="CG1036" s="460"/>
      <c r="CH1036" s="460"/>
      <c r="CI1036" s="460"/>
      <c r="CJ1036" s="460"/>
      <c r="CK1036" s="460"/>
    </row>
    <row r="1037" spans="1:89" s="329" customFormat="1" ht="36" customHeight="1" x14ac:dyDescent="0.25">
      <c r="A1037" s="329">
        <v>1</v>
      </c>
      <c r="B1037" s="39">
        <f>SUBTOTAL(103,$A$1000:A1037)</f>
        <v>38</v>
      </c>
      <c r="C1037" s="33" t="s">
        <v>1737</v>
      </c>
      <c r="D1037" s="330" t="s">
        <v>2035</v>
      </c>
      <c r="E1037" s="330"/>
      <c r="F1037" s="331" t="s">
        <v>60</v>
      </c>
      <c r="G1037" s="330" t="s">
        <v>75</v>
      </c>
      <c r="H1037" s="330" t="s">
        <v>59</v>
      </c>
      <c r="I1037" s="334">
        <v>4027.5</v>
      </c>
      <c r="J1037" s="334">
        <v>3037.2</v>
      </c>
      <c r="K1037" s="334">
        <v>3035.5</v>
      </c>
      <c r="L1037" s="332">
        <v>127</v>
      </c>
      <c r="M1037" s="330" t="s">
        <v>46</v>
      </c>
      <c r="N1037" s="330" t="s">
        <v>50</v>
      </c>
      <c r="O1037" s="333" t="s">
        <v>1957</v>
      </c>
      <c r="P1037" s="38">
        <v>3616149.44</v>
      </c>
      <c r="Q1037" s="38">
        <v>0</v>
      </c>
      <c r="R1037" s="38">
        <v>0</v>
      </c>
      <c r="S1037" s="38">
        <f t="shared" si="223"/>
        <v>3616149.44</v>
      </c>
      <c r="T1037" s="38">
        <f t="shared" si="215"/>
        <v>897.86454127870888</v>
      </c>
      <c r="U1037" s="38">
        <v>1189.0863687150836</v>
      </c>
      <c r="V1037" s="458">
        <f t="shared" si="210"/>
        <v>291.22182743637472</v>
      </c>
      <c r="W1037" s="458">
        <f t="shared" si="224"/>
        <v>1487.1144878957168</v>
      </c>
      <c r="X1037" s="458">
        <v>0</v>
      </c>
      <c r="Y1037" s="459">
        <v>0</v>
      </c>
      <c r="Z1037" s="459">
        <v>0</v>
      </c>
      <c r="AA1037" s="459">
        <v>0</v>
      </c>
      <c r="AB1037" s="459">
        <v>0</v>
      </c>
      <c r="AC1037" s="459">
        <v>0</v>
      </c>
      <c r="AD1037" s="459">
        <v>0</v>
      </c>
      <c r="AE1037" s="459">
        <v>960</v>
      </c>
      <c r="AF1037" s="458">
        <f t="shared" si="227"/>
        <v>1487.1144878957168</v>
      </c>
      <c r="AG1037" s="459">
        <v>0</v>
      </c>
      <c r="AH1037" s="458">
        <v>0</v>
      </c>
      <c r="AI1037" s="459">
        <v>0</v>
      </c>
      <c r="AJ1037" s="458">
        <v>0</v>
      </c>
      <c r="AK1037" s="459">
        <v>0</v>
      </c>
      <c r="AL1037" s="459">
        <v>0</v>
      </c>
      <c r="AM1037" s="459">
        <v>0</v>
      </c>
      <c r="AN1037" s="459"/>
      <c r="AO1037" s="459">
        <v>0</v>
      </c>
      <c r="AP1037" s="460"/>
      <c r="AQ1037" s="460"/>
      <c r="AR1037" s="460"/>
      <c r="AS1037" s="460"/>
      <c r="AT1037" s="460"/>
      <c r="AU1037" s="460"/>
      <c r="AV1037" s="460"/>
      <c r="AW1037" s="460"/>
      <c r="AX1037" s="460"/>
      <c r="AY1037" s="460"/>
      <c r="AZ1037" s="460"/>
      <c r="BA1037" s="460"/>
      <c r="BB1037" s="460"/>
      <c r="BC1037" s="460"/>
      <c r="BD1037" s="460"/>
      <c r="BE1037" s="460"/>
      <c r="BF1037" s="460"/>
      <c r="BG1037" s="460"/>
      <c r="BH1037" s="460"/>
      <c r="BI1037" s="460"/>
      <c r="BJ1037" s="460"/>
      <c r="BK1037" s="460"/>
      <c r="BL1037" s="460"/>
      <c r="BM1037" s="460"/>
      <c r="BN1037" s="460"/>
      <c r="BO1037" s="460"/>
      <c r="BP1037" s="460"/>
      <c r="BQ1037" s="460"/>
      <c r="BR1037" s="460"/>
      <c r="BS1037" s="460"/>
      <c r="BT1037" s="460"/>
      <c r="BU1037" s="460"/>
      <c r="BV1037" s="460"/>
      <c r="BW1037" s="460"/>
      <c r="BX1037" s="460"/>
      <c r="BY1037" s="460"/>
      <c r="BZ1037" s="460"/>
      <c r="CA1037" s="460"/>
      <c r="CB1037" s="460"/>
      <c r="CC1037" s="460"/>
      <c r="CD1037" s="460"/>
      <c r="CE1037" s="460"/>
      <c r="CF1037" s="460"/>
      <c r="CG1037" s="460"/>
      <c r="CH1037" s="460"/>
      <c r="CI1037" s="460"/>
      <c r="CJ1037" s="460"/>
      <c r="CK1037" s="460"/>
    </row>
    <row r="1038" spans="1:89" s="329" customFormat="1" ht="36" customHeight="1" x14ac:dyDescent="0.25">
      <c r="A1038" s="329">
        <v>1</v>
      </c>
      <c r="B1038" s="39">
        <f>SUBTOTAL(103,$A$1000:A1038)</f>
        <v>39</v>
      </c>
      <c r="C1038" s="33" t="s">
        <v>1738</v>
      </c>
      <c r="D1038" s="330">
        <v>1976</v>
      </c>
      <c r="E1038" s="330"/>
      <c r="F1038" s="331" t="s">
        <v>48</v>
      </c>
      <c r="G1038" s="330">
        <v>5</v>
      </c>
      <c r="H1038" s="330" t="s">
        <v>1980</v>
      </c>
      <c r="I1038" s="334">
        <v>18701</v>
      </c>
      <c r="J1038" s="334">
        <v>10438.450000000001</v>
      </c>
      <c r="K1038" s="334">
        <v>6661.1</v>
      </c>
      <c r="L1038" s="332">
        <v>448</v>
      </c>
      <c r="M1038" s="330" t="s">
        <v>46</v>
      </c>
      <c r="N1038" s="330" t="s">
        <v>50</v>
      </c>
      <c r="O1038" s="333" t="s">
        <v>1963</v>
      </c>
      <c r="P1038" s="38">
        <v>8004176.46</v>
      </c>
      <c r="Q1038" s="38">
        <v>0</v>
      </c>
      <c r="R1038" s="38">
        <v>0</v>
      </c>
      <c r="S1038" s="38">
        <f t="shared" si="223"/>
        <v>8004176.46</v>
      </c>
      <c r="T1038" s="38">
        <f t="shared" si="215"/>
        <v>428.00793861290839</v>
      </c>
      <c r="U1038" s="38">
        <v>774.6152430351317</v>
      </c>
      <c r="V1038" s="458">
        <f t="shared" ref="V1038:V1104" si="228">U1038-T1038</f>
        <v>346.60730442222331</v>
      </c>
      <c r="W1038" s="458">
        <f t="shared" si="224"/>
        <v>121.70228158921984</v>
      </c>
      <c r="X1038" s="458">
        <v>0</v>
      </c>
      <c r="Y1038" s="459">
        <v>0</v>
      </c>
      <c r="Z1038" s="459">
        <v>0</v>
      </c>
      <c r="AA1038" s="459">
        <v>0</v>
      </c>
      <c r="AB1038" s="459">
        <v>0</v>
      </c>
      <c r="AC1038" s="459">
        <v>0</v>
      </c>
      <c r="AD1038" s="459">
        <v>0</v>
      </c>
      <c r="AE1038" s="459">
        <v>364.8</v>
      </c>
      <c r="AF1038" s="458">
        <f t="shared" si="227"/>
        <v>121.70228158921984</v>
      </c>
      <c r="AG1038" s="459">
        <v>0</v>
      </c>
      <c r="AH1038" s="458">
        <v>0</v>
      </c>
      <c r="AI1038" s="459">
        <v>0</v>
      </c>
      <c r="AJ1038" s="458">
        <v>0</v>
      </c>
      <c r="AK1038" s="459">
        <v>0</v>
      </c>
      <c r="AL1038" s="459">
        <v>0</v>
      </c>
      <c r="AM1038" s="459">
        <v>0</v>
      </c>
      <c r="AN1038" s="459"/>
      <c r="AO1038" s="459">
        <v>0</v>
      </c>
      <c r="AP1038" s="460"/>
      <c r="AQ1038" s="460"/>
      <c r="AR1038" s="460"/>
      <c r="AS1038" s="460"/>
      <c r="AT1038" s="460"/>
      <c r="AU1038" s="460"/>
      <c r="AV1038" s="460"/>
      <c r="AW1038" s="460"/>
      <c r="AX1038" s="460"/>
      <c r="AY1038" s="460"/>
      <c r="AZ1038" s="460"/>
      <c r="BA1038" s="460"/>
      <c r="BB1038" s="460"/>
      <c r="BC1038" s="460"/>
      <c r="BD1038" s="460"/>
      <c r="BE1038" s="460"/>
      <c r="BF1038" s="460"/>
      <c r="BG1038" s="460"/>
      <c r="BH1038" s="460"/>
      <c r="BI1038" s="460"/>
      <c r="BJ1038" s="460"/>
      <c r="BK1038" s="460"/>
      <c r="BL1038" s="460"/>
      <c r="BM1038" s="460"/>
      <c r="BN1038" s="460"/>
      <c r="BO1038" s="460"/>
      <c r="BP1038" s="460"/>
      <c r="BQ1038" s="460"/>
      <c r="BR1038" s="460"/>
      <c r="BS1038" s="460"/>
      <c r="BT1038" s="460"/>
      <c r="BU1038" s="460"/>
      <c r="BV1038" s="460"/>
      <c r="BW1038" s="460"/>
      <c r="BX1038" s="460"/>
      <c r="BY1038" s="460"/>
      <c r="BZ1038" s="460"/>
      <c r="CA1038" s="460"/>
      <c r="CB1038" s="460"/>
      <c r="CC1038" s="460"/>
      <c r="CD1038" s="460"/>
      <c r="CE1038" s="460"/>
      <c r="CF1038" s="460"/>
      <c r="CG1038" s="460"/>
      <c r="CH1038" s="460"/>
      <c r="CI1038" s="460"/>
      <c r="CJ1038" s="460"/>
      <c r="CK1038" s="460"/>
    </row>
    <row r="1039" spans="1:89" s="329" customFormat="1" ht="36" customHeight="1" x14ac:dyDescent="0.25">
      <c r="A1039" s="329">
        <v>1</v>
      </c>
      <c r="B1039" s="39">
        <f>SUBTOTAL(103,$A$1000:A1039)</f>
        <v>40</v>
      </c>
      <c r="C1039" s="33" t="s">
        <v>1739</v>
      </c>
      <c r="D1039" s="330">
        <v>1970</v>
      </c>
      <c r="E1039" s="330"/>
      <c r="F1039" s="331" t="s">
        <v>48</v>
      </c>
      <c r="G1039" s="330">
        <v>5</v>
      </c>
      <c r="H1039" s="330" t="s">
        <v>1969</v>
      </c>
      <c r="I1039" s="334">
        <v>5849.4</v>
      </c>
      <c r="J1039" s="334">
        <v>4434.8999999999996</v>
      </c>
      <c r="K1039" s="334">
        <v>4190</v>
      </c>
      <c r="L1039" s="332">
        <v>242</v>
      </c>
      <c r="M1039" s="330" t="s">
        <v>46</v>
      </c>
      <c r="N1039" s="330" t="s">
        <v>50</v>
      </c>
      <c r="O1039" s="333" t="s">
        <v>1958</v>
      </c>
      <c r="P1039" s="38">
        <v>5986250</v>
      </c>
      <c r="Q1039" s="38">
        <v>0</v>
      </c>
      <c r="R1039" s="38">
        <v>0</v>
      </c>
      <c r="S1039" s="38">
        <f t="shared" si="223"/>
        <v>5986250</v>
      </c>
      <c r="T1039" s="38">
        <f t="shared" si="215"/>
        <v>1023.3955619379766</v>
      </c>
      <c r="U1039" s="38">
        <v>1279.9923479331212</v>
      </c>
      <c r="V1039" s="458">
        <f t="shared" si="228"/>
        <v>256.59678599514461</v>
      </c>
      <c r="W1039" s="458">
        <f t="shared" si="224"/>
        <v>1023.9261462714124</v>
      </c>
      <c r="X1039" s="458">
        <v>0</v>
      </c>
      <c r="Y1039" s="459">
        <v>0</v>
      </c>
      <c r="Z1039" s="459">
        <v>0</v>
      </c>
      <c r="AA1039" s="459">
        <v>0</v>
      </c>
      <c r="AB1039" s="459">
        <v>0</v>
      </c>
      <c r="AC1039" s="459">
        <v>0</v>
      </c>
      <c r="AD1039" s="459">
        <v>0</v>
      </c>
      <c r="AE1039" s="459">
        <v>960</v>
      </c>
      <c r="AF1039" s="458">
        <f t="shared" si="227"/>
        <v>1023.9261462714124</v>
      </c>
      <c r="AG1039" s="459">
        <v>0</v>
      </c>
      <c r="AH1039" s="458">
        <v>0</v>
      </c>
      <c r="AI1039" s="459">
        <v>0</v>
      </c>
      <c r="AJ1039" s="458">
        <v>0</v>
      </c>
      <c r="AK1039" s="459">
        <v>0</v>
      </c>
      <c r="AL1039" s="459">
        <v>0</v>
      </c>
      <c r="AM1039" s="459">
        <v>0</v>
      </c>
      <c r="AN1039" s="459"/>
      <c r="AO1039" s="459">
        <v>0</v>
      </c>
      <c r="AP1039" s="460"/>
      <c r="AQ1039" s="460"/>
      <c r="AR1039" s="460"/>
      <c r="AS1039" s="460"/>
      <c r="AT1039" s="460"/>
      <c r="AU1039" s="460"/>
      <c r="AV1039" s="460"/>
      <c r="AW1039" s="460"/>
      <c r="AX1039" s="460"/>
      <c r="AY1039" s="460"/>
      <c r="AZ1039" s="460"/>
      <c r="BA1039" s="460"/>
      <c r="BB1039" s="460"/>
      <c r="BC1039" s="460"/>
      <c r="BD1039" s="460"/>
      <c r="BE1039" s="460"/>
      <c r="BF1039" s="460"/>
      <c r="BG1039" s="460"/>
      <c r="BH1039" s="460"/>
      <c r="BI1039" s="460"/>
      <c r="BJ1039" s="460"/>
      <c r="BK1039" s="460"/>
      <c r="BL1039" s="460"/>
      <c r="BM1039" s="460"/>
      <c r="BN1039" s="460"/>
      <c r="BO1039" s="460"/>
      <c r="BP1039" s="460"/>
      <c r="BQ1039" s="460"/>
      <c r="BR1039" s="460"/>
      <c r="BS1039" s="460"/>
      <c r="BT1039" s="460"/>
      <c r="BU1039" s="460"/>
      <c r="BV1039" s="460"/>
      <c r="BW1039" s="460"/>
      <c r="BX1039" s="460"/>
      <c r="BY1039" s="460"/>
      <c r="BZ1039" s="460"/>
      <c r="CA1039" s="460"/>
      <c r="CB1039" s="460"/>
      <c r="CC1039" s="460"/>
      <c r="CD1039" s="460"/>
      <c r="CE1039" s="460"/>
      <c r="CF1039" s="460"/>
      <c r="CG1039" s="460"/>
      <c r="CH1039" s="460"/>
      <c r="CI1039" s="460"/>
      <c r="CJ1039" s="460"/>
      <c r="CK1039" s="460"/>
    </row>
    <row r="1040" spans="1:89" s="329" customFormat="1" ht="36" customHeight="1" x14ac:dyDescent="0.25">
      <c r="A1040" s="329">
        <v>1</v>
      </c>
      <c r="B1040" s="39">
        <f>SUBTOTAL(103,$A$1000:A1040)</f>
        <v>41</v>
      </c>
      <c r="C1040" s="33" t="s">
        <v>1740</v>
      </c>
      <c r="D1040" s="330">
        <v>1957</v>
      </c>
      <c r="E1040" s="330"/>
      <c r="F1040" s="331" t="s">
        <v>48</v>
      </c>
      <c r="G1040" s="330">
        <v>3</v>
      </c>
      <c r="H1040" s="330" t="s">
        <v>61</v>
      </c>
      <c r="I1040" s="334">
        <v>2341.1</v>
      </c>
      <c r="J1040" s="334">
        <v>1935.59</v>
      </c>
      <c r="K1040" s="334">
        <v>1467.6</v>
      </c>
      <c r="L1040" s="332">
        <v>56</v>
      </c>
      <c r="M1040" s="330" t="s">
        <v>46</v>
      </c>
      <c r="N1040" s="330" t="s">
        <v>50</v>
      </c>
      <c r="O1040" s="333" t="s">
        <v>1979</v>
      </c>
      <c r="P1040" s="38">
        <v>7471186.2199999997</v>
      </c>
      <c r="Q1040" s="38">
        <v>0</v>
      </c>
      <c r="R1040" s="38">
        <v>0</v>
      </c>
      <c r="S1040" s="38">
        <f t="shared" si="223"/>
        <v>7471186.2199999997</v>
      </c>
      <c r="T1040" s="38">
        <f t="shared" si="215"/>
        <v>3191.314433386015</v>
      </c>
      <c r="U1040" s="38">
        <v>4350.1247669898758</v>
      </c>
      <c r="V1040" s="458">
        <f t="shared" si="228"/>
        <v>1158.8103336038607</v>
      </c>
      <c r="W1040" s="458">
        <f t="shared" si="224"/>
        <v>1785.5152278843279</v>
      </c>
      <c r="X1040" s="458">
        <v>0</v>
      </c>
      <c r="Y1040" s="459">
        <v>0</v>
      </c>
      <c r="Z1040" s="459">
        <v>0</v>
      </c>
      <c r="AA1040" s="459">
        <v>0</v>
      </c>
      <c r="AB1040" s="459">
        <v>0</v>
      </c>
      <c r="AC1040" s="459">
        <v>0</v>
      </c>
      <c r="AD1040" s="459">
        <v>0</v>
      </c>
      <c r="AE1040" s="459">
        <v>670</v>
      </c>
      <c r="AF1040" s="458">
        <f t="shared" si="227"/>
        <v>1785.5152278843279</v>
      </c>
      <c r="AG1040" s="459">
        <v>0</v>
      </c>
      <c r="AH1040" s="458">
        <v>0</v>
      </c>
      <c r="AI1040" s="459">
        <v>0</v>
      </c>
      <c r="AJ1040" s="458">
        <v>0</v>
      </c>
      <c r="AK1040" s="459">
        <v>0</v>
      </c>
      <c r="AL1040" s="459">
        <v>0</v>
      </c>
      <c r="AM1040" s="459">
        <v>0</v>
      </c>
      <c r="AN1040" s="459"/>
      <c r="AO1040" s="459">
        <v>0</v>
      </c>
      <c r="AP1040" s="460"/>
      <c r="AQ1040" s="460"/>
      <c r="AR1040" s="460"/>
      <c r="AS1040" s="460"/>
      <c r="AT1040" s="460"/>
      <c r="AU1040" s="460"/>
      <c r="AV1040" s="460"/>
      <c r="AW1040" s="460"/>
      <c r="AX1040" s="460"/>
      <c r="AY1040" s="460"/>
      <c r="AZ1040" s="460"/>
      <c r="BA1040" s="460"/>
      <c r="BB1040" s="460"/>
      <c r="BC1040" s="460"/>
      <c r="BD1040" s="460"/>
      <c r="BE1040" s="460"/>
      <c r="BF1040" s="460"/>
      <c r="BG1040" s="460"/>
      <c r="BH1040" s="460"/>
      <c r="BI1040" s="460"/>
      <c r="BJ1040" s="460"/>
      <c r="BK1040" s="460"/>
      <c r="BL1040" s="460"/>
      <c r="BM1040" s="460"/>
      <c r="BN1040" s="460"/>
      <c r="BO1040" s="460"/>
      <c r="BP1040" s="460"/>
      <c r="BQ1040" s="460"/>
      <c r="BR1040" s="460"/>
      <c r="BS1040" s="460"/>
      <c r="BT1040" s="460"/>
      <c r="BU1040" s="460"/>
      <c r="BV1040" s="460"/>
      <c r="BW1040" s="460"/>
      <c r="BX1040" s="460"/>
      <c r="BY1040" s="460"/>
      <c r="BZ1040" s="460"/>
      <c r="CA1040" s="460"/>
      <c r="CB1040" s="460"/>
      <c r="CC1040" s="460"/>
      <c r="CD1040" s="460"/>
      <c r="CE1040" s="460"/>
      <c r="CF1040" s="460"/>
      <c r="CG1040" s="460"/>
      <c r="CH1040" s="460"/>
      <c r="CI1040" s="460"/>
      <c r="CJ1040" s="460"/>
      <c r="CK1040" s="460"/>
    </row>
    <row r="1041" spans="1:89" s="329" customFormat="1" ht="36" customHeight="1" x14ac:dyDescent="0.25">
      <c r="A1041" s="329">
        <v>1</v>
      </c>
      <c r="B1041" s="39">
        <f>SUBTOTAL(103,$A$1000:A1041)</f>
        <v>42</v>
      </c>
      <c r="C1041" s="33" t="s">
        <v>1741</v>
      </c>
      <c r="D1041" s="330">
        <v>1981</v>
      </c>
      <c r="E1041" s="330"/>
      <c r="F1041" s="331" t="s">
        <v>48</v>
      </c>
      <c r="G1041" s="330">
        <v>2</v>
      </c>
      <c r="H1041" s="330" t="s">
        <v>61</v>
      </c>
      <c r="I1041" s="334">
        <v>940.2</v>
      </c>
      <c r="J1041" s="334">
        <v>850.3</v>
      </c>
      <c r="K1041" s="334">
        <v>850.3</v>
      </c>
      <c r="L1041" s="332">
        <v>36</v>
      </c>
      <c r="M1041" s="330" t="s">
        <v>46</v>
      </c>
      <c r="N1041" s="330" t="s">
        <v>50</v>
      </c>
      <c r="O1041" s="333" t="s">
        <v>1964</v>
      </c>
      <c r="P1041" s="38">
        <v>3650462.6100000003</v>
      </c>
      <c r="Q1041" s="38">
        <v>0</v>
      </c>
      <c r="R1041" s="38">
        <v>0</v>
      </c>
      <c r="S1041" s="38">
        <f t="shared" si="223"/>
        <v>3650462.6100000003</v>
      </c>
      <c r="T1041" s="38">
        <f t="shared" si="215"/>
        <v>3882.6447670708362</v>
      </c>
      <c r="U1041" s="38">
        <v>5373.3630417996164</v>
      </c>
      <c r="V1041" s="458">
        <f t="shared" si="228"/>
        <v>1490.7182747287802</v>
      </c>
      <c r="W1041" s="458">
        <f t="shared" si="224"/>
        <v>1559.3957136779406</v>
      </c>
      <c r="X1041" s="458">
        <v>0</v>
      </c>
      <c r="Y1041" s="459">
        <v>0</v>
      </c>
      <c r="Z1041" s="459">
        <v>0</v>
      </c>
      <c r="AA1041" s="459">
        <v>0</v>
      </c>
      <c r="AB1041" s="459">
        <v>0</v>
      </c>
      <c r="AC1041" s="459">
        <v>0</v>
      </c>
      <c r="AD1041" s="459">
        <v>0</v>
      </c>
      <c r="AE1041" s="459">
        <v>235</v>
      </c>
      <c r="AF1041" s="458">
        <f t="shared" si="227"/>
        <v>1559.3957136779406</v>
      </c>
      <c r="AG1041" s="459">
        <v>0</v>
      </c>
      <c r="AH1041" s="458">
        <v>0</v>
      </c>
      <c r="AI1041" s="459">
        <v>0</v>
      </c>
      <c r="AJ1041" s="458">
        <v>0</v>
      </c>
      <c r="AK1041" s="459">
        <v>0</v>
      </c>
      <c r="AL1041" s="459">
        <v>0</v>
      </c>
      <c r="AM1041" s="459">
        <v>0</v>
      </c>
      <c r="AN1041" s="459"/>
      <c r="AO1041" s="459">
        <v>0</v>
      </c>
      <c r="AP1041" s="460"/>
      <c r="AQ1041" s="460"/>
      <c r="AR1041" s="460"/>
      <c r="AS1041" s="460"/>
      <c r="AT1041" s="460"/>
      <c r="AU1041" s="460"/>
      <c r="AV1041" s="460"/>
      <c r="AW1041" s="460"/>
      <c r="AX1041" s="460"/>
      <c r="AY1041" s="460"/>
      <c r="AZ1041" s="460"/>
      <c r="BA1041" s="460"/>
      <c r="BB1041" s="460"/>
      <c r="BC1041" s="460"/>
      <c r="BD1041" s="460"/>
      <c r="BE1041" s="460"/>
      <c r="BF1041" s="460"/>
      <c r="BG1041" s="460"/>
      <c r="BH1041" s="460"/>
      <c r="BI1041" s="460"/>
      <c r="BJ1041" s="460"/>
      <c r="BK1041" s="460"/>
      <c r="BL1041" s="460"/>
      <c r="BM1041" s="460"/>
      <c r="BN1041" s="460"/>
      <c r="BO1041" s="460"/>
      <c r="BP1041" s="460"/>
      <c r="BQ1041" s="460"/>
      <c r="BR1041" s="460"/>
      <c r="BS1041" s="460"/>
      <c r="BT1041" s="460"/>
      <c r="BU1041" s="460"/>
      <c r="BV1041" s="460"/>
      <c r="BW1041" s="460"/>
      <c r="BX1041" s="460"/>
      <c r="BY1041" s="460"/>
      <c r="BZ1041" s="460"/>
      <c r="CA1041" s="460"/>
      <c r="CB1041" s="460"/>
      <c r="CC1041" s="460"/>
      <c r="CD1041" s="460"/>
      <c r="CE1041" s="460"/>
      <c r="CF1041" s="460"/>
      <c r="CG1041" s="460"/>
      <c r="CH1041" s="460"/>
      <c r="CI1041" s="460"/>
      <c r="CJ1041" s="460"/>
      <c r="CK1041" s="460"/>
    </row>
    <row r="1042" spans="1:89" s="329" customFormat="1" ht="36" customHeight="1" x14ac:dyDescent="0.25">
      <c r="A1042" s="329">
        <v>1</v>
      </c>
      <c r="B1042" s="39">
        <f>SUBTOTAL(103,$A$1000:A1042)</f>
        <v>43</v>
      </c>
      <c r="C1042" s="33" t="s">
        <v>1742</v>
      </c>
      <c r="D1042" s="330">
        <v>1994</v>
      </c>
      <c r="E1042" s="330"/>
      <c r="F1042" s="331" t="s">
        <v>48</v>
      </c>
      <c r="G1042" s="330">
        <v>3</v>
      </c>
      <c r="H1042" s="330" t="s">
        <v>56</v>
      </c>
      <c r="I1042" s="334">
        <v>1489.9</v>
      </c>
      <c r="J1042" s="334">
        <v>1481.9</v>
      </c>
      <c r="K1042" s="334">
        <v>1353.2</v>
      </c>
      <c r="L1042" s="332">
        <v>66</v>
      </c>
      <c r="M1042" s="330" t="s">
        <v>46</v>
      </c>
      <c r="N1042" s="330" t="s">
        <v>50</v>
      </c>
      <c r="O1042" s="333" t="s">
        <v>1964</v>
      </c>
      <c r="P1042" s="38">
        <v>4365711.66</v>
      </c>
      <c r="Q1042" s="38">
        <v>0</v>
      </c>
      <c r="R1042" s="38">
        <v>0</v>
      </c>
      <c r="S1042" s="38">
        <f t="shared" si="223"/>
        <v>4365711.66</v>
      </c>
      <c r="T1042" s="38">
        <f t="shared" ref="T1042:T1105" si="229">P1042/I1042</f>
        <v>2930.2044835223842</v>
      </c>
      <c r="U1042" s="38">
        <v>4096.7080005369489</v>
      </c>
      <c r="V1042" s="458">
        <f t="shared" si="228"/>
        <v>1166.5035170145647</v>
      </c>
      <c r="W1042" s="458">
        <f t="shared" si="224"/>
        <v>3203.4137526008453</v>
      </c>
      <c r="X1042" s="458">
        <v>0</v>
      </c>
      <c r="Y1042" s="459">
        <v>0</v>
      </c>
      <c r="Z1042" s="459">
        <v>0</v>
      </c>
      <c r="AA1042" s="459">
        <v>0</v>
      </c>
      <c r="AB1042" s="459">
        <v>0</v>
      </c>
      <c r="AC1042" s="459">
        <v>0</v>
      </c>
      <c r="AD1042" s="459">
        <v>0</v>
      </c>
      <c r="AE1042" s="459">
        <v>765</v>
      </c>
      <c r="AF1042" s="458">
        <f t="shared" si="227"/>
        <v>3203.4137526008453</v>
      </c>
      <c r="AG1042" s="459">
        <v>0</v>
      </c>
      <c r="AH1042" s="458">
        <v>0</v>
      </c>
      <c r="AI1042" s="459">
        <v>0</v>
      </c>
      <c r="AJ1042" s="458">
        <v>0</v>
      </c>
      <c r="AK1042" s="459">
        <v>0</v>
      </c>
      <c r="AL1042" s="459">
        <v>0</v>
      </c>
      <c r="AM1042" s="459">
        <v>0</v>
      </c>
      <c r="AN1042" s="459"/>
      <c r="AO1042" s="459">
        <v>0</v>
      </c>
      <c r="AP1042" s="460"/>
      <c r="AQ1042" s="460"/>
      <c r="AR1042" s="460"/>
      <c r="AS1042" s="460"/>
      <c r="AT1042" s="460"/>
      <c r="AU1042" s="460"/>
      <c r="AV1042" s="460"/>
      <c r="AW1042" s="460"/>
      <c r="AX1042" s="460"/>
      <c r="AY1042" s="460"/>
      <c r="AZ1042" s="460"/>
      <c r="BA1042" s="460"/>
      <c r="BB1042" s="460"/>
      <c r="BC1042" s="460"/>
      <c r="BD1042" s="460"/>
      <c r="BE1042" s="460"/>
      <c r="BF1042" s="460"/>
      <c r="BG1042" s="460"/>
      <c r="BH1042" s="460"/>
      <c r="BI1042" s="460"/>
      <c r="BJ1042" s="460"/>
      <c r="BK1042" s="460"/>
      <c r="BL1042" s="460"/>
      <c r="BM1042" s="460"/>
      <c r="BN1042" s="460"/>
      <c r="BO1042" s="460"/>
      <c r="BP1042" s="460"/>
      <c r="BQ1042" s="460"/>
      <c r="BR1042" s="460"/>
      <c r="BS1042" s="460"/>
      <c r="BT1042" s="460"/>
      <c r="BU1042" s="460"/>
      <c r="BV1042" s="460"/>
      <c r="BW1042" s="460"/>
      <c r="BX1042" s="460"/>
      <c r="BY1042" s="460"/>
      <c r="BZ1042" s="460"/>
      <c r="CA1042" s="460"/>
      <c r="CB1042" s="460"/>
      <c r="CC1042" s="460"/>
      <c r="CD1042" s="460"/>
      <c r="CE1042" s="460"/>
      <c r="CF1042" s="460"/>
      <c r="CG1042" s="460"/>
      <c r="CH1042" s="460"/>
      <c r="CI1042" s="460"/>
      <c r="CJ1042" s="460"/>
      <c r="CK1042" s="460"/>
    </row>
    <row r="1043" spans="1:89" s="329" customFormat="1" ht="36" customHeight="1" x14ac:dyDescent="0.25">
      <c r="A1043" s="329">
        <v>1</v>
      </c>
      <c r="B1043" s="39">
        <f>SUBTOTAL(103,$A$1000:A1043)</f>
        <v>44</v>
      </c>
      <c r="C1043" s="33" t="s">
        <v>1743</v>
      </c>
      <c r="D1043" s="330" t="s">
        <v>74</v>
      </c>
      <c r="E1043" s="330"/>
      <c r="F1043" s="331" t="s">
        <v>60</v>
      </c>
      <c r="G1043" s="330" t="s">
        <v>75</v>
      </c>
      <c r="H1043" s="330" t="s">
        <v>59</v>
      </c>
      <c r="I1043" s="334">
        <v>4064.4</v>
      </c>
      <c r="J1043" s="334">
        <v>3059.2</v>
      </c>
      <c r="K1043" s="334">
        <v>2912</v>
      </c>
      <c r="L1043" s="332">
        <v>140</v>
      </c>
      <c r="M1043" s="330" t="s">
        <v>46</v>
      </c>
      <c r="N1043" s="330" t="s">
        <v>50</v>
      </c>
      <c r="O1043" s="333" t="s">
        <v>1957</v>
      </c>
      <c r="P1043" s="38">
        <v>3645858.66</v>
      </c>
      <c r="Q1043" s="38">
        <v>0</v>
      </c>
      <c r="R1043" s="38">
        <v>0</v>
      </c>
      <c r="S1043" s="38">
        <f t="shared" si="223"/>
        <v>3645858.66</v>
      </c>
      <c r="T1043" s="38">
        <f t="shared" si="229"/>
        <v>897.02260112193687</v>
      </c>
      <c r="U1043" s="38">
        <v>1187.9174140094478</v>
      </c>
      <c r="V1043" s="458">
        <f t="shared" si="228"/>
        <v>290.89481288751097</v>
      </c>
      <c r="W1043" s="458">
        <f t="shared" si="224"/>
        <v>3552.0218826887117</v>
      </c>
      <c r="X1043" s="458">
        <v>0</v>
      </c>
      <c r="Y1043" s="459">
        <v>0</v>
      </c>
      <c r="Z1043" s="459">
        <v>0</v>
      </c>
      <c r="AA1043" s="459">
        <v>0</v>
      </c>
      <c r="AB1043" s="459">
        <v>0</v>
      </c>
      <c r="AC1043" s="459">
        <v>0</v>
      </c>
      <c r="AD1043" s="459">
        <v>0</v>
      </c>
      <c r="AE1043" s="459">
        <v>2314</v>
      </c>
      <c r="AF1043" s="458">
        <f t="shared" si="227"/>
        <v>3552.0218826887117</v>
      </c>
      <c r="AG1043" s="459">
        <v>0</v>
      </c>
      <c r="AH1043" s="458">
        <v>0</v>
      </c>
      <c r="AI1043" s="459">
        <v>0</v>
      </c>
      <c r="AJ1043" s="458">
        <v>0</v>
      </c>
      <c r="AK1043" s="459">
        <v>0</v>
      </c>
      <c r="AL1043" s="459">
        <v>0</v>
      </c>
      <c r="AM1043" s="459">
        <v>0</v>
      </c>
      <c r="AN1043" s="459"/>
      <c r="AO1043" s="459">
        <v>0</v>
      </c>
      <c r="AP1043" s="460"/>
      <c r="AQ1043" s="460"/>
      <c r="AR1043" s="460"/>
      <c r="AS1043" s="460"/>
      <c r="AT1043" s="460"/>
      <c r="AU1043" s="460"/>
      <c r="AV1043" s="460"/>
      <c r="AW1043" s="460"/>
      <c r="AX1043" s="460"/>
      <c r="AY1043" s="460"/>
      <c r="AZ1043" s="460"/>
      <c r="BA1043" s="460"/>
      <c r="BB1043" s="460"/>
      <c r="BC1043" s="460"/>
      <c r="BD1043" s="460"/>
      <c r="BE1043" s="460"/>
      <c r="BF1043" s="460"/>
      <c r="BG1043" s="460"/>
      <c r="BH1043" s="460"/>
      <c r="BI1043" s="460"/>
      <c r="BJ1043" s="460"/>
      <c r="BK1043" s="460"/>
      <c r="BL1043" s="460"/>
      <c r="BM1043" s="460"/>
      <c r="BN1043" s="460"/>
      <c r="BO1043" s="460"/>
      <c r="BP1043" s="460"/>
      <c r="BQ1043" s="460"/>
      <c r="BR1043" s="460"/>
      <c r="BS1043" s="460"/>
      <c r="BT1043" s="460"/>
      <c r="BU1043" s="460"/>
      <c r="BV1043" s="460"/>
      <c r="BW1043" s="460"/>
      <c r="BX1043" s="460"/>
      <c r="BY1043" s="460"/>
      <c r="BZ1043" s="460"/>
      <c r="CA1043" s="460"/>
      <c r="CB1043" s="460"/>
      <c r="CC1043" s="460"/>
      <c r="CD1043" s="460"/>
      <c r="CE1043" s="460"/>
      <c r="CF1043" s="460"/>
      <c r="CG1043" s="460"/>
      <c r="CH1043" s="460"/>
      <c r="CI1043" s="460"/>
      <c r="CJ1043" s="460"/>
      <c r="CK1043" s="460"/>
    </row>
    <row r="1044" spans="1:89" s="329" customFormat="1" ht="36" customHeight="1" x14ac:dyDescent="0.25">
      <c r="A1044" s="329">
        <v>1</v>
      </c>
      <c r="B1044" s="39">
        <f>SUBTOTAL(103,$A$1000:A1044)</f>
        <v>45</v>
      </c>
      <c r="C1044" s="33" t="s">
        <v>1744</v>
      </c>
      <c r="D1044" s="330" t="s">
        <v>2136</v>
      </c>
      <c r="E1044" s="330"/>
      <c r="F1044" s="331" t="s">
        <v>60</v>
      </c>
      <c r="G1044" s="330" t="s">
        <v>75</v>
      </c>
      <c r="H1044" s="330" t="s">
        <v>75</v>
      </c>
      <c r="I1044" s="334">
        <v>5067.1000000000004</v>
      </c>
      <c r="J1044" s="334">
        <v>3815.6</v>
      </c>
      <c r="K1044" s="334">
        <v>3768.9</v>
      </c>
      <c r="L1044" s="332">
        <v>163</v>
      </c>
      <c r="M1044" s="330" t="s">
        <v>46</v>
      </c>
      <c r="N1044" s="330" t="s">
        <v>50</v>
      </c>
      <c r="O1044" s="333" t="s">
        <v>1957</v>
      </c>
      <c r="P1044" s="38">
        <v>4560834.87</v>
      </c>
      <c r="Q1044" s="38">
        <v>0</v>
      </c>
      <c r="R1044" s="38">
        <v>0</v>
      </c>
      <c r="S1044" s="38">
        <f t="shared" si="223"/>
        <v>4560834.87</v>
      </c>
      <c r="T1044" s="38">
        <f t="shared" si="229"/>
        <v>900.08779578062399</v>
      </c>
      <c r="U1044" s="38">
        <v>1190.672793609757</v>
      </c>
      <c r="V1044" s="458">
        <f t="shared" si="228"/>
        <v>290.58499782913304</v>
      </c>
      <c r="W1044" s="458">
        <f t="shared" si="224"/>
        <v>1472.5851788991729</v>
      </c>
      <c r="X1044" s="458">
        <v>0</v>
      </c>
      <c r="Y1044" s="459">
        <v>0</v>
      </c>
      <c r="Z1044" s="459">
        <v>0</v>
      </c>
      <c r="AA1044" s="459">
        <v>0</v>
      </c>
      <c r="AB1044" s="459">
        <v>0</v>
      </c>
      <c r="AC1044" s="459">
        <v>0</v>
      </c>
      <c r="AD1044" s="459">
        <v>0</v>
      </c>
      <c r="AE1044" s="459">
        <v>1196</v>
      </c>
      <c r="AF1044" s="458">
        <f t="shared" si="227"/>
        <v>1472.5851788991729</v>
      </c>
      <c r="AG1044" s="459">
        <v>0</v>
      </c>
      <c r="AH1044" s="458">
        <v>0</v>
      </c>
      <c r="AI1044" s="459">
        <v>0</v>
      </c>
      <c r="AJ1044" s="458">
        <v>0</v>
      </c>
      <c r="AK1044" s="459">
        <v>0</v>
      </c>
      <c r="AL1044" s="459">
        <v>0</v>
      </c>
      <c r="AM1044" s="459">
        <v>0</v>
      </c>
      <c r="AN1044" s="459"/>
      <c r="AO1044" s="459">
        <v>0</v>
      </c>
      <c r="AP1044" s="460"/>
      <c r="AQ1044" s="460"/>
      <c r="AR1044" s="460"/>
      <c r="AS1044" s="460"/>
      <c r="AT1044" s="460"/>
      <c r="AU1044" s="460"/>
      <c r="AV1044" s="460"/>
      <c r="AW1044" s="460"/>
      <c r="AX1044" s="460"/>
      <c r="AY1044" s="460"/>
      <c r="AZ1044" s="460"/>
      <c r="BA1044" s="460"/>
      <c r="BB1044" s="460"/>
      <c r="BC1044" s="460"/>
      <c r="BD1044" s="460"/>
      <c r="BE1044" s="460"/>
      <c r="BF1044" s="460"/>
      <c r="BG1044" s="460"/>
      <c r="BH1044" s="460"/>
      <c r="BI1044" s="460"/>
      <c r="BJ1044" s="460"/>
      <c r="BK1044" s="460"/>
      <c r="BL1044" s="460"/>
      <c r="BM1044" s="460"/>
      <c r="BN1044" s="460"/>
      <c r="BO1044" s="460"/>
      <c r="BP1044" s="460"/>
      <c r="BQ1044" s="460"/>
      <c r="BR1044" s="460"/>
      <c r="BS1044" s="460"/>
      <c r="BT1044" s="460"/>
      <c r="BU1044" s="460"/>
      <c r="BV1044" s="460"/>
      <c r="BW1044" s="460"/>
      <c r="BX1044" s="460"/>
      <c r="BY1044" s="460"/>
      <c r="BZ1044" s="460"/>
      <c r="CA1044" s="460"/>
      <c r="CB1044" s="460"/>
      <c r="CC1044" s="460"/>
      <c r="CD1044" s="460"/>
      <c r="CE1044" s="460"/>
      <c r="CF1044" s="460"/>
      <c r="CG1044" s="460"/>
      <c r="CH1044" s="460"/>
      <c r="CI1044" s="460"/>
      <c r="CJ1044" s="460"/>
      <c r="CK1044" s="460"/>
    </row>
    <row r="1045" spans="1:89" s="329" customFormat="1" ht="36" customHeight="1" x14ac:dyDescent="0.25">
      <c r="A1045" s="329">
        <v>1</v>
      </c>
      <c r="B1045" s="39">
        <f>SUBTOTAL(103,$A$1000:A1045)</f>
        <v>46</v>
      </c>
      <c r="C1045" s="33" t="s">
        <v>1476</v>
      </c>
      <c r="D1045" s="330">
        <v>1995</v>
      </c>
      <c r="E1045" s="330"/>
      <c r="F1045" s="331" t="s">
        <v>48</v>
      </c>
      <c r="G1045" s="330">
        <v>9</v>
      </c>
      <c r="H1045" s="330" t="s">
        <v>57</v>
      </c>
      <c r="I1045" s="334">
        <v>6176.6</v>
      </c>
      <c r="J1045" s="334">
        <v>5017.5</v>
      </c>
      <c r="K1045" s="334">
        <v>4212.5</v>
      </c>
      <c r="L1045" s="332">
        <v>299</v>
      </c>
      <c r="M1045" s="330" t="s">
        <v>46</v>
      </c>
      <c r="N1045" s="330" t="s">
        <v>50</v>
      </c>
      <c r="O1045" s="333" t="s">
        <v>1956</v>
      </c>
      <c r="P1045" s="38">
        <v>2200000</v>
      </c>
      <c r="Q1045" s="38">
        <v>0</v>
      </c>
      <c r="R1045" s="38">
        <v>0</v>
      </c>
      <c r="S1045" s="38">
        <f t="shared" si="223"/>
        <v>2200000</v>
      </c>
      <c r="T1045" s="38">
        <f t="shared" si="229"/>
        <v>356.18301330829257</v>
      </c>
      <c r="U1045" s="38">
        <v>397.92118641323702</v>
      </c>
      <c r="V1045" s="458">
        <f t="shared" si="228"/>
        <v>41.738173104944451</v>
      </c>
      <c r="W1045" s="458">
        <f t="shared" si="224"/>
        <v>592.92169964057894</v>
      </c>
      <c r="X1045" s="458">
        <v>0</v>
      </c>
      <c r="Y1045" s="459">
        <v>0</v>
      </c>
      <c r="Z1045" s="459">
        <v>0</v>
      </c>
      <c r="AA1045" s="459">
        <v>0</v>
      </c>
      <c r="AB1045" s="459">
        <v>0</v>
      </c>
      <c r="AC1045" s="459">
        <v>0</v>
      </c>
      <c r="AD1045" s="459">
        <v>0</v>
      </c>
      <c r="AE1045" s="459">
        <v>587</v>
      </c>
      <c r="AF1045" s="458">
        <f t="shared" si="227"/>
        <v>592.92169964057894</v>
      </c>
      <c r="AG1045" s="459">
        <v>0</v>
      </c>
      <c r="AH1045" s="458">
        <v>0</v>
      </c>
      <c r="AI1045" s="459">
        <v>0</v>
      </c>
      <c r="AJ1045" s="458">
        <v>0</v>
      </c>
      <c r="AK1045" s="459">
        <v>0</v>
      </c>
      <c r="AL1045" s="459">
        <v>0</v>
      </c>
      <c r="AM1045" s="459">
        <v>0</v>
      </c>
      <c r="AN1045" s="459"/>
      <c r="AO1045" s="459">
        <v>0</v>
      </c>
      <c r="AP1045" s="460"/>
      <c r="AQ1045" s="460"/>
      <c r="AR1045" s="460"/>
      <c r="AS1045" s="460"/>
      <c r="AT1045" s="460"/>
      <c r="AU1045" s="460"/>
      <c r="AV1045" s="460"/>
      <c r="AW1045" s="460"/>
      <c r="AX1045" s="460"/>
      <c r="AY1045" s="460"/>
      <c r="AZ1045" s="460"/>
      <c r="BA1045" s="460"/>
      <c r="BB1045" s="460"/>
      <c r="BC1045" s="460"/>
      <c r="BD1045" s="460"/>
      <c r="BE1045" s="460"/>
      <c r="BF1045" s="460"/>
      <c r="BG1045" s="460"/>
      <c r="BH1045" s="460"/>
      <c r="BI1045" s="460"/>
      <c r="BJ1045" s="460"/>
      <c r="BK1045" s="460"/>
      <c r="BL1045" s="460"/>
      <c r="BM1045" s="460"/>
      <c r="BN1045" s="460"/>
      <c r="BO1045" s="460"/>
      <c r="BP1045" s="460"/>
      <c r="BQ1045" s="460"/>
      <c r="BR1045" s="460"/>
      <c r="BS1045" s="460"/>
      <c r="BT1045" s="460"/>
      <c r="BU1045" s="460"/>
      <c r="BV1045" s="460"/>
      <c r="BW1045" s="460"/>
      <c r="BX1045" s="460"/>
      <c r="BY1045" s="460"/>
      <c r="BZ1045" s="460"/>
      <c r="CA1045" s="460"/>
      <c r="CB1045" s="460"/>
      <c r="CC1045" s="460"/>
      <c r="CD1045" s="460"/>
      <c r="CE1045" s="460"/>
      <c r="CF1045" s="460"/>
      <c r="CG1045" s="460"/>
      <c r="CH1045" s="460"/>
      <c r="CI1045" s="460"/>
      <c r="CJ1045" s="460"/>
      <c r="CK1045" s="460"/>
    </row>
    <row r="1046" spans="1:89" s="329" customFormat="1" ht="36" customHeight="1" x14ac:dyDescent="0.25">
      <c r="A1046" s="329">
        <v>1</v>
      </c>
      <c r="B1046" s="39">
        <f>SUBTOTAL(103,$A$1000:A1046)</f>
        <v>47</v>
      </c>
      <c r="C1046" s="33" t="s">
        <v>1745</v>
      </c>
      <c r="D1046" s="330">
        <v>1994</v>
      </c>
      <c r="E1046" s="330"/>
      <c r="F1046" s="331" t="s">
        <v>48</v>
      </c>
      <c r="G1046" s="330">
        <v>9</v>
      </c>
      <c r="H1046" s="330" t="s">
        <v>1969</v>
      </c>
      <c r="I1046" s="334">
        <v>11615.7</v>
      </c>
      <c r="J1046" s="334">
        <v>9319.2999999999993</v>
      </c>
      <c r="K1046" s="334">
        <v>5667.8</v>
      </c>
      <c r="L1046" s="332">
        <v>441</v>
      </c>
      <c r="M1046" s="330" t="s">
        <v>46</v>
      </c>
      <c r="N1046" s="330" t="s">
        <v>50</v>
      </c>
      <c r="O1046" s="333" t="s">
        <v>2137</v>
      </c>
      <c r="P1046" s="38">
        <v>6400000</v>
      </c>
      <c r="Q1046" s="38">
        <v>0</v>
      </c>
      <c r="R1046" s="38">
        <v>0</v>
      </c>
      <c r="S1046" s="38">
        <f t="shared" si="223"/>
        <v>6400000</v>
      </c>
      <c r="T1046" s="38">
        <f t="shared" si="229"/>
        <v>550.97841714231595</v>
      </c>
      <c r="U1046" s="38">
        <v>634.77879077455509</v>
      </c>
      <c r="V1046" s="458">
        <f t="shared" si="228"/>
        <v>83.800373632239143</v>
      </c>
      <c r="W1046" s="458">
        <f t="shared" si="224"/>
        <v>511.32883252838832</v>
      </c>
      <c r="X1046" s="458">
        <v>0</v>
      </c>
      <c r="Y1046" s="459">
        <v>0</v>
      </c>
      <c r="Z1046" s="459">
        <v>0</v>
      </c>
      <c r="AA1046" s="459">
        <v>0</v>
      </c>
      <c r="AB1046" s="459">
        <v>0</v>
      </c>
      <c r="AC1046" s="459">
        <v>0</v>
      </c>
      <c r="AD1046" s="459">
        <v>0</v>
      </c>
      <c r="AE1046" s="459">
        <v>952</v>
      </c>
      <c r="AF1046" s="458">
        <f t="shared" si="227"/>
        <v>511.32883252838832</v>
      </c>
      <c r="AG1046" s="459">
        <v>0</v>
      </c>
      <c r="AH1046" s="458">
        <v>0</v>
      </c>
      <c r="AI1046" s="459">
        <v>0</v>
      </c>
      <c r="AJ1046" s="458">
        <v>0</v>
      </c>
      <c r="AK1046" s="459">
        <v>0</v>
      </c>
      <c r="AL1046" s="459">
        <v>0</v>
      </c>
      <c r="AM1046" s="459">
        <v>0</v>
      </c>
      <c r="AN1046" s="459"/>
      <c r="AO1046" s="459">
        <v>0</v>
      </c>
      <c r="AP1046" s="460"/>
      <c r="AQ1046" s="460"/>
      <c r="AR1046" s="460"/>
      <c r="AS1046" s="460"/>
      <c r="AT1046" s="460"/>
      <c r="AU1046" s="460"/>
      <c r="AV1046" s="460"/>
      <c r="AW1046" s="460"/>
      <c r="AX1046" s="460"/>
      <c r="AY1046" s="460"/>
      <c r="AZ1046" s="460"/>
      <c r="BA1046" s="460"/>
      <c r="BB1046" s="460"/>
      <c r="BC1046" s="460"/>
      <c r="BD1046" s="460"/>
      <c r="BE1046" s="460"/>
      <c r="BF1046" s="460"/>
      <c r="BG1046" s="460"/>
      <c r="BH1046" s="460"/>
      <c r="BI1046" s="460"/>
      <c r="BJ1046" s="460"/>
      <c r="BK1046" s="460"/>
      <c r="BL1046" s="460"/>
      <c r="BM1046" s="460"/>
      <c r="BN1046" s="460"/>
      <c r="BO1046" s="460"/>
      <c r="BP1046" s="460"/>
      <c r="BQ1046" s="460"/>
      <c r="BR1046" s="460"/>
      <c r="BS1046" s="460"/>
      <c r="BT1046" s="460"/>
      <c r="BU1046" s="460"/>
      <c r="BV1046" s="460"/>
      <c r="BW1046" s="460"/>
      <c r="BX1046" s="460"/>
      <c r="BY1046" s="460"/>
      <c r="BZ1046" s="460"/>
      <c r="CA1046" s="460"/>
      <c r="CB1046" s="460"/>
      <c r="CC1046" s="460"/>
      <c r="CD1046" s="460"/>
      <c r="CE1046" s="460"/>
      <c r="CF1046" s="460"/>
      <c r="CG1046" s="460"/>
      <c r="CH1046" s="460"/>
      <c r="CI1046" s="460"/>
      <c r="CJ1046" s="460"/>
      <c r="CK1046" s="460"/>
    </row>
    <row r="1047" spans="1:89" s="329" customFormat="1" ht="36" customHeight="1" x14ac:dyDescent="0.25">
      <c r="A1047" s="329">
        <v>1</v>
      </c>
      <c r="B1047" s="39">
        <f>SUBTOTAL(103,$A$1000:A1047)</f>
        <v>48</v>
      </c>
      <c r="C1047" s="33" t="s">
        <v>1746</v>
      </c>
      <c r="D1047" s="330">
        <v>1969</v>
      </c>
      <c r="E1047" s="330"/>
      <c r="F1047" s="331" t="s">
        <v>48</v>
      </c>
      <c r="G1047" s="330">
        <v>5</v>
      </c>
      <c r="H1047" s="330" t="s">
        <v>59</v>
      </c>
      <c r="I1047" s="334">
        <v>3567.4</v>
      </c>
      <c r="J1047" s="334">
        <v>3567.4</v>
      </c>
      <c r="K1047" s="334">
        <v>3567.4</v>
      </c>
      <c r="L1047" s="332">
        <v>111</v>
      </c>
      <c r="M1047" s="330" t="s">
        <v>46</v>
      </c>
      <c r="N1047" s="330" t="s">
        <v>50</v>
      </c>
      <c r="O1047" s="333" t="s">
        <v>2183</v>
      </c>
      <c r="P1047" s="38">
        <v>5164136.5</v>
      </c>
      <c r="Q1047" s="38">
        <v>0</v>
      </c>
      <c r="R1047" s="38">
        <v>0</v>
      </c>
      <c r="S1047" s="38">
        <f t="shared" si="223"/>
        <v>5164136.5</v>
      </c>
      <c r="T1047" s="38">
        <f t="shared" si="229"/>
        <v>1447.5911027639177</v>
      </c>
      <c r="U1047" s="38">
        <v>2165.4634916185455</v>
      </c>
      <c r="V1047" s="458">
        <f t="shared" si="228"/>
        <v>717.87238885462784</v>
      </c>
      <c r="W1047" s="458">
        <f t="shared" si="224"/>
        <v>2845.0576857094798</v>
      </c>
      <c r="X1047" s="458">
        <v>0</v>
      </c>
      <c r="Y1047" s="459">
        <v>0</v>
      </c>
      <c r="Z1047" s="459">
        <v>0</v>
      </c>
      <c r="AA1047" s="459">
        <v>0</v>
      </c>
      <c r="AB1047" s="459">
        <v>0</v>
      </c>
      <c r="AC1047" s="459">
        <v>0</v>
      </c>
      <c r="AD1047" s="459">
        <v>0</v>
      </c>
      <c r="AE1047" s="459">
        <v>1626.8</v>
      </c>
      <c r="AF1047" s="458">
        <f t="shared" si="227"/>
        <v>2845.0576857094798</v>
      </c>
      <c r="AG1047" s="459">
        <v>0</v>
      </c>
      <c r="AH1047" s="458">
        <v>0</v>
      </c>
      <c r="AI1047" s="459">
        <v>0</v>
      </c>
      <c r="AJ1047" s="458">
        <v>0</v>
      </c>
      <c r="AK1047" s="459">
        <v>0</v>
      </c>
      <c r="AL1047" s="459">
        <v>0</v>
      </c>
      <c r="AM1047" s="459">
        <v>0</v>
      </c>
      <c r="AN1047" s="459"/>
      <c r="AO1047" s="459">
        <v>0</v>
      </c>
      <c r="AP1047" s="460"/>
      <c r="AQ1047" s="460"/>
      <c r="AR1047" s="460"/>
      <c r="AS1047" s="460"/>
      <c r="AT1047" s="460"/>
      <c r="AU1047" s="460"/>
      <c r="AV1047" s="460"/>
      <c r="AW1047" s="460"/>
      <c r="AX1047" s="460"/>
      <c r="AY1047" s="460"/>
      <c r="AZ1047" s="460"/>
      <c r="BA1047" s="460"/>
      <c r="BB1047" s="460"/>
      <c r="BC1047" s="460"/>
      <c r="BD1047" s="460"/>
      <c r="BE1047" s="460"/>
      <c r="BF1047" s="460"/>
      <c r="BG1047" s="460"/>
      <c r="BH1047" s="460"/>
      <c r="BI1047" s="460"/>
      <c r="BJ1047" s="460"/>
      <c r="BK1047" s="460"/>
      <c r="BL1047" s="460"/>
      <c r="BM1047" s="460"/>
      <c r="BN1047" s="460"/>
      <c r="BO1047" s="460"/>
      <c r="BP1047" s="460"/>
      <c r="BQ1047" s="460"/>
      <c r="BR1047" s="460"/>
      <c r="BS1047" s="460"/>
      <c r="BT1047" s="460"/>
      <c r="BU1047" s="460"/>
      <c r="BV1047" s="460"/>
      <c r="BW1047" s="460"/>
      <c r="BX1047" s="460"/>
      <c r="BY1047" s="460"/>
      <c r="BZ1047" s="460"/>
      <c r="CA1047" s="460"/>
      <c r="CB1047" s="460"/>
      <c r="CC1047" s="460"/>
      <c r="CD1047" s="460"/>
      <c r="CE1047" s="460"/>
      <c r="CF1047" s="460"/>
      <c r="CG1047" s="460"/>
      <c r="CH1047" s="460"/>
      <c r="CI1047" s="460"/>
      <c r="CJ1047" s="460"/>
      <c r="CK1047" s="460"/>
    </row>
    <row r="1048" spans="1:89" s="329" customFormat="1" ht="36" customHeight="1" x14ac:dyDescent="0.25">
      <c r="A1048" s="329">
        <v>1</v>
      </c>
      <c r="B1048" s="39">
        <f>SUBTOTAL(103,$A$1000:A1048)</f>
        <v>49</v>
      </c>
      <c r="C1048" s="33" t="s">
        <v>1747</v>
      </c>
      <c r="D1048" s="330">
        <v>1967</v>
      </c>
      <c r="E1048" s="330"/>
      <c r="F1048" s="331" t="s">
        <v>63</v>
      </c>
      <c r="G1048" s="330">
        <v>5</v>
      </c>
      <c r="H1048" s="330" t="s">
        <v>75</v>
      </c>
      <c r="I1048" s="334">
        <v>4882.7</v>
      </c>
      <c r="J1048" s="334">
        <v>4509.3</v>
      </c>
      <c r="K1048" s="334">
        <v>4452.8</v>
      </c>
      <c r="L1048" s="332">
        <v>231</v>
      </c>
      <c r="M1048" s="330" t="s">
        <v>46</v>
      </c>
      <c r="N1048" s="330" t="s">
        <v>50</v>
      </c>
      <c r="O1048" s="333" t="s">
        <v>394</v>
      </c>
      <c r="P1048" s="38">
        <v>4900259.8</v>
      </c>
      <c r="Q1048" s="38">
        <v>0</v>
      </c>
      <c r="R1048" s="38">
        <v>0</v>
      </c>
      <c r="S1048" s="38">
        <f t="shared" si="223"/>
        <v>4900259.8</v>
      </c>
      <c r="T1048" s="38">
        <f t="shared" si="229"/>
        <v>1003.5963298994409</v>
      </c>
      <c r="U1048" s="38">
        <v>1538.5397423556637</v>
      </c>
      <c r="V1048" s="458">
        <f t="shared" si="228"/>
        <v>534.94341245622286</v>
      </c>
      <c r="W1048" s="458">
        <f t="shared" si="224"/>
        <v>1031.1636510742007</v>
      </c>
      <c r="X1048" s="458">
        <v>0</v>
      </c>
      <c r="Y1048" s="459">
        <v>0</v>
      </c>
      <c r="Z1048" s="459">
        <v>0</v>
      </c>
      <c r="AA1048" s="459">
        <v>0</v>
      </c>
      <c r="AB1048" s="459">
        <v>0</v>
      </c>
      <c r="AC1048" s="459">
        <v>0</v>
      </c>
      <c r="AD1048" s="459">
        <v>0</v>
      </c>
      <c r="AE1048" s="459">
        <v>807.01</v>
      </c>
      <c r="AF1048" s="458">
        <f t="shared" si="227"/>
        <v>1031.1636510742007</v>
      </c>
      <c r="AG1048" s="459">
        <v>0</v>
      </c>
      <c r="AH1048" s="458">
        <v>0</v>
      </c>
      <c r="AI1048" s="459">
        <v>0</v>
      </c>
      <c r="AJ1048" s="458">
        <v>0</v>
      </c>
      <c r="AK1048" s="459">
        <v>0</v>
      </c>
      <c r="AL1048" s="459">
        <v>0</v>
      </c>
      <c r="AM1048" s="459">
        <v>0</v>
      </c>
      <c r="AN1048" s="459"/>
      <c r="AO1048" s="459">
        <v>0</v>
      </c>
      <c r="AP1048" s="460"/>
      <c r="AQ1048" s="460"/>
      <c r="AR1048" s="460"/>
      <c r="AS1048" s="460"/>
      <c r="AT1048" s="460"/>
      <c r="AU1048" s="460"/>
      <c r="AV1048" s="460"/>
      <c r="AW1048" s="460"/>
      <c r="AX1048" s="460"/>
      <c r="AY1048" s="460"/>
      <c r="AZ1048" s="460"/>
      <c r="BA1048" s="460"/>
      <c r="BB1048" s="460"/>
      <c r="BC1048" s="460"/>
      <c r="BD1048" s="460"/>
      <c r="BE1048" s="460"/>
      <c r="BF1048" s="460"/>
      <c r="BG1048" s="460"/>
      <c r="BH1048" s="460"/>
      <c r="BI1048" s="460"/>
      <c r="BJ1048" s="460"/>
      <c r="BK1048" s="460"/>
      <c r="BL1048" s="460"/>
      <c r="BM1048" s="460"/>
      <c r="BN1048" s="460"/>
      <c r="BO1048" s="460"/>
      <c r="BP1048" s="460"/>
      <c r="BQ1048" s="460"/>
      <c r="BR1048" s="460"/>
      <c r="BS1048" s="460"/>
      <c r="BT1048" s="460"/>
      <c r="BU1048" s="460"/>
      <c r="BV1048" s="460"/>
      <c r="BW1048" s="460"/>
      <c r="BX1048" s="460"/>
      <c r="BY1048" s="460"/>
      <c r="BZ1048" s="460"/>
      <c r="CA1048" s="460"/>
      <c r="CB1048" s="460"/>
      <c r="CC1048" s="460"/>
      <c r="CD1048" s="460"/>
      <c r="CE1048" s="460"/>
      <c r="CF1048" s="460"/>
      <c r="CG1048" s="460"/>
      <c r="CH1048" s="460"/>
      <c r="CI1048" s="460"/>
      <c r="CJ1048" s="460"/>
      <c r="CK1048" s="460"/>
    </row>
    <row r="1049" spans="1:89" s="329" customFormat="1" ht="36" customHeight="1" x14ac:dyDescent="0.25">
      <c r="A1049" s="329">
        <v>1</v>
      </c>
      <c r="B1049" s="39">
        <f>SUBTOTAL(103,$A$1000:A1049)</f>
        <v>50</v>
      </c>
      <c r="C1049" s="33" t="s">
        <v>1748</v>
      </c>
      <c r="D1049" s="330" t="s">
        <v>2175</v>
      </c>
      <c r="E1049" s="330"/>
      <c r="F1049" s="331" t="s">
        <v>60</v>
      </c>
      <c r="G1049" s="330" t="s">
        <v>1965</v>
      </c>
      <c r="H1049" s="330" t="s">
        <v>56</v>
      </c>
      <c r="I1049" s="334">
        <v>4990.2</v>
      </c>
      <c r="J1049" s="334">
        <v>3973.4</v>
      </c>
      <c r="K1049" s="334">
        <v>3799.4</v>
      </c>
      <c r="L1049" s="332">
        <v>190</v>
      </c>
      <c r="M1049" s="330" t="s">
        <v>46</v>
      </c>
      <c r="N1049" s="330" t="s">
        <v>50</v>
      </c>
      <c r="O1049" s="333" t="s">
        <v>1957</v>
      </c>
      <c r="P1049" s="38">
        <v>3229425.65</v>
      </c>
      <c r="Q1049" s="38">
        <v>0</v>
      </c>
      <c r="R1049" s="38">
        <v>0</v>
      </c>
      <c r="S1049" s="38">
        <f t="shared" si="223"/>
        <v>3229425.65</v>
      </c>
      <c r="T1049" s="38">
        <f t="shared" si="229"/>
        <v>647.15355095988139</v>
      </c>
      <c r="U1049" s="38">
        <v>815.42292894072375</v>
      </c>
      <c r="V1049" s="458">
        <f t="shared" si="228"/>
        <v>168.26937798084236</v>
      </c>
      <c r="W1049" s="458">
        <f t="shared" si="224"/>
        <v>1218.9766442226764</v>
      </c>
      <c r="X1049" s="458">
        <v>0</v>
      </c>
      <c r="Y1049" s="459">
        <v>0</v>
      </c>
      <c r="Z1049" s="459">
        <v>0</v>
      </c>
      <c r="AA1049" s="459">
        <v>0</v>
      </c>
      <c r="AB1049" s="459">
        <v>0</v>
      </c>
      <c r="AC1049" s="459">
        <v>0</v>
      </c>
      <c r="AD1049" s="459">
        <v>0</v>
      </c>
      <c r="AE1049" s="459">
        <v>975</v>
      </c>
      <c r="AF1049" s="458">
        <f t="shared" si="227"/>
        <v>1218.9766442226764</v>
      </c>
      <c r="AG1049" s="459">
        <v>0</v>
      </c>
      <c r="AH1049" s="458">
        <v>0</v>
      </c>
      <c r="AI1049" s="459">
        <v>0</v>
      </c>
      <c r="AJ1049" s="458">
        <v>0</v>
      </c>
      <c r="AK1049" s="459">
        <v>0</v>
      </c>
      <c r="AL1049" s="459">
        <v>0</v>
      </c>
      <c r="AM1049" s="459">
        <v>0</v>
      </c>
      <c r="AN1049" s="459"/>
      <c r="AO1049" s="459">
        <v>0</v>
      </c>
      <c r="AP1049" s="460"/>
      <c r="AQ1049" s="460"/>
      <c r="AR1049" s="460"/>
      <c r="AS1049" s="460"/>
      <c r="AT1049" s="460"/>
      <c r="AU1049" s="460"/>
      <c r="AV1049" s="460"/>
      <c r="AW1049" s="460"/>
      <c r="AX1049" s="460"/>
      <c r="AY1049" s="460"/>
      <c r="AZ1049" s="460"/>
      <c r="BA1049" s="460"/>
      <c r="BB1049" s="460"/>
      <c r="BC1049" s="460"/>
      <c r="BD1049" s="460"/>
      <c r="BE1049" s="460"/>
      <c r="BF1049" s="460"/>
      <c r="BG1049" s="460"/>
      <c r="BH1049" s="460"/>
      <c r="BI1049" s="460"/>
      <c r="BJ1049" s="460"/>
      <c r="BK1049" s="460"/>
      <c r="BL1049" s="460"/>
      <c r="BM1049" s="460"/>
      <c r="BN1049" s="460"/>
      <c r="BO1049" s="460"/>
      <c r="BP1049" s="460"/>
      <c r="BQ1049" s="460"/>
      <c r="BR1049" s="460"/>
      <c r="BS1049" s="460"/>
      <c r="BT1049" s="460"/>
      <c r="BU1049" s="460"/>
      <c r="BV1049" s="460"/>
      <c r="BW1049" s="460"/>
      <c r="BX1049" s="460"/>
      <c r="BY1049" s="460"/>
      <c r="BZ1049" s="460"/>
      <c r="CA1049" s="460"/>
      <c r="CB1049" s="460"/>
      <c r="CC1049" s="460"/>
      <c r="CD1049" s="460"/>
      <c r="CE1049" s="460"/>
      <c r="CF1049" s="460"/>
      <c r="CG1049" s="460"/>
      <c r="CH1049" s="460"/>
      <c r="CI1049" s="460"/>
      <c r="CJ1049" s="460"/>
      <c r="CK1049" s="460"/>
    </row>
    <row r="1050" spans="1:89" s="329" customFormat="1" ht="36" customHeight="1" x14ac:dyDescent="0.25">
      <c r="A1050" s="329">
        <v>1</v>
      </c>
      <c r="B1050" s="39">
        <f>SUBTOTAL(103,$A$1000:A1050)</f>
        <v>51</v>
      </c>
      <c r="C1050" s="33" t="s">
        <v>1749</v>
      </c>
      <c r="D1050" s="330" t="s">
        <v>2184</v>
      </c>
      <c r="E1050" s="330"/>
      <c r="F1050" s="331" t="s">
        <v>48</v>
      </c>
      <c r="G1050" s="330">
        <v>5</v>
      </c>
      <c r="H1050" s="330" t="s">
        <v>59</v>
      </c>
      <c r="I1050" s="334">
        <v>3436</v>
      </c>
      <c r="J1050" s="334">
        <v>3129.7</v>
      </c>
      <c r="K1050" s="334">
        <v>2775.3</v>
      </c>
      <c r="L1050" s="332">
        <v>145</v>
      </c>
      <c r="M1050" s="330" t="s">
        <v>46</v>
      </c>
      <c r="N1050" s="330" t="s">
        <v>50</v>
      </c>
      <c r="O1050" s="333" t="s">
        <v>1957</v>
      </c>
      <c r="P1050" s="38">
        <v>4517275.3499999996</v>
      </c>
      <c r="Q1050" s="38">
        <v>0</v>
      </c>
      <c r="R1050" s="38">
        <v>0</v>
      </c>
      <c r="S1050" s="38">
        <f t="shared" si="223"/>
        <v>4517275.3499999996</v>
      </c>
      <c r="T1050" s="38">
        <f t="shared" si="229"/>
        <v>1314.6901484284051</v>
      </c>
      <c r="U1050" s="38">
        <v>1785.5023864959253</v>
      </c>
      <c r="V1050" s="458">
        <f t="shared" si="228"/>
        <v>470.81223806752018</v>
      </c>
      <c r="W1050" s="458">
        <f t="shared" si="224"/>
        <v>1400.3956162689171</v>
      </c>
      <c r="X1050" s="458">
        <v>0</v>
      </c>
      <c r="Y1050" s="459">
        <v>0</v>
      </c>
      <c r="Z1050" s="459">
        <v>0</v>
      </c>
      <c r="AA1050" s="459">
        <v>0</v>
      </c>
      <c r="AB1050" s="459">
        <v>0</v>
      </c>
      <c r="AC1050" s="459">
        <v>0</v>
      </c>
      <c r="AD1050" s="459">
        <v>0</v>
      </c>
      <c r="AE1050" s="459">
        <v>771.25</v>
      </c>
      <c r="AF1050" s="458">
        <f t="shared" si="227"/>
        <v>1400.3956162689171</v>
      </c>
      <c r="AG1050" s="459">
        <v>0</v>
      </c>
      <c r="AH1050" s="458">
        <v>0</v>
      </c>
      <c r="AI1050" s="459">
        <v>0</v>
      </c>
      <c r="AJ1050" s="458">
        <v>0</v>
      </c>
      <c r="AK1050" s="459">
        <v>0</v>
      </c>
      <c r="AL1050" s="459">
        <v>0</v>
      </c>
      <c r="AM1050" s="459">
        <v>0</v>
      </c>
      <c r="AN1050" s="459"/>
      <c r="AO1050" s="459">
        <v>0</v>
      </c>
      <c r="AP1050" s="460"/>
      <c r="AQ1050" s="460"/>
      <c r="AR1050" s="460"/>
      <c r="AS1050" s="460"/>
      <c r="AT1050" s="460"/>
      <c r="AU1050" s="460"/>
      <c r="AV1050" s="460"/>
      <c r="AW1050" s="460"/>
      <c r="AX1050" s="460"/>
      <c r="AY1050" s="460"/>
      <c r="AZ1050" s="460"/>
      <c r="BA1050" s="460"/>
      <c r="BB1050" s="460"/>
      <c r="BC1050" s="460"/>
      <c r="BD1050" s="460"/>
      <c r="BE1050" s="460"/>
      <c r="BF1050" s="460"/>
      <c r="BG1050" s="460"/>
      <c r="BH1050" s="460"/>
      <c r="BI1050" s="460"/>
      <c r="BJ1050" s="460"/>
      <c r="BK1050" s="460"/>
      <c r="BL1050" s="460"/>
      <c r="BM1050" s="460"/>
      <c r="BN1050" s="460"/>
      <c r="BO1050" s="460"/>
      <c r="BP1050" s="460"/>
      <c r="BQ1050" s="460"/>
      <c r="BR1050" s="460"/>
      <c r="BS1050" s="460"/>
      <c r="BT1050" s="460"/>
      <c r="BU1050" s="460"/>
      <c r="BV1050" s="460"/>
      <c r="BW1050" s="460"/>
      <c r="BX1050" s="460"/>
      <c r="BY1050" s="460"/>
      <c r="BZ1050" s="460"/>
      <c r="CA1050" s="460"/>
      <c r="CB1050" s="460"/>
      <c r="CC1050" s="460"/>
      <c r="CD1050" s="460"/>
      <c r="CE1050" s="460"/>
      <c r="CF1050" s="460"/>
      <c r="CG1050" s="460"/>
      <c r="CH1050" s="460"/>
      <c r="CI1050" s="460"/>
      <c r="CJ1050" s="460"/>
      <c r="CK1050" s="460"/>
    </row>
    <row r="1051" spans="1:89" s="329" customFormat="1" ht="36" customHeight="1" x14ac:dyDescent="0.25">
      <c r="A1051" s="329">
        <v>1</v>
      </c>
      <c r="B1051" s="39">
        <f>SUBTOTAL(103,$A$1000:A1051)</f>
        <v>52</v>
      </c>
      <c r="C1051" s="33" t="s">
        <v>1750</v>
      </c>
      <c r="D1051" s="330" t="s">
        <v>74</v>
      </c>
      <c r="E1051" s="330"/>
      <c r="F1051" s="331" t="s">
        <v>48</v>
      </c>
      <c r="G1051" s="330" t="s">
        <v>75</v>
      </c>
      <c r="H1051" s="330" t="s">
        <v>59</v>
      </c>
      <c r="I1051" s="334">
        <v>3486.3</v>
      </c>
      <c r="J1051" s="334">
        <v>3486.3</v>
      </c>
      <c r="K1051" s="334">
        <v>2123</v>
      </c>
      <c r="L1051" s="332">
        <v>136</v>
      </c>
      <c r="M1051" s="330" t="s">
        <v>46</v>
      </c>
      <c r="N1051" s="330" t="s">
        <v>50</v>
      </c>
      <c r="O1051" s="333" t="s">
        <v>1956</v>
      </c>
      <c r="P1051" s="38">
        <v>4625631.57</v>
      </c>
      <c r="Q1051" s="38">
        <v>0</v>
      </c>
      <c r="R1051" s="38">
        <v>0</v>
      </c>
      <c r="S1051" s="38">
        <f t="shared" si="223"/>
        <v>4625631.57</v>
      </c>
      <c r="T1051" s="38">
        <f t="shared" si="229"/>
        <v>1326.8025040874279</v>
      </c>
      <c r="U1051" s="38">
        <v>1687.9151536012389</v>
      </c>
      <c r="V1051" s="458">
        <f t="shared" si="228"/>
        <v>361.11264951381099</v>
      </c>
      <c r="W1051" s="458">
        <f t="shared" si="224"/>
        <v>1724.679319765941</v>
      </c>
      <c r="X1051" s="458">
        <v>0</v>
      </c>
      <c r="Y1051" s="459">
        <v>0</v>
      </c>
      <c r="Z1051" s="459">
        <v>0</v>
      </c>
      <c r="AA1051" s="459">
        <v>0</v>
      </c>
      <c r="AB1051" s="459">
        <v>0</v>
      </c>
      <c r="AC1051" s="459">
        <v>0</v>
      </c>
      <c r="AD1051" s="459">
        <v>0</v>
      </c>
      <c r="AE1051" s="459">
        <v>963.75</v>
      </c>
      <c r="AF1051" s="458">
        <f t="shared" si="227"/>
        <v>1724.679319765941</v>
      </c>
      <c r="AG1051" s="459">
        <v>0</v>
      </c>
      <c r="AH1051" s="458">
        <v>0</v>
      </c>
      <c r="AI1051" s="459">
        <v>0</v>
      </c>
      <c r="AJ1051" s="458">
        <v>0</v>
      </c>
      <c r="AK1051" s="459">
        <v>0</v>
      </c>
      <c r="AL1051" s="459">
        <v>0</v>
      </c>
      <c r="AM1051" s="459">
        <v>0</v>
      </c>
      <c r="AN1051" s="459"/>
      <c r="AO1051" s="459">
        <v>0</v>
      </c>
      <c r="AP1051" s="460"/>
      <c r="AQ1051" s="460"/>
      <c r="AR1051" s="460"/>
      <c r="AS1051" s="460"/>
      <c r="AT1051" s="460"/>
      <c r="AU1051" s="460"/>
      <c r="AV1051" s="460"/>
      <c r="AW1051" s="460"/>
      <c r="AX1051" s="460"/>
      <c r="AY1051" s="460"/>
      <c r="AZ1051" s="460"/>
      <c r="BA1051" s="460"/>
      <c r="BB1051" s="460"/>
      <c r="BC1051" s="460"/>
      <c r="BD1051" s="460"/>
      <c r="BE1051" s="460"/>
      <c r="BF1051" s="460"/>
      <c r="BG1051" s="460"/>
      <c r="BH1051" s="460"/>
      <c r="BI1051" s="460"/>
      <c r="BJ1051" s="460"/>
      <c r="BK1051" s="460"/>
      <c r="BL1051" s="460"/>
      <c r="BM1051" s="460"/>
      <c r="BN1051" s="460"/>
      <c r="BO1051" s="460"/>
      <c r="BP1051" s="460"/>
      <c r="BQ1051" s="460"/>
      <c r="BR1051" s="460"/>
      <c r="BS1051" s="460"/>
      <c r="BT1051" s="460"/>
      <c r="BU1051" s="460"/>
      <c r="BV1051" s="460"/>
      <c r="BW1051" s="460"/>
      <c r="BX1051" s="460"/>
      <c r="BY1051" s="460"/>
      <c r="BZ1051" s="460"/>
      <c r="CA1051" s="460"/>
      <c r="CB1051" s="460"/>
      <c r="CC1051" s="460"/>
      <c r="CD1051" s="460"/>
      <c r="CE1051" s="460"/>
      <c r="CF1051" s="460"/>
      <c r="CG1051" s="460"/>
      <c r="CH1051" s="460"/>
      <c r="CI1051" s="460"/>
      <c r="CJ1051" s="460"/>
      <c r="CK1051" s="460"/>
    </row>
    <row r="1052" spans="1:89" s="329" customFormat="1" ht="36" customHeight="1" x14ac:dyDescent="0.25">
      <c r="A1052" s="329">
        <v>1</v>
      </c>
      <c r="B1052" s="39">
        <f>SUBTOTAL(103,$A$1000:A1052)</f>
        <v>53</v>
      </c>
      <c r="C1052" s="33" t="s">
        <v>1751</v>
      </c>
      <c r="D1052" s="330" t="s">
        <v>2110</v>
      </c>
      <c r="E1052" s="330"/>
      <c r="F1052" s="331" t="s">
        <v>60</v>
      </c>
      <c r="G1052" s="330" t="s">
        <v>75</v>
      </c>
      <c r="H1052" s="330" t="s">
        <v>75</v>
      </c>
      <c r="I1052" s="334">
        <v>3875.8</v>
      </c>
      <c r="J1052" s="334">
        <v>3540</v>
      </c>
      <c r="K1052" s="334">
        <v>2482.6999999999998</v>
      </c>
      <c r="L1052" s="332">
        <v>168</v>
      </c>
      <c r="M1052" s="330" t="s">
        <v>46</v>
      </c>
      <c r="N1052" s="330" t="s">
        <v>50</v>
      </c>
      <c r="O1052" s="333" t="s">
        <v>1956</v>
      </c>
      <c r="P1052" s="38">
        <v>4642018.24</v>
      </c>
      <c r="Q1052" s="38">
        <v>0</v>
      </c>
      <c r="R1052" s="38">
        <v>0</v>
      </c>
      <c r="S1052" s="38">
        <f t="shared" si="223"/>
        <v>4642018.24</v>
      </c>
      <c r="T1052" s="38">
        <f t="shared" si="229"/>
        <v>1197.6929253315445</v>
      </c>
      <c r="U1052" s="38">
        <v>1582.8954538417872</v>
      </c>
      <c r="V1052" s="458">
        <f t="shared" si="228"/>
        <v>385.2025285102427</v>
      </c>
      <c r="W1052" s="458">
        <f t="shared" si="224"/>
        <v>634.14004850611479</v>
      </c>
      <c r="X1052" s="458">
        <v>0</v>
      </c>
      <c r="Y1052" s="459">
        <v>0</v>
      </c>
      <c r="Z1052" s="459">
        <v>0</v>
      </c>
      <c r="AA1052" s="459">
        <v>0</v>
      </c>
      <c r="AB1052" s="459">
        <v>0</v>
      </c>
      <c r="AC1052" s="459">
        <v>1</v>
      </c>
      <c r="AD1052" s="458">
        <f>2457800*AC1052/I1052</f>
        <v>634.14004850611479</v>
      </c>
      <c r="AE1052" s="459">
        <v>0</v>
      </c>
      <c r="AF1052" s="458">
        <v>0</v>
      </c>
      <c r="AG1052" s="459">
        <v>0</v>
      </c>
      <c r="AH1052" s="458">
        <v>0</v>
      </c>
      <c r="AI1052" s="459">
        <v>0</v>
      </c>
      <c r="AJ1052" s="458">
        <v>0</v>
      </c>
      <c r="AK1052" s="459">
        <v>0</v>
      </c>
      <c r="AL1052" s="459">
        <v>0</v>
      </c>
      <c r="AM1052" s="459">
        <v>0</v>
      </c>
      <c r="AN1052" s="459"/>
      <c r="AO1052" s="459">
        <v>0</v>
      </c>
      <c r="AP1052" s="460"/>
      <c r="AQ1052" s="460"/>
      <c r="AR1052" s="460"/>
      <c r="AS1052" s="460"/>
      <c r="AT1052" s="460"/>
      <c r="AU1052" s="460"/>
      <c r="AV1052" s="460"/>
      <c r="AW1052" s="460"/>
      <c r="AX1052" s="460"/>
      <c r="AY1052" s="460"/>
      <c r="AZ1052" s="460"/>
      <c r="BA1052" s="460"/>
      <c r="BB1052" s="460"/>
      <c r="BC1052" s="460"/>
      <c r="BD1052" s="460"/>
      <c r="BE1052" s="460"/>
      <c r="BF1052" s="460"/>
      <c r="BG1052" s="460"/>
      <c r="BH1052" s="460"/>
      <c r="BI1052" s="460"/>
      <c r="BJ1052" s="460"/>
      <c r="BK1052" s="460"/>
      <c r="BL1052" s="460"/>
      <c r="BM1052" s="460"/>
      <c r="BN1052" s="460"/>
      <c r="BO1052" s="460"/>
      <c r="BP1052" s="460"/>
      <c r="BQ1052" s="460"/>
      <c r="BR1052" s="460"/>
      <c r="BS1052" s="460"/>
      <c r="BT1052" s="460"/>
      <c r="BU1052" s="460"/>
      <c r="BV1052" s="460"/>
      <c r="BW1052" s="460"/>
      <c r="BX1052" s="460"/>
      <c r="BY1052" s="460"/>
      <c r="BZ1052" s="460"/>
      <c r="CA1052" s="460"/>
      <c r="CB1052" s="460"/>
      <c r="CC1052" s="460"/>
      <c r="CD1052" s="460"/>
      <c r="CE1052" s="460"/>
      <c r="CF1052" s="460"/>
      <c r="CG1052" s="460"/>
      <c r="CH1052" s="460"/>
      <c r="CI1052" s="460"/>
      <c r="CJ1052" s="460"/>
      <c r="CK1052" s="460"/>
    </row>
    <row r="1053" spans="1:89" s="329" customFormat="1" ht="36" customHeight="1" x14ac:dyDescent="0.25">
      <c r="A1053" s="329">
        <v>1</v>
      </c>
      <c r="B1053" s="39">
        <f>SUBTOTAL(103,$A$1000:A1053)</f>
        <v>54</v>
      </c>
      <c r="C1053" s="33" t="s">
        <v>1752</v>
      </c>
      <c r="D1053" s="330" t="s">
        <v>2133</v>
      </c>
      <c r="E1053" s="330"/>
      <c r="F1053" s="331" t="s">
        <v>48</v>
      </c>
      <c r="G1053" s="330" t="s">
        <v>75</v>
      </c>
      <c r="H1053" s="330" t="s">
        <v>61</v>
      </c>
      <c r="I1053" s="334">
        <v>2747.2</v>
      </c>
      <c r="J1053" s="334">
        <v>2475.6</v>
      </c>
      <c r="K1053" s="334">
        <v>2231</v>
      </c>
      <c r="L1053" s="332">
        <v>146</v>
      </c>
      <c r="M1053" s="330" t="s">
        <v>46</v>
      </c>
      <c r="N1053" s="330" t="s">
        <v>50</v>
      </c>
      <c r="O1053" s="333" t="s">
        <v>1966</v>
      </c>
      <c r="P1053" s="38">
        <v>4412836.3</v>
      </c>
      <c r="Q1053" s="38">
        <v>0</v>
      </c>
      <c r="R1053" s="38">
        <v>0</v>
      </c>
      <c r="S1053" s="38">
        <f t="shared" si="223"/>
        <v>4412836.3</v>
      </c>
      <c r="T1053" s="38">
        <f t="shared" si="229"/>
        <v>1606.3032542224812</v>
      </c>
      <c r="U1053" s="38">
        <v>2044.7249879877695</v>
      </c>
      <c r="V1053" s="458">
        <f t="shared" si="228"/>
        <v>438.42173376528831</v>
      </c>
      <c r="W1053" s="458">
        <f t="shared" si="224"/>
        <v>2683.9691322073386</v>
      </c>
      <c r="X1053" s="458">
        <v>0</v>
      </c>
      <c r="Y1053" s="459">
        <v>0</v>
      </c>
      <c r="Z1053" s="459">
        <v>0</v>
      </c>
      <c r="AA1053" s="459">
        <v>0</v>
      </c>
      <c r="AB1053" s="459">
        <v>0</v>
      </c>
      <c r="AC1053" s="459">
        <v>3</v>
      </c>
      <c r="AD1053" s="458">
        <f>2457800*AC1053/I1053</f>
        <v>2683.9691322073386</v>
      </c>
      <c r="AE1053" s="459">
        <v>0</v>
      </c>
      <c r="AF1053" s="458">
        <v>0</v>
      </c>
      <c r="AG1053" s="459">
        <v>0</v>
      </c>
      <c r="AH1053" s="458">
        <v>0</v>
      </c>
      <c r="AI1053" s="459">
        <v>0</v>
      </c>
      <c r="AJ1053" s="458">
        <v>0</v>
      </c>
      <c r="AK1053" s="459">
        <v>0</v>
      </c>
      <c r="AL1053" s="459">
        <v>0</v>
      </c>
      <c r="AM1053" s="459">
        <v>0</v>
      </c>
      <c r="AN1053" s="459"/>
      <c r="AO1053" s="459">
        <v>0</v>
      </c>
      <c r="AP1053" s="460"/>
      <c r="AQ1053" s="460"/>
      <c r="AR1053" s="460"/>
      <c r="AS1053" s="460"/>
      <c r="AT1053" s="460"/>
      <c r="AU1053" s="460"/>
      <c r="AV1053" s="460"/>
      <c r="AW1053" s="460"/>
      <c r="AX1053" s="460"/>
      <c r="AY1053" s="460"/>
      <c r="AZ1053" s="460"/>
      <c r="BA1053" s="460"/>
      <c r="BB1053" s="460"/>
      <c r="BC1053" s="460"/>
      <c r="BD1053" s="460"/>
      <c r="BE1053" s="460"/>
      <c r="BF1053" s="460"/>
      <c r="BG1053" s="460"/>
      <c r="BH1053" s="460"/>
      <c r="BI1053" s="460"/>
      <c r="BJ1053" s="460"/>
      <c r="BK1053" s="460"/>
      <c r="BL1053" s="460"/>
      <c r="BM1053" s="460"/>
      <c r="BN1053" s="460"/>
      <c r="BO1053" s="460"/>
      <c r="BP1053" s="460"/>
      <c r="BQ1053" s="460"/>
      <c r="BR1053" s="460"/>
      <c r="BS1053" s="460"/>
      <c r="BT1053" s="460"/>
      <c r="BU1053" s="460"/>
      <c r="BV1053" s="460"/>
      <c r="BW1053" s="460"/>
      <c r="BX1053" s="460"/>
      <c r="BY1053" s="460"/>
      <c r="BZ1053" s="460"/>
      <c r="CA1053" s="460"/>
      <c r="CB1053" s="460"/>
      <c r="CC1053" s="460"/>
      <c r="CD1053" s="460"/>
      <c r="CE1053" s="460"/>
      <c r="CF1053" s="460"/>
      <c r="CG1053" s="460"/>
      <c r="CH1053" s="460"/>
      <c r="CI1053" s="460"/>
      <c r="CJ1053" s="460"/>
      <c r="CK1053" s="460"/>
    </row>
    <row r="1054" spans="1:89" s="329" customFormat="1" ht="36" customHeight="1" x14ac:dyDescent="0.25">
      <c r="A1054" s="329">
        <v>1</v>
      </c>
      <c r="B1054" s="39">
        <f>SUBTOTAL(103,$A$1000:A1054)</f>
        <v>55</v>
      </c>
      <c r="C1054" s="33" t="s">
        <v>1085</v>
      </c>
      <c r="D1054" s="330">
        <v>1969</v>
      </c>
      <c r="E1054" s="330"/>
      <c r="F1054" s="331" t="s">
        <v>48</v>
      </c>
      <c r="G1054" s="330">
        <v>5</v>
      </c>
      <c r="H1054" s="330" t="s">
        <v>59</v>
      </c>
      <c r="I1054" s="334">
        <v>3463.9</v>
      </c>
      <c r="J1054" s="334">
        <v>3172.1</v>
      </c>
      <c r="K1054" s="334">
        <v>2927.7</v>
      </c>
      <c r="L1054" s="332">
        <v>132</v>
      </c>
      <c r="M1054" s="330" t="s">
        <v>46</v>
      </c>
      <c r="N1054" s="330" t="s">
        <v>50</v>
      </c>
      <c r="O1054" s="333" t="s">
        <v>1958</v>
      </c>
      <c r="P1054" s="38">
        <v>4270645.5</v>
      </c>
      <c r="Q1054" s="38">
        <v>0</v>
      </c>
      <c r="R1054" s="38">
        <v>0</v>
      </c>
      <c r="S1054" s="38">
        <f t="shared" si="223"/>
        <v>4270645.5</v>
      </c>
      <c r="T1054" s="38">
        <f t="shared" si="229"/>
        <v>1232.9009209272785</v>
      </c>
      <c r="U1054" s="38">
        <v>1969.1974433442072</v>
      </c>
      <c r="V1054" s="458">
        <f t="shared" si="228"/>
        <v>736.29652241692861</v>
      </c>
      <c r="W1054" s="458">
        <f t="shared" si="224"/>
        <v>2222.5857963567078</v>
      </c>
      <c r="X1054" s="458">
        <v>0</v>
      </c>
      <c r="Y1054" s="459">
        <v>0</v>
      </c>
      <c r="Z1054" s="459">
        <v>0</v>
      </c>
      <c r="AA1054" s="459">
        <v>0</v>
      </c>
      <c r="AB1054" s="459">
        <v>0</v>
      </c>
      <c r="AC1054" s="459">
        <v>0</v>
      </c>
      <c r="AD1054" s="459">
        <v>0</v>
      </c>
      <c r="AE1054" s="459">
        <v>1234</v>
      </c>
      <c r="AF1054" s="458">
        <f t="shared" ref="AF1054:AF1061" si="230">6238.91*AE1054/I1054</f>
        <v>2222.5857963567078</v>
      </c>
      <c r="AG1054" s="459">
        <v>0</v>
      </c>
      <c r="AH1054" s="458">
        <v>0</v>
      </c>
      <c r="AI1054" s="459">
        <v>0</v>
      </c>
      <c r="AJ1054" s="458">
        <v>0</v>
      </c>
      <c r="AK1054" s="459">
        <v>0</v>
      </c>
      <c r="AL1054" s="459">
        <v>0</v>
      </c>
      <c r="AM1054" s="459">
        <v>0</v>
      </c>
      <c r="AN1054" s="459"/>
      <c r="AO1054" s="459">
        <v>0</v>
      </c>
      <c r="AP1054" s="460"/>
      <c r="AQ1054" s="460"/>
      <c r="AR1054" s="460"/>
      <c r="AS1054" s="460"/>
      <c r="AT1054" s="460"/>
      <c r="AU1054" s="460"/>
      <c r="AV1054" s="460"/>
      <c r="AW1054" s="460"/>
      <c r="AX1054" s="460"/>
      <c r="AY1054" s="460"/>
      <c r="AZ1054" s="460"/>
      <c r="BA1054" s="460"/>
      <c r="BB1054" s="460"/>
      <c r="BC1054" s="460"/>
      <c r="BD1054" s="460"/>
      <c r="BE1054" s="460"/>
      <c r="BF1054" s="460"/>
      <c r="BG1054" s="460"/>
      <c r="BH1054" s="460"/>
      <c r="BI1054" s="460"/>
      <c r="BJ1054" s="460"/>
      <c r="BK1054" s="460"/>
      <c r="BL1054" s="460"/>
      <c r="BM1054" s="460"/>
      <c r="BN1054" s="460"/>
      <c r="BO1054" s="460"/>
      <c r="BP1054" s="460"/>
      <c r="BQ1054" s="460"/>
      <c r="BR1054" s="460"/>
      <c r="BS1054" s="460"/>
      <c r="BT1054" s="460"/>
      <c r="BU1054" s="460"/>
      <c r="BV1054" s="460"/>
      <c r="BW1054" s="460"/>
      <c r="BX1054" s="460"/>
      <c r="BY1054" s="460"/>
      <c r="BZ1054" s="460"/>
      <c r="CA1054" s="460"/>
      <c r="CB1054" s="460"/>
      <c r="CC1054" s="460"/>
      <c r="CD1054" s="460"/>
      <c r="CE1054" s="460"/>
      <c r="CF1054" s="460"/>
      <c r="CG1054" s="460"/>
      <c r="CH1054" s="460"/>
      <c r="CI1054" s="460"/>
      <c r="CJ1054" s="460"/>
      <c r="CK1054" s="460"/>
    </row>
    <row r="1055" spans="1:89" s="329" customFormat="1" ht="36" customHeight="1" x14ac:dyDescent="0.25">
      <c r="A1055" s="329">
        <v>1</v>
      </c>
      <c r="B1055" s="39">
        <f>SUBTOTAL(103,$A$1000:A1055)</f>
        <v>56</v>
      </c>
      <c r="C1055" s="33" t="s">
        <v>1753</v>
      </c>
      <c r="D1055" s="330">
        <v>1964</v>
      </c>
      <c r="E1055" s="330"/>
      <c r="F1055" s="331" t="s">
        <v>48</v>
      </c>
      <c r="G1055" s="330">
        <v>5</v>
      </c>
      <c r="H1055" s="330" t="s">
        <v>59</v>
      </c>
      <c r="I1055" s="334">
        <v>4214.7</v>
      </c>
      <c r="J1055" s="334">
        <v>3322.3</v>
      </c>
      <c r="K1055" s="334">
        <v>3136.7</v>
      </c>
      <c r="L1055" s="332">
        <v>213</v>
      </c>
      <c r="M1055" s="330" t="s">
        <v>46</v>
      </c>
      <c r="N1055" s="330" t="s">
        <v>50</v>
      </c>
      <c r="O1055" s="333" t="s">
        <v>251</v>
      </c>
      <c r="P1055" s="38">
        <v>2312500.0499999998</v>
      </c>
      <c r="Q1055" s="38">
        <v>0</v>
      </c>
      <c r="R1055" s="38">
        <v>0</v>
      </c>
      <c r="S1055" s="38">
        <f t="shared" si="223"/>
        <v>2312500.0499999998</v>
      </c>
      <c r="T1055" s="38">
        <f t="shared" si="229"/>
        <v>548.67488789237666</v>
      </c>
      <c r="U1055" s="38">
        <v>1482.6307922272049</v>
      </c>
      <c r="V1055" s="458">
        <f t="shared" si="228"/>
        <v>933.95590433482823</v>
      </c>
      <c r="W1055" s="458">
        <f t="shared" si="224"/>
        <v>1776.3285643106271</v>
      </c>
      <c r="X1055" s="458">
        <v>0</v>
      </c>
      <c r="Y1055" s="459">
        <v>0</v>
      </c>
      <c r="Z1055" s="459">
        <v>0</v>
      </c>
      <c r="AA1055" s="459">
        <v>0</v>
      </c>
      <c r="AB1055" s="459">
        <v>0</v>
      </c>
      <c r="AC1055" s="459">
        <v>0</v>
      </c>
      <c r="AD1055" s="459">
        <v>0</v>
      </c>
      <c r="AE1055" s="459">
        <v>1200</v>
      </c>
      <c r="AF1055" s="458">
        <f t="shared" si="230"/>
        <v>1776.3285643106271</v>
      </c>
      <c r="AG1055" s="459">
        <v>0</v>
      </c>
      <c r="AH1055" s="458">
        <v>0</v>
      </c>
      <c r="AI1055" s="459">
        <v>0</v>
      </c>
      <c r="AJ1055" s="458">
        <v>0</v>
      </c>
      <c r="AK1055" s="459">
        <v>0</v>
      </c>
      <c r="AL1055" s="459">
        <v>0</v>
      </c>
      <c r="AM1055" s="459">
        <v>0</v>
      </c>
      <c r="AN1055" s="459"/>
      <c r="AO1055" s="459">
        <v>0</v>
      </c>
      <c r="AP1055" s="460"/>
      <c r="AQ1055" s="460"/>
      <c r="AR1055" s="460"/>
      <c r="AS1055" s="460"/>
      <c r="AT1055" s="460"/>
      <c r="AU1055" s="460"/>
      <c r="AV1055" s="460"/>
      <c r="AW1055" s="460"/>
      <c r="AX1055" s="460"/>
      <c r="AY1055" s="460"/>
      <c r="AZ1055" s="460"/>
      <c r="BA1055" s="460"/>
      <c r="BB1055" s="460"/>
      <c r="BC1055" s="460"/>
      <c r="BD1055" s="460"/>
      <c r="BE1055" s="460"/>
      <c r="BF1055" s="460"/>
      <c r="BG1055" s="460"/>
      <c r="BH1055" s="460"/>
      <c r="BI1055" s="460"/>
      <c r="BJ1055" s="460"/>
      <c r="BK1055" s="460"/>
      <c r="BL1055" s="460"/>
      <c r="BM1055" s="460"/>
      <c r="BN1055" s="460"/>
      <c r="BO1055" s="460"/>
      <c r="BP1055" s="460"/>
      <c r="BQ1055" s="460"/>
      <c r="BR1055" s="460"/>
      <c r="BS1055" s="460"/>
      <c r="BT1055" s="460"/>
      <c r="BU1055" s="460"/>
      <c r="BV1055" s="460"/>
      <c r="BW1055" s="460"/>
      <c r="BX1055" s="460"/>
      <c r="BY1055" s="460"/>
      <c r="BZ1055" s="460"/>
      <c r="CA1055" s="460"/>
      <c r="CB1055" s="460"/>
      <c r="CC1055" s="460"/>
      <c r="CD1055" s="460"/>
      <c r="CE1055" s="460"/>
      <c r="CF1055" s="460"/>
      <c r="CG1055" s="460"/>
      <c r="CH1055" s="460"/>
      <c r="CI1055" s="460"/>
      <c r="CJ1055" s="460"/>
      <c r="CK1055" s="460"/>
    </row>
    <row r="1056" spans="1:89" s="329" customFormat="1" ht="36" customHeight="1" x14ac:dyDescent="0.25">
      <c r="A1056" s="329">
        <v>1</v>
      </c>
      <c r="B1056" s="39">
        <f>SUBTOTAL(103,$A$1000:A1056)</f>
        <v>57</v>
      </c>
      <c r="C1056" s="33" t="s">
        <v>235</v>
      </c>
      <c r="D1056" s="330">
        <v>1991</v>
      </c>
      <c r="E1056" s="330">
        <v>2016</v>
      </c>
      <c r="F1056" s="331" t="s">
        <v>241</v>
      </c>
      <c r="G1056" s="330">
        <v>13</v>
      </c>
      <c r="H1056" s="330" t="s">
        <v>57</v>
      </c>
      <c r="I1056" s="334">
        <v>4135.3</v>
      </c>
      <c r="J1056" s="334">
        <v>3928.6</v>
      </c>
      <c r="K1056" s="334">
        <v>3680.79</v>
      </c>
      <c r="L1056" s="332">
        <v>204</v>
      </c>
      <c r="M1056" s="330" t="s">
        <v>46</v>
      </c>
      <c r="N1056" s="330" t="s">
        <v>50</v>
      </c>
      <c r="O1056" s="333" t="s">
        <v>1968</v>
      </c>
      <c r="P1056" s="38">
        <v>4348142.72</v>
      </c>
      <c r="Q1056" s="38">
        <v>0</v>
      </c>
      <c r="R1056" s="38">
        <v>0</v>
      </c>
      <c r="S1056" s="38">
        <f t="shared" si="223"/>
        <v>4348142.72</v>
      </c>
      <c r="T1056" s="38">
        <f t="shared" si="229"/>
        <v>1051.4697168282833</v>
      </c>
      <c r="U1056" s="38">
        <v>2498.7086547529802</v>
      </c>
      <c r="V1056" s="458">
        <f t="shared" si="228"/>
        <v>1447.238937924697</v>
      </c>
      <c r="W1056" s="458">
        <f t="shared" si="224"/>
        <v>980.65231059415271</v>
      </c>
      <c r="X1056" s="458">
        <v>0</v>
      </c>
      <c r="Y1056" s="459">
        <v>0</v>
      </c>
      <c r="Z1056" s="459">
        <v>0</v>
      </c>
      <c r="AA1056" s="459">
        <v>0</v>
      </c>
      <c r="AB1056" s="459">
        <v>0</v>
      </c>
      <c r="AC1056" s="459">
        <v>0</v>
      </c>
      <c r="AD1056" s="459">
        <v>0</v>
      </c>
      <c r="AE1056" s="459">
        <v>650</v>
      </c>
      <c r="AF1056" s="458">
        <f t="shared" si="230"/>
        <v>980.65231059415271</v>
      </c>
      <c r="AG1056" s="459">
        <v>0</v>
      </c>
      <c r="AH1056" s="458">
        <v>0</v>
      </c>
      <c r="AI1056" s="459">
        <v>0</v>
      </c>
      <c r="AJ1056" s="458">
        <v>0</v>
      </c>
      <c r="AK1056" s="459">
        <v>0</v>
      </c>
      <c r="AL1056" s="459">
        <v>0</v>
      </c>
      <c r="AM1056" s="459">
        <v>0</v>
      </c>
      <c r="AN1056" s="459"/>
      <c r="AO1056" s="459">
        <v>0</v>
      </c>
      <c r="AP1056" s="460"/>
      <c r="AQ1056" s="460"/>
      <c r="AR1056" s="460"/>
      <c r="AS1056" s="460"/>
      <c r="AT1056" s="460"/>
      <c r="AU1056" s="460"/>
      <c r="AV1056" s="460"/>
      <c r="AW1056" s="460"/>
      <c r="AX1056" s="460"/>
      <c r="AY1056" s="460"/>
      <c r="AZ1056" s="460"/>
      <c r="BA1056" s="460"/>
      <c r="BB1056" s="460"/>
      <c r="BC1056" s="460"/>
      <c r="BD1056" s="460"/>
      <c r="BE1056" s="460"/>
      <c r="BF1056" s="460"/>
      <c r="BG1056" s="460"/>
      <c r="BH1056" s="460"/>
      <c r="BI1056" s="460"/>
      <c r="BJ1056" s="460"/>
      <c r="BK1056" s="460"/>
      <c r="BL1056" s="460"/>
      <c r="BM1056" s="460"/>
      <c r="BN1056" s="460"/>
      <c r="BO1056" s="460"/>
      <c r="BP1056" s="460"/>
      <c r="BQ1056" s="460"/>
      <c r="BR1056" s="460"/>
      <c r="BS1056" s="460"/>
      <c r="BT1056" s="460"/>
      <c r="BU1056" s="460"/>
      <c r="BV1056" s="460"/>
      <c r="BW1056" s="460"/>
      <c r="BX1056" s="460"/>
      <c r="BY1056" s="460"/>
      <c r="BZ1056" s="460"/>
      <c r="CA1056" s="460"/>
      <c r="CB1056" s="460"/>
      <c r="CC1056" s="460"/>
      <c r="CD1056" s="460"/>
      <c r="CE1056" s="460"/>
      <c r="CF1056" s="460"/>
      <c r="CG1056" s="460"/>
      <c r="CH1056" s="460"/>
      <c r="CI1056" s="460"/>
      <c r="CJ1056" s="460"/>
      <c r="CK1056" s="460"/>
    </row>
    <row r="1057" spans="1:89" s="329" customFormat="1" ht="36" customHeight="1" x14ac:dyDescent="0.25">
      <c r="A1057" s="329">
        <v>1</v>
      </c>
      <c r="B1057" s="39">
        <f>SUBTOTAL(103,$A$1000:A1057)</f>
        <v>58</v>
      </c>
      <c r="C1057" s="33" t="s">
        <v>1754</v>
      </c>
      <c r="D1057" s="330">
        <v>1959</v>
      </c>
      <c r="E1057" s="330"/>
      <c r="F1057" s="331" t="s">
        <v>48</v>
      </c>
      <c r="G1057" s="330" t="s">
        <v>61</v>
      </c>
      <c r="H1057" s="330" t="s">
        <v>61</v>
      </c>
      <c r="I1057" s="334">
        <v>1764.5</v>
      </c>
      <c r="J1057" s="334">
        <v>2310</v>
      </c>
      <c r="K1057" s="334">
        <v>1604.9</v>
      </c>
      <c r="L1057" s="332">
        <v>64</v>
      </c>
      <c r="M1057" s="330" t="s">
        <v>46</v>
      </c>
      <c r="N1057" s="330" t="s">
        <v>50</v>
      </c>
      <c r="O1057" s="333" t="s">
        <v>1959</v>
      </c>
      <c r="P1057" s="38">
        <v>2785299.21</v>
      </c>
      <c r="Q1057" s="38">
        <v>0</v>
      </c>
      <c r="R1057" s="38">
        <v>0</v>
      </c>
      <c r="S1057" s="38">
        <f t="shared" si="223"/>
        <v>2785299.21</v>
      </c>
      <c r="T1057" s="38">
        <f t="shared" si="229"/>
        <v>1578.5203797109662</v>
      </c>
      <c r="U1057" s="38">
        <v>6426.5054757721737</v>
      </c>
      <c r="V1057" s="458">
        <f t="shared" si="228"/>
        <v>4847.9850960612075</v>
      </c>
      <c r="W1057" s="458">
        <f t="shared" si="224"/>
        <v>3465.0789458770187</v>
      </c>
      <c r="X1057" s="458">
        <v>0</v>
      </c>
      <c r="Y1057" s="459">
        <v>0</v>
      </c>
      <c r="Z1057" s="459">
        <v>0</v>
      </c>
      <c r="AA1057" s="459">
        <v>0</v>
      </c>
      <c r="AB1057" s="459">
        <v>0</v>
      </c>
      <c r="AC1057" s="459">
        <v>0</v>
      </c>
      <c r="AD1057" s="459">
        <v>0</v>
      </c>
      <c r="AE1057" s="459">
        <v>980</v>
      </c>
      <c r="AF1057" s="458">
        <f t="shared" si="230"/>
        <v>3465.0789458770187</v>
      </c>
      <c r="AG1057" s="459">
        <v>0</v>
      </c>
      <c r="AH1057" s="458">
        <v>0</v>
      </c>
      <c r="AI1057" s="459">
        <v>0</v>
      </c>
      <c r="AJ1057" s="458">
        <v>0</v>
      </c>
      <c r="AK1057" s="459">
        <v>0</v>
      </c>
      <c r="AL1057" s="459">
        <v>0</v>
      </c>
      <c r="AM1057" s="459">
        <v>0</v>
      </c>
      <c r="AN1057" s="459"/>
      <c r="AO1057" s="459">
        <v>0</v>
      </c>
      <c r="AP1057" s="460"/>
      <c r="AQ1057" s="460"/>
      <c r="AR1057" s="460"/>
      <c r="AS1057" s="460"/>
      <c r="AT1057" s="460"/>
      <c r="AU1057" s="460"/>
      <c r="AV1057" s="460"/>
      <c r="AW1057" s="460"/>
      <c r="AX1057" s="460"/>
      <c r="AY1057" s="460"/>
      <c r="AZ1057" s="460"/>
      <c r="BA1057" s="460"/>
      <c r="BB1057" s="460"/>
      <c r="BC1057" s="460"/>
      <c r="BD1057" s="460"/>
      <c r="BE1057" s="460"/>
      <c r="BF1057" s="460"/>
      <c r="BG1057" s="460"/>
      <c r="BH1057" s="460"/>
      <c r="BI1057" s="460"/>
      <c r="BJ1057" s="460"/>
      <c r="BK1057" s="460"/>
      <c r="BL1057" s="460"/>
      <c r="BM1057" s="460"/>
      <c r="BN1057" s="460"/>
      <c r="BO1057" s="460"/>
      <c r="BP1057" s="460"/>
      <c r="BQ1057" s="460"/>
      <c r="BR1057" s="460"/>
      <c r="BS1057" s="460"/>
      <c r="BT1057" s="460"/>
      <c r="BU1057" s="460"/>
      <c r="BV1057" s="460"/>
      <c r="BW1057" s="460"/>
      <c r="BX1057" s="460"/>
      <c r="BY1057" s="460"/>
      <c r="BZ1057" s="460"/>
      <c r="CA1057" s="460"/>
      <c r="CB1057" s="460"/>
      <c r="CC1057" s="460"/>
      <c r="CD1057" s="460"/>
      <c r="CE1057" s="460"/>
      <c r="CF1057" s="460"/>
      <c r="CG1057" s="460"/>
      <c r="CH1057" s="460"/>
      <c r="CI1057" s="460"/>
      <c r="CJ1057" s="460"/>
      <c r="CK1057" s="460"/>
    </row>
    <row r="1058" spans="1:89" s="329" customFormat="1" ht="36" customHeight="1" x14ac:dyDescent="0.25">
      <c r="A1058" s="329">
        <v>1</v>
      </c>
      <c r="B1058" s="39">
        <f>SUBTOTAL(103,$A$1000:A1058)</f>
        <v>59</v>
      </c>
      <c r="C1058" s="33" t="s">
        <v>1755</v>
      </c>
      <c r="D1058" s="330" t="s">
        <v>2185</v>
      </c>
      <c r="E1058" s="330"/>
      <c r="F1058" s="331" t="s">
        <v>48</v>
      </c>
      <c r="G1058" s="330" t="s">
        <v>59</v>
      </c>
      <c r="H1058" s="330" t="s">
        <v>57</v>
      </c>
      <c r="I1058" s="334">
        <v>946</v>
      </c>
      <c r="J1058" s="334">
        <v>977.4</v>
      </c>
      <c r="K1058" s="334">
        <v>688.5</v>
      </c>
      <c r="L1058" s="332">
        <v>25</v>
      </c>
      <c r="M1058" s="330" t="s">
        <v>46</v>
      </c>
      <c r="N1058" s="330" t="s">
        <v>50</v>
      </c>
      <c r="O1058" s="333" t="s">
        <v>251</v>
      </c>
      <c r="P1058" s="38">
        <v>4057359.23</v>
      </c>
      <c r="Q1058" s="38">
        <v>0</v>
      </c>
      <c r="R1058" s="38">
        <v>0</v>
      </c>
      <c r="S1058" s="38">
        <f t="shared" si="223"/>
        <v>4057359.23</v>
      </c>
      <c r="T1058" s="38">
        <f t="shared" si="229"/>
        <v>4288.9632452431288</v>
      </c>
      <c r="U1058" s="38">
        <v>7399.6240147991557</v>
      </c>
      <c r="V1058" s="458">
        <f t="shared" si="228"/>
        <v>3110.6607695560269</v>
      </c>
      <c r="W1058" s="458">
        <f t="shared" si="224"/>
        <v>6199.3397463002111</v>
      </c>
      <c r="X1058" s="458">
        <v>0</v>
      </c>
      <c r="Y1058" s="459">
        <v>0</v>
      </c>
      <c r="Z1058" s="459">
        <v>0</v>
      </c>
      <c r="AA1058" s="459">
        <v>0</v>
      </c>
      <c r="AB1058" s="459">
        <v>0</v>
      </c>
      <c r="AC1058" s="459">
        <v>0</v>
      </c>
      <c r="AD1058" s="459">
        <v>0</v>
      </c>
      <c r="AE1058" s="459">
        <v>940</v>
      </c>
      <c r="AF1058" s="458">
        <f t="shared" si="230"/>
        <v>6199.3397463002111</v>
      </c>
      <c r="AG1058" s="459">
        <v>0</v>
      </c>
      <c r="AH1058" s="458">
        <v>0</v>
      </c>
      <c r="AI1058" s="459">
        <v>0</v>
      </c>
      <c r="AJ1058" s="458">
        <v>0</v>
      </c>
      <c r="AK1058" s="459">
        <v>0</v>
      </c>
      <c r="AL1058" s="459">
        <v>0</v>
      </c>
      <c r="AM1058" s="459">
        <v>0</v>
      </c>
      <c r="AN1058" s="459"/>
      <c r="AO1058" s="459">
        <v>0</v>
      </c>
      <c r="AP1058" s="460"/>
      <c r="AQ1058" s="460"/>
      <c r="AR1058" s="460"/>
      <c r="AS1058" s="460"/>
      <c r="AT1058" s="460"/>
      <c r="AU1058" s="460"/>
      <c r="AV1058" s="460"/>
      <c r="AW1058" s="460"/>
      <c r="AX1058" s="460"/>
      <c r="AY1058" s="460"/>
      <c r="AZ1058" s="460"/>
      <c r="BA1058" s="460"/>
      <c r="BB1058" s="460"/>
      <c r="BC1058" s="460"/>
      <c r="BD1058" s="460"/>
      <c r="BE1058" s="460"/>
      <c r="BF1058" s="460"/>
      <c r="BG1058" s="460"/>
      <c r="BH1058" s="460"/>
      <c r="BI1058" s="460"/>
      <c r="BJ1058" s="460"/>
      <c r="BK1058" s="460"/>
      <c r="BL1058" s="460"/>
      <c r="BM1058" s="460"/>
      <c r="BN1058" s="460"/>
      <c r="BO1058" s="460"/>
      <c r="BP1058" s="460"/>
      <c r="BQ1058" s="460"/>
      <c r="BR1058" s="460"/>
      <c r="BS1058" s="460"/>
      <c r="BT1058" s="460"/>
      <c r="BU1058" s="460"/>
      <c r="BV1058" s="460"/>
      <c r="BW1058" s="460"/>
      <c r="BX1058" s="460"/>
      <c r="BY1058" s="460"/>
      <c r="BZ1058" s="460"/>
      <c r="CA1058" s="460"/>
      <c r="CB1058" s="460"/>
      <c r="CC1058" s="460"/>
      <c r="CD1058" s="460"/>
      <c r="CE1058" s="460"/>
      <c r="CF1058" s="460"/>
      <c r="CG1058" s="460"/>
      <c r="CH1058" s="460"/>
      <c r="CI1058" s="460"/>
      <c r="CJ1058" s="460"/>
      <c r="CK1058" s="460"/>
    </row>
    <row r="1059" spans="1:89" s="329" customFormat="1" ht="36" customHeight="1" x14ac:dyDescent="0.25">
      <c r="A1059" s="329">
        <v>1</v>
      </c>
      <c r="B1059" s="39">
        <f>SUBTOTAL(103,$A$1000:A1059)</f>
        <v>60</v>
      </c>
      <c r="C1059" s="33" t="s">
        <v>1756</v>
      </c>
      <c r="D1059" s="330" t="s">
        <v>58</v>
      </c>
      <c r="E1059" s="330"/>
      <c r="F1059" s="331" t="s">
        <v>48</v>
      </c>
      <c r="G1059" s="330" t="s">
        <v>75</v>
      </c>
      <c r="H1059" s="330" t="s">
        <v>56</v>
      </c>
      <c r="I1059" s="334">
        <v>2023.4</v>
      </c>
      <c r="J1059" s="334">
        <v>1578.1</v>
      </c>
      <c r="K1059" s="334">
        <v>1536.2</v>
      </c>
      <c r="L1059" s="332">
        <v>72</v>
      </c>
      <c r="M1059" s="330" t="s">
        <v>46</v>
      </c>
      <c r="N1059" s="330" t="s">
        <v>50</v>
      </c>
      <c r="O1059" s="333" t="s">
        <v>251</v>
      </c>
      <c r="P1059" s="38">
        <v>4448638.5999999996</v>
      </c>
      <c r="Q1059" s="38">
        <v>0</v>
      </c>
      <c r="R1059" s="38">
        <v>0</v>
      </c>
      <c r="S1059" s="38">
        <f t="shared" si="223"/>
        <v>4448638.5999999996</v>
      </c>
      <c r="T1059" s="38">
        <f t="shared" si="229"/>
        <v>2198.5957299594738</v>
      </c>
      <c r="U1059" s="38">
        <v>3850.2508031036868</v>
      </c>
      <c r="V1059" s="458">
        <f t="shared" si="228"/>
        <v>1651.655073144213</v>
      </c>
      <c r="W1059" s="458">
        <f t="shared" si="224"/>
        <v>3021.7118711080357</v>
      </c>
      <c r="X1059" s="458">
        <v>0</v>
      </c>
      <c r="Y1059" s="459">
        <v>0</v>
      </c>
      <c r="Z1059" s="459">
        <v>0</v>
      </c>
      <c r="AA1059" s="459">
        <v>0</v>
      </c>
      <c r="AB1059" s="459">
        <v>0</v>
      </c>
      <c r="AC1059" s="459">
        <v>0</v>
      </c>
      <c r="AD1059" s="459">
        <v>0</v>
      </c>
      <c r="AE1059" s="459">
        <v>980</v>
      </c>
      <c r="AF1059" s="458">
        <f t="shared" si="230"/>
        <v>3021.7118711080357</v>
      </c>
      <c r="AG1059" s="459">
        <v>0</v>
      </c>
      <c r="AH1059" s="458">
        <v>0</v>
      </c>
      <c r="AI1059" s="459">
        <v>0</v>
      </c>
      <c r="AJ1059" s="458">
        <v>0</v>
      </c>
      <c r="AK1059" s="459">
        <v>0</v>
      </c>
      <c r="AL1059" s="459">
        <v>0</v>
      </c>
      <c r="AM1059" s="459">
        <v>0</v>
      </c>
      <c r="AN1059" s="459"/>
      <c r="AO1059" s="459">
        <v>0</v>
      </c>
      <c r="AP1059" s="460"/>
      <c r="AQ1059" s="460"/>
      <c r="AR1059" s="460"/>
      <c r="AS1059" s="460"/>
      <c r="AT1059" s="460"/>
      <c r="AU1059" s="460"/>
      <c r="AV1059" s="460"/>
      <c r="AW1059" s="460"/>
      <c r="AX1059" s="460"/>
      <c r="AY1059" s="460"/>
      <c r="AZ1059" s="460"/>
      <c r="BA1059" s="460"/>
      <c r="BB1059" s="460"/>
      <c r="BC1059" s="460"/>
      <c r="BD1059" s="460"/>
      <c r="BE1059" s="460"/>
      <c r="BF1059" s="460"/>
      <c r="BG1059" s="460"/>
      <c r="BH1059" s="460"/>
      <c r="BI1059" s="460"/>
      <c r="BJ1059" s="460"/>
      <c r="BK1059" s="460"/>
      <c r="BL1059" s="460"/>
      <c r="BM1059" s="460"/>
      <c r="BN1059" s="460"/>
      <c r="BO1059" s="460"/>
      <c r="BP1059" s="460"/>
      <c r="BQ1059" s="460"/>
      <c r="BR1059" s="460"/>
      <c r="BS1059" s="460"/>
      <c r="BT1059" s="460"/>
      <c r="BU1059" s="460"/>
      <c r="BV1059" s="460"/>
      <c r="BW1059" s="460"/>
      <c r="BX1059" s="460"/>
      <c r="BY1059" s="460"/>
      <c r="BZ1059" s="460"/>
      <c r="CA1059" s="460"/>
      <c r="CB1059" s="460"/>
      <c r="CC1059" s="460"/>
      <c r="CD1059" s="460"/>
      <c r="CE1059" s="460"/>
      <c r="CF1059" s="460"/>
      <c r="CG1059" s="460"/>
      <c r="CH1059" s="460"/>
      <c r="CI1059" s="460"/>
      <c r="CJ1059" s="460"/>
      <c r="CK1059" s="460"/>
    </row>
    <row r="1060" spans="1:89" s="329" customFormat="1" ht="36" customHeight="1" x14ac:dyDescent="0.25">
      <c r="A1060" s="329">
        <v>1</v>
      </c>
      <c r="B1060" s="39">
        <f>SUBTOTAL(103,$A$1000:A1060)</f>
        <v>61</v>
      </c>
      <c r="C1060" s="33" t="s">
        <v>1757</v>
      </c>
      <c r="D1060" s="330" t="s">
        <v>2117</v>
      </c>
      <c r="E1060" s="330"/>
      <c r="F1060" s="331" t="s">
        <v>48</v>
      </c>
      <c r="G1060" s="330" t="s">
        <v>61</v>
      </c>
      <c r="H1060" s="330" t="s">
        <v>59</v>
      </c>
      <c r="I1060" s="334">
        <v>2853</v>
      </c>
      <c r="J1060" s="334">
        <v>1962.2</v>
      </c>
      <c r="K1060" s="334">
        <v>1882.5</v>
      </c>
      <c r="L1060" s="332">
        <v>107</v>
      </c>
      <c r="M1060" s="330" t="s">
        <v>46</v>
      </c>
      <c r="N1060" s="330" t="s">
        <v>50</v>
      </c>
      <c r="O1060" s="333" t="s">
        <v>251</v>
      </c>
      <c r="P1060" s="38">
        <v>5133796.7</v>
      </c>
      <c r="Q1060" s="38">
        <v>0</v>
      </c>
      <c r="R1060" s="38">
        <v>0</v>
      </c>
      <c r="S1060" s="38">
        <f t="shared" si="223"/>
        <v>5133796.7</v>
      </c>
      <c r="T1060" s="38">
        <f t="shared" si="229"/>
        <v>1799.4380301437084</v>
      </c>
      <c r="U1060" s="38">
        <v>3024.6603575184017</v>
      </c>
      <c r="V1060" s="458">
        <f t="shared" si="228"/>
        <v>1225.2223273746934</v>
      </c>
      <c r="W1060" s="458">
        <f t="shared" si="224"/>
        <v>2143.0535576586049</v>
      </c>
      <c r="X1060" s="458">
        <v>0</v>
      </c>
      <c r="Y1060" s="459">
        <v>0</v>
      </c>
      <c r="Z1060" s="459">
        <v>0</v>
      </c>
      <c r="AA1060" s="459">
        <v>0</v>
      </c>
      <c r="AB1060" s="459">
        <v>0</v>
      </c>
      <c r="AC1060" s="459">
        <v>0</v>
      </c>
      <c r="AD1060" s="459">
        <v>0</v>
      </c>
      <c r="AE1060" s="459">
        <v>980</v>
      </c>
      <c r="AF1060" s="458">
        <f t="shared" si="230"/>
        <v>2143.0535576586049</v>
      </c>
      <c r="AG1060" s="459">
        <v>0</v>
      </c>
      <c r="AH1060" s="458">
        <v>0</v>
      </c>
      <c r="AI1060" s="459">
        <v>0</v>
      </c>
      <c r="AJ1060" s="458">
        <v>0</v>
      </c>
      <c r="AK1060" s="459">
        <v>0</v>
      </c>
      <c r="AL1060" s="459">
        <v>0</v>
      </c>
      <c r="AM1060" s="459">
        <v>0</v>
      </c>
      <c r="AN1060" s="459"/>
      <c r="AO1060" s="459">
        <v>0</v>
      </c>
      <c r="AP1060" s="460"/>
      <c r="AQ1060" s="460"/>
      <c r="AR1060" s="460"/>
      <c r="AS1060" s="460"/>
      <c r="AT1060" s="460"/>
      <c r="AU1060" s="460"/>
      <c r="AV1060" s="460"/>
      <c r="AW1060" s="460"/>
      <c r="AX1060" s="460"/>
      <c r="AY1060" s="460"/>
      <c r="AZ1060" s="460"/>
      <c r="BA1060" s="460"/>
      <c r="BB1060" s="460"/>
      <c r="BC1060" s="460"/>
      <c r="BD1060" s="460"/>
      <c r="BE1060" s="460"/>
      <c r="BF1060" s="460"/>
      <c r="BG1060" s="460"/>
      <c r="BH1060" s="460"/>
      <c r="BI1060" s="460"/>
      <c r="BJ1060" s="460"/>
      <c r="BK1060" s="460"/>
      <c r="BL1060" s="460"/>
      <c r="BM1060" s="460"/>
      <c r="BN1060" s="460"/>
      <c r="BO1060" s="460"/>
      <c r="BP1060" s="460"/>
      <c r="BQ1060" s="460"/>
      <c r="BR1060" s="460"/>
      <c r="BS1060" s="460"/>
      <c r="BT1060" s="460"/>
      <c r="BU1060" s="460"/>
      <c r="BV1060" s="460"/>
      <c r="BW1060" s="460"/>
      <c r="BX1060" s="460"/>
      <c r="BY1060" s="460"/>
      <c r="BZ1060" s="460"/>
      <c r="CA1060" s="460"/>
      <c r="CB1060" s="460"/>
      <c r="CC1060" s="460"/>
      <c r="CD1060" s="460"/>
      <c r="CE1060" s="460"/>
      <c r="CF1060" s="460"/>
      <c r="CG1060" s="460"/>
      <c r="CH1060" s="460"/>
      <c r="CI1060" s="460"/>
      <c r="CJ1060" s="460"/>
      <c r="CK1060" s="460"/>
    </row>
    <row r="1061" spans="1:89" s="329" customFormat="1" ht="36" customHeight="1" x14ac:dyDescent="0.25">
      <c r="A1061" s="329">
        <v>1</v>
      </c>
      <c r="B1061" s="39">
        <f>SUBTOTAL(103,$A$1000:A1061)</f>
        <v>62</v>
      </c>
      <c r="C1061" s="33" t="s">
        <v>1758</v>
      </c>
      <c r="D1061" s="330" t="s">
        <v>2186</v>
      </c>
      <c r="E1061" s="330"/>
      <c r="F1061" s="331" t="s">
        <v>48</v>
      </c>
      <c r="G1061" s="330" t="s">
        <v>75</v>
      </c>
      <c r="H1061" s="330" t="s">
        <v>56</v>
      </c>
      <c r="I1061" s="334">
        <v>1953.8</v>
      </c>
      <c r="J1061" s="334">
        <v>1724.7</v>
      </c>
      <c r="K1061" s="334">
        <v>1572.5</v>
      </c>
      <c r="L1061" s="332">
        <v>52</v>
      </c>
      <c r="M1061" s="330" t="s">
        <v>46</v>
      </c>
      <c r="N1061" s="330" t="s">
        <v>50</v>
      </c>
      <c r="O1061" s="333" t="s">
        <v>2131</v>
      </c>
      <c r="P1061" s="38">
        <v>2880414.3600000003</v>
      </c>
      <c r="Q1061" s="38">
        <v>0</v>
      </c>
      <c r="R1061" s="38">
        <v>0</v>
      </c>
      <c r="S1061" s="38">
        <f t="shared" si="223"/>
        <v>2880414.3600000003</v>
      </c>
      <c r="T1061" s="38">
        <f t="shared" si="229"/>
        <v>1474.2626471491456</v>
      </c>
      <c r="U1061" s="38">
        <v>1794.3015661787285</v>
      </c>
      <c r="V1061" s="458">
        <f t="shared" si="228"/>
        <v>320.03891902958298</v>
      </c>
      <c r="W1061" s="458">
        <f t="shared" si="224"/>
        <v>2865.2748198382637</v>
      </c>
      <c r="X1061" s="458">
        <v>0</v>
      </c>
      <c r="Y1061" s="459">
        <v>0</v>
      </c>
      <c r="Z1061" s="459">
        <v>0</v>
      </c>
      <c r="AA1061" s="459">
        <v>0</v>
      </c>
      <c r="AB1061" s="459">
        <v>0</v>
      </c>
      <c r="AC1061" s="459">
        <v>0</v>
      </c>
      <c r="AD1061" s="459">
        <v>0</v>
      </c>
      <c r="AE1061" s="459">
        <v>897.3</v>
      </c>
      <c r="AF1061" s="458">
        <f t="shared" si="230"/>
        <v>2865.2748198382637</v>
      </c>
      <c r="AG1061" s="459">
        <v>0</v>
      </c>
      <c r="AH1061" s="458">
        <v>0</v>
      </c>
      <c r="AI1061" s="459">
        <v>0</v>
      </c>
      <c r="AJ1061" s="458">
        <v>0</v>
      </c>
      <c r="AK1061" s="459">
        <v>0</v>
      </c>
      <c r="AL1061" s="459">
        <v>0</v>
      </c>
      <c r="AM1061" s="459">
        <v>0</v>
      </c>
      <c r="AN1061" s="459"/>
      <c r="AO1061" s="459">
        <v>0</v>
      </c>
      <c r="AP1061" s="460"/>
      <c r="AQ1061" s="460"/>
      <c r="AR1061" s="460"/>
      <c r="AS1061" s="460"/>
      <c r="AT1061" s="460"/>
      <c r="AU1061" s="460"/>
      <c r="AV1061" s="460"/>
      <c r="AW1061" s="460"/>
      <c r="AX1061" s="460"/>
      <c r="AY1061" s="460"/>
      <c r="AZ1061" s="460"/>
      <c r="BA1061" s="460"/>
      <c r="BB1061" s="460"/>
      <c r="BC1061" s="460"/>
      <c r="BD1061" s="460"/>
      <c r="BE1061" s="460"/>
      <c r="BF1061" s="460"/>
      <c r="BG1061" s="460"/>
      <c r="BH1061" s="460"/>
      <c r="BI1061" s="460"/>
      <c r="BJ1061" s="460"/>
      <c r="BK1061" s="460"/>
      <c r="BL1061" s="460"/>
      <c r="BM1061" s="460"/>
      <c r="BN1061" s="460"/>
      <c r="BO1061" s="460"/>
      <c r="BP1061" s="460"/>
      <c r="BQ1061" s="460"/>
      <c r="BR1061" s="460"/>
      <c r="BS1061" s="460"/>
      <c r="BT1061" s="460"/>
      <c r="BU1061" s="460"/>
      <c r="BV1061" s="460"/>
      <c r="BW1061" s="460"/>
      <c r="BX1061" s="460"/>
      <c r="BY1061" s="460"/>
      <c r="BZ1061" s="460"/>
      <c r="CA1061" s="460"/>
      <c r="CB1061" s="460"/>
      <c r="CC1061" s="460"/>
      <c r="CD1061" s="460"/>
      <c r="CE1061" s="460"/>
      <c r="CF1061" s="460"/>
      <c r="CG1061" s="460"/>
      <c r="CH1061" s="460"/>
      <c r="CI1061" s="460"/>
      <c r="CJ1061" s="460"/>
      <c r="CK1061" s="460"/>
    </row>
    <row r="1062" spans="1:89" s="329" customFormat="1" ht="36" customHeight="1" x14ac:dyDescent="0.25">
      <c r="B1062" s="33" t="s">
        <v>1092</v>
      </c>
      <c r="C1062" s="462"/>
      <c r="D1062" s="330" t="s">
        <v>131</v>
      </c>
      <c r="E1062" s="330" t="s">
        <v>131</v>
      </c>
      <c r="F1062" s="330" t="s">
        <v>131</v>
      </c>
      <c r="G1062" s="330" t="s">
        <v>131</v>
      </c>
      <c r="H1062" s="330" t="s">
        <v>131</v>
      </c>
      <c r="I1062" s="334">
        <f>SUM(I1063:I1076)</f>
        <v>14992.5</v>
      </c>
      <c r="J1062" s="334">
        <f>SUM(J1063:J1076)</f>
        <v>14301.600000000002</v>
      </c>
      <c r="K1062" s="334">
        <f>SUM(K1063:K1076)</f>
        <v>12867.5</v>
      </c>
      <c r="L1062" s="332">
        <f>SUM(L1063:L1076)</f>
        <v>773</v>
      </c>
      <c r="M1062" s="330" t="s">
        <v>131</v>
      </c>
      <c r="N1062" s="330" t="s">
        <v>131</v>
      </c>
      <c r="O1062" s="333" t="s">
        <v>131</v>
      </c>
      <c r="P1062" s="334">
        <v>44764760.649999999</v>
      </c>
      <c r="Q1062" s="334">
        <f>SUM(Q1063:Q1076)</f>
        <v>0</v>
      </c>
      <c r="R1062" s="334">
        <f>SUM(R1063:R1076)</f>
        <v>0</v>
      </c>
      <c r="S1062" s="334">
        <f>SUM(S1063:S1076)</f>
        <v>44764760.649999999</v>
      </c>
      <c r="T1062" s="38">
        <f t="shared" si="229"/>
        <v>2985.8102818075704</v>
      </c>
      <c r="U1062" s="38">
        <f>MAX(U1063:U1076)</f>
        <v>7833.9591269349839</v>
      </c>
      <c r="V1062" s="458">
        <f t="shared" si="228"/>
        <v>4848.1488451274136</v>
      </c>
      <c r="W1062" s="458"/>
      <c r="X1062" s="458"/>
      <c r="Y1062" s="459"/>
      <c r="Z1062" s="459"/>
      <c r="AA1062" s="459"/>
      <c r="AB1062" s="459"/>
      <c r="AC1062" s="459"/>
      <c r="AD1062" s="459"/>
      <c r="AE1062" s="459"/>
      <c r="AF1062" s="459"/>
      <c r="AG1062" s="459"/>
      <c r="AH1062" s="459"/>
      <c r="AI1062" s="459"/>
      <c r="AJ1062" s="459"/>
      <c r="AK1062" s="459"/>
      <c r="AL1062" s="459"/>
      <c r="AM1062" s="459"/>
      <c r="AN1062" s="459"/>
      <c r="AO1062" s="459"/>
      <c r="AP1062" s="460"/>
      <c r="AQ1062" s="460"/>
      <c r="AR1062" s="460"/>
      <c r="AS1062" s="460"/>
      <c r="AT1062" s="460"/>
      <c r="AU1062" s="460"/>
      <c r="AV1062" s="460"/>
      <c r="AW1062" s="460"/>
      <c r="AX1062" s="460"/>
      <c r="AY1062" s="460"/>
      <c r="AZ1062" s="460"/>
      <c r="BA1062" s="460"/>
      <c r="BB1062" s="460"/>
      <c r="BC1062" s="460"/>
      <c r="BD1062" s="460"/>
      <c r="BE1062" s="460"/>
      <c r="BF1062" s="460"/>
      <c r="BG1062" s="460"/>
      <c r="BH1062" s="460"/>
      <c r="BI1062" s="460"/>
      <c r="BJ1062" s="460"/>
      <c r="BK1062" s="460"/>
      <c r="BL1062" s="460"/>
      <c r="BM1062" s="460"/>
      <c r="BN1062" s="460"/>
      <c r="BO1062" s="460"/>
      <c r="BP1062" s="460"/>
      <c r="BQ1062" s="460"/>
      <c r="BR1062" s="460"/>
      <c r="BS1062" s="460"/>
      <c r="BT1062" s="460"/>
      <c r="BU1062" s="460"/>
      <c r="BV1062" s="460"/>
      <c r="BW1062" s="460"/>
      <c r="BX1062" s="460"/>
      <c r="BY1062" s="460"/>
      <c r="BZ1062" s="460"/>
      <c r="CA1062" s="460"/>
      <c r="CB1062" s="460"/>
      <c r="CC1062" s="460"/>
      <c r="CD1062" s="460"/>
      <c r="CE1062" s="460"/>
      <c r="CF1062" s="460"/>
      <c r="CG1062" s="460"/>
      <c r="CH1062" s="460"/>
      <c r="CI1062" s="460"/>
      <c r="CJ1062" s="460"/>
      <c r="CK1062" s="460"/>
    </row>
    <row r="1063" spans="1:89" s="329" customFormat="1" ht="36" customHeight="1" x14ac:dyDescent="0.25">
      <c r="A1063" s="329">
        <v>1</v>
      </c>
      <c r="B1063" s="39">
        <f>SUBTOTAL(103,$A$1000:A1063)</f>
        <v>63</v>
      </c>
      <c r="C1063" s="33" t="s">
        <v>1759</v>
      </c>
      <c r="D1063" s="330">
        <v>1962</v>
      </c>
      <c r="E1063" s="330"/>
      <c r="F1063" s="331" t="s">
        <v>48</v>
      </c>
      <c r="G1063" s="330">
        <v>2</v>
      </c>
      <c r="H1063" s="330" t="s">
        <v>56</v>
      </c>
      <c r="I1063" s="334">
        <v>784.2</v>
      </c>
      <c r="J1063" s="334">
        <v>784.2</v>
      </c>
      <c r="K1063" s="334">
        <v>715.8</v>
      </c>
      <c r="L1063" s="332">
        <v>47</v>
      </c>
      <c r="M1063" s="330" t="s">
        <v>46</v>
      </c>
      <c r="N1063" s="330" t="s">
        <v>47</v>
      </c>
      <c r="O1063" s="333" t="s">
        <v>49</v>
      </c>
      <c r="P1063" s="38">
        <v>3951259.39</v>
      </c>
      <c r="Q1063" s="38">
        <v>0</v>
      </c>
      <c r="R1063" s="38">
        <v>0</v>
      </c>
      <c r="S1063" s="38">
        <f t="shared" ref="S1063:S1076" si="231">P1063-Q1063-R1063</f>
        <v>3951259.39</v>
      </c>
      <c r="T1063" s="38">
        <f t="shared" si="229"/>
        <v>5038.5863172660038</v>
      </c>
      <c r="U1063" s="38">
        <v>5176.112211170619</v>
      </c>
      <c r="V1063" s="458">
        <f t="shared" si="228"/>
        <v>137.52589390461526</v>
      </c>
      <c r="W1063" s="458">
        <f t="shared" ref="W1063:W1076" si="232">X1063+Y1063+Z1063+AA1063+AB1063+AD1063+AF1063+AH1063+AJ1063+AL1063+AN1063+AO1063</f>
        <v>5158.5172711043097</v>
      </c>
      <c r="X1063" s="458">
        <v>0</v>
      </c>
      <c r="Y1063" s="459">
        <v>0</v>
      </c>
      <c r="Z1063" s="459">
        <v>0</v>
      </c>
      <c r="AA1063" s="459">
        <v>0</v>
      </c>
      <c r="AB1063" s="459">
        <v>0</v>
      </c>
      <c r="AC1063" s="459">
        <v>0</v>
      </c>
      <c r="AD1063" s="459">
        <v>0</v>
      </c>
      <c r="AE1063" s="459">
        <v>648.4</v>
      </c>
      <c r="AF1063" s="458">
        <f>6238.91*AE1063/I1063</f>
        <v>5158.5172711043097</v>
      </c>
      <c r="AG1063" s="459">
        <v>0</v>
      </c>
      <c r="AH1063" s="458">
        <v>0</v>
      </c>
      <c r="AI1063" s="459">
        <v>0</v>
      </c>
      <c r="AJ1063" s="458">
        <v>0</v>
      </c>
      <c r="AK1063" s="459">
        <v>0</v>
      </c>
      <c r="AL1063" s="459">
        <v>0</v>
      </c>
      <c r="AM1063" s="459">
        <v>0</v>
      </c>
      <c r="AN1063" s="459"/>
      <c r="AO1063" s="459">
        <v>0</v>
      </c>
      <c r="AP1063" s="460"/>
      <c r="AQ1063" s="460"/>
      <c r="AR1063" s="460"/>
      <c r="AS1063" s="460"/>
      <c r="AT1063" s="460"/>
      <c r="AU1063" s="460"/>
      <c r="AV1063" s="460"/>
      <c r="AW1063" s="460"/>
      <c r="AX1063" s="460"/>
      <c r="AY1063" s="460"/>
      <c r="AZ1063" s="460"/>
      <c r="BA1063" s="460"/>
      <c r="BB1063" s="460"/>
      <c r="BC1063" s="460"/>
      <c r="BD1063" s="460"/>
      <c r="BE1063" s="460"/>
      <c r="BF1063" s="460"/>
      <c r="BG1063" s="460"/>
      <c r="BH1063" s="460"/>
      <c r="BI1063" s="460"/>
      <c r="BJ1063" s="460"/>
      <c r="BK1063" s="460"/>
      <c r="BL1063" s="460"/>
      <c r="BM1063" s="460"/>
      <c r="BN1063" s="460"/>
      <c r="BO1063" s="460"/>
      <c r="BP1063" s="460"/>
      <c r="BQ1063" s="460"/>
      <c r="BR1063" s="460"/>
      <c r="BS1063" s="460"/>
      <c r="BT1063" s="460"/>
      <c r="BU1063" s="460"/>
      <c r="BV1063" s="460"/>
      <c r="BW1063" s="460"/>
      <c r="BX1063" s="460"/>
      <c r="BY1063" s="460"/>
      <c r="BZ1063" s="460"/>
      <c r="CA1063" s="460"/>
      <c r="CB1063" s="460"/>
      <c r="CC1063" s="460"/>
      <c r="CD1063" s="460"/>
      <c r="CE1063" s="460"/>
      <c r="CF1063" s="460"/>
      <c r="CG1063" s="460"/>
      <c r="CH1063" s="460"/>
      <c r="CI1063" s="460"/>
      <c r="CJ1063" s="460"/>
      <c r="CK1063" s="460"/>
    </row>
    <row r="1064" spans="1:89" s="329" customFormat="1" ht="36" customHeight="1" x14ac:dyDescent="0.25">
      <c r="A1064" s="329">
        <v>1</v>
      </c>
      <c r="B1064" s="39">
        <f>SUBTOTAL(103,$A$1000:A1064)</f>
        <v>64</v>
      </c>
      <c r="C1064" s="33" t="s">
        <v>1760</v>
      </c>
      <c r="D1064" s="330">
        <v>1959</v>
      </c>
      <c r="E1064" s="330"/>
      <c r="F1064" s="331" t="s">
        <v>48</v>
      </c>
      <c r="G1064" s="330">
        <v>2</v>
      </c>
      <c r="H1064" s="330" t="s">
        <v>56</v>
      </c>
      <c r="I1064" s="334">
        <v>611</v>
      </c>
      <c r="J1064" s="334">
        <v>564.20000000000005</v>
      </c>
      <c r="K1064" s="334">
        <v>492.1</v>
      </c>
      <c r="L1064" s="332">
        <v>36</v>
      </c>
      <c r="M1064" s="330" t="s">
        <v>46</v>
      </c>
      <c r="N1064" s="330" t="s">
        <v>50</v>
      </c>
      <c r="O1064" s="333" t="s">
        <v>1986</v>
      </c>
      <c r="P1064" s="38">
        <v>2999201</v>
      </c>
      <c r="Q1064" s="38">
        <v>0</v>
      </c>
      <c r="R1064" s="38">
        <v>0</v>
      </c>
      <c r="S1064" s="38">
        <f t="shared" si="231"/>
        <v>2999201</v>
      </c>
      <c r="T1064" s="38">
        <f t="shared" si="229"/>
        <v>4908.675941080196</v>
      </c>
      <c r="U1064" s="38">
        <v>5604.4581505728311</v>
      </c>
      <c r="V1064" s="458">
        <f t="shared" si="228"/>
        <v>695.78220949263505</v>
      </c>
      <c r="W1064" s="458">
        <f t="shared" si="232"/>
        <v>5585.4071522094928</v>
      </c>
      <c r="X1064" s="458">
        <v>0</v>
      </c>
      <c r="Y1064" s="459">
        <v>0</v>
      </c>
      <c r="Z1064" s="459">
        <v>0</v>
      </c>
      <c r="AA1064" s="459">
        <v>0</v>
      </c>
      <c r="AB1064" s="459">
        <v>0</v>
      </c>
      <c r="AC1064" s="459">
        <v>0</v>
      </c>
      <c r="AD1064" s="459">
        <v>0</v>
      </c>
      <c r="AE1064" s="459">
        <v>547</v>
      </c>
      <c r="AF1064" s="458">
        <f>6238.91*AE1064/I1064</f>
        <v>5585.4071522094928</v>
      </c>
      <c r="AG1064" s="459">
        <v>0</v>
      </c>
      <c r="AH1064" s="458">
        <v>0</v>
      </c>
      <c r="AI1064" s="459">
        <v>0</v>
      </c>
      <c r="AJ1064" s="458">
        <v>0</v>
      </c>
      <c r="AK1064" s="459">
        <v>0</v>
      </c>
      <c r="AL1064" s="459">
        <v>0</v>
      </c>
      <c r="AM1064" s="459">
        <v>0</v>
      </c>
      <c r="AN1064" s="459"/>
      <c r="AO1064" s="459">
        <v>0</v>
      </c>
      <c r="AP1064" s="460"/>
      <c r="AQ1064" s="460"/>
      <c r="AR1064" s="460"/>
      <c r="AS1064" s="460"/>
      <c r="AT1064" s="460"/>
      <c r="AU1064" s="460"/>
      <c r="AV1064" s="460"/>
      <c r="AW1064" s="460"/>
      <c r="AX1064" s="460"/>
      <c r="AY1064" s="460"/>
      <c r="AZ1064" s="460"/>
      <c r="BA1064" s="460"/>
      <c r="BB1064" s="460"/>
      <c r="BC1064" s="460"/>
      <c r="BD1064" s="460"/>
      <c r="BE1064" s="460"/>
      <c r="BF1064" s="460"/>
      <c r="BG1064" s="460"/>
      <c r="BH1064" s="460"/>
      <c r="BI1064" s="460"/>
      <c r="BJ1064" s="460"/>
      <c r="BK1064" s="460"/>
      <c r="BL1064" s="460"/>
      <c r="BM1064" s="460"/>
      <c r="BN1064" s="460"/>
      <c r="BO1064" s="460"/>
      <c r="BP1064" s="460"/>
      <c r="BQ1064" s="460"/>
      <c r="BR1064" s="460"/>
      <c r="BS1064" s="460"/>
      <c r="BT1064" s="460"/>
      <c r="BU1064" s="460"/>
      <c r="BV1064" s="460"/>
      <c r="BW1064" s="460"/>
      <c r="BX1064" s="460"/>
      <c r="BY1064" s="460"/>
      <c r="BZ1064" s="460"/>
      <c r="CA1064" s="460"/>
      <c r="CB1064" s="460"/>
      <c r="CC1064" s="460"/>
      <c r="CD1064" s="460"/>
      <c r="CE1064" s="460"/>
      <c r="CF1064" s="460"/>
      <c r="CG1064" s="460"/>
      <c r="CH1064" s="460"/>
      <c r="CI1064" s="460"/>
      <c r="CJ1064" s="460"/>
      <c r="CK1064" s="460"/>
    </row>
    <row r="1065" spans="1:89" s="329" customFormat="1" ht="36" customHeight="1" x14ac:dyDescent="0.25">
      <c r="A1065" s="329">
        <v>1</v>
      </c>
      <c r="B1065" s="39">
        <f>SUBTOTAL(103,$A$1000:A1065)</f>
        <v>65</v>
      </c>
      <c r="C1065" s="33" t="s">
        <v>1761</v>
      </c>
      <c r="D1065" s="330">
        <v>1960</v>
      </c>
      <c r="E1065" s="330"/>
      <c r="F1065" s="331" t="s">
        <v>48</v>
      </c>
      <c r="G1065" s="330">
        <v>2</v>
      </c>
      <c r="H1065" s="330" t="s">
        <v>56</v>
      </c>
      <c r="I1065" s="334">
        <v>549.79999999999995</v>
      </c>
      <c r="J1065" s="334">
        <v>549.79999999999995</v>
      </c>
      <c r="K1065" s="334">
        <v>404</v>
      </c>
      <c r="L1065" s="332">
        <v>27</v>
      </c>
      <c r="M1065" s="330" t="s">
        <v>46</v>
      </c>
      <c r="N1065" s="330" t="s">
        <v>2031</v>
      </c>
      <c r="O1065" s="333" t="s">
        <v>49</v>
      </c>
      <c r="P1065" s="38">
        <v>2584541.12</v>
      </c>
      <c r="Q1065" s="38">
        <v>0</v>
      </c>
      <c r="R1065" s="38">
        <v>0</v>
      </c>
      <c r="S1065" s="38">
        <f t="shared" si="231"/>
        <v>2584541.12</v>
      </c>
      <c r="T1065" s="38">
        <f t="shared" si="229"/>
        <v>4700.8750818479457</v>
      </c>
      <c r="U1065" s="38">
        <v>5615.7251873408513</v>
      </c>
      <c r="V1065" s="458">
        <f t="shared" si="228"/>
        <v>914.85010549290564</v>
      </c>
      <c r="W1065" s="458">
        <f t="shared" si="232"/>
        <v>5596.6358894143332</v>
      </c>
      <c r="X1065" s="458">
        <v>0</v>
      </c>
      <c r="Y1065" s="459">
        <v>0</v>
      </c>
      <c r="Z1065" s="459">
        <v>0</v>
      </c>
      <c r="AA1065" s="459">
        <v>0</v>
      </c>
      <c r="AB1065" s="459">
        <v>0</v>
      </c>
      <c r="AC1065" s="459">
        <v>0</v>
      </c>
      <c r="AD1065" s="459">
        <v>0</v>
      </c>
      <c r="AE1065" s="459">
        <v>493.2</v>
      </c>
      <c r="AF1065" s="458">
        <f>6238.91*AE1065/I1065</f>
        <v>5596.6358894143332</v>
      </c>
      <c r="AG1065" s="459">
        <v>0</v>
      </c>
      <c r="AH1065" s="458">
        <v>0</v>
      </c>
      <c r="AI1065" s="459">
        <v>0</v>
      </c>
      <c r="AJ1065" s="458">
        <v>0</v>
      </c>
      <c r="AK1065" s="459">
        <v>0</v>
      </c>
      <c r="AL1065" s="459">
        <v>0</v>
      </c>
      <c r="AM1065" s="459">
        <v>0</v>
      </c>
      <c r="AN1065" s="459"/>
      <c r="AO1065" s="459">
        <v>0</v>
      </c>
      <c r="AP1065" s="460"/>
      <c r="AQ1065" s="460"/>
      <c r="AR1065" s="460"/>
      <c r="AS1065" s="460"/>
      <c r="AT1065" s="460"/>
      <c r="AU1065" s="460"/>
      <c r="AV1065" s="460"/>
      <c r="AW1065" s="460"/>
      <c r="AX1065" s="460"/>
      <c r="AY1065" s="460"/>
      <c r="AZ1065" s="460"/>
      <c r="BA1065" s="460"/>
      <c r="BB1065" s="460"/>
      <c r="BC1065" s="460"/>
      <c r="BD1065" s="460"/>
      <c r="BE1065" s="460"/>
      <c r="BF1065" s="460"/>
      <c r="BG1065" s="460"/>
      <c r="BH1065" s="460"/>
      <c r="BI1065" s="460"/>
      <c r="BJ1065" s="460"/>
      <c r="BK1065" s="460"/>
      <c r="BL1065" s="460"/>
      <c r="BM1065" s="460"/>
      <c r="BN1065" s="460"/>
      <c r="BO1065" s="460"/>
      <c r="BP1065" s="460"/>
      <c r="BQ1065" s="460"/>
      <c r="BR1065" s="460"/>
      <c r="BS1065" s="460"/>
      <c r="BT1065" s="460"/>
      <c r="BU1065" s="460"/>
      <c r="BV1065" s="460"/>
      <c r="BW1065" s="460"/>
      <c r="BX1065" s="460"/>
      <c r="BY1065" s="460"/>
      <c r="BZ1065" s="460"/>
      <c r="CA1065" s="460"/>
      <c r="CB1065" s="460"/>
      <c r="CC1065" s="460"/>
      <c r="CD1065" s="460"/>
      <c r="CE1065" s="460"/>
      <c r="CF1065" s="460"/>
      <c r="CG1065" s="460"/>
      <c r="CH1065" s="460"/>
      <c r="CI1065" s="460"/>
      <c r="CJ1065" s="460"/>
      <c r="CK1065" s="460"/>
    </row>
    <row r="1066" spans="1:89" s="329" customFormat="1" ht="36" customHeight="1" x14ac:dyDescent="0.25">
      <c r="A1066" s="329">
        <v>1</v>
      </c>
      <c r="B1066" s="39">
        <f>SUBTOTAL(103,$A$1000:A1066)</f>
        <v>66</v>
      </c>
      <c r="C1066" s="33" t="s">
        <v>1762</v>
      </c>
      <c r="D1066" s="330">
        <v>1968</v>
      </c>
      <c r="E1066" s="330"/>
      <c r="F1066" s="331" t="s">
        <v>48</v>
      </c>
      <c r="G1066" s="330">
        <v>5</v>
      </c>
      <c r="H1066" s="330" t="s">
        <v>59</v>
      </c>
      <c r="I1066" s="334">
        <v>3425.4</v>
      </c>
      <c r="J1066" s="334">
        <v>3385.7</v>
      </c>
      <c r="K1066" s="334">
        <v>2995.5</v>
      </c>
      <c r="L1066" s="332">
        <v>208</v>
      </c>
      <c r="M1066" s="330" t="s">
        <v>46</v>
      </c>
      <c r="N1066" s="330" t="s">
        <v>47</v>
      </c>
      <c r="O1066" s="333" t="s">
        <v>49</v>
      </c>
      <c r="P1066" s="38">
        <v>6581549.3999999994</v>
      </c>
      <c r="Q1066" s="38">
        <v>0</v>
      </c>
      <c r="R1066" s="38">
        <v>0</v>
      </c>
      <c r="S1066" s="38">
        <f t="shared" si="231"/>
        <v>6581549.3999999994</v>
      </c>
      <c r="T1066" s="38">
        <f t="shared" si="229"/>
        <v>1921.3958661762128</v>
      </c>
      <c r="U1066" s="38">
        <v>2065.1645647223681</v>
      </c>
      <c r="V1066" s="458">
        <f t="shared" si="228"/>
        <v>143.76869854615529</v>
      </c>
      <c r="W1066" s="458">
        <f t="shared" si="232"/>
        <v>2058.1445378641911</v>
      </c>
      <c r="X1066" s="458">
        <v>0</v>
      </c>
      <c r="Y1066" s="459">
        <v>0</v>
      </c>
      <c r="Z1066" s="459">
        <v>0</v>
      </c>
      <c r="AA1066" s="459">
        <v>0</v>
      </c>
      <c r="AB1066" s="459">
        <v>0</v>
      </c>
      <c r="AC1066" s="459">
        <v>0</v>
      </c>
      <c r="AD1066" s="459">
        <v>0</v>
      </c>
      <c r="AE1066" s="459">
        <v>1130</v>
      </c>
      <c r="AF1066" s="458">
        <f>6238.91*AE1066/I1066</f>
        <v>2058.1445378641911</v>
      </c>
      <c r="AG1066" s="459">
        <v>0</v>
      </c>
      <c r="AH1066" s="458">
        <v>0</v>
      </c>
      <c r="AI1066" s="459">
        <v>0</v>
      </c>
      <c r="AJ1066" s="458">
        <v>0</v>
      </c>
      <c r="AK1066" s="459">
        <v>0</v>
      </c>
      <c r="AL1066" s="459">
        <v>0</v>
      </c>
      <c r="AM1066" s="459">
        <v>0</v>
      </c>
      <c r="AN1066" s="459"/>
      <c r="AO1066" s="459">
        <v>0</v>
      </c>
      <c r="AP1066" s="460"/>
      <c r="AQ1066" s="460"/>
      <c r="AR1066" s="460"/>
      <c r="AS1066" s="460"/>
      <c r="AT1066" s="460"/>
      <c r="AU1066" s="460"/>
      <c r="AV1066" s="460"/>
      <c r="AW1066" s="460"/>
      <c r="AX1066" s="460"/>
      <c r="AY1066" s="460"/>
      <c r="AZ1066" s="460"/>
      <c r="BA1066" s="460"/>
      <c r="BB1066" s="460"/>
      <c r="BC1066" s="460"/>
      <c r="BD1066" s="460"/>
      <c r="BE1066" s="460"/>
      <c r="BF1066" s="460"/>
      <c r="BG1066" s="460"/>
      <c r="BH1066" s="460"/>
      <c r="BI1066" s="460"/>
      <c r="BJ1066" s="460"/>
      <c r="BK1066" s="460"/>
      <c r="BL1066" s="460"/>
      <c r="BM1066" s="460"/>
      <c r="BN1066" s="460"/>
      <c r="BO1066" s="460"/>
      <c r="BP1066" s="460"/>
      <c r="BQ1066" s="460"/>
      <c r="BR1066" s="460"/>
      <c r="BS1066" s="460"/>
      <c r="BT1066" s="460"/>
      <c r="BU1066" s="460"/>
      <c r="BV1066" s="460"/>
      <c r="BW1066" s="460"/>
      <c r="BX1066" s="460"/>
      <c r="BY1066" s="460"/>
      <c r="BZ1066" s="460"/>
      <c r="CA1066" s="460"/>
      <c r="CB1066" s="460"/>
      <c r="CC1066" s="460"/>
      <c r="CD1066" s="460"/>
      <c r="CE1066" s="460"/>
      <c r="CF1066" s="460"/>
      <c r="CG1066" s="460"/>
      <c r="CH1066" s="460"/>
      <c r="CI1066" s="460"/>
      <c r="CJ1066" s="460"/>
      <c r="CK1066" s="460"/>
    </row>
    <row r="1067" spans="1:89" s="329" customFormat="1" ht="36" customHeight="1" x14ac:dyDescent="0.25">
      <c r="A1067" s="329">
        <v>1</v>
      </c>
      <c r="B1067" s="39">
        <f>SUBTOTAL(103,$A$1000:A1067)</f>
        <v>67</v>
      </c>
      <c r="C1067" s="33" t="s">
        <v>1763</v>
      </c>
      <c r="D1067" s="330">
        <v>1966</v>
      </c>
      <c r="E1067" s="330"/>
      <c r="F1067" s="331" t="s">
        <v>48</v>
      </c>
      <c r="G1067" s="330">
        <v>5</v>
      </c>
      <c r="H1067" s="330" t="s">
        <v>61</v>
      </c>
      <c r="I1067" s="334">
        <v>2708.5</v>
      </c>
      <c r="J1067" s="334">
        <v>2523.1</v>
      </c>
      <c r="K1067" s="334">
        <v>2195.4</v>
      </c>
      <c r="L1067" s="332">
        <v>137</v>
      </c>
      <c r="M1067" s="330" t="s">
        <v>46</v>
      </c>
      <c r="N1067" s="330" t="s">
        <v>47</v>
      </c>
      <c r="O1067" s="333" t="s">
        <v>49</v>
      </c>
      <c r="P1067" s="38">
        <v>4737312</v>
      </c>
      <c r="Q1067" s="38">
        <v>0</v>
      </c>
      <c r="R1067" s="38">
        <v>0</v>
      </c>
      <c r="S1067" s="38">
        <f t="shared" si="231"/>
        <v>4737312</v>
      </c>
      <c r="T1067" s="38">
        <f t="shared" si="229"/>
        <v>1749.053719771091</v>
      </c>
      <c r="U1067" s="38">
        <v>1996.9740299058517</v>
      </c>
      <c r="V1067" s="458">
        <f t="shared" si="228"/>
        <v>247.92031013476071</v>
      </c>
      <c r="W1067" s="458">
        <f t="shared" si="232"/>
        <v>1990.1858002584456</v>
      </c>
      <c r="X1067" s="458">
        <v>0</v>
      </c>
      <c r="Y1067" s="459">
        <v>0</v>
      </c>
      <c r="Z1067" s="459">
        <v>0</v>
      </c>
      <c r="AA1067" s="459">
        <v>0</v>
      </c>
      <c r="AB1067" s="459">
        <v>0</v>
      </c>
      <c r="AC1067" s="459">
        <v>0</v>
      </c>
      <c r="AD1067" s="459">
        <v>0</v>
      </c>
      <c r="AE1067" s="459">
        <v>864</v>
      </c>
      <c r="AF1067" s="458">
        <f>6238.91*AE1067/I1067</f>
        <v>1990.1858002584456</v>
      </c>
      <c r="AG1067" s="459">
        <v>0</v>
      </c>
      <c r="AH1067" s="458">
        <v>0</v>
      </c>
      <c r="AI1067" s="459">
        <v>0</v>
      </c>
      <c r="AJ1067" s="458">
        <v>0</v>
      </c>
      <c r="AK1067" s="459">
        <v>0</v>
      </c>
      <c r="AL1067" s="459">
        <v>0</v>
      </c>
      <c r="AM1067" s="459">
        <v>0</v>
      </c>
      <c r="AN1067" s="459"/>
      <c r="AO1067" s="459">
        <v>0</v>
      </c>
      <c r="AP1067" s="460"/>
      <c r="AQ1067" s="460"/>
      <c r="AR1067" s="460"/>
      <c r="AS1067" s="460"/>
      <c r="AT1067" s="460"/>
      <c r="AU1067" s="460"/>
      <c r="AV1067" s="460"/>
      <c r="AW1067" s="460"/>
      <c r="AX1067" s="460"/>
      <c r="AY1067" s="460"/>
      <c r="AZ1067" s="460"/>
      <c r="BA1067" s="460"/>
      <c r="BB1067" s="460"/>
      <c r="BC1067" s="460"/>
      <c r="BD1067" s="460"/>
      <c r="BE1067" s="460"/>
      <c r="BF1067" s="460"/>
      <c r="BG1067" s="460"/>
      <c r="BH1067" s="460"/>
      <c r="BI1067" s="460"/>
      <c r="BJ1067" s="460"/>
      <c r="BK1067" s="460"/>
      <c r="BL1067" s="460"/>
      <c r="BM1067" s="460"/>
      <c r="BN1067" s="460"/>
      <c r="BO1067" s="460"/>
      <c r="BP1067" s="460"/>
      <c r="BQ1067" s="460"/>
      <c r="BR1067" s="460"/>
      <c r="BS1067" s="460"/>
      <c r="BT1067" s="460"/>
      <c r="BU1067" s="460"/>
      <c r="BV1067" s="460"/>
      <c r="BW1067" s="460"/>
      <c r="BX1067" s="460"/>
      <c r="BY1067" s="460"/>
      <c r="BZ1067" s="460"/>
      <c r="CA1067" s="460"/>
      <c r="CB1067" s="460"/>
      <c r="CC1067" s="460"/>
      <c r="CD1067" s="460"/>
      <c r="CE1067" s="460"/>
      <c r="CF1067" s="460"/>
      <c r="CG1067" s="460"/>
      <c r="CH1067" s="460"/>
      <c r="CI1067" s="460"/>
      <c r="CJ1067" s="460"/>
      <c r="CK1067" s="460"/>
    </row>
    <row r="1068" spans="1:89" s="329" customFormat="1" ht="36" customHeight="1" x14ac:dyDescent="0.25">
      <c r="A1068" s="329">
        <v>1</v>
      </c>
      <c r="B1068" s="39">
        <f>SUBTOTAL(103,$A$1000:A1068)</f>
        <v>68</v>
      </c>
      <c r="C1068" s="33" t="s">
        <v>1764</v>
      </c>
      <c r="D1068" s="330">
        <v>1964</v>
      </c>
      <c r="E1068" s="330">
        <v>2008</v>
      </c>
      <c r="F1068" s="331" t="s">
        <v>48</v>
      </c>
      <c r="G1068" s="330">
        <v>4</v>
      </c>
      <c r="H1068" s="330" t="s">
        <v>56</v>
      </c>
      <c r="I1068" s="334">
        <v>1368.5</v>
      </c>
      <c r="J1068" s="334">
        <v>1271.5</v>
      </c>
      <c r="K1068" s="334">
        <v>1271.5</v>
      </c>
      <c r="L1068" s="332">
        <v>43</v>
      </c>
      <c r="M1068" s="330" t="s">
        <v>46</v>
      </c>
      <c r="N1068" s="330" t="s">
        <v>2187</v>
      </c>
      <c r="O1068" s="333" t="s">
        <v>2188</v>
      </c>
      <c r="P1068" s="38">
        <v>491510.45999999996</v>
      </c>
      <c r="Q1068" s="38">
        <v>0</v>
      </c>
      <c r="R1068" s="38">
        <v>0</v>
      </c>
      <c r="S1068" s="38">
        <f t="shared" si="231"/>
        <v>491510.45999999996</v>
      </c>
      <c r="T1068" s="38">
        <f t="shared" si="229"/>
        <v>359.15999999999997</v>
      </c>
      <c r="U1068" s="38">
        <v>359.15999999999997</v>
      </c>
      <c r="V1068" s="458">
        <f t="shared" si="228"/>
        <v>0</v>
      </c>
      <c r="W1068" s="458">
        <f>T1068</f>
        <v>359.15999999999997</v>
      </c>
      <c r="X1068" s="458">
        <v>0</v>
      </c>
      <c r="Y1068" s="459">
        <v>0</v>
      </c>
      <c r="Z1068" s="459">
        <v>0</v>
      </c>
      <c r="AA1068" s="459">
        <v>184.98</v>
      </c>
      <c r="AB1068" s="459">
        <v>0</v>
      </c>
      <c r="AC1068" s="459">
        <v>0</v>
      </c>
      <c r="AD1068" s="459">
        <v>0</v>
      </c>
      <c r="AE1068" s="459">
        <v>0</v>
      </c>
      <c r="AF1068" s="458">
        <v>0</v>
      </c>
      <c r="AG1068" s="459">
        <v>0</v>
      </c>
      <c r="AH1068" s="458">
        <v>0</v>
      </c>
      <c r="AI1068" s="459">
        <v>0</v>
      </c>
      <c r="AJ1068" s="458">
        <v>0</v>
      </c>
      <c r="AK1068" s="459">
        <v>0</v>
      </c>
      <c r="AL1068" s="459">
        <v>0</v>
      </c>
      <c r="AM1068" s="459">
        <v>0</v>
      </c>
      <c r="AN1068" s="459"/>
      <c r="AO1068" s="459">
        <v>0</v>
      </c>
      <c r="AP1068" s="460"/>
      <c r="AQ1068" s="460"/>
      <c r="AR1068" s="460"/>
      <c r="AS1068" s="460"/>
      <c r="AT1068" s="460"/>
      <c r="AU1068" s="460"/>
      <c r="AV1068" s="460"/>
      <c r="AW1068" s="460"/>
      <c r="AX1068" s="460"/>
      <c r="AY1068" s="460"/>
      <c r="AZ1068" s="460"/>
      <c r="BA1068" s="460"/>
      <c r="BB1068" s="460"/>
      <c r="BC1068" s="460"/>
      <c r="BD1068" s="460"/>
      <c r="BE1068" s="460"/>
      <c r="BF1068" s="460"/>
      <c r="BG1068" s="460"/>
      <c r="BH1068" s="460"/>
      <c r="BI1068" s="460"/>
      <c r="BJ1068" s="460"/>
      <c r="BK1068" s="460"/>
      <c r="BL1068" s="460"/>
      <c r="BM1068" s="460"/>
      <c r="BN1068" s="460"/>
      <c r="BO1068" s="460"/>
      <c r="BP1068" s="460"/>
      <c r="BQ1068" s="460"/>
      <c r="BR1068" s="460"/>
      <c r="BS1068" s="460"/>
      <c r="BT1068" s="460"/>
      <c r="BU1068" s="460"/>
      <c r="BV1068" s="460"/>
      <c r="BW1068" s="460"/>
      <c r="BX1068" s="460"/>
      <c r="BY1068" s="460"/>
      <c r="BZ1068" s="460"/>
      <c r="CA1068" s="460"/>
      <c r="CB1068" s="460"/>
      <c r="CC1068" s="460"/>
      <c r="CD1068" s="460"/>
      <c r="CE1068" s="460"/>
      <c r="CF1068" s="460"/>
      <c r="CG1068" s="460"/>
      <c r="CH1068" s="460"/>
      <c r="CI1068" s="460"/>
      <c r="CJ1068" s="460"/>
      <c r="CK1068" s="460"/>
    </row>
    <row r="1069" spans="1:89" s="329" customFormat="1" ht="36" customHeight="1" x14ac:dyDescent="0.25">
      <c r="A1069" s="329">
        <v>1</v>
      </c>
      <c r="B1069" s="39">
        <f>SUBTOTAL(103,$A$1000:A1069)</f>
        <v>69</v>
      </c>
      <c r="C1069" s="33" t="s">
        <v>1765</v>
      </c>
      <c r="D1069" s="330">
        <v>1960</v>
      </c>
      <c r="E1069" s="330"/>
      <c r="F1069" s="331" t="s">
        <v>48</v>
      </c>
      <c r="G1069" s="330">
        <v>2</v>
      </c>
      <c r="H1069" s="330" t="s">
        <v>56</v>
      </c>
      <c r="I1069" s="334">
        <v>646.1</v>
      </c>
      <c r="J1069" s="334">
        <v>646.1</v>
      </c>
      <c r="K1069" s="334">
        <v>646.1</v>
      </c>
      <c r="L1069" s="332">
        <v>42</v>
      </c>
      <c r="M1069" s="330" t="s">
        <v>46</v>
      </c>
      <c r="N1069" s="330" t="s">
        <v>47</v>
      </c>
      <c r="O1069" s="333" t="s">
        <v>49</v>
      </c>
      <c r="P1069" s="38">
        <v>3422817.5799999996</v>
      </c>
      <c r="Q1069" s="38">
        <v>0</v>
      </c>
      <c r="R1069" s="38">
        <v>0</v>
      </c>
      <c r="S1069" s="38">
        <f t="shared" si="231"/>
        <v>3422817.5799999996</v>
      </c>
      <c r="T1069" s="38">
        <f t="shared" si="229"/>
        <v>5297.6591549295763</v>
      </c>
      <c r="U1069" s="38">
        <v>6048.5779436619714</v>
      </c>
      <c r="V1069" s="458">
        <f t="shared" si="228"/>
        <v>750.91878873239511</v>
      </c>
      <c r="W1069" s="458">
        <f t="shared" si="232"/>
        <v>6028.0172676056327</v>
      </c>
      <c r="X1069" s="458">
        <v>0</v>
      </c>
      <c r="Y1069" s="459">
        <v>0</v>
      </c>
      <c r="Z1069" s="459">
        <v>0</v>
      </c>
      <c r="AA1069" s="459">
        <v>0</v>
      </c>
      <c r="AB1069" s="459">
        <v>0</v>
      </c>
      <c r="AC1069" s="459">
        <v>0</v>
      </c>
      <c r="AD1069" s="459">
        <v>0</v>
      </c>
      <c r="AE1069" s="459">
        <v>624.26</v>
      </c>
      <c r="AF1069" s="458">
        <f>6238.91*AE1069/I1069</f>
        <v>6028.0172676056327</v>
      </c>
      <c r="AG1069" s="459">
        <v>0</v>
      </c>
      <c r="AH1069" s="458">
        <v>0</v>
      </c>
      <c r="AI1069" s="459">
        <v>0</v>
      </c>
      <c r="AJ1069" s="458">
        <v>0</v>
      </c>
      <c r="AK1069" s="459">
        <v>0</v>
      </c>
      <c r="AL1069" s="459">
        <v>0</v>
      </c>
      <c r="AM1069" s="459">
        <v>0</v>
      </c>
      <c r="AN1069" s="459"/>
      <c r="AO1069" s="459">
        <v>0</v>
      </c>
      <c r="AP1069" s="460"/>
      <c r="AQ1069" s="460"/>
      <c r="AR1069" s="460"/>
      <c r="AS1069" s="460"/>
      <c r="AT1069" s="460"/>
      <c r="AU1069" s="460"/>
      <c r="AV1069" s="460"/>
      <c r="AW1069" s="460"/>
      <c r="AX1069" s="460"/>
      <c r="AY1069" s="460"/>
      <c r="AZ1069" s="460"/>
      <c r="BA1069" s="460"/>
      <c r="BB1069" s="460"/>
      <c r="BC1069" s="460"/>
      <c r="BD1069" s="460"/>
      <c r="BE1069" s="460"/>
      <c r="BF1069" s="460"/>
      <c r="BG1069" s="460"/>
      <c r="BH1069" s="460"/>
      <c r="BI1069" s="460"/>
      <c r="BJ1069" s="460"/>
      <c r="BK1069" s="460"/>
      <c r="BL1069" s="460"/>
      <c r="BM1069" s="460"/>
      <c r="BN1069" s="460"/>
      <c r="BO1069" s="460"/>
      <c r="BP1069" s="460"/>
      <c r="BQ1069" s="460"/>
      <c r="BR1069" s="460"/>
      <c r="BS1069" s="460"/>
      <c r="BT1069" s="460"/>
      <c r="BU1069" s="460"/>
      <c r="BV1069" s="460"/>
      <c r="BW1069" s="460"/>
      <c r="BX1069" s="460"/>
      <c r="BY1069" s="460"/>
      <c r="BZ1069" s="460"/>
      <c r="CA1069" s="460"/>
      <c r="CB1069" s="460"/>
      <c r="CC1069" s="460"/>
      <c r="CD1069" s="460"/>
      <c r="CE1069" s="460"/>
      <c r="CF1069" s="460"/>
      <c r="CG1069" s="460"/>
      <c r="CH1069" s="460"/>
      <c r="CI1069" s="460"/>
      <c r="CJ1069" s="460"/>
      <c r="CK1069" s="460"/>
    </row>
    <row r="1070" spans="1:89" s="329" customFormat="1" ht="36" customHeight="1" x14ac:dyDescent="0.25">
      <c r="A1070" s="329">
        <v>1</v>
      </c>
      <c r="B1070" s="39">
        <f>SUBTOTAL(103,$A$1000:A1070)</f>
        <v>70</v>
      </c>
      <c r="C1070" s="33" t="s">
        <v>1766</v>
      </c>
      <c r="D1070" s="330">
        <v>1961</v>
      </c>
      <c r="E1070" s="330"/>
      <c r="F1070" s="331" t="s">
        <v>48</v>
      </c>
      <c r="G1070" s="330">
        <v>2</v>
      </c>
      <c r="H1070" s="330" t="s">
        <v>56</v>
      </c>
      <c r="I1070" s="334">
        <v>579.4</v>
      </c>
      <c r="J1070" s="334">
        <v>538.1</v>
      </c>
      <c r="K1070" s="334">
        <v>470.3</v>
      </c>
      <c r="L1070" s="332">
        <v>35</v>
      </c>
      <c r="M1070" s="330" t="s">
        <v>46</v>
      </c>
      <c r="N1070" s="330" t="s">
        <v>2031</v>
      </c>
      <c r="O1070" s="333" t="s">
        <v>49</v>
      </c>
      <c r="P1070" s="38">
        <v>2888444.4</v>
      </c>
      <c r="Q1070" s="38">
        <v>0</v>
      </c>
      <c r="R1070" s="38">
        <v>0</v>
      </c>
      <c r="S1070" s="38">
        <f t="shared" si="231"/>
        <v>2888444.4</v>
      </c>
      <c r="T1070" s="38">
        <f t="shared" si="229"/>
        <v>4985.2336900241626</v>
      </c>
      <c r="U1070" s="38">
        <v>5691.8676078702101</v>
      </c>
      <c r="V1070" s="458">
        <f t="shared" si="228"/>
        <v>706.63391784604755</v>
      </c>
      <c r="W1070" s="458">
        <f t="shared" si="232"/>
        <v>5672.5194822229887</v>
      </c>
      <c r="X1070" s="458">
        <v>0</v>
      </c>
      <c r="Y1070" s="459">
        <v>0</v>
      </c>
      <c r="Z1070" s="459">
        <v>0</v>
      </c>
      <c r="AA1070" s="459">
        <v>0</v>
      </c>
      <c r="AB1070" s="459">
        <v>0</v>
      </c>
      <c r="AC1070" s="459">
        <v>0</v>
      </c>
      <c r="AD1070" s="459">
        <v>0</v>
      </c>
      <c r="AE1070" s="459">
        <v>526.79999999999995</v>
      </c>
      <c r="AF1070" s="458">
        <f>6238.91*AE1070/I1070</f>
        <v>5672.5194822229887</v>
      </c>
      <c r="AG1070" s="459">
        <v>0</v>
      </c>
      <c r="AH1070" s="458">
        <v>0</v>
      </c>
      <c r="AI1070" s="459">
        <v>0</v>
      </c>
      <c r="AJ1070" s="458">
        <v>0</v>
      </c>
      <c r="AK1070" s="459">
        <v>0</v>
      </c>
      <c r="AL1070" s="459">
        <v>0</v>
      </c>
      <c r="AM1070" s="459">
        <v>0</v>
      </c>
      <c r="AN1070" s="459"/>
      <c r="AO1070" s="459">
        <v>0</v>
      </c>
      <c r="AP1070" s="460"/>
      <c r="AQ1070" s="460"/>
      <c r="AR1070" s="460"/>
      <c r="AS1070" s="460"/>
      <c r="AT1070" s="460"/>
      <c r="AU1070" s="460"/>
      <c r="AV1070" s="460"/>
      <c r="AW1070" s="460"/>
      <c r="AX1070" s="460"/>
      <c r="AY1070" s="460"/>
      <c r="AZ1070" s="460"/>
      <c r="BA1070" s="460"/>
      <c r="BB1070" s="460"/>
      <c r="BC1070" s="460"/>
      <c r="BD1070" s="460"/>
      <c r="BE1070" s="460"/>
      <c r="BF1070" s="460"/>
      <c r="BG1070" s="460"/>
      <c r="BH1070" s="460"/>
      <c r="BI1070" s="460"/>
      <c r="BJ1070" s="460"/>
      <c r="BK1070" s="460"/>
      <c r="BL1070" s="460"/>
      <c r="BM1070" s="460"/>
      <c r="BN1070" s="460"/>
      <c r="BO1070" s="460"/>
      <c r="BP1070" s="460"/>
      <c r="BQ1070" s="460"/>
      <c r="BR1070" s="460"/>
      <c r="BS1070" s="460"/>
      <c r="BT1070" s="460"/>
      <c r="BU1070" s="460"/>
      <c r="BV1070" s="460"/>
      <c r="BW1070" s="460"/>
      <c r="BX1070" s="460"/>
      <c r="BY1070" s="460"/>
      <c r="BZ1070" s="460"/>
      <c r="CA1070" s="460"/>
      <c r="CB1070" s="460"/>
      <c r="CC1070" s="460"/>
      <c r="CD1070" s="460"/>
      <c r="CE1070" s="460"/>
      <c r="CF1070" s="460"/>
      <c r="CG1070" s="460"/>
      <c r="CH1070" s="460"/>
      <c r="CI1070" s="460"/>
      <c r="CJ1070" s="460"/>
      <c r="CK1070" s="460"/>
    </row>
    <row r="1071" spans="1:89" s="329" customFormat="1" ht="36" customHeight="1" x14ac:dyDescent="0.25">
      <c r="A1071" s="329">
        <v>1</v>
      </c>
      <c r="B1071" s="39">
        <f>SUBTOTAL(103,$A$1000:A1071)</f>
        <v>71</v>
      </c>
      <c r="C1071" s="33" t="s">
        <v>1767</v>
      </c>
      <c r="D1071" s="330">
        <v>1960</v>
      </c>
      <c r="E1071" s="330"/>
      <c r="F1071" s="331" t="s">
        <v>48</v>
      </c>
      <c r="G1071" s="330">
        <v>2</v>
      </c>
      <c r="H1071" s="330" t="s">
        <v>56</v>
      </c>
      <c r="I1071" s="334">
        <v>591.29999999999995</v>
      </c>
      <c r="J1071" s="334">
        <v>543.1</v>
      </c>
      <c r="K1071" s="334">
        <v>477.6</v>
      </c>
      <c r="L1071" s="332">
        <v>28</v>
      </c>
      <c r="M1071" s="330" t="s">
        <v>46</v>
      </c>
      <c r="N1071" s="330" t="s">
        <v>47</v>
      </c>
      <c r="O1071" s="333" t="s">
        <v>49</v>
      </c>
      <c r="P1071" s="38">
        <v>3422817.5799999996</v>
      </c>
      <c r="Q1071" s="38">
        <v>0</v>
      </c>
      <c r="R1071" s="38">
        <v>0</v>
      </c>
      <c r="S1071" s="38">
        <f t="shared" si="231"/>
        <v>3422817.5799999996</v>
      </c>
      <c r="T1071" s="38">
        <f t="shared" si="229"/>
        <v>5788.6311178758669</v>
      </c>
      <c r="U1071" s="38">
        <v>6609.1429213597157</v>
      </c>
      <c r="V1071" s="458">
        <f t="shared" si="228"/>
        <v>820.51180348384878</v>
      </c>
      <c r="W1071" s="458">
        <f t="shared" si="232"/>
        <v>6586.6767404025031</v>
      </c>
      <c r="X1071" s="458">
        <v>0</v>
      </c>
      <c r="Y1071" s="459">
        <v>0</v>
      </c>
      <c r="Z1071" s="459">
        <v>0</v>
      </c>
      <c r="AA1071" s="459">
        <v>0</v>
      </c>
      <c r="AB1071" s="459">
        <v>0</v>
      </c>
      <c r="AC1071" s="459">
        <v>0</v>
      </c>
      <c r="AD1071" s="459">
        <v>0</v>
      </c>
      <c r="AE1071" s="459">
        <v>624.26</v>
      </c>
      <c r="AF1071" s="458">
        <f>6238.91*AE1071/I1071</f>
        <v>6586.6767404025031</v>
      </c>
      <c r="AG1071" s="459">
        <v>0</v>
      </c>
      <c r="AH1071" s="458">
        <v>0</v>
      </c>
      <c r="AI1071" s="459">
        <v>0</v>
      </c>
      <c r="AJ1071" s="458">
        <v>0</v>
      </c>
      <c r="AK1071" s="459">
        <v>0</v>
      </c>
      <c r="AL1071" s="459">
        <v>0</v>
      </c>
      <c r="AM1071" s="459">
        <v>0</v>
      </c>
      <c r="AN1071" s="459"/>
      <c r="AO1071" s="459">
        <v>0</v>
      </c>
      <c r="AP1071" s="460"/>
      <c r="AQ1071" s="460"/>
      <c r="AR1071" s="460"/>
      <c r="AS1071" s="460"/>
      <c r="AT1071" s="460"/>
      <c r="AU1071" s="460"/>
      <c r="AV1071" s="460"/>
      <c r="AW1071" s="460"/>
      <c r="AX1071" s="460"/>
      <c r="AY1071" s="460"/>
      <c r="AZ1071" s="460"/>
      <c r="BA1071" s="460"/>
      <c r="BB1071" s="460"/>
      <c r="BC1071" s="460"/>
      <c r="BD1071" s="460"/>
      <c r="BE1071" s="460"/>
      <c r="BF1071" s="460"/>
      <c r="BG1071" s="460"/>
      <c r="BH1071" s="460"/>
      <c r="BI1071" s="460"/>
      <c r="BJ1071" s="460"/>
      <c r="BK1071" s="460"/>
      <c r="BL1071" s="460"/>
      <c r="BM1071" s="460"/>
      <c r="BN1071" s="460"/>
      <c r="BO1071" s="460"/>
      <c r="BP1071" s="460"/>
      <c r="BQ1071" s="460"/>
      <c r="BR1071" s="460"/>
      <c r="BS1071" s="460"/>
      <c r="BT1071" s="460"/>
      <c r="BU1071" s="460"/>
      <c r="BV1071" s="460"/>
      <c r="BW1071" s="460"/>
      <c r="BX1071" s="460"/>
      <c r="BY1071" s="460"/>
      <c r="BZ1071" s="460"/>
      <c r="CA1071" s="460"/>
      <c r="CB1071" s="460"/>
      <c r="CC1071" s="460"/>
      <c r="CD1071" s="460"/>
      <c r="CE1071" s="460"/>
      <c r="CF1071" s="460"/>
      <c r="CG1071" s="460"/>
      <c r="CH1071" s="460"/>
      <c r="CI1071" s="460"/>
      <c r="CJ1071" s="460"/>
      <c r="CK1071" s="460"/>
    </row>
    <row r="1072" spans="1:89" s="329" customFormat="1" ht="36" customHeight="1" x14ac:dyDescent="0.25">
      <c r="A1072" s="329">
        <v>1</v>
      </c>
      <c r="B1072" s="39">
        <f>SUBTOTAL(103,$A$1000:A1072)</f>
        <v>72</v>
      </c>
      <c r="C1072" s="33" t="s">
        <v>1768</v>
      </c>
      <c r="D1072" s="330">
        <v>1962</v>
      </c>
      <c r="E1072" s="330"/>
      <c r="F1072" s="331" t="s">
        <v>48</v>
      </c>
      <c r="G1072" s="330">
        <v>2</v>
      </c>
      <c r="H1072" s="330" t="s">
        <v>56</v>
      </c>
      <c r="I1072" s="334">
        <v>540</v>
      </c>
      <c r="J1072" s="334">
        <v>540</v>
      </c>
      <c r="K1072" s="334">
        <v>500</v>
      </c>
      <c r="L1072" s="332">
        <v>26</v>
      </c>
      <c r="M1072" s="330" t="s">
        <v>46</v>
      </c>
      <c r="N1072" s="330" t="s">
        <v>47</v>
      </c>
      <c r="O1072" s="333" t="s">
        <v>49</v>
      </c>
      <c r="P1072" s="38">
        <v>3106903.4</v>
      </c>
      <c r="Q1072" s="38">
        <v>0</v>
      </c>
      <c r="R1072" s="38">
        <v>0</v>
      </c>
      <c r="S1072" s="38">
        <f t="shared" si="231"/>
        <v>3106903.4</v>
      </c>
      <c r="T1072" s="38">
        <f t="shared" si="229"/>
        <v>5753.5248148148148</v>
      </c>
      <c r="U1072" s="38">
        <v>6316.4157805555551</v>
      </c>
      <c r="V1072" s="458">
        <f t="shared" si="228"/>
        <v>562.89096574074028</v>
      </c>
      <c r="W1072" s="458">
        <f t="shared" si="232"/>
        <v>6294.9446546296294</v>
      </c>
      <c r="X1072" s="458">
        <v>0</v>
      </c>
      <c r="Y1072" s="459">
        <v>0</v>
      </c>
      <c r="Z1072" s="459">
        <v>0</v>
      </c>
      <c r="AA1072" s="459">
        <v>0</v>
      </c>
      <c r="AB1072" s="459">
        <v>0</v>
      </c>
      <c r="AC1072" s="459">
        <v>0</v>
      </c>
      <c r="AD1072" s="459">
        <v>0</v>
      </c>
      <c r="AE1072" s="459">
        <v>544.85</v>
      </c>
      <c r="AF1072" s="458">
        <f>6238.91*AE1072/I1072</f>
        <v>6294.9446546296294</v>
      </c>
      <c r="AG1072" s="459">
        <v>0</v>
      </c>
      <c r="AH1072" s="458">
        <v>0</v>
      </c>
      <c r="AI1072" s="459">
        <v>0</v>
      </c>
      <c r="AJ1072" s="458">
        <v>0</v>
      </c>
      <c r="AK1072" s="459">
        <v>0</v>
      </c>
      <c r="AL1072" s="459">
        <v>0</v>
      </c>
      <c r="AM1072" s="459">
        <v>0</v>
      </c>
      <c r="AN1072" s="459"/>
      <c r="AO1072" s="459">
        <v>0</v>
      </c>
      <c r="AP1072" s="460"/>
      <c r="AQ1072" s="460"/>
      <c r="AR1072" s="460"/>
      <c r="AS1072" s="460"/>
      <c r="AT1072" s="460"/>
      <c r="AU1072" s="460"/>
      <c r="AV1072" s="460"/>
      <c r="AW1072" s="460"/>
      <c r="AX1072" s="460"/>
      <c r="AY1072" s="460"/>
      <c r="AZ1072" s="460"/>
      <c r="BA1072" s="460"/>
      <c r="BB1072" s="460"/>
      <c r="BC1072" s="460"/>
      <c r="BD1072" s="460"/>
      <c r="BE1072" s="460"/>
      <c r="BF1072" s="460"/>
      <c r="BG1072" s="460"/>
      <c r="BH1072" s="460"/>
      <c r="BI1072" s="460"/>
      <c r="BJ1072" s="460"/>
      <c r="BK1072" s="460"/>
      <c r="BL1072" s="460"/>
      <c r="BM1072" s="460"/>
      <c r="BN1072" s="460"/>
      <c r="BO1072" s="460"/>
      <c r="BP1072" s="460"/>
      <c r="BQ1072" s="460"/>
      <c r="BR1072" s="460"/>
      <c r="BS1072" s="460"/>
      <c r="BT1072" s="460"/>
      <c r="BU1072" s="460"/>
      <c r="BV1072" s="460"/>
      <c r="BW1072" s="460"/>
      <c r="BX1072" s="460"/>
      <c r="BY1072" s="460"/>
      <c r="BZ1072" s="460"/>
      <c r="CA1072" s="460"/>
      <c r="CB1072" s="460"/>
      <c r="CC1072" s="460"/>
      <c r="CD1072" s="460"/>
      <c r="CE1072" s="460"/>
      <c r="CF1072" s="460"/>
      <c r="CG1072" s="460"/>
      <c r="CH1072" s="460"/>
      <c r="CI1072" s="460"/>
      <c r="CJ1072" s="460"/>
      <c r="CK1072" s="460"/>
    </row>
    <row r="1073" spans="1:89" s="329" customFormat="1" ht="36" customHeight="1" x14ac:dyDescent="0.25">
      <c r="A1073" s="329">
        <v>1</v>
      </c>
      <c r="B1073" s="39">
        <f>SUBTOTAL(103,$A$1000:A1073)</f>
        <v>73</v>
      </c>
      <c r="C1073" s="33" t="s">
        <v>1769</v>
      </c>
      <c r="D1073" s="330">
        <v>1964</v>
      </c>
      <c r="E1073" s="330"/>
      <c r="F1073" s="331" t="s">
        <v>48</v>
      </c>
      <c r="G1073" s="330">
        <v>2</v>
      </c>
      <c r="H1073" s="330" t="s">
        <v>56</v>
      </c>
      <c r="I1073" s="334">
        <v>420</v>
      </c>
      <c r="J1073" s="334">
        <v>380.1</v>
      </c>
      <c r="K1073" s="334">
        <v>337</v>
      </c>
      <c r="L1073" s="332">
        <v>21</v>
      </c>
      <c r="M1073" s="330" t="s">
        <v>46</v>
      </c>
      <c r="N1073" s="330" t="s">
        <v>47</v>
      </c>
      <c r="O1073" s="333" t="s">
        <v>49</v>
      </c>
      <c r="P1073" s="38">
        <v>2564145.2799999998</v>
      </c>
      <c r="Q1073" s="38">
        <v>0</v>
      </c>
      <c r="R1073" s="38">
        <v>0</v>
      </c>
      <c r="S1073" s="38">
        <f t="shared" si="231"/>
        <v>2564145.2799999998</v>
      </c>
      <c r="T1073" s="38">
        <f t="shared" si="229"/>
        <v>6105.107809523809</v>
      </c>
      <c r="U1073" s="38">
        <v>6105.107809523809</v>
      </c>
      <c r="V1073" s="458">
        <f t="shared" si="228"/>
        <v>0</v>
      </c>
      <c r="W1073" s="458">
        <f>T1073</f>
        <v>6105.107809523809</v>
      </c>
      <c r="X1073" s="458">
        <v>0</v>
      </c>
      <c r="Y1073" s="459">
        <v>0</v>
      </c>
      <c r="Z1073" s="459">
        <v>0</v>
      </c>
      <c r="AA1073" s="459">
        <v>0</v>
      </c>
      <c r="AB1073" s="459">
        <v>0</v>
      </c>
      <c r="AC1073" s="459">
        <v>0</v>
      </c>
      <c r="AD1073" s="459">
        <v>0</v>
      </c>
      <c r="AE1073" s="459">
        <v>375</v>
      </c>
      <c r="AF1073" s="458">
        <f>6436.53*AE1073/I1073</f>
        <v>5746.9017857142853</v>
      </c>
      <c r="AG1073" s="459">
        <v>0</v>
      </c>
      <c r="AH1073" s="458">
        <v>0</v>
      </c>
      <c r="AI1073" s="459">
        <v>0</v>
      </c>
      <c r="AJ1073" s="458">
        <v>0</v>
      </c>
      <c r="AK1073" s="459">
        <v>0</v>
      </c>
      <c r="AL1073" s="459">
        <v>0</v>
      </c>
      <c r="AM1073" s="459">
        <v>0</v>
      </c>
      <c r="AN1073" s="459"/>
      <c r="AO1073" s="459">
        <v>0</v>
      </c>
      <c r="AP1073" s="460"/>
      <c r="AQ1073" s="460"/>
      <c r="AR1073" s="460"/>
      <c r="AS1073" s="460"/>
      <c r="AT1073" s="460"/>
      <c r="AU1073" s="460"/>
      <c r="AV1073" s="460"/>
      <c r="AW1073" s="460"/>
      <c r="AX1073" s="460"/>
      <c r="AY1073" s="460"/>
      <c r="AZ1073" s="460"/>
      <c r="BA1073" s="460"/>
      <c r="BB1073" s="460"/>
      <c r="BC1073" s="460"/>
      <c r="BD1073" s="460"/>
      <c r="BE1073" s="460"/>
      <c r="BF1073" s="460"/>
      <c r="BG1073" s="460"/>
      <c r="BH1073" s="460"/>
      <c r="BI1073" s="460"/>
      <c r="BJ1073" s="460"/>
      <c r="BK1073" s="460"/>
      <c r="BL1073" s="460"/>
      <c r="BM1073" s="460"/>
      <c r="BN1073" s="460"/>
      <c r="BO1073" s="460"/>
      <c r="BP1073" s="460"/>
      <c r="BQ1073" s="460"/>
      <c r="BR1073" s="460"/>
      <c r="BS1073" s="460"/>
      <c r="BT1073" s="460"/>
      <c r="BU1073" s="460"/>
      <c r="BV1073" s="460"/>
      <c r="BW1073" s="460"/>
      <c r="BX1073" s="460"/>
      <c r="BY1073" s="460"/>
      <c r="BZ1073" s="460"/>
      <c r="CA1073" s="460"/>
      <c r="CB1073" s="460"/>
      <c r="CC1073" s="460"/>
      <c r="CD1073" s="460"/>
      <c r="CE1073" s="460"/>
      <c r="CF1073" s="460"/>
      <c r="CG1073" s="460"/>
      <c r="CH1073" s="460"/>
      <c r="CI1073" s="460"/>
      <c r="CJ1073" s="460"/>
      <c r="CK1073" s="460"/>
    </row>
    <row r="1074" spans="1:89" s="329" customFormat="1" ht="61.5" x14ac:dyDescent="0.25">
      <c r="A1074" s="329">
        <v>1</v>
      </c>
      <c r="B1074" s="39">
        <f>SUBTOTAL(103,$A$1000:A1074)</f>
        <v>74</v>
      </c>
      <c r="C1074" s="33" t="s">
        <v>1770</v>
      </c>
      <c r="D1074" s="330">
        <v>1965</v>
      </c>
      <c r="E1074" s="330"/>
      <c r="F1074" s="331" t="s">
        <v>48</v>
      </c>
      <c r="G1074" s="330">
        <v>4</v>
      </c>
      <c r="H1074" s="330" t="s">
        <v>61</v>
      </c>
      <c r="I1074" s="334">
        <v>2024.1</v>
      </c>
      <c r="J1074" s="334">
        <v>1904.5</v>
      </c>
      <c r="K1074" s="334">
        <v>1691</v>
      </c>
      <c r="L1074" s="332">
        <v>86</v>
      </c>
      <c r="M1074" s="330" t="s">
        <v>46</v>
      </c>
      <c r="N1074" s="330" t="s">
        <v>50</v>
      </c>
      <c r="O1074" s="333" t="s">
        <v>1985</v>
      </c>
      <c r="P1074" s="38">
        <v>3110189.0700000003</v>
      </c>
      <c r="Q1074" s="38">
        <v>0</v>
      </c>
      <c r="R1074" s="38">
        <v>0</v>
      </c>
      <c r="S1074" s="38">
        <f t="shared" si="231"/>
        <v>3110189.0700000003</v>
      </c>
      <c r="T1074" s="38">
        <f t="shared" si="229"/>
        <v>1536.5787609307843</v>
      </c>
      <c r="U1074" s="38">
        <v>1691.7760634356009</v>
      </c>
      <c r="V1074" s="458">
        <f t="shared" si="228"/>
        <v>155.19730250481666</v>
      </c>
      <c r="W1074" s="458">
        <f t="shared" si="232"/>
        <v>1686.0252803715232</v>
      </c>
      <c r="X1074" s="458">
        <v>0</v>
      </c>
      <c r="Y1074" s="459">
        <v>0</v>
      </c>
      <c r="Z1074" s="459">
        <v>0</v>
      </c>
      <c r="AA1074" s="459">
        <v>0</v>
      </c>
      <c r="AB1074" s="459">
        <v>0</v>
      </c>
      <c r="AC1074" s="459">
        <v>0</v>
      </c>
      <c r="AD1074" s="459">
        <v>0</v>
      </c>
      <c r="AE1074" s="459">
        <v>547</v>
      </c>
      <c r="AF1074" s="458">
        <f>6238.91*AE1074/I1074</f>
        <v>1686.0252803715232</v>
      </c>
      <c r="AG1074" s="459">
        <v>0</v>
      </c>
      <c r="AH1074" s="458">
        <v>0</v>
      </c>
      <c r="AI1074" s="459">
        <v>0</v>
      </c>
      <c r="AJ1074" s="458">
        <v>0</v>
      </c>
      <c r="AK1074" s="459">
        <v>0</v>
      </c>
      <c r="AL1074" s="459">
        <v>0</v>
      </c>
      <c r="AM1074" s="459">
        <v>0</v>
      </c>
      <c r="AN1074" s="459"/>
      <c r="AO1074" s="459">
        <v>0</v>
      </c>
      <c r="AP1074" s="460"/>
      <c r="AQ1074" s="460"/>
      <c r="AR1074" s="460"/>
      <c r="AS1074" s="460"/>
      <c r="AT1074" s="460"/>
      <c r="AU1074" s="460"/>
      <c r="AV1074" s="460"/>
      <c r="AW1074" s="460"/>
      <c r="AX1074" s="460"/>
      <c r="AY1074" s="460"/>
      <c r="AZ1074" s="460"/>
      <c r="BA1074" s="460"/>
      <c r="BB1074" s="460"/>
      <c r="BC1074" s="460"/>
      <c r="BD1074" s="460"/>
      <c r="BE1074" s="460"/>
      <c r="BF1074" s="460"/>
      <c r="BG1074" s="460"/>
      <c r="BH1074" s="460"/>
      <c r="BI1074" s="460"/>
      <c r="BJ1074" s="460"/>
      <c r="BK1074" s="460"/>
      <c r="BL1074" s="460"/>
      <c r="BM1074" s="460"/>
      <c r="BN1074" s="460"/>
      <c r="BO1074" s="460"/>
      <c r="BP1074" s="460"/>
      <c r="BQ1074" s="460"/>
      <c r="BR1074" s="460"/>
      <c r="BS1074" s="460"/>
      <c r="BT1074" s="460"/>
      <c r="BU1074" s="460"/>
      <c r="BV1074" s="460"/>
      <c r="BW1074" s="460"/>
      <c r="BX1074" s="460"/>
      <c r="BY1074" s="460"/>
      <c r="BZ1074" s="460"/>
      <c r="CA1074" s="460"/>
      <c r="CB1074" s="460"/>
      <c r="CC1074" s="460"/>
      <c r="CD1074" s="460"/>
      <c r="CE1074" s="460"/>
      <c r="CF1074" s="460"/>
      <c r="CG1074" s="460"/>
      <c r="CH1074" s="460"/>
      <c r="CI1074" s="460"/>
      <c r="CJ1074" s="460"/>
      <c r="CK1074" s="460"/>
    </row>
    <row r="1075" spans="1:89" s="329" customFormat="1" ht="36" customHeight="1" x14ac:dyDescent="0.25">
      <c r="A1075" s="329">
        <v>1</v>
      </c>
      <c r="B1075" s="39">
        <f>SUBTOTAL(103,$A$1000:A1075)</f>
        <v>75</v>
      </c>
      <c r="C1075" s="33" t="s">
        <v>1771</v>
      </c>
      <c r="D1075" s="330">
        <v>1951</v>
      </c>
      <c r="E1075" s="330"/>
      <c r="F1075" s="331" t="s">
        <v>1990</v>
      </c>
      <c r="G1075" s="330">
        <v>2</v>
      </c>
      <c r="H1075" s="330" t="s">
        <v>56</v>
      </c>
      <c r="I1075" s="334">
        <v>421.2</v>
      </c>
      <c r="J1075" s="334">
        <v>379.5</v>
      </c>
      <c r="K1075" s="334">
        <v>379.5</v>
      </c>
      <c r="L1075" s="332">
        <v>21</v>
      </c>
      <c r="M1075" s="330" t="s">
        <v>46</v>
      </c>
      <c r="N1075" s="330" t="s">
        <v>47</v>
      </c>
      <c r="O1075" s="333" t="s">
        <v>49</v>
      </c>
      <c r="P1075" s="38">
        <v>2521758.64</v>
      </c>
      <c r="Q1075" s="38">
        <v>0</v>
      </c>
      <c r="R1075" s="38">
        <v>0</v>
      </c>
      <c r="S1075" s="38">
        <f t="shared" si="231"/>
        <v>2521758.64</v>
      </c>
      <c r="T1075" s="38">
        <f t="shared" si="229"/>
        <v>5987.0812915479582</v>
      </c>
      <c r="U1075" s="38">
        <v>5987.0812915479582</v>
      </c>
      <c r="V1075" s="458">
        <f t="shared" si="228"/>
        <v>0</v>
      </c>
      <c r="W1075" s="458">
        <f t="shared" si="232"/>
        <v>6088.7251025641026</v>
      </c>
      <c r="X1075" s="458">
        <v>0</v>
      </c>
      <c r="Y1075" s="459">
        <v>0</v>
      </c>
      <c r="Z1075" s="459">
        <v>0</v>
      </c>
      <c r="AA1075" s="459">
        <v>0</v>
      </c>
      <c r="AB1075" s="459">
        <v>0</v>
      </c>
      <c r="AC1075" s="459">
        <v>0</v>
      </c>
      <c r="AD1075" s="459">
        <v>0</v>
      </c>
      <c r="AE1075" s="459">
        <v>398.44</v>
      </c>
      <c r="AF1075" s="458">
        <f>6436.53*AE1075/I1075</f>
        <v>6088.7251025641026</v>
      </c>
      <c r="AG1075" s="459">
        <v>0</v>
      </c>
      <c r="AH1075" s="458">
        <v>0</v>
      </c>
      <c r="AI1075" s="459">
        <v>0</v>
      </c>
      <c r="AJ1075" s="458">
        <v>0</v>
      </c>
      <c r="AK1075" s="459">
        <v>0</v>
      </c>
      <c r="AL1075" s="459">
        <v>0</v>
      </c>
      <c r="AM1075" s="459">
        <v>0</v>
      </c>
      <c r="AN1075" s="459"/>
      <c r="AO1075" s="459">
        <v>0</v>
      </c>
      <c r="AP1075" s="460"/>
      <c r="AQ1075" s="460"/>
      <c r="AR1075" s="460"/>
      <c r="AS1075" s="460"/>
      <c r="AT1075" s="460"/>
      <c r="AU1075" s="460"/>
      <c r="AV1075" s="460"/>
      <c r="AW1075" s="460"/>
      <c r="AX1075" s="460"/>
      <c r="AY1075" s="460"/>
      <c r="AZ1075" s="460"/>
      <c r="BA1075" s="460"/>
      <c r="BB1075" s="460"/>
      <c r="BC1075" s="460"/>
      <c r="BD1075" s="460"/>
      <c r="BE1075" s="460"/>
      <c r="BF1075" s="460"/>
      <c r="BG1075" s="460"/>
      <c r="BH1075" s="460"/>
      <c r="BI1075" s="460"/>
      <c r="BJ1075" s="460"/>
      <c r="BK1075" s="460"/>
      <c r="BL1075" s="460"/>
      <c r="BM1075" s="460"/>
      <c r="BN1075" s="460"/>
      <c r="BO1075" s="460"/>
      <c r="BP1075" s="460"/>
      <c r="BQ1075" s="460"/>
      <c r="BR1075" s="460"/>
      <c r="BS1075" s="460"/>
      <c r="BT1075" s="460"/>
      <c r="BU1075" s="460"/>
      <c r="BV1075" s="460"/>
      <c r="BW1075" s="460"/>
      <c r="BX1075" s="460"/>
      <c r="BY1075" s="460"/>
      <c r="BZ1075" s="460"/>
      <c r="CA1075" s="460"/>
      <c r="CB1075" s="460"/>
      <c r="CC1075" s="460"/>
      <c r="CD1075" s="460"/>
      <c r="CE1075" s="460"/>
      <c r="CF1075" s="460"/>
      <c r="CG1075" s="460"/>
      <c r="CH1075" s="460"/>
      <c r="CI1075" s="460"/>
      <c r="CJ1075" s="460"/>
      <c r="CK1075" s="460"/>
    </row>
    <row r="1076" spans="1:89" s="329" customFormat="1" ht="36" customHeight="1" x14ac:dyDescent="0.25">
      <c r="A1076" s="329">
        <v>1</v>
      </c>
      <c r="B1076" s="39">
        <f>SUBTOTAL(103,$A$1000:A1076)</f>
        <v>76</v>
      </c>
      <c r="C1076" s="33" t="s">
        <v>1772</v>
      </c>
      <c r="D1076" s="330">
        <v>1887</v>
      </c>
      <c r="E1076" s="330"/>
      <c r="F1076" s="331" t="s">
        <v>2143</v>
      </c>
      <c r="G1076" s="330">
        <v>2</v>
      </c>
      <c r="H1076" s="330" t="s">
        <v>56</v>
      </c>
      <c r="I1076" s="334">
        <v>323</v>
      </c>
      <c r="J1076" s="334">
        <v>291.7</v>
      </c>
      <c r="K1076" s="334">
        <v>291.7</v>
      </c>
      <c r="L1076" s="332">
        <v>16</v>
      </c>
      <c r="M1076" s="330" t="s">
        <v>46</v>
      </c>
      <c r="N1076" s="330" t="s">
        <v>47</v>
      </c>
      <c r="O1076" s="333" t="s">
        <v>49</v>
      </c>
      <c r="P1076" s="38">
        <v>2382311.33</v>
      </c>
      <c r="Q1076" s="38">
        <v>0</v>
      </c>
      <c r="R1076" s="38">
        <v>0</v>
      </c>
      <c r="S1076" s="38">
        <f t="shared" si="231"/>
        <v>2382311.33</v>
      </c>
      <c r="T1076" s="38">
        <f t="shared" si="229"/>
        <v>7375.5768730650161</v>
      </c>
      <c r="U1076" s="38">
        <v>7833.9591269349839</v>
      </c>
      <c r="V1076" s="458">
        <f t="shared" si="228"/>
        <v>458.38225386996783</v>
      </c>
      <c r="W1076" s="458">
        <f t="shared" si="232"/>
        <v>7807.3294798761599</v>
      </c>
      <c r="X1076" s="458">
        <v>0</v>
      </c>
      <c r="Y1076" s="459">
        <v>0</v>
      </c>
      <c r="Z1076" s="459">
        <v>0</v>
      </c>
      <c r="AA1076" s="459">
        <v>0</v>
      </c>
      <c r="AB1076" s="459">
        <v>0</v>
      </c>
      <c r="AC1076" s="459">
        <v>0</v>
      </c>
      <c r="AD1076" s="459">
        <v>0</v>
      </c>
      <c r="AE1076" s="459">
        <v>404.2</v>
      </c>
      <c r="AF1076" s="458">
        <f>6238.91*AE1076/I1076</f>
        <v>7807.3294798761599</v>
      </c>
      <c r="AG1076" s="459">
        <v>0</v>
      </c>
      <c r="AH1076" s="458">
        <v>0</v>
      </c>
      <c r="AI1076" s="459">
        <v>0</v>
      </c>
      <c r="AJ1076" s="458">
        <v>0</v>
      </c>
      <c r="AK1076" s="459">
        <v>0</v>
      </c>
      <c r="AL1076" s="459">
        <v>0</v>
      </c>
      <c r="AM1076" s="459">
        <v>0</v>
      </c>
      <c r="AN1076" s="459"/>
      <c r="AO1076" s="459">
        <v>0</v>
      </c>
      <c r="AP1076" s="460"/>
      <c r="AQ1076" s="460"/>
      <c r="AR1076" s="460"/>
      <c r="AS1076" s="460"/>
      <c r="AT1076" s="460"/>
      <c r="AU1076" s="460"/>
      <c r="AV1076" s="460"/>
      <c r="AW1076" s="460"/>
      <c r="AX1076" s="460"/>
      <c r="AY1076" s="460"/>
      <c r="AZ1076" s="460"/>
      <c r="BA1076" s="460"/>
      <c r="BB1076" s="460"/>
      <c r="BC1076" s="460"/>
      <c r="BD1076" s="460"/>
      <c r="BE1076" s="460"/>
      <c r="BF1076" s="460"/>
      <c r="BG1076" s="460"/>
      <c r="BH1076" s="460"/>
      <c r="BI1076" s="460"/>
      <c r="BJ1076" s="460"/>
      <c r="BK1076" s="460"/>
      <c r="BL1076" s="460"/>
      <c r="BM1076" s="460"/>
      <c r="BN1076" s="460"/>
      <c r="BO1076" s="460"/>
      <c r="BP1076" s="460"/>
      <c r="BQ1076" s="460"/>
      <c r="BR1076" s="460"/>
      <c r="BS1076" s="460"/>
      <c r="BT1076" s="460"/>
      <c r="BU1076" s="460"/>
      <c r="BV1076" s="460"/>
      <c r="BW1076" s="460"/>
      <c r="BX1076" s="460"/>
      <c r="BY1076" s="460"/>
      <c r="BZ1076" s="460"/>
      <c r="CA1076" s="460"/>
      <c r="CB1076" s="460"/>
      <c r="CC1076" s="460"/>
      <c r="CD1076" s="460"/>
      <c r="CE1076" s="460"/>
      <c r="CF1076" s="460"/>
      <c r="CG1076" s="460"/>
      <c r="CH1076" s="460"/>
      <c r="CI1076" s="460"/>
      <c r="CJ1076" s="460"/>
      <c r="CK1076" s="460"/>
    </row>
    <row r="1077" spans="1:89" s="329" customFormat="1" ht="36" customHeight="1" x14ac:dyDescent="0.25">
      <c r="B1077" s="33" t="s">
        <v>1140</v>
      </c>
      <c r="C1077" s="462"/>
      <c r="D1077" s="330" t="s">
        <v>131</v>
      </c>
      <c r="E1077" s="330" t="s">
        <v>131</v>
      </c>
      <c r="F1077" s="330" t="s">
        <v>131</v>
      </c>
      <c r="G1077" s="330" t="s">
        <v>131</v>
      </c>
      <c r="H1077" s="330" t="s">
        <v>131</v>
      </c>
      <c r="I1077" s="334">
        <f>SUM(I1078:I1103)</f>
        <v>49658.150000000009</v>
      </c>
      <c r="J1077" s="334">
        <f>SUM(J1078:J1103)</f>
        <v>45628.960000000006</v>
      </c>
      <c r="K1077" s="334">
        <f>SUM(K1078:K1103)</f>
        <v>40475.899999999994</v>
      </c>
      <c r="L1077" s="332">
        <f>SUM(L1078:L1103)</f>
        <v>2164</v>
      </c>
      <c r="M1077" s="330" t="s">
        <v>131</v>
      </c>
      <c r="N1077" s="330" t="s">
        <v>131</v>
      </c>
      <c r="O1077" s="333" t="s">
        <v>131</v>
      </c>
      <c r="P1077" s="334">
        <v>90625537.659999982</v>
      </c>
      <c r="Q1077" s="334">
        <f>SUM(Q1078:Q1103)</f>
        <v>0</v>
      </c>
      <c r="R1077" s="334">
        <f>SUM(R1078:R1103)</f>
        <v>0</v>
      </c>
      <c r="S1077" s="334">
        <f>SUM(S1078:S1103)</f>
        <v>90625537.659999982</v>
      </c>
      <c r="T1077" s="38">
        <f t="shared" si="229"/>
        <v>1824.9881975063502</v>
      </c>
      <c r="U1077" s="38">
        <f>MAX(U1078:U1103)</f>
        <v>6189.9626540684631</v>
      </c>
      <c r="V1077" s="458">
        <f t="shared" si="228"/>
        <v>4364.9744565621131</v>
      </c>
      <c r="W1077" s="458"/>
      <c r="X1077" s="458"/>
      <c r="Y1077" s="459"/>
      <c r="Z1077" s="459"/>
      <c r="AA1077" s="459"/>
      <c r="AB1077" s="459"/>
      <c r="AC1077" s="459"/>
      <c r="AD1077" s="459"/>
      <c r="AE1077" s="459"/>
      <c r="AF1077" s="459"/>
      <c r="AG1077" s="459"/>
      <c r="AH1077" s="459"/>
      <c r="AI1077" s="459"/>
      <c r="AJ1077" s="459"/>
      <c r="AK1077" s="459"/>
      <c r="AL1077" s="459"/>
      <c r="AM1077" s="459"/>
      <c r="AN1077" s="459"/>
      <c r="AO1077" s="459"/>
      <c r="AP1077" s="460"/>
      <c r="AQ1077" s="460"/>
      <c r="AR1077" s="460"/>
      <c r="AS1077" s="460"/>
      <c r="AT1077" s="460"/>
      <c r="AU1077" s="460"/>
      <c r="AV1077" s="460"/>
      <c r="AW1077" s="460"/>
      <c r="AX1077" s="460"/>
      <c r="AY1077" s="460"/>
      <c r="AZ1077" s="460"/>
      <c r="BA1077" s="460"/>
      <c r="BB1077" s="460"/>
      <c r="BC1077" s="460"/>
      <c r="BD1077" s="460"/>
      <c r="BE1077" s="460"/>
      <c r="BF1077" s="460"/>
      <c r="BG1077" s="460"/>
      <c r="BH1077" s="460"/>
      <c r="BI1077" s="460"/>
      <c r="BJ1077" s="460"/>
      <c r="BK1077" s="460"/>
      <c r="BL1077" s="460"/>
      <c r="BM1077" s="460"/>
      <c r="BN1077" s="460"/>
      <c r="BO1077" s="460"/>
      <c r="BP1077" s="460"/>
      <c r="BQ1077" s="460"/>
      <c r="BR1077" s="460"/>
      <c r="BS1077" s="460"/>
      <c r="BT1077" s="460"/>
      <c r="BU1077" s="460"/>
      <c r="BV1077" s="460"/>
      <c r="BW1077" s="460"/>
      <c r="BX1077" s="460"/>
      <c r="BY1077" s="460"/>
      <c r="BZ1077" s="460"/>
      <c r="CA1077" s="460"/>
      <c r="CB1077" s="460"/>
      <c r="CC1077" s="460"/>
      <c r="CD1077" s="460"/>
      <c r="CE1077" s="460"/>
      <c r="CF1077" s="460"/>
      <c r="CG1077" s="460"/>
      <c r="CH1077" s="460"/>
      <c r="CI1077" s="460"/>
      <c r="CJ1077" s="460"/>
      <c r="CK1077" s="460"/>
    </row>
    <row r="1078" spans="1:89" s="329" customFormat="1" ht="36" customHeight="1" x14ac:dyDescent="0.25">
      <c r="A1078" s="329">
        <v>1</v>
      </c>
      <c r="B1078" s="39">
        <f>SUBTOTAL(103,$A$1000:A1078)</f>
        <v>77</v>
      </c>
      <c r="C1078" s="33" t="s">
        <v>1773</v>
      </c>
      <c r="D1078" s="330">
        <v>1959</v>
      </c>
      <c r="E1078" s="330"/>
      <c r="F1078" s="331" t="s">
        <v>48</v>
      </c>
      <c r="G1078" s="330">
        <v>3</v>
      </c>
      <c r="H1078" s="330" t="s">
        <v>59</v>
      </c>
      <c r="I1078" s="334">
        <v>2102.6</v>
      </c>
      <c r="J1078" s="334">
        <v>1922.7</v>
      </c>
      <c r="K1078" s="334">
        <v>1915.7</v>
      </c>
      <c r="L1078" s="332">
        <v>71</v>
      </c>
      <c r="M1078" s="330" t="s">
        <v>46</v>
      </c>
      <c r="N1078" s="330" t="s">
        <v>50</v>
      </c>
      <c r="O1078" s="333" t="s">
        <v>66</v>
      </c>
      <c r="P1078" s="38">
        <v>4487224.8899999997</v>
      </c>
      <c r="Q1078" s="38">
        <v>0</v>
      </c>
      <c r="R1078" s="38">
        <v>0</v>
      </c>
      <c r="S1078" s="38">
        <f t="shared" ref="S1078:S1103" si="233">P1078-Q1078-R1078</f>
        <v>4487224.8899999997</v>
      </c>
      <c r="T1078" s="38">
        <f t="shared" si="229"/>
        <v>2134.1314990963569</v>
      </c>
      <c r="U1078" s="38">
        <v>2768.941643679254</v>
      </c>
      <c r="V1078" s="458">
        <f t="shared" si="228"/>
        <v>634.81014458289701</v>
      </c>
      <c r="W1078" s="458">
        <f t="shared" ref="W1078:W1103" si="234">X1078+Y1078+Z1078+AA1078+AB1078+AD1078+AF1078+AH1078+AJ1078+AL1078+AN1078+AO1078</f>
        <v>2759.529297060782</v>
      </c>
      <c r="X1078" s="458">
        <v>0</v>
      </c>
      <c r="Y1078" s="459">
        <v>0</v>
      </c>
      <c r="Z1078" s="459">
        <v>0</v>
      </c>
      <c r="AA1078" s="459">
        <v>0</v>
      </c>
      <c r="AB1078" s="459">
        <v>0</v>
      </c>
      <c r="AC1078" s="459">
        <v>0</v>
      </c>
      <c r="AD1078" s="459">
        <v>0</v>
      </c>
      <c r="AE1078" s="459">
        <v>930</v>
      </c>
      <c r="AF1078" s="458">
        <f>6238.91*AE1078/I1078</f>
        <v>2759.529297060782</v>
      </c>
      <c r="AG1078" s="459">
        <v>0</v>
      </c>
      <c r="AH1078" s="458">
        <v>0</v>
      </c>
      <c r="AI1078" s="459">
        <v>0</v>
      </c>
      <c r="AJ1078" s="458">
        <v>0</v>
      </c>
      <c r="AK1078" s="459">
        <v>0</v>
      </c>
      <c r="AL1078" s="459">
        <v>0</v>
      </c>
      <c r="AM1078" s="459">
        <v>0</v>
      </c>
      <c r="AN1078" s="459"/>
      <c r="AO1078" s="459">
        <v>0</v>
      </c>
      <c r="AP1078" s="460"/>
      <c r="AQ1078" s="460"/>
      <c r="AR1078" s="460"/>
      <c r="AS1078" s="460"/>
      <c r="AT1078" s="460"/>
      <c r="AU1078" s="460"/>
      <c r="AV1078" s="460"/>
      <c r="AW1078" s="460"/>
      <c r="AX1078" s="460"/>
      <c r="AY1078" s="460"/>
      <c r="AZ1078" s="460"/>
      <c r="BA1078" s="460"/>
      <c r="BB1078" s="460"/>
      <c r="BC1078" s="460"/>
      <c r="BD1078" s="460"/>
      <c r="BE1078" s="460"/>
      <c r="BF1078" s="460"/>
      <c r="BG1078" s="460"/>
      <c r="BH1078" s="460"/>
      <c r="BI1078" s="460"/>
      <c r="BJ1078" s="460"/>
      <c r="BK1078" s="460"/>
      <c r="BL1078" s="460"/>
      <c r="BM1078" s="460"/>
      <c r="BN1078" s="460"/>
      <c r="BO1078" s="460"/>
      <c r="BP1078" s="460"/>
      <c r="BQ1078" s="460"/>
      <c r="BR1078" s="460"/>
      <c r="BS1078" s="460"/>
      <c r="BT1078" s="460"/>
      <c r="BU1078" s="460"/>
      <c r="BV1078" s="460"/>
      <c r="BW1078" s="460"/>
      <c r="BX1078" s="460"/>
      <c r="BY1078" s="460"/>
      <c r="BZ1078" s="460"/>
      <c r="CA1078" s="460"/>
      <c r="CB1078" s="460"/>
      <c r="CC1078" s="460"/>
      <c r="CD1078" s="460"/>
      <c r="CE1078" s="460"/>
      <c r="CF1078" s="460"/>
      <c r="CG1078" s="460"/>
      <c r="CH1078" s="460"/>
      <c r="CI1078" s="460"/>
      <c r="CJ1078" s="460"/>
      <c r="CK1078" s="460"/>
    </row>
    <row r="1079" spans="1:89" s="329" customFormat="1" ht="36" customHeight="1" x14ac:dyDescent="0.25">
      <c r="A1079" s="329">
        <v>1</v>
      </c>
      <c r="B1079" s="39">
        <f>SUBTOTAL(103,$A$1000:A1079)</f>
        <v>78</v>
      </c>
      <c r="C1079" s="33" t="s">
        <v>1774</v>
      </c>
      <c r="D1079" s="330">
        <v>1989</v>
      </c>
      <c r="E1079" s="330"/>
      <c r="F1079" s="331" t="s">
        <v>48</v>
      </c>
      <c r="G1079" s="330">
        <v>5</v>
      </c>
      <c r="H1079" s="330" t="s">
        <v>61</v>
      </c>
      <c r="I1079" s="334">
        <v>2042.1</v>
      </c>
      <c r="J1079" s="334">
        <v>1817.7</v>
      </c>
      <c r="K1079" s="334">
        <v>1675.9</v>
      </c>
      <c r="L1079" s="332">
        <v>83</v>
      </c>
      <c r="M1079" s="330" t="s">
        <v>46</v>
      </c>
      <c r="N1079" s="330" t="s">
        <v>50</v>
      </c>
      <c r="O1079" s="333" t="s">
        <v>1996</v>
      </c>
      <c r="P1079" s="38">
        <v>3810770.28</v>
      </c>
      <c r="Q1079" s="38">
        <v>0</v>
      </c>
      <c r="R1079" s="38">
        <v>0</v>
      </c>
      <c r="S1079" s="38">
        <f t="shared" si="233"/>
        <v>3810770.28</v>
      </c>
      <c r="T1079" s="38">
        <f t="shared" si="229"/>
        <v>1866.1036579991185</v>
      </c>
      <c r="U1079" s="38">
        <v>3608.58</v>
      </c>
      <c r="V1079" s="458">
        <f t="shared" si="228"/>
        <v>1742.4763420008815</v>
      </c>
      <c r="W1079" s="458">
        <f t="shared" si="234"/>
        <v>1814.755663287792</v>
      </c>
      <c r="X1079" s="458">
        <v>0</v>
      </c>
      <c r="Y1079" s="459">
        <v>0</v>
      </c>
      <c r="Z1079" s="459">
        <v>0</v>
      </c>
      <c r="AA1079" s="459">
        <v>0</v>
      </c>
      <c r="AB1079" s="459">
        <v>0</v>
      </c>
      <c r="AC1079" s="459">
        <v>0</v>
      </c>
      <c r="AD1079" s="459">
        <v>0</v>
      </c>
      <c r="AE1079" s="459">
        <v>594</v>
      </c>
      <c r="AF1079" s="458">
        <f>6238.91*AE1079/I1079</f>
        <v>1814.755663287792</v>
      </c>
      <c r="AG1079" s="459">
        <v>0</v>
      </c>
      <c r="AH1079" s="458">
        <v>0</v>
      </c>
      <c r="AI1079" s="459">
        <v>0</v>
      </c>
      <c r="AJ1079" s="458">
        <v>0</v>
      </c>
      <c r="AK1079" s="459">
        <v>0</v>
      </c>
      <c r="AL1079" s="459">
        <v>0</v>
      </c>
      <c r="AM1079" s="459">
        <v>0</v>
      </c>
      <c r="AN1079" s="459"/>
      <c r="AO1079" s="459">
        <v>0</v>
      </c>
      <c r="AP1079" s="460"/>
      <c r="AQ1079" s="460"/>
      <c r="AR1079" s="460"/>
      <c r="AS1079" s="460"/>
      <c r="AT1079" s="460"/>
      <c r="AU1079" s="460"/>
      <c r="AV1079" s="460"/>
      <c r="AW1079" s="460"/>
      <c r="AX1079" s="460"/>
      <c r="AY1079" s="460"/>
      <c r="AZ1079" s="460"/>
      <c r="BA1079" s="460"/>
      <c r="BB1079" s="460"/>
      <c r="BC1079" s="460"/>
      <c r="BD1079" s="460"/>
      <c r="BE1079" s="460"/>
      <c r="BF1079" s="460"/>
      <c r="BG1079" s="460"/>
      <c r="BH1079" s="460"/>
      <c r="BI1079" s="460"/>
      <c r="BJ1079" s="460"/>
      <c r="BK1079" s="460"/>
      <c r="BL1079" s="460"/>
      <c r="BM1079" s="460"/>
      <c r="BN1079" s="460"/>
      <c r="BO1079" s="460"/>
      <c r="BP1079" s="460"/>
      <c r="BQ1079" s="460"/>
      <c r="BR1079" s="460"/>
      <c r="BS1079" s="460"/>
      <c r="BT1079" s="460"/>
      <c r="BU1079" s="460"/>
      <c r="BV1079" s="460"/>
      <c r="BW1079" s="460"/>
      <c r="BX1079" s="460"/>
      <c r="BY1079" s="460"/>
      <c r="BZ1079" s="460"/>
      <c r="CA1079" s="460"/>
      <c r="CB1079" s="460"/>
      <c r="CC1079" s="460"/>
      <c r="CD1079" s="460"/>
      <c r="CE1079" s="460"/>
      <c r="CF1079" s="460"/>
      <c r="CG1079" s="460"/>
      <c r="CH1079" s="460"/>
      <c r="CI1079" s="460"/>
      <c r="CJ1079" s="460"/>
      <c r="CK1079" s="460"/>
    </row>
    <row r="1080" spans="1:89" s="329" customFormat="1" ht="36" customHeight="1" x14ac:dyDescent="0.25">
      <c r="A1080" s="329">
        <v>1</v>
      </c>
      <c r="B1080" s="39">
        <f>SUBTOTAL(103,$A$1000:A1080)</f>
        <v>79</v>
      </c>
      <c r="C1080" s="33" t="s">
        <v>1775</v>
      </c>
      <c r="D1080" s="330">
        <v>1972</v>
      </c>
      <c r="E1080" s="330"/>
      <c r="F1080" s="331" t="s">
        <v>48</v>
      </c>
      <c r="G1080" s="330">
        <v>5</v>
      </c>
      <c r="H1080" s="330" t="s">
        <v>59</v>
      </c>
      <c r="I1080" s="334">
        <v>3577.12</v>
      </c>
      <c r="J1080" s="334">
        <v>3306.9</v>
      </c>
      <c r="K1080" s="334">
        <v>2940.98</v>
      </c>
      <c r="L1080" s="332">
        <v>152</v>
      </c>
      <c r="M1080" s="330" t="s">
        <v>46</v>
      </c>
      <c r="N1080" s="330" t="s">
        <v>50</v>
      </c>
      <c r="O1080" s="333" t="s">
        <v>2000</v>
      </c>
      <c r="P1080" s="38">
        <v>5394319.6899999995</v>
      </c>
      <c r="Q1080" s="38">
        <v>0</v>
      </c>
      <c r="R1080" s="38">
        <v>0</v>
      </c>
      <c r="S1080" s="38">
        <f t="shared" si="233"/>
        <v>5394319.6899999995</v>
      </c>
      <c r="T1080" s="38">
        <f t="shared" si="229"/>
        <v>1508.0063542738292</v>
      </c>
      <c r="U1080" s="38">
        <v>1956.5718846446302</v>
      </c>
      <c r="V1080" s="458">
        <f t="shared" si="228"/>
        <v>448.56553037080107</v>
      </c>
      <c r="W1080" s="458">
        <f t="shared" si="234"/>
        <v>1949.9209923066601</v>
      </c>
      <c r="X1080" s="458">
        <v>0</v>
      </c>
      <c r="Y1080" s="459">
        <v>0</v>
      </c>
      <c r="Z1080" s="459">
        <v>0</v>
      </c>
      <c r="AA1080" s="459">
        <v>0</v>
      </c>
      <c r="AB1080" s="459">
        <v>0</v>
      </c>
      <c r="AC1080" s="459">
        <v>0</v>
      </c>
      <c r="AD1080" s="459">
        <v>0</v>
      </c>
      <c r="AE1080" s="459">
        <v>1118</v>
      </c>
      <c r="AF1080" s="458">
        <f>6238.91*AE1080/I1080</f>
        <v>1949.9209923066601</v>
      </c>
      <c r="AG1080" s="459">
        <v>0</v>
      </c>
      <c r="AH1080" s="458">
        <v>0</v>
      </c>
      <c r="AI1080" s="459">
        <v>0</v>
      </c>
      <c r="AJ1080" s="458">
        <v>0</v>
      </c>
      <c r="AK1080" s="459">
        <v>0</v>
      </c>
      <c r="AL1080" s="459">
        <v>0</v>
      </c>
      <c r="AM1080" s="459">
        <v>0</v>
      </c>
      <c r="AN1080" s="459"/>
      <c r="AO1080" s="459">
        <v>0</v>
      </c>
      <c r="AP1080" s="460"/>
      <c r="AQ1080" s="460"/>
      <c r="AR1080" s="460"/>
      <c r="AS1080" s="460"/>
      <c r="AT1080" s="460"/>
      <c r="AU1080" s="460"/>
      <c r="AV1080" s="460"/>
      <c r="AW1080" s="460"/>
      <c r="AX1080" s="460"/>
      <c r="AY1080" s="460"/>
      <c r="AZ1080" s="460"/>
      <c r="BA1080" s="460"/>
      <c r="BB1080" s="460"/>
      <c r="BC1080" s="460"/>
      <c r="BD1080" s="460"/>
      <c r="BE1080" s="460"/>
      <c r="BF1080" s="460"/>
      <c r="BG1080" s="460"/>
      <c r="BH1080" s="460"/>
      <c r="BI1080" s="460"/>
      <c r="BJ1080" s="460"/>
      <c r="BK1080" s="460"/>
      <c r="BL1080" s="460"/>
      <c r="BM1080" s="460"/>
      <c r="BN1080" s="460"/>
      <c r="BO1080" s="460"/>
      <c r="BP1080" s="460"/>
      <c r="BQ1080" s="460"/>
      <c r="BR1080" s="460"/>
      <c r="BS1080" s="460"/>
      <c r="BT1080" s="460"/>
      <c r="BU1080" s="460"/>
      <c r="BV1080" s="460"/>
      <c r="BW1080" s="460"/>
      <c r="BX1080" s="460"/>
      <c r="BY1080" s="460"/>
      <c r="BZ1080" s="460"/>
      <c r="CA1080" s="460"/>
      <c r="CB1080" s="460"/>
      <c r="CC1080" s="460"/>
      <c r="CD1080" s="460"/>
      <c r="CE1080" s="460"/>
      <c r="CF1080" s="460"/>
      <c r="CG1080" s="460"/>
      <c r="CH1080" s="460"/>
      <c r="CI1080" s="460"/>
      <c r="CJ1080" s="460"/>
      <c r="CK1080" s="460"/>
    </row>
    <row r="1081" spans="1:89" s="329" customFormat="1" ht="36" customHeight="1" x14ac:dyDescent="0.25">
      <c r="A1081" s="329">
        <v>1</v>
      </c>
      <c r="B1081" s="39">
        <f>SUBTOTAL(103,$A$1000:A1081)</f>
        <v>80</v>
      </c>
      <c r="C1081" s="33" t="s">
        <v>1776</v>
      </c>
      <c r="D1081" s="330">
        <v>1955</v>
      </c>
      <c r="E1081" s="330"/>
      <c r="F1081" s="331" t="s">
        <v>48</v>
      </c>
      <c r="G1081" s="330">
        <v>2</v>
      </c>
      <c r="H1081" s="330" t="s">
        <v>61</v>
      </c>
      <c r="I1081" s="334">
        <v>1501.5</v>
      </c>
      <c r="J1081" s="334">
        <v>1386.8</v>
      </c>
      <c r="K1081" s="334">
        <v>1250.54</v>
      </c>
      <c r="L1081" s="332">
        <v>46</v>
      </c>
      <c r="M1081" s="330" t="s">
        <v>46</v>
      </c>
      <c r="N1081" s="330" t="s">
        <v>50</v>
      </c>
      <c r="O1081" s="333" t="s">
        <v>2000</v>
      </c>
      <c r="P1081" s="38">
        <v>5949950</v>
      </c>
      <c r="Q1081" s="38">
        <v>0</v>
      </c>
      <c r="R1081" s="38">
        <v>0</v>
      </c>
      <c r="S1081" s="38">
        <f t="shared" si="233"/>
        <v>5949950</v>
      </c>
      <c r="T1081" s="38">
        <f t="shared" si="229"/>
        <v>3962.6706626706628</v>
      </c>
      <c r="U1081" s="38">
        <v>5202.1678321678319</v>
      </c>
      <c r="V1081" s="458">
        <f t="shared" si="228"/>
        <v>1239.4971694971691</v>
      </c>
      <c r="W1081" s="458">
        <f t="shared" si="234"/>
        <v>5202.1678321678319</v>
      </c>
      <c r="X1081" s="458">
        <v>0</v>
      </c>
      <c r="Y1081" s="459">
        <v>0</v>
      </c>
      <c r="Z1081" s="459">
        <v>0</v>
      </c>
      <c r="AA1081" s="459">
        <v>0</v>
      </c>
      <c r="AB1081" s="459">
        <v>0</v>
      </c>
      <c r="AC1081" s="459">
        <v>0</v>
      </c>
      <c r="AD1081" s="459">
        <v>0</v>
      </c>
      <c r="AE1081" s="459">
        <v>0</v>
      </c>
      <c r="AF1081" s="458">
        <v>0</v>
      </c>
      <c r="AG1081" s="459">
        <v>0</v>
      </c>
      <c r="AH1081" s="458">
        <v>0</v>
      </c>
      <c r="AI1081" s="459">
        <v>1050</v>
      </c>
      <c r="AJ1081" s="458">
        <f>7439.1*AI1081/I1081</f>
        <v>5202.1678321678319</v>
      </c>
      <c r="AK1081" s="459">
        <v>0</v>
      </c>
      <c r="AL1081" s="459">
        <v>0</v>
      </c>
      <c r="AM1081" s="459">
        <v>0</v>
      </c>
      <c r="AN1081" s="459"/>
      <c r="AO1081" s="459">
        <v>0</v>
      </c>
      <c r="AP1081" s="460"/>
      <c r="AQ1081" s="460"/>
      <c r="AR1081" s="460"/>
      <c r="AS1081" s="460"/>
      <c r="AT1081" s="460"/>
      <c r="AU1081" s="460"/>
      <c r="AV1081" s="460"/>
      <c r="AW1081" s="460"/>
      <c r="AX1081" s="460"/>
      <c r="AY1081" s="460"/>
      <c r="AZ1081" s="460"/>
      <c r="BA1081" s="460"/>
      <c r="BB1081" s="460"/>
      <c r="BC1081" s="460"/>
      <c r="BD1081" s="460"/>
      <c r="BE1081" s="460"/>
      <c r="BF1081" s="460"/>
      <c r="BG1081" s="460"/>
      <c r="BH1081" s="460"/>
      <c r="BI1081" s="460"/>
      <c r="BJ1081" s="460"/>
      <c r="BK1081" s="460"/>
      <c r="BL1081" s="460"/>
      <c r="BM1081" s="460"/>
      <c r="BN1081" s="460"/>
      <c r="BO1081" s="460"/>
      <c r="BP1081" s="460"/>
      <c r="BQ1081" s="460"/>
      <c r="BR1081" s="460"/>
      <c r="BS1081" s="460"/>
      <c r="BT1081" s="460"/>
      <c r="BU1081" s="460"/>
      <c r="BV1081" s="460"/>
      <c r="BW1081" s="460"/>
      <c r="BX1081" s="460"/>
      <c r="BY1081" s="460"/>
      <c r="BZ1081" s="460"/>
      <c r="CA1081" s="460"/>
      <c r="CB1081" s="460"/>
      <c r="CC1081" s="460"/>
      <c r="CD1081" s="460"/>
      <c r="CE1081" s="460"/>
      <c r="CF1081" s="460"/>
      <c r="CG1081" s="460"/>
      <c r="CH1081" s="460"/>
      <c r="CI1081" s="460"/>
      <c r="CJ1081" s="460"/>
      <c r="CK1081" s="460"/>
    </row>
    <row r="1082" spans="1:89" s="329" customFormat="1" ht="36" customHeight="1" x14ac:dyDescent="0.25">
      <c r="A1082" s="329">
        <v>1</v>
      </c>
      <c r="B1082" s="39">
        <f>SUBTOTAL(103,$A$1000:A1082)</f>
        <v>81</v>
      </c>
      <c r="C1082" s="33" t="s">
        <v>1777</v>
      </c>
      <c r="D1082" s="330">
        <v>1846</v>
      </c>
      <c r="E1082" s="330"/>
      <c r="F1082" s="331" t="s">
        <v>48</v>
      </c>
      <c r="G1082" s="330">
        <v>2</v>
      </c>
      <c r="H1082" s="330" t="s">
        <v>57</v>
      </c>
      <c r="I1082" s="334">
        <v>378.89</v>
      </c>
      <c r="J1082" s="334">
        <v>325.39999999999998</v>
      </c>
      <c r="K1082" s="334">
        <v>325.39999999999998</v>
      </c>
      <c r="L1082" s="332">
        <v>17</v>
      </c>
      <c r="M1082" s="330" t="s">
        <v>46</v>
      </c>
      <c r="N1082" s="330" t="s">
        <v>47</v>
      </c>
      <c r="O1082" s="333" t="s">
        <v>49</v>
      </c>
      <c r="P1082" s="38">
        <v>2345314.9499999997</v>
      </c>
      <c r="Q1082" s="38">
        <v>0</v>
      </c>
      <c r="R1082" s="38">
        <v>0</v>
      </c>
      <c r="S1082" s="38">
        <f t="shared" si="233"/>
        <v>2345314.9499999997</v>
      </c>
      <c r="T1082" s="38">
        <f t="shared" si="229"/>
        <v>6189.9626540684631</v>
      </c>
      <c r="U1082" s="38">
        <v>6189.9626540684631</v>
      </c>
      <c r="V1082" s="458">
        <f t="shared" si="228"/>
        <v>0</v>
      </c>
      <c r="W1082" s="458">
        <f t="shared" si="234"/>
        <v>12086.251788117923</v>
      </c>
      <c r="X1082" s="458">
        <v>0</v>
      </c>
      <c r="Y1082" s="459">
        <v>0</v>
      </c>
      <c r="Z1082" s="459">
        <v>0</v>
      </c>
      <c r="AA1082" s="459">
        <v>0</v>
      </c>
      <c r="AB1082" s="459">
        <v>0</v>
      </c>
      <c r="AC1082" s="459">
        <v>0</v>
      </c>
      <c r="AD1082" s="459">
        <v>0</v>
      </c>
      <c r="AE1082" s="459">
        <v>734</v>
      </c>
      <c r="AF1082" s="458">
        <f>6238.91*AE1082/I1082</f>
        <v>12086.251788117923</v>
      </c>
      <c r="AG1082" s="459">
        <v>0</v>
      </c>
      <c r="AH1082" s="458">
        <v>0</v>
      </c>
      <c r="AI1082" s="459">
        <v>0</v>
      </c>
      <c r="AJ1082" s="458">
        <v>0</v>
      </c>
      <c r="AK1082" s="459">
        <v>0</v>
      </c>
      <c r="AL1082" s="459">
        <v>0</v>
      </c>
      <c r="AM1082" s="459">
        <v>0</v>
      </c>
      <c r="AN1082" s="459"/>
      <c r="AO1082" s="459">
        <v>0</v>
      </c>
      <c r="AP1082" s="460"/>
      <c r="AQ1082" s="460"/>
      <c r="AR1082" s="460"/>
      <c r="AS1082" s="460"/>
      <c r="AT1082" s="460"/>
      <c r="AU1082" s="460"/>
      <c r="AV1082" s="460"/>
      <c r="AW1082" s="460"/>
      <c r="AX1082" s="460"/>
      <c r="AY1082" s="460"/>
      <c r="AZ1082" s="460"/>
      <c r="BA1082" s="460"/>
      <c r="BB1082" s="460"/>
      <c r="BC1082" s="460"/>
      <c r="BD1082" s="460"/>
      <c r="BE1082" s="460"/>
      <c r="BF1082" s="460"/>
      <c r="BG1082" s="460"/>
      <c r="BH1082" s="460"/>
      <c r="BI1082" s="460"/>
      <c r="BJ1082" s="460"/>
      <c r="BK1082" s="460"/>
      <c r="BL1082" s="460"/>
      <c r="BM1082" s="460"/>
      <c r="BN1082" s="460"/>
      <c r="BO1082" s="460"/>
      <c r="BP1082" s="460"/>
      <c r="BQ1082" s="460"/>
      <c r="BR1082" s="460"/>
      <c r="BS1082" s="460"/>
      <c r="BT1082" s="460"/>
      <c r="BU1082" s="460"/>
      <c r="BV1082" s="460"/>
      <c r="BW1082" s="460"/>
      <c r="BX1082" s="460"/>
      <c r="BY1082" s="460"/>
      <c r="BZ1082" s="460"/>
      <c r="CA1082" s="460"/>
      <c r="CB1082" s="460"/>
      <c r="CC1082" s="460"/>
      <c r="CD1082" s="460"/>
      <c r="CE1082" s="460"/>
      <c r="CF1082" s="460"/>
      <c r="CG1082" s="460"/>
      <c r="CH1082" s="460"/>
      <c r="CI1082" s="460"/>
      <c r="CJ1082" s="460"/>
      <c r="CK1082" s="460"/>
    </row>
    <row r="1083" spans="1:89" s="329" customFormat="1" ht="36" customHeight="1" x14ac:dyDescent="0.25">
      <c r="A1083" s="329">
        <v>1</v>
      </c>
      <c r="B1083" s="39">
        <f>SUBTOTAL(103,$A$1000:A1083)</f>
        <v>82</v>
      </c>
      <c r="C1083" s="33" t="s">
        <v>1778</v>
      </c>
      <c r="D1083" s="330">
        <v>1969</v>
      </c>
      <c r="E1083" s="330"/>
      <c r="F1083" s="331" t="s">
        <v>48</v>
      </c>
      <c r="G1083" s="330">
        <v>5</v>
      </c>
      <c r="H1083" s="330" t="s">
        <v>1969</v>
      </c>
      <c r="I1083" s="334">
        <v>4890.1099999999997</v>
      </c>
      <c r="J1083" s="334">
        <v>4490.3999999999996</v>
      </c>
      <c r="K1083" s="334">
        <v>4177.2300000000005</v>
      </c>
      <c r="L1083" s="332">
        <v>210</v>
      </c>
      <c r="M1083" s="330" t="s">
        <v>46</v>
      </c>
      <c r="N1083" s="330" t="s">
        <v>50</v>
      </c>
      <c r="O1083" s="333" t="s">
        <v>65</v>
      </c>
      <c r="P1083" s="38">
        <v>8270003.5300000003</v>
      </c>
      <c r="Q1083" s="38">
        <v>0</v>
      </c>
      <c r="R1083" s="38">
        <v>0</v>
      </c>
      <c r="S1083" s="38">
        <f t="shared" si="233"/>
        <v>8270003.5300000003</v>
      </c>
      <c r="T1083" s="38">
        <f t="shared" si="229"/>
        <v>1691.1692231872087</v>
      </c>
      <c r="U1083" s="38">
        <v>2194.2176474557832</v>
      </c>
      <c r="V1083" s="458">
        <f t="shared" si="228"/>
        <v>503.04842426857454</v>
      </c>
      <c r="W1083" s="458">
        <f t="shared" si="234"/>
        <v>2186.7589358930577</v>
      </c>
      <c r="X1083" s="458">
        <v>0</v>
      </c>
      <c r="Y1083" s="459">
        <v>0</v>
      </c>
      <c r="Z1083" s="459">
        <v>0</v>
      </c>
      <c r="AA1083" s="459">
        <v>0</v>
      </c>
      <c r="AB1083" s="459">
        <v>0</v>
      </c>
      <c r="AC1083" s="459">
        <v>0</v>
      </c>
      <c r="AD1083" s="459">
        <v>0</v>
      </c>
      <c r="AE1083" s="459">
        <v>1714</v>
      </c>
      <c r="AF1083" s="458">
        <f>6238.91*AE1083/I1083</f>
        <v>2186.7589358930577</v>
      </c>
      <c r="AG1083" s="459">
        <v>0</v>
      </c>
      <c r="AH1083" s="458">
        <v>0</v>
      </c>
      <c r="AI1083" s="459">
        <v>0</v>
      </c>
      <c r="AJ1083" s="458">
        <v>0</v>
      </c>
      <c r="AK1083" s="459">
        <v>0</v>
      </c>
      <c r="AL1083" s="459">
        <v>0</v>
      </c>
      <c r="AM1083" s="459">
        <v>0</v>
      </c>
      <c r="AN1083" s="459"/>
      <c r="AO1083" s="459">
        <v>0</v>
      </c>
      <c r="AP1083" s="460"/>
      <c r="AQ1083" s="460"/>
      <c r="AR1083" s="460"/>
      <c r="AS1083" s="460"/>
      <c r="AT1083" s="460"/>
      <c r="AU1083" s="460"/>
      <c r="AV1083" s="460"/>
      <c r="AW1083" s="460"/>
      <c r="AX1083" s="460"/>
      <c r="AY1083" s="460"/>
      <c r="AZ1083" s="460"/>
      <c r="BA1083" s="460"/>
      <c r="BB1083" s="460"/>
      <c r="BC1083" s="460"/>
      <c r="BD1083" s="460"/>
      <c r="BE1083" s="460"/>
      <c r="BF1083" s="460"/>
      <c r="BG1083" s="460"/>
      <c r="BH1083" s="460"/>
      <c r="BI1083" s="460"/>
      <c r="BJ1083" s="460"/>
      <c r="BK1083" s="460"/>
      <c r="BL1083" s="460"/>
      <c r="BM1083" s="460"/>
      <c r="BN1083" s="460"/>
      <c r="BO1083" s="460"/>
      <c r="BP1083" s="460"/>
      <c r="BQ1083" s="460"/>
      <c r="BR1083" s="460"/>
      <c r="BS1083" s="460"/>
      <c r="BT1083" s="460"/>
      <c r="BU1083" s="460"/>
      <c r="BV1083" s="460"/>
      <c r="BW1083" s="460"/>
      <c r="BX1083" s="460"/>
      <c r="BY1083" s="460"/>
      <c r="BZ1083" s="460"/>
      <c r="CA1083" s="460"/>
      <c r="CB1083" s="460"/>
      <c r="CC1083" s="460"/>
      <c r="CD1083" s="460"/>
      <c r="CE1083" s="460"/>
      <c r="CF1083" s="460"/>
      <c r="CG1083" s="460"/>
      <c r="CH1083" s="460"/>
      <c r="CI1083" s="460"/>
      <c r="CJ1083" s="460"/>
      <c r="CK1083" s="460"/>
    </row>
    <row r="1084" spans="1:89" s="329" customFormat="1" ht="36" customHeight="1" x14ac:dyDescent="0.25">
      <c r="A1084" s="329">
        <v>1</v>
      </c>
      <c r="B1084" s="39">
        <f>SUBTOTAL(103,$A$1000:A1084)</f>
        <v>83</v>
      </c>
      <c r="C1084" s="33" t="s">
        <v>1779</v>
      </c>
      <c r="D1084" s="330">
        <v>1961</v>
      </c>
      <c r="E1084" s="330"/>
      <c r="F1084" s="331" t="s">
        <v>48</v>
      </c>
      <c r="G1084" s="330">
        <v>2</v>
      </c>
      <c r="H1084" s="330" t="s">
        <v>56</v>
      </c>
      <c r="I1084" s="334">
        <v>824.04</v>
      </c>
      <c r="J1084" s="334">
        <v>777.74</v>
      </c>
      <c r="K1084" s="334">
        <v>728.73</v>
      </c>
      <c r="L1084" s="332">
        <v>37</v>
      </c>
      <c r="M1084" s="330" t="s">
        <v>46</v>
      </c>
      <c r="N1084" s="330" t="s">
        <v>50</v>
      </c>
      <c r="O1084" s="333" t="s">
        <v>66</v>
      </c>
      <c r="P1084" s="38">
        <v>2894983.73</v>
      </c>
      <c r="Q1084" s="38">
        <v>0</v>
      </c>
      <c r="R1084" s="38">
        <v>0</v>
      </c>
      <c r="S1084" s="38">
        <f t="shared" si="233"/>
        <v>2894983.73</v>
      </c>
      <c r="T1084" s="38">
        <f t="shared" si="229"/>
        <v>3513.1592277073928</v>
      </c>
      <c r="U1084" s="38">
        <v>4558.1695063346433</v>
      </c>
      <c r="V1084" s="458">
        <f t="shared" si="228"/>
        <v>1045.0102786272505</v>
      </c>
      <c r="W1084" s="458">
        <f t="shared" si="234"/>
        <v>4542.6751128585993</v>
      </c>
      <c r="X1084" s="458">
        <v>0</v>
      </c>
      <c r="Y1084" s="459">
        <v>0</v>
      </c>
      <c r="Z1084" s="459">
        <v>0</v>
      </c>
      <c r="AA1084" s="459">
        <v>0</v>
      </c>
      <c r="AB1084" s="459">
        <v>0</v>
      </c>
      <c r="AC1084" s="459">
        <v>0</v>
      </c>
      <c r="AD1084" s="459">
        <v>0</v>
      </c>
      <c r="AE1084" s="459">
        <v>600</v>
      </c>
      <c r="AF1084" s="458">
        <f>6238.91*AE1084/I1084</f>
        <v>4542.6751128585993</v>
      </c>
      <c r="AG1084" s="459">
        <v>0</v>
      </c>
      <c r="AH1084" s="458">
        <v>0</v>
      </c>
      <c r="AI1084" s="459">
        <v>0</v>
      </c>
      <c r="AJ1084" s="458">
        <v>0</v>
      </c>
      <c r="AK1084" s="459">
        <v>0</v>
      </c>
      <c r="AL1084" s="459">
        <v>0</v>
      </c>
      <c r="AM1084" s="459">
        <v>0</v>
      </c>
      <c r="AN1084" s="459"/>
      <c r="AO1084" s="459">
        <v>0</v>
      </c>
      <c r="AP1084" s="460"/>
      <c r="AQ1084" s="460"/>
      <c r="AR1084" s="460"/>
      <c r="AS1084" s="460"/>
      <c r="AT1084" s="460"/>
      <c r="AU1084" s="460"/>
      <c r="AV1084" s="460"/>
      <c r="AW1084" s="460"/>
      <c r="AX1084" s="460"/>
      <c r="AY1084" s="460"/>
      <c r="AZ1084" s="460"/>
      <c r="BA1084" s="460"/>
      <c r="BB1084" s="460"/>
      <c r="BC1084" s="460"/>
      <c r="BD1084" s="460"/>
      <c r="BE1084" s="460"/>
      <c r="BF1084" s="460"/>
      <c r="BG1084" s="460"/>
      <c r="BH1084" s="460"/>
      <c r="BI1084" s="460"/>
      <c r="BJ1084" s="460"/>
      <c r="BK1084" s="460"/>
      <c r="BL1084" s="460"/>
      <c r="BM1084" s="460"/>
      <c r="BN1084" s="460"/>
      <c r="BO1084" s="460"/>
      <c r="BP1084" s="460"/>
      <c r="BQ1084" s="460"/>
      <c r="BR1084" s="460"/>
      <c r="BS1084" s="460"/>
      <c r="BT1084" s="460"/>
      <c r="BU1084" s="460"/>
      <c r="BV1084" s="460"/>
      <c r="BW1084" s="460"/>
      <c r="BX1084" s="460"/>
      <c r="BY1084" s="460"/>
      <c r="BZ1084" s="460"/>
      <c r="CA1084" s="460"/>
      <c r="CB1084" s="460"/>
      <c r="CC1084" s="460"/>
      <c r="CD1084" s="460"/>
      <c r="CE1084" s="460"/>
      <c r="CF1084" s="460"/>
      <c r="CG1084" s="460"/>
      <c r="CH1084" s="460"/>
      <c r="CI1084" s="460"/>
      <c r="CJ1084" s="460"/>
      <c r="CK1084" s="460"/>
    </row>
    <row r="1085" spans="1:89" s="329" customFormat="1" ht="36" customHeight="1" x14ac:dyDescent="0.25">
      <c r="A1085" s="329">
        <v>1</v>
      </c>
      <c r="B1085" s="39">
        <f>SUBTOTAL(103,$A$1000:A1085)</f>
        <v>84</v>
      </c>
      <c r="C1085" s="33" t="s">
        <v>1780</v>
      </c>
      <c r="D1085" s="330">
        <v>1980</v>
      </c>
      <c r="E1085" s="330"/>
      <c r="F1085" s="331" t="s">
        <v>48</v>
      </c>
      <c r="G1085" s="330">
        <v>5</v>
      </c>
      <c r="H1085" s="330" t="s">
        <v>56</v>
      </c>
      <c r="I1085" s="334">
        <v>1589.4</v>
      </c>
      <c r="J1085" s="334">
        <v>1176.4000000000001</v>
      </c>
      <c r="K1085" s="334">
        <v>1117.8000000000002</v>
      </c>
      <c r="L1085" s="332">
        <v>61</v>
      </c>
      <c r="M1085" s="330" t="s">
        <v>46</v>
      </c>
      <c r="N1085" s="330" t="s">
        <v>50</v>
      </c>
      <c r="O1085" s="333" t="s">
        <v>66</v>
      </c>
      <c r="P1085" s="38">
        <v>1688740.5100000002</v>
      </c>
      <c r="Q1085" s="38">
        <v>0</v>
      </c>
      <c r="R1085" s="38">
        <v>0</v>
      </c>
      <c r="S1085" s="38">
        <f t="shared" si="233"/>
        <v>1688740.5100000002</v>
      </c>
      <c r="T1085" s="38">
        <f t="shared" si="229"/>
        <v>1062.5018937964012</v>
      </c>
      <c r="U1085" s="38">
        <v>1378.5494526236314</v>
      </c>
      <c r="V1085" s="458">
        <f t="shared" si="228"/>
        <v>316.0475588272302</v>
      </c>
      <c r="W1085" s="458">
        <f t="shared" si="234"/>
        <v>1373.8634075751854</v>
      </c>
      <c r="X1085" s="458">
        <v>0</v>
      </c>
      <c r="Y1085" s="459">
        <v>0</v>
      </c>
      <c r="Z1085" s="459">
        <v>0</v>
      </c>
      <c r="AA1085" s="459">
        <v>0</v>
      </c>
      <c r="AB1085" s="459">
        <v>0</v>
      </c>
      <c r="AC1085" s="459">
        <v>0</v>
      </c>
      <c r="AD1085" s="459">
        <v>0</v>
      </c>
      <c r="AE1085" s="459">
        <v>350</v>
      </c>
      <c r="AF1085" s="458">
        <f>6238.91*AE1085/I1085</f>
        <v>1373.8634075751854</v>
      </c>
      <c r="AG1085" s="459">
        <v>0</v>
      </c>
      <c r="AH1085" s="458">
        <v>0</v>
      </c>
      <c r="AI1085" s="459">
        <v>0</v>
      </c>
      <c r="AJ1085" s="458">
        <v>0</v>
      </c>
      <c r="AK1085" s="459">
        <v>0</v>
      </c>
      <c r="AL1085" s="459">
        <v>0</v>
      </c>
      <c r="AM1085" s="459">
        <v>0</v>
      </c>
      <c r="AN1085" s="459"/>
      <c r="AO1085" s="459">
        <v>0</v>
      </c>
      <c r="AP1085" s="460"/>
      <c r="AQ1085" s="460"/>
      <c r="AR1085" s="460"/>
      <c r="AS1085" s="460"/>
      <c r="AT1085" s="460"/>
      <c r="AU1085" s="460"/>
      <c r="AV1085" s="460"/>
      <c r="AW1085" s="460"/>
      <c r="AX1085" s="460"/>
      <c r="AY1085" s="460"/>
      <c r="AZ1085" s="460"/>
      <c r="BA1085" s="460"/>
      <c r="BB1085" s="460"/>
      <c r="BC1085" s="460"/>
      <c r="BD1085" s="460"/>
      <c r="BE1085" s="460"/>
      <c r="BF1085" s="460"/>
      <c r="BG1085" s="460"/>
      <c r="BH1085" s="460"/>
      <c r="BI1085" s="460"/>
      <c r="BJ1085" s="460"/>
      <c r="BK1085" s="460"/>
      <c r="BL1085" s="460"/>
      <c r="BM1085" s="460"/>
      <c r="BN1085" s="460"/>
      <c r="BO1085" s="460"/>
      <c r="BP1085" s="460"/>
      <c r="BQ1085" s="460"/>
      <c r="BR1085" s="460"/>
      <c r="BS1085" s="460"/>
      <c r="BT1085" s="460"/>
      <c r="BU1085" s="460"/>
      <c r="BV1085" s="460"/>
      <c r="BW1085" s="460"/>
      <c r="BX1085" s="460"/>
      <c r="BY1085" s="460"/>
      <c r="BZ1085" s="460"/>
      <c r="CA1085" s="460"/>
      <c r="CB1085" s="460"/>
      <c r="CC1085" s="460"/>
      <c r="CD1085" s="460"/>
      <c r="CE1085" s="460"/>
      <c r="CF1085" s="460"/>
      <c r="CG1085" s="460"/>
      <c r="CH1085" s="460"/>
      <c r="CI1085" s="460"/>
      <c r="CJ1085" s="460"/>
      <c r="CK1085" s="460"/>
    </row>
    <row r="1086" spans="1:89" s="329" customFormat="1" ht="36" customHeight="1" x14ac:dyDescent="0.25">
      <c r="A1086" s="329">
        <v>1</v>
      </c>
      <c r="B1086" s="39">
        <f>SUBTOTAL(103,$A$1000:A1086)</f>
        <v>85</v>
      </c>
      <c r="C1086" s="33" t="s">
        <v>1781</v>
      </c>
      <c r="D1086" s="330">
        <v>1983</v>
      </c>
      <c r="E1086" s="330"/>
      <c r="F1086" s="331" t="s">
        <v>48</v>
      </c>
      <c r="G1086" s="330">
        <v>5</v>
      </c>
      <c r="H1086" s="330" t="s">
        <v>59</v>
      </c>
      <c r="I1086" s="334">
        <v>3097.1</v>
      </c>
      <c r="J1086" s="334">
        <v>2812.2</v>
      </c>
      <c r="K1086" s="334">
        <v>2810.6</v>
      </c>
      <c r="L1086" s="332">
        <v>133</v>
      </c>
      <c r="M1086" s="330" t="s">
        <v>46</v>
      </c>
      <c r="N1086" s="330" t="s">
        <v>50</v>
      </c>
      <c r="O1086" s="333" t="s">
        <v>1996</v>
      </c>
      <c r="P1086" s="38">
        <v>4821497.92</v>
      </c>
      <c r="Q1086" s="38">
        <v>0</v>
      </c>
      <c r="R1086" s="38">
        <v>0</v>
      </c>
      <c r="S1086" s="38">
        <f t="shared" si="233"/>
        <v>4821497.92</v>
      </c>
      <c r="T1086" s="38">
        <f t="shared" si="229"/>
        <v>1556.7782506215492</v>
      </c>
      <c r="U1086" s="38">
        <v>2019.2857221271511</v>
      </c>
      <c r="V1086" s="458">
        <f t="shared" si="228"/>
        <v>462.50747150560187</v>
      </c>
      <c r="W1086" s="458">
        <f t="shared" si="234"/>
        <v>2012.4216492848147</v>
      </c>
      <c r="X1086" s="458">
        <v>0</v>
      </c>
      <c r="Y1086" s="459">
        <v>0</v>
      </c>
      <c r="Z1086" s="459">
        <v>0</v>
      </c>
      <c r="AA1086" s="459">
        <v>0</v>
      </c>
      <c r="AB1086" s="459">
        <v>0</v>
      </c>
      <c r="AC1086" s="459">
        <v>0</v>
      </c>
      <c r="AD1086" s="459">
        <v>0</v>
      </c>
      <c r="AE1086" s="459">
        <v>999</v>
      </c>
      <c r="AF1086" s="458">
        <f>6238.91*AE1086/I1086</f>
        <v>2012.4216492848147</v>
      </c>
      <c r="AG1086" s="459">
        <v>0</v>
      </c>
      <c r="AH1086" s="458">
        <v>0</v>
      </c>
      <c r="AI1086" s="459">
        <v>0</v>
      </c>
      <c r="AJ1086" s="458">
        <v>0</v>
      </c>
      <c r="AK1086" s="459">
        <v>0</v>
      </c>
      <c r="AL1086" s="459">
        <v>0</v>
      </c>
      <c r="AM1086" s="459">
        <v>0</v>
      </c>
      <c r="AN1086" s="459"/>
      <c r="AO1086" s="459">
        <v>0</v>
      </c>
      <c r="AP1086" s="460"/>
      <c r="AQ1086" s="460"/>
      <c r="AR1086" s="460"/>
      <c r="AS1086" s="460"/>
      <c r="AT1086" s="460"/>
      <c r="AU1086" s="460"/>
      <c r="AV1086" s="460"/>
      <c r="AW1086" s="460"/>
      <c r="AX1086" s="460"/>
      <c r="AY1086" s="460"/>
      <c r="AZ1086" s="460"/>
      <c r="BA1086" s="460"/>
      <c r="BB1086" s="460"/>
      <c r="BC1086" s="460"/>
      <c r="BD1086" s="460"/>
      <c r="BE1086" s="460"/>
      <c r="BF1086" s="460"/>
      <c r="BG1086" s="460"/>
      <c r="BH1086" s="460"/>
      <c r="BI1086" s="460"/>
      <c r="BJ1086" s="460"/>
      <c r="BK1086" s="460"/>
      <c r="BL1086" s="460"/>
      <c r="BM1086" s="460"/>
      <c r="BN1086" s="460"/>
      <c r="BO1086" s="460"/>
      <c r="BP1086" s="460"/>
      <c r="BQ1086" s="460"/>
      <c r="BR1086" s="460"/>
      <c r="BS1086" s="460"/>
      <c r="BT1086" s="460"/>
      <c r="BU1086" s="460"/>
      <c r="BV1086" s="460"/>
      <c r="BW1086" s="460"/>
      <c r="BX1086" s="460"/>
      <c r="BY1086" s="460"/>
      <c r="BZ1086" s="460"/>
      <c r="CA1086" s="460"/>
      <c r="CB1086" s="460"/>
      <c r="CC1086" s="460"/>
      <c r="CD1086" s="460"/>
      <c r="CE1086" s="460"/>
      <c r="CF1086" s="460"/>
      <c r="CG1086" s="460"/>
      <c r="CH1086" s="460"/>
      <c r="CI1086" s="460"/>
      <c r="CJ1086" s="460"/>
      <c r="CK1086" s="460"/>
    </row>
    <row r="1087" spans="1:89" s="329" customFormat="1" ht="36" customHeight="1" x14ac:dyDescent="0.25">
      <c r="A1087" s="329">
        <v>1</v>
      </c>
      <c r="B1087" s="39">
        <f>SUBTOTAL(103,$A$1000:A1087)</f>
        <v>86</v>
      </c>
      <c r="C1087" s="33" t="s">
        <v>1782</v>
      </c>
      <c r="D1087" s="330">
        <v>1963</v>
      </c>
      <c r="E1087" s="330"/>
      <c r="F1087" s="331" t="s">
        <v>48</v>
      </c>
      <c r="G1087" s="330">
        <v>2</v>
      </c>
      <c r="H1087" s="330" t="s">
        <v>56</v>
      </c>
      <c r="I1087" s="334">
        <v>444.9</v>
      </c>
      <c r="J1087" s="334">
        <v>444.9</v>
      </c>
      <c r="K1087" s="334">
        <v>442.2</v>
      </c>
      <c r="L1087" s="332">
        <v>17</v>
      </c>
      <c r="M1087" s="330" t="s">
        <v>46</v>
      </c>
      <c r="N1087" s="330" t="s">
        <v>50</v>
      </c>
      <c r="O1087" s="333" t="s">
        <v>1999</v>
      </c>
      <c r="P1087" s="38">
        <v>527907</v>
      </c>
      <c r="Q1087" s="38">
        <v>0</v>
      </c>
      <c r="R1087" s="38">
        <v>0</v>
      </c>
      <c r="S1087" s="38">
        <f t="shared" si="233"/>
        <v>527907</v>
      </c>
      <c r="T1087" s="38">
        <f t="shared" si="229"/>
        <v>1186.5745111260958</v>
      </c>
      <c r="U1087" s="38">
        <v>1186.5745111260958</v>
      </c>
      <c r="V1087" s="458">
        <f t="shared" si="228"/>
        <v>0</v>
      </c>
      <c r="W1087" s="458">
        <f t="shared" ref="W1087:W1089" si="235">T1087</f>
        <v>1186.5745111260958</v>
      </c>
      <c r="X1087" s="458">
        <v>0</v>
      </c>
      <c r="Y1087" s="459">
        <v>0</v>
      </c>
      <c r="Z1087" s="459">
        <v>0</v>
      </c>
      <c r="AA1087" s="459">
        <v>0</v>
      </c>
      <c r="AB1087" s="459">
        <v>810.46</v>
      </c>
      <c r="AC1087" s="459">
        <v>0</v>
      </c>
      <c r="AD1087" s="459">
        <v>0</v>
      </c>
      <c r="AE1087" s="459">
        <v>0</v>
      </c>
      <c r="AF1087" s="458">
        <v>0</v>
      </c>
      <c r="AG1087" s="459">
        <v>0</v>
      </c>
      <c r="AH1087" s="458">
        <v>0</v>
      </c>
      <c r="AI1087" s="459">
        <v>0</v>
      </c>
      <c r="AJ1087" s="458">
        <v>0</v>
      </c>
      <c r="AK1087" s="459">
        <v>0</v>
      </c>
      <c r="AL1087" s="459">
        <v>0</v>
      </c>
      <c r="AM1087" s="459">
        <v>0</v>
      </c>
      <c r="AN1087" s="459"/>
      <c r="AO1087" s="459">
        <v>0</v>
      </c>
      <c r="AP1087" s="460"/>
      <c r="AQ1087" s="460"/>
      <c r="AR1087" s="460"/>
      <c r="AS1087" s="460"/>
      <c r="AT1087" s="460"/>
      <c r="AU1087" s="460"/>
      <c r="AV1087" s="460"/>
      <c r="AW1087" s="460"/>
      <c r="AX1087" s="460"/>
      <c r="AY1087" s="460"/>
      <c r="AZ1087" s="460"/>
      <c r="BA1087" s="460"/>
      <c r="BB1087" s="460"/>
      <c r="BC1087" s="460"/>
      <c r="BD1087" s="460"/>
      <c r="BE1087" s="460"/>
      <c r="BF1087" s="460"/>
      <c r="BG1087" s="460"/>
      <c r="BH1087" s="460"/>
      <c r="BI1087" s="460"/>
      <c r="BJ1087" s="460"/>
      <c r="BK1087" s="460"/>
      <c r="BL1087" s="460"/>
      <c r="BM1087" s="460"/>
      <c r="BN1087" s="460"/>
      <c r="BO1087" s="460"/>
      <c r="BP1087" s="460"/>
      <c r="BQ1087" s="460"/>
      <c r="BR1087" s="460"/>
      <c r="BS1087" s="460"/>
      <c r="BT1087" s="460"/>
      <c r="BU1087" s="460"/>
      <c r="BV1087" s="460"/>
      <c r="BW1087" s="460"/>
      <c r="BX1087" s="460"/>
      <c r="BY1087" s="460"/>
      <c r="BZ1087" s="460"/>
      <c r="CA1087" s="460"/>
      <c r="CB1087" s="460"/>
      <c r="CC1087" s="460"/>
      <c r="CD1087" s="460"/>
      <c r="CE1087" s="460"/>
      <c r="CF1087" s="460"/>
      <c r="CG1087" s="460"/>
      <c r="CH1087" s="460"/>
      <c r="CI1087" s="460"/>
      <c r="CJ1087" s="460"/>
      <c r="CK1087" s="460"/>
    </row>
    <row r="1088" spans="1:89" s="329" customFormat="1" ht="36" customHeight="1" x14ac:dyDescent="0.25">
      <c r="A1088" s="329">
        <v>1</v>
      </c>
      <c r="B1088" s="39">
        <f>SUBTOTAL(103,$A$1000:A1088)</f>
        <v>87</v>
      </c>
      <c r="C1088" s="33" t="s">
        <v>1783</v>
      </c>
      <c r="D1088" s="330">
        <v>1969</v>
      </c>
      <c r="E1088" s="330"/>
      <c r="F1088" s="331" t="s">
        <v>48</v>
      </c>
      <c r="G1088" s="330">
        <v>2</v>
      </c>
      <c r="H1088" s="330" t="s">
        <v>56</v>
      </c>
      <c r="I1088" s="334">
        <v>589.1</v>
      </c>
      <c r="J1088" s="334">
        <v>589.1</v>
      </c>
      <c r="K1088" s="334">
        <v>537.5</v>
      </c>
      <c r="L1088" s="332">
        <v>31</v>
      </c>
      <c r="M1088" s="330" t="s">
        <v>46</v>
      </c>
      <c r="N1088" s="330" t="s">
        <v>50</v>
      </c>
      <c r="O1088" s="333" t="s">
        <v>1999</v>
      </c>
      <c r="P1088" s="38">
        <v>702281</v>
      </c>
      <c r="Q1088" s="38">
        <v>0</v>
      </c>
      <c r="R1088" s="38">
        <v>0</v>
      </c>
      <c r="S1088" s="38">
        <f t="shared" si="233"/>
        <v>702281</v>
      </c>
      <c r="T1088" s="38">
        <f t="shared" si="229"/>
        <v>1192.1252758445085</v>
      </c>
      <c r="U1088" s="38">
        <v>1192.1252758445085</v>
      </c>
      <c r="V1088" s="458">
        <f t="shared" si="228"/>
        <v>0</v>
      </c>
      <c r="W1088" s="458">
        <f t="shared" si="235"/>
        <v>1192.1252758445085</v>
      </c>
      <c r="X1088" s="458">
        <v>0</v>
      </c>
      <c r="Y1088" s="459">
        <v>0</v>
      </c>
      <c r="Z1088" s="459">
        <v>0</v>
      </c>
      <c r="AA1088" s="459">
        <v>0</v>
      </c>
      <c r="AB1088" s="459">
        <v>810.46</v>
      </c>
      <c r="AC1088" s="459">
        <v>0</v>
      </c>
      <c r="AD1088" s="459">
        <v>0</v>
      </c>
      <c r="AE1088" s="459">
        <v>0</v>
      </c>
      <c r="AF1088" s="458">
        <v>0</v>
      </c>
      <c r="AG1088" s="459">
        <v>0</v>
      </c>
      <c r="AH1088" s="458">
        <v>0</v>
      </c>
      <c r="AI1088" s="459">
        <v>0</v>
      </c>
      <c r="AJ1088" s="458">
        <v>0</v>
      </c>
      <c r="AK1088" s="459">
        <v>0</v>
      </c>
      <c r="AL1088" s="459">
        <v>0</v>
      </c>
      <c r="AM1088" s="459">
        <v>0</v>
      </c>
      <c r="AN1088" s="459"/>
      <c r="AO1088" s="459">
        <v>0</v>
      </c>
      <c r="AP1088" s="460"/>
      <c r="AQ1088" s="460"/>
      <c r="AR1088" s="460"/>
      <c r="AS1088" s="460"/>
      <c r="AT1088" s="460"/>
      <c r="AU1088" s="460"/>
      <c r="AV1088" s="460"/>
      <c r="AW1088" s="460"/>
      <c r="AX1088" s="460"/>
      <c r="AY1088" s="460"/>
      <c r="AZ1088" s="460"/>
      <c r="BA1088" s="460"/>
      <c r="BB1088" s="460"/>
      <c r="BC1088" s="460"/>
      <c r="BD1088" s="460"/>
      <c r="BE1088" s="460"/>
      <c r="BF1088" s="460"/>
      <c r="BG1088" s="460"/>
      <c r="BH1088" s="460"/>
      <c r="BI1088" s="460"/>
      <c r="BJ1088" s="460"/>
      <c r="BK1088" s="460"/>
      <c r="BL1088" s="460"/>
      <c r="BM1088" s="460"/>
      <c r="BN1088" s="460"/>
      <c r="BO1088" s="460"/>
      <c r="BP1088" s="460"/>
      <c r="BQ1088" s="460"/>
      <c r="BR1088" s="460"/>
      <c r="BS1088" s="460"/>
      <c r="BT1088" s="460"/>
      <c r="BU1088" s="460"/>
      <c r="BV1088" s="460"/>
      <c r="BW1088" s="460"/>
      <c r="BX1088" s="460"/>
      <c r="BY1088" s="460"/>
      <c r="BZ1088" s="460"/>
      <c r="CA1088" s="460"/>
      <c r="CB1088" s="460"/>
      <c r="CC1088" s="460"/>
      <c r="CD1088" s="460"/>
      <c r="CE1088" s="460"/>
      <c r="CF1088" s="460"/>
      <c r="CG1088" s="460"/>
      <c r="CH1088" s="460"/>
      <c r="CI1088" s="460"/>
      <c r="CJ1088" s="460"/>
      <c r="CK1088" s="460"/>
    </row>
    <row r="1089" spans="1:89" s="329" customFormat="1" ht="36" customHeight="1" x14ac:dyDescent="0.25">
      <c r="A1089" s="329">
        <v>1</v>
      </c>
      <c r="B1089" s="39">
        <f>SUBTOTAL(103,$A$1000:A1089)</f>
        <v>88</v>
      </c>
      <c r="C1089" s="33" t="s">
        <v>1784</v>
      </c>
      <c r="D1089" s="330">
        <v>1966</v>
      </c>
      <c r="E1089" s="330"/>
      <c r="F1089" s="331" t="s">
        <v>48</v>
      </c>
      <c r="G1089" s="330">
        <v>2</v>
      </c>
      <c r="H1089" s="330" t="s">
        <v>56</v>
      </c>
      <c r="I1089" s="334">
        <v>719.9</v>
      </c>
      <c r="J1089" s="334">
        <v>719.9</v>
      </c>
      <c r="K1089" s="334">
        <v>670.3</v>
      </c>
      <c r="L1089" s="332">
        <v>26</v>
      </c>
      <c r="M1089" s="330" t="s">
        <v>46</v>
      </c>
      <c r="N1089" s="330" t="s">
        <v>50</v>
      </c>
      <c r="O1089" s="333" t="s">
        <v>1999</v>
      </c>
      <c r="P1089" s="38">
        <v>801529</v>
      </c>
      <c r="Q1089" s="38">
        <v>0</v>
      </c>
      <c r="R1089" s="38">
        <v>0</v>
      </c>
      <c r="S1089" s="38">
        <f t="shared" si="233"/>
        <v>801529</v>
      </c>
      <c r="T1089" s="38">
        <f t="shared" si="229"/>
        <v>1113.3893596332825</v>
      </c>
      <c r="U1089" s="38">
        <v>1113.3893596332825</v>
      </c>
      <c r="V1089" s="458">
        <f t="shared" si="228"/>
        <v>0</v>
      </c>
      <c r="W1089" s="458">
        <f t="shared" si="235"/>
        <v>1113.3893596332825</v>
      </c>
      <c r="X1089" s="458">
        <v>0</v>
      </c>
      <c r="Y1089" s="459">
        <v>0</v>
      </c>
      <c r="Z1089" s="459">
        <v>0</v>
      </c>
      <c r="AA1089" s="459">
        <v>0</v>
      </c>
      <c r="AB1089" s="459">
        <v>810.46</v>
      </c>
      <c r="AC1089" s="459">
        <v>0</v>
      </c>
      <c r="AD1089" s="459">
        <v>0</v>
      </c>
      <c r="AE1089" s="459">
        <v>0</v>
      </c>
      <c r="AF1089" s="458">
        <v>0</v>
      </c>
      <c r="AG1089" s="459">
        <v>0</v>
      </c>
      <c r="AH1089" s="458">
        <v>0</v>
      </c>
      <c r="AI1089" s="459">
        <v>0</v>
      </c>
      <c r="AJ1089" s="458">
        <v>0</v>
      </c>
      <c r="AK1089" s="459">
        <v>0</v>
      </c>
      <c r="AL1089" s="459">
        <v>0</v>
      </c>
      <c r="AM1089" s="459">
        <v>0</v>
      </c>
      <c r="AN1089" s="459"/>
      <c r="AO1089" s="459">
        <v>0</v>
      </c>
      <c r="AP1089" s="460"/>
      <c r="AQ1089" s="460"/>
      <c r="AR1089" s="460"/>
      <c r="AS1089" s="460"/>
      <c r="AT1089" s="460"/>
      <c r="AU1089" s="460"/>
      <c r="AV1089" s="460"/>
      <c r="AW1089" s="460"/>
      <c r="AX1089" s="460"/>
      <c r="AY1089" s="460"/>
      <c r="AZ1089" s="460"/>
      <c r="BA1089" s="460"/>
      <c r="BB1089" s="460"/>
      <c r="BC1089" s="460"/>
      <c r="BD1089" s="460"/>
      <c r="BE1089" s="460"/>
      <c r="BF1089" s="460"/>
      <c r="BG1089" s="460"/>
      <c r="BH1089" s="460"/>
      <c r="BI1089" s="460"/>
      <c r="BJ1089" s="460"/>
      <c r="BK1089" s="460"/>
      <c r="BL1089" s="460"/>
      <c r="BM1089" s="460"/>
      <c r="BN1089" s="460"/>
      <c r="BO1089" s="460"/>
      <c r="BP1089" s="460"/>
      <c r="BQ1089" s="460"/>
      <c r="BR1089" s="460"/>
      <c r="BS1089" s="460"/>
      <c r="BT1089" s="460"/>
      <c r="BU1089" s="460"/>
      <c r="BV1089" s="460"/>
      <c r="BW1089" s="460"/>
      <c r="BX1089" s="460"/>
      <c r="BY1089" s="460"/>
      <c r="BZ1089" s="460"/>
      <c r="CA1089" s="460"/>
      <c r="CB1089" s="460"/>
      <c r="CC1089" s="460"/>
      <c r="CD1089" s="460"/>
      <c r="CE1089" s="460"/>
      <c r="CF1089" s="460"/>
      <c r="CG1089" s="460"/>
      <c r="CH1089" s="460"/>
      <c r="CI1089" s="460"/>
      <c r="CJ1089" s="460"/>
      <c r="CK1089" s="460"/>
    </row>
    <row r="1090" spans="1:89" s="329" customFormat="1" ht="36" customHeight="1" x14ac:dyDescent="0.25">
      <c r="A1090" s="329">
        <v>1</v>
      </c>
      <c r="B1090" s="39">
        <f>SUBTOTAL(103,$A$1000:A1090)</f>
        <v>89</v>
      </c>
      <c r="C1090" s="33" t="s">
        <v>1785</v>
      </c>
      <c r="D1090" s="330">
        <v>1963</v>
      </c>
      <c r="E1090" s="330"/>
      <c r="F1090" s="331" t="s">
        <v>48</v>
      </c>
      <c r="G1090" s="330">
        <v>4</v>
      </c>
      <c r="H1090" s="330" t="s">
        <v>61</v>
      </c>
      <c r="I1090" s="334">
        <v>2141.94</v>
      </c>
      <c r="J1090" s="334">
        <v>1876.78</v>
      </c>
      <c r="K1090" s="334">
        <v>1544.6799999999998</v>
      </c>
      <c r="L1090" s="332">
        <v>77</v>
      </c>
      <c r="M1090" s="330" t="s">
        <v>46</v>
      </c>
      <c r="N1090" s="330" t="s">
        <v>50</v>
      </c>
      <c r="O1090" s="333" t="s">
        <v>1996</v>
      </c>
      <c r="P1090" s="38">
        <v>4940772.24</v>
      </c>
      <c r="Q1090" s="38">
        <v>0</v>
      </c>
      <c r="R1090" s="38">
        <v>0</v>
      </c>
      <c r="S1090" s="38">
        <f t="shared" si="233"/>
        <v>4940772.24</v>
      </c>
      <c r="T1090" s="38">
        <f t="shared" si="229"/>
        <v>2306.680971455783</v>
      </c>
      <c r="U1090" s="38">
        <v>2992.8170536989828</v>
      </c>
      <c r="V1090" s="458">
        <f t="shared" si="228"/>
        <v>686.13608224319978</v>
      </c>
      <c r="W1090" s="458">
        <f t="shared" si="234"/>
        <v>2982.6436968355788</v>
      </c>
      <c r="X1090" s="458">
        <v>0</v>
      </c>
      <c r="Y1090" s="459">
        <v>0</v>
      </c>
      <c r="Z1090" s="459">
        <v>0</v>
      </c>
      <c r="AA1090" s="459">
        <v>0</v>
      </c>
      <c r="AB1090" s="459">
        <v>0</v>
      </c>
      <c r="AC1090" s="459">
        <v>0</v>
      </c>
      <c r="AD1090" s="459">
        <v>0</v>
      </c>
      <c r="AE1090" s="459">
        <v>1024</v>
      </c>
      <c r="AF1090" s="458">
        <f>6238.91*AE1090/I1090</f>
        <v>2982.6436968355788</v>
      </c>
      <c r="AG1090" s="459">
        <v>0</v>
      </c>
      <c r="AH1090" s="458">
        <v>0</v>
      </c>
      <c r="AI1090" s="459">
        <v>0</v>
      </c>
      <c r="AJ1090" s="458">
        <v>0</v>
      </c>
      <c r="AK1090" s="459">
        <v>0</v>
      </c>
      <c r="AL1090" s="459">
        <v>0</v>
      </c>
      <c r="AM1090" s="459">
        <v>0</v>
      </c>
      <c r="AN1090" s="459"/>
      <c r="AO1090" s="459">
        <v>0</v>
      </c>
      <c r="AP1090" s="460"/>
      <c r="AQ1090" s="460"/>
      <c r="AR1090" s="460"/>
      <c r="AS1090" s="460"/>
      <c r="AT1090" s="460"/>
      <c r="AU1090" s="460"/>
      <c r="AV1090" s="460"/>
      <c r="AW1090" s="460"/>
      <c r="AX1090" s="460"/>
      <c r="AY1090" s="460"/>
      <c r="AZ1090" s="460"/>
      <c r="BA1090" s="460"/>
      <c r="BB1090" s="460"/>
      <c r="BC1090" s="460"/>
      <c r="BD1090" s="460"/>
      <c r="BE1090" s="460"/>
      <c r="BF1090" s="460"/>
      <c r="BG1090" s="460"/>
      <c r="BH1090" s="460"/>
      <c r="BI1090" s="460"/>
      <c r="BJ1090" s="460"/>
      <c r="BK1090" s="460"/>
      <c r="BL1090" s="460"/>
      <c r="BM1090" s="460"/>
      <c r="BN1090" s="460"/>
      <c r="BO1090" s="460"/>
      <c r="BP1090" s="460"/>
      <c r="BQ1090" s="460"/>
      <c r="BR1090" s="460"/>
      <c r="BS1090" s="460"/>
      <c r="BT1090" s="460"/>
      <c r="BU1090" s="460"/>
      <c r="BV1090" s="460"/>
      <c r="BW1090" s="460"/>
      <c r="BX1090" s="460"/>
      <c r="BY1090" s="460"/>
      <c r="BZ1090" s="460"/>
      <c r="CA1090" s="460"/>
      <c r="CB1090" s="460"/>
      <c r="CC1090" s="460"/>
      <c r="CD1090" s="460"/>
      <c r="CE1090" s="460"/>
      <c r="CF1090" s="460"/>
      <c r="CG1090" s="460"/>
      <c r="CH1090" s="460"/>
      <c r="CI1090" s="460"/>
      <c r="CJ1090" s="460"/>
      <c r="CK1090" s="460"/>
    </row>
    <row r="1091" spans="1:89" s="329" customFormat="1" ht="36" customHeight="1" x14ac:dyDescent="0.25">
      <c r="A1091" s="329">
        <v>1</v>
      </c>
      <c r="B1091" s="39">
        <f>SUBTOTAL(103,$A$1000:A1091)</f>
        <v>90</v>
      </c>
      <c r="C1091" s="33" t="s">
        <v>937</v>
      </c>
      <c r="D1091" s="330">
        <v>1974</v>
      </c>
      <c r="E1091" s="330"/>
      <c r="F1091" s="331" t="s">
        <v>48</v>
      </c>
      <c r="G1091" s="330">
        <v>9</v>
      </c>
      <c r="H1091" s="330" t="s">
        <v>56</v>
      </c>
      <c r="I1091" s="334">
        <v>5409.4</v>
      </c>
      <c r="J1091" s="334">
        <v>5101.5</v>
      </c>
      <c r="K1091" s="334">
        <v>4227.7</v>
      </c>
      <c r="L1091" s="332">
        <v>198</v>
      </c>
      <c r="M1091" s="330" t="s">
        <v>46</v>
      </c>
      <c r="N1091" s="330" t="s">
        <v>50</v>
      </c>
      <c r="O1091" s="333" t="s">
        <v>1996</v>
      </c>
      <c r="P1091" s="38">
        <v>4431631.53</v>
      </c>
      <c r="Q1091" s="38">
        <v>0</v>
      </c>
      <c r="R1091" s="38">
        <v>0</v>
      </c>
      <c r="S1091" s="38">
        <f t="shared" si="233"/>
        <v>4431631.53</v>
      </c>
      <c r="T1091" s="38">
        <f t="shared" si="229"/>
        <v>819.2464099530448</v>
      </c>
      <c r="U1091" s="38">
        <v>908.71446001404968</v>
      </c>
      <c r="V1091" s="458">
        <f t="shared" si="228"/>
        <v>89.468050061004874</v>
      </c>
      <c r="W1091" s="458">
        <f t="shared" si="234"/>
        <v>908.71446001404968</v>
      </c>
      <c r="X1091" s="458">
        <v>0</v>
      </c>
      <c r="Y1091" s="459">
        <v>0</v>
      </c>
      <c r="Z1091" s="459">
        <v>0</v>
      </c>
      <c r="AA1091" s="459">
        <v>0</v>
      </c>
      <c r="AB1091" s="459">
        <v>0</v>
      </c>
      <c r="AC1091" s="459">
        <v>2</v>
      </c>
      <c r="AD1091" s="458">
        <f>2457800*AC1091/I1091</f>
        <v>908.71446001404968</v>
      </c>
      <c r="AE1091" s="459">
        <v>0</v>
      </c>
      <c r="AF1091" s="458">
        <v>0</v>
      </c>
      <c r="AG1091" s="459">
        <v>0</v>
      </c>
      <c r="AH1091" s="458">
        <v>0</v>
      </c>
      <c r="AI1091" s="459">
        <v>0</v>
      </c>
      <c r="AJ1091" s="458">
        <v>0</v>
      </c>
      <c r="AK1091" s="459">
        <v>0</v>
      </c>
      <c r="AL1091" s="459">
        <v>0</v>
      </c>
      <c r="AM1091" s="459">
        <v>0</v>
      </c>
      <c r="AN1091" s="459"/>
      <c r="AO1091" s="459">
        <v>0</v>
      </c>
      <c r="AP1091" s="460"/>
      <c r="AQ1091" s="460"/>
      <c r="AR1091" s="460"/>
      <c r="AS1091" s="460"/>
      <c r="AT1091" s="460"/>
      <c r="AU1091" s="460"/>
      <c r="AV1091" s="460"/>
      <c r="AW1091" s="460"/>
      <c r="AX1091" s="460"/>
      <c r="AY1091" s="460"/>
      <c r="AZ1091" s="460"/>
      <c r="BA1091" s="460"/>
      <c r="BB1091" s="460"/>
      <c r="BC1091" s="460"/>
      <c r="BD1091" s="460"/>
      <c r="BE1091" s="460"/>
      <c r="BF1091" s="460"/>
      <c r="BG1091" s="460"/>
      <c r="BH1091" s="460"/>
      <c r="BI1091" s="460"/>
      <c r="BJ1091" s="460"/>
      <c r="BK1091" s="460"/>
      <c r="BL1091" s="460"/>
      <c r="BM1091" s="460"/>
      <c r="BN1091" s="460"/>
      <c r="BO1091" s="460"/>
      <c r="BP1091" s="460"/>
      <c r="BQ1091" s="460"/>
      <c r="BR1091" s="460"/>
      <c r="BS1091" s="460"/>
      <c r="BT1091" s="460"/>
      <c r="BU1091" s="460"/>
      <c r="BV1091" s="460"/>
      <c r="BW1091" s="460"/>
      <c r="BX1091" s="460"/>
      <c r="BY1091" s="460"/>
      <c r="BZ1091" s="460"/>
      <c r="CA1091" s="460"/>
      <c r="CB1091" s="460"/>
      <c r="CC1091" s="460"/>
      <c r="CD1091" s="460"/>
      <c r="CE1091" s="460"/>
      <c r="CF1091" s="460"/>
      <c r="CG1091" s="460"/>
      <c r="CH1091" s="460"/>
      <c r="CI1091" s="460"/>
      <c r="CJ1091" s="460"/>
      <c r="CK1091" s="460"/>
    </row>
    <row r="1092" spans="1:89" s="329" customFormat="1" ht="36" customHeight="1" x14ac:dyDescent="0.25">
      <c r="A1092" s="329">
        <v>1</v>
      </c>
      <c r="B1092" s="39">
        <f>SUBTOTAL(103,$A$1000:A1092)</f>
        <v>91</v>
      </c>
      <c r="C1092" s="33" t="s">
        <v>1786</v>
      </c>
      <c r="D1092" s="330">
        <v>1958</v>
      </c>
      <c r="E1092" s="330"/>
      <c r="F1092" s="331" t="s">
        <v>48</v>
      </c>
      <c r="G1092" s="330">
        <v>2</v>
      </c>
      <c r="H1092" s="330" t="s">
        <v>56</v>
      </c>
      <c r="I1092" s="334">
        <v>717.8</v>
      </c>
      <c r="J1092" s="334">
        <v>649.4</v>
      </c>
      <c r="K1092" s="334">
        <v>507.29999999999995</v>
      </c>
      <c r="L1092" s="332">
        <v>46</v>
      </c>
      <c r="M1092" s="330" t="s">
        <v>46</v>
      </c>
      <c r="N1092" s="330" t="s">
        <v>50</v>
      </c>
      <c r="O1092" s="333" t="s">
        <v>66</v>
      </c>
      <c r="P1092" s="38">
        <v>2939948.7</v>
      </c>
      <c r="Q1092" s="38">
        <v>0</v>
      </c>
      <c r="R1092" s="38">
        <v>0</v>
      </c>
      <c r="S1092" s="38">
        <f t="shared" si="233"/>
        <v>2939948.7</v>
      </c>
      <c r="T1092" s="38">
        <f t="shared" si="229"/>
        <v>4095.7769573697415</v>
      </c>
      <c r="U1092" s="38">
        <v>5232.8141543605461</v>
      </c>
      <c r="V1092" s="458">
        <f t="shared" si="228"/>
        <v>1137.0371969908047</v>
      </c>
      <c r="W1092" s="458">
        <f t="shared" si="234"/>
        <v>5215.026469768738</v>
      </c>
      <c r="X1092" s="458">
        <v>0</v>
      </c>
      <c r="Y1092" s="459">
        <v>0</v>
      </c>
      <c r="Z1092" s="459">
        <v>0</v>
      </c>
      <c r="AA1092" s="459">
        <v>0</v>
      </c>
      <c r="AB1092" s="459">
        <v>0</v>
      </c>
      <c r="AC1092" s="459">
        <v>0</v>
      </c>
      <c r="AD1092" s="459">
        <v>0</v>
      </c>
      <c r="AE1092" s="459">
        <v>600</v>
      </c>
      <c r="AF1092" s="458">
        <f t="shared" ref="AF1092:AF1102" si="236">6238.91*AE1092/I1092</f>
        <v>5215.026469768738</v>
      </c>
      <c r="AG1092" s="459">
        <v>0</v>
      </c>
      <c r="AH1092" s="458">
        <v>0</v>
      </c>
      <c r="AI1092" s="459">
        <v>0</v>
      </c>
      <c r="AJ1092" s="458">
        <v>0</v>
      </c>
      <c r="AK1092" s="459">
        <v>0</v>
      </c>
      <c r="AL1092" s="459">
        <v>0</v>
      </c>
      <c r="AM1092" s="459">
        <v>0</v>
      </c>
      <c r="AN1092" s="459"/>
      <c r="AO1092" s="459">
        <v>0</v>
      </c>
      <c r="AP1092" s="460"/>
      <c r="AQ1092" s="460"/>
      <c r="AR1092" s="460"/>
      <c r="AS1092" s="460"/>
      <c r="AT1092" s="460"/>
      <c r="AU1092" s="460"/>
      <c r="AV1092" s="460"/>
      <c r="AW1092" s="460"/>
      <c r="AX1092" s="460"/>
      <c r="AY1092" s="460"/>
      <c r="AZ1092" s="460"/>
      <c r="BA1092" s="460"/>
      <c r="BB1092" s="460"/>
      <c r="BC1092" s="460"/>
      <c r="BD1092" s="460"/>
      <c r="BE1092" s="460"/>
      <c r="BF1092" s="460"/>
      <c r="BG1092" s="460"/>
      <c r="BH1092" s="460"/>
      <c r="BI1092" s="460"/>
      <c r="BJ1092" s="460"/>
      <c r="BK1092" s="460"/>
      <c r="BL1092" s="460"/>
      <c r="BM1092" s="460"/>
      <c r="BN1092" s="460"/>
      <c r="BO1092" s="460"/>
      <c r="BP1092" s="460"/>
      <c r="BQ1092" s="460"/>
      <c r="BR1092" s="460"/>
      <c r="BS1092" s="460"/>
      <c r="BT1092" s="460"/>
      <c r="BU1092" s="460"/>
      <c r="BV1092" s="460"/>
      <c r="BW1092" s="460"/>
      <c r="BX1092" s="460"/>
      <c r="BY1092" s="460"/>
      <c r="BZ1092" s="460"/>
      <c r="CA1092" s="460"/>
      <c r="CB1092" s="460"/>
      <c r="CC1092" s="460"/>
      <c r="CD1092" s="460"/>
      <c r="CE1092" s="460"/>
      <c r="CF1092" s="460"/>
      <c r="CG1092" s="460"/>
      <c r="CH1092" s="460"/>
      <c r="CI1092" s="460"/>
      <c r="CJ1092" s="460"/>
      <c r="CK1092" s="460"/>
    </row>
    <row r="1093" spans="1:89" s="329" customFormat="1" ht="36" customHeight="1" x14ac:dyDescent="0.25">
      <c r="A1093" s="329">
        <v>1</v>
      </c>
      <c r="B1093" s="39">
        <f>SUBTOTAL(103,$A$1000:A1093)</f>
        <v>92</v>
      </c>
      <c r="C1093" s="33" t="s">
        <v>1787</v>
      </c>
      <c r="D1093" s="330">
        <v>1956</v>
      </c>
      <c r="E1093" s="330"/>
      <c r="F1093" s="331" t="s">
        <v>1990</v>
      </c>
      <c r="G1093" s="330">
        <v>2</v>
      </c>
      <c r="H1093" s="330" t="s">
        <v>61</v>
      </c>
      <c r="I1093" s="334">
        <v>1239.2</v>
      </c>
      <c r="J1093" s="334">
        <v>1131.0999999999999</v>
      </c>
      <c r="K1093" s="334">
        <v>643.79999999999995</v>
      </c>
      <c r="L1093" s="332">
        <v>46</v>
      </c>
      <c r="M1093" s="330" t="s">
        <v>46</v>
      </c>
      <c r="N1093" s="330" t="s">
        <v>50</v>
      </c>
      <c r="O1093" s="333" t="s">
        <v>65</v>
      </c>
      <c r="P1093" s="38">
        <v>3392314.75</v>
      </c>
      <c r="Q1093" s="38">
        <v>0</v>
      </c>
      <c r="R1093" s="38">
        <v>0</v>
      </c>
      <c r="S1093" s="38">
        <f t="shared" si="233"/>
        <v>3392314.75</v>
      </c>
      <c r="T1093" s="38">
        <f t="shared" si="229"/>
        <v>2737.5038331181408</v>
      </c>
      <c r="U1093" s="38">
        <v>3773.694262427372</v>
      </c>
      <c r="V1093" s="458">
        <f t="shared" si="228"/>
        <v>1036.1904293092311</v>
      </c>
      <c r="W1093" s="458">
        <f t="shared" si="234"/>
        <v>3760.8665025823107</v>
      </c>
      <c r="X1093" s="458">
        <v>0</v>
      </c>
      <c r="Y1093" s="459">
        <v>0</v>
      </c>
      <c r="Z1093" s="459">
        <v>0</v>
      </c>
      <c r="AA1093" s="459">
        <v>0</v>
      </c>
      <c r="AB1093" s="459">
        <v>0</v>
      </c>
      <c r="AC1093" s="459">
        <v>0</v>
      </c>
      <c r="AD1093" s="459">
        <v>0</v>
      </c>
      <c r="AE1093" s="459">
        <v>747</v>
      </c>
      <c r="AF1093" s="458">
        <f t="shared" si="236"/>
        <v>3760.8665025823107</v>
      </c>
      <c r="AG1093" s="459">
        <v>0</v>
      </c>
      <c r="AH1093" s="458">
        <v>0</v>
      </c>
      <c r="AI1093" s="459">
        <v>0</v>
      </c>
      <c r="AJ1093" s="458">
        <v>0</v>
      </c>
      <c r="AK1093" s="459">
        <v>0</v>
      </c>
      <c r="AL1093" s="459">
        <v>0</v>
      </c>
      <c r="AM1093" s="459">
        <v>0</v>
      </c>
      <c r="AN1093" s="459"/>
      <c r="AO1093" s="459">
        <v>0</v>
      </c>
      <c r="AP1093" s="460"/>
      <c r="AQ1093" s="460"/>
      <c r="AR1093" s="460"/>
      <c r="AS1093" s="460"/>
      <c r="AT1093" s="460"/>
      <c r="AU1093" s="460"/>
      <c r="AV1093" s="460"/>
      <c r="AW1093" s="460"/>
      <c r="AX1093" s="460"/>
      <c r="AY1093" s="460"/>
      <c r="AZ1093" s="460"/>
      <c r="BA1093" s="460"/>
      <c r="BB1093" s="460"/>
      <c r="BC1093" s="460"/>
      <c r="BD1093" s="460"/>
      <c r="BE1093" s="460"/>
      <c r="BF1093" s="460"/>
      <c r="BG1093" s="460"/>
      <c r="BH1093" s="460"/>
      <c r="BI1093" s="460"/>
      <c r="BJ1093" s="460"/>
      <c r="BK1093" s="460"/>
      <c r="BL1093" s="460"/>
      <c r="BM1093" s="460"/>
      <c r="BN1093" s="460"/>
      <c r="BO1093" s="460"/>
      <c r="BP1093" s="460"/>
      <c r="BQ1093" s="460"/>
      <c r="BR1093" s="460"/>
      <c r="BS1093" s="460"/>
      <c r="BT1093" s="460"/>
      <c r="BU1093" s="460"/>
      <c r="BV1093" s="460"/>
      <c r="BW1093" s="460"/>
      <c r="BX1093" s="460"/>
      <c r="BY1093" s="460"/>
      <c r="BZ1093" s="460"/>
      <c r="CA1093" s="460"/>
      <c r="CB1093" s="460"/>
      <c r="CC1093" s="460"/>
      <c r="CD1093" s="460"/>
      <c r="CE1093" s="460"/>
      <c r="CF1093" s="460"/>
      <c r="CG1093" s="460"/>
      <c r="CH1093" s="460"/>
      <c r="CI1093" s="460"/>
      <c r="CJ1093" s="460"/>
      <c r="CK1093" s="460"/>
    </row>
    <row r="1094" spans="1:89" s="329" customFormat="1" ht="36" customHeight="1" x14ac:dyDescent="0.25">
      <c r="A1094" s="329">
        <v>1</v>
      </c>
      <c r="B1094" s="39">
        <f>SUBTOTAL(103,$A$1000:A1094)</f>
        <v>93</v>
      </c>
      <c r="C1094" s="33" t="s">
        <v>1788</v>
      </c>
      <c r="D1094" s="330">
        <v>1968</v>
      </c>
      <c r="E1094" s="330"/>
      <c r="F1094" s="331" t="s">
        <v>48</v>
      </c>
      <c r="G1094" s="330">
        <v>3</v>
      </c>
      <c r="H1094" s="330" t="s">
        <v>56</v>
      </c>
      <c r="I1094" s="334">
        <v>1032.5</v>
      </c>
      <c r="J1094" s="334">
        <v>644</v>
      </c>
      <c r="K1094" s="334">
        <v>445.9</v>
      </c>
      <c r="L1094" s="332">
        <v>83</v>
      </c>
      <c r="M1094" s="330" t="s">
        <v>46</v>
      </c>
      <c r="N1094" s="330" t="s">
        <v>50</v>
      </c>
      <c r="O1094" s="333" t="s">
        <v>2000</v>
      </c>
      <c r="P1094" s="38">
        <v>2330461.9000000004</v>
      </c>
      <c r="Q1094" s="38">
        <v>0</v>
      </c>
      <c r="R1094" s="38">
        <v>0</v>
      </c>
      <c r="S1094" s="38">
        <f t="shared" si="233"/>
        <v>2330461.9000000004</v>
      </c>
      <c r="T1094" s="38">
        <f t="shared" si="229"/>
        <v>2257.1059564164652</v>
      </c>
      <c r="U1094" s="38">
        <v>2928.4956610169493</v>
      </c>
      <c r="V1094" s="458">
        <f t="shared" si="228"/>
        <v>671.38970460048404</v>
      </c>
      <c r="W1094" s="458">
        <f t="shared" si="234"/>
        <v>2918.540949152542</v>
      </c>
      <c r="X1094" s="458">
        <v>0</v>
      </c>
      <c r="Y1094" s="459">
        <v>0</v>
      </c>
      <c r="Z1094" s="459">
        <v>0</v>
      </c>
      <c r="AA1094" s="459">
        <v>0</v>
      </c>
      <c r="AB1094" s="459">
        <v>0</v>
      </c>
      <c r="AC1094" s="459">
        <v>0</v>
      </c>
      <c r="AD1094" s="459">
        <v>0</v>
      </c>
      <c r="AE1094" s="459">
        <v>483</v>
      </c>
      <c r="AF1094" s="458">
        <f t="shared" si="236"/>
        <v>2918.540949152542</v>
      </c>
      <c r="AG1094" s="459">
        <v>0</v>
      </c>
      <c r="AH1094" s="458">
        <v>0</v>
      </c>
      <c r="AI1094" s="459">
        <v>0</v>
      </c>
      <c r="AJ1094" s="458">
        <v>0</v>
      </c>
      <c r="AK1094" s="459">
        <v>0</v>
      </c>
      <c r="AL1094" s="459">
        <v>0</v>
      </c>
      <c r="AM1094" s="459">
        <v>0</v>
      </c>
      <c r="AN1094" s="459"/>
      <c r="AO1094" s="459">
        <v>0</v>
      </c>
      <c r="AP1094" s="460"/>
      <c r="AQ1094" s="460"/>
      <c r="AR1094" s="460"/>
      <c r="AS1094" s="460"/>
      <c r="AT1094" s="460"/>
      <c r="AU1094" s="460"/>
      <c r="AV1094" s="460"/>
      <c r="AW1094" s="460"/>
      <c r="AX1094" s="460"/>
      <c r="AY1094" s="460"/>
      <c r="AZ1094" s="460"/>
      <c r="BA1094" s="460"/>
      <c r="BB1094" s="460"/>
      <c r="BC1094" s="460"/>
      <c r="BD1094" s="460"/>
      <c r="BE1094" s="460"/>
      <c r="BF1094" s="460"/>
      <c r="BG1094" s="460"/>
      <c r="BH1094" s="460"/>
      <c r="BI1094" s="460"/>
      <c r="BJ1094" s="460"/>
      <c r="BK1094" s="460"/>
      <c r="BL1094" s="460"/>
      <c r="BM1094" s="460"/>
      <c r="BN1094" s="460"/>
      <c r="BO1094" s="460"/>
      <c r="BP1094" s="460"/>
      <c r="BQ1094" s="460"/>
      <c r="BR1094" s="460"/>
      <c r="BS1094" s="460"/>
      <c r="BT1094" s="460"/>
      <c r="BU1094" s="460"/>
      <c r="BV1094" s="460"/>
      <c r="BW1094" s="460"/>
      <c r="BX1094" s="460"/>
      <c r="BY1094" s="460"/>
      <c r="BZ1094" s="460"/>
      <c r="CA1094" s="460"/>
      <c r="CB1094" s="460"/>
      <c r="CC1094" s="460"/>
      <c r="CD1094" s="460"/>
      <c r="CE1094" s="460"/>
      <c r="CF1094" s="460"/>
      <c r="CG1094" s="460"/>
      <c r="CH1094" s="460"/>
      <c r="CI1094" s="460"/>
      <c r="CJ1094" s="460"/>
      <c r="CK1094" s="460"/>
    </row>
    <row r="1095" spans="1:89" s="329" customFormat="1" ht="36" customHeight="1" x14ac:dyDescent="0.25">
      <c r="A1095" s="329">
        <v>1</v>
      </c>
      <c r="B1095" s="39">
        <f>SUBTOTAL(103,$A$1000:A1095)</f>
        <v>94</v>
      </c>
      <c r="C1095" s="33" t="s">
        <v>1789</v>
      </c>
      <c r="D1095" s="330">
        <v>1969</v>
      </c>
      <c r="E1095" s="330"/>
      <c r="F1095" s="331" t="s">
        <v>48</v>
      </c>
      <c r="G1095" s="330">
        <v>5</v>
      </c>
      <c r="H1095" s="330" t="s">
        <v>1969</v>
      </c>
      <c r="I1095" s="334">
        <v>5048.3</v>
      </c>
      <c r="J1095" s="334">
        <v>4655.2</v>
      </c>
      <c r="K1095" s="334">
        <v>3957.13</v>
      </c>
      <c r="L1095" s="332">
        <v>217</v>
      </c>
      <c r="M1095" s="330" t="s">
        <v>46</v>
      </c>
      <c r="N1095" s="330" t="s">
        <v>50</v>
      </c>
      <c r="O1095" s="333" t="s">
        <v>2000</v>
      </c>
      <c r="P1095" s="38">
        <v>7737284.3099999996</v>
      </c>
      <c r="Q1095" s="38">
        <v>0</v>
      </c>
      <c r="R1095" s="38">
        <v>0</v>
      </c>
      <c r="S1095" s="38">
        <f t="shared" si="233"/>
        <v>7737284.3099999996</v>
      </c>
      <c r="T1095" s="38">
        <f t="shared" si="229"/>
        <v>1532.6514490026343</v>
      </c>
      <c r="U1095" s="38">
        <v>1861.3286036883701</v>
      </c>
      <c r="V1095" s="458">
        <f t="shared" si="228"/>
        <v>328.67715468573579</v>
      </c>
      <c r="W1095" s="458">
        <f t="shared" si="234"/>
        <v>1855.0014678208506</v>
      </c>
      <c r="X1095" s="458">
        <v>0</v>
      </c>
      <c r="Y1095" s="459">
        <v>0</v>
      </c>
      <c r="Z1095" s="459">
        <v>0</v>
      </c>
      <c r="AA1095" s="459">
        <v>0</v>
      </c>
      <c r="AB1095" s="459">
        <v>0</v>
      </c>
      <c r="AC1095" s="459">
        <v>0</v>
      </c>
      <c r="AD1095" s="459">
        <v>0</v>
      </c>
      <c r="AE1095" s="459">
        <v>1501</v>
      </c>
      <c r="AF1095" s="458">
        <f t="shared" si="236"/>
        <v>1855.0014678208506</v>
      </c>
      <c r="AG1095" s="459">
        <v>0</v>
      </c>
      <c r="AH1095" s="458">
        <v>0</v>
      </c>
      <c r="AI1095" s="459">
        <v>0</v>
      </c>
      <c r="AJ1095" s="458">
        <v>0</v>
      </c>
      <c r="AK1095" s="459">
        <v>0</v>
      </c>
      <c r="AL1095" s="459">
        <v>0</v>
      </c>
      <c r="AM1095" s="459">
        <v>0</v>
      </c>
      <c r="AN1095" s="459"/>
      <c r="AO1095" s="459">
        <v>0</v>
      </c>
      <c r="AP1095" s="460"/>
      <c r="AQ1095" s="460"/>
      <c r="AR1095" s="460"/>
      <c r="AS1095" s="460"/>
      <c r="AT1095" s="460"/>
      <c r="AU1095" s="460"/>
      <c r="AV1095" s="460"/>
      <c r="AW1095" s="460"/>
      <c r="AX1095" s="460"/>
      <c r="AY1095" s="460"/>
      <c r="AZ1095" s="460"/>
      <c r="BA1095" s="460"/>
      <c r="BB1095" s="460"/>
      <c r="BC1095" s="460"/>
      <c r="BD1095" s="460"/>
      <c r="BE1095" s="460"/>
      <c r="BF1095" s="460"/>
      <c r="BG1095" s="460"/>
      <c r="BH1095" s="460"/>
      <c r="BI1095" s="460"/>
      <c r="BJ1095" s="460"/>
      <c r="BK1095" s="460"/>
      <c r="BL1095" s="460"/>
      <c r="BM1095" s="460"/>
      <c r="BN1095" s="460"/>
      <c r="BO1095" s="460"/>
      <c r="BP1095" s="460"/>
      <c r="BQ1095" s="460"/>
      <c r="BR1095" s="460"/>
      <c r="BS1095" s="460"/>
      <c r="BT1095" s="460"/>
      <c r="BU1095" s="460"/>
      <c r="BV1095" s="460"/>
      <c r="BW1095" s="460"/>
      <c r="BX1095" s="460"/>
      <c r="BY1095" s="460"/>
      <c r="BZ1095" s="460"/>
      <c r="CA1095" s="460"/>
      <c r="CB1095" s="460"/>
      <c r="CC1095" s="460"/>
      <c r="CD1095" s="460"/>
      <c r="CE1095" s="460"/>
      <c r="CF1095" s="460"/>
      <c r="CG1095" s="460"/>
      <c r="CH1095" s="460"/>
      <c r="CI1095" s="460"/>
      <c r="CJ1095" s="460"/>
      <c r="CK1095" s="460"/>
    </row>
    <row r="1096" spans="1:89" s="329" customFormat="1" ht="36" customHeight="1" x14ac:dyDescent="0.25">
      <c r="A1096" s="329">
        <v>1</v>
      </c>
      <c r="B1096" s="39">
        <f>SUBTOTAL(103,$A$1000:A1096)</f>
        <v>95</v>
      </c>
      <c r="C1096" s="33" t="s">
        <v>1790</v>
      </c>
      <c r="D1096" s="330">
        <v>1943</v>
      </c>
      <c r="E1096" s="330"/>
      <c r="F1096" s="331" t="s">
        <v>48</v>
      </c>
      <c r="G1096" s="330">
        <v>2</v>
      </c>
      <c r="H1096" s="330" t="s">
        <v>57</v>
      </c>
      <c r="I1096" s="334">
        <v>722.9</v>
      </c>
      <c r="J1096" s="334">
        <v>653.9</v>
      </c>
      <c r="K1096" s="334">
        <v>547.55999999999995</v>
      </c>
      <c r="L1096" s="332">
        <v>34</v>
      </c>
      <c r="M1096" s="330" t="s">
        <v>46</v>
      </c>
      <c r="N1096" s="330" t="s">
        <v>50</v>
      </c>
      <c r="O1096" s="333" t="s">
        <v>66</v>
      </c>
      <c r="P1096" s="38">
        <v>3223377.74</v>
      </c>
      <c r="Q1096" s="38">
        <v>0</v>
      </c>
      <c r="R1096" s="38">
        <v>0</v>
      </c>
      <c r="S1096" s="38">
        <f t="shared" si="233"/>
        <v>3223377.74</v>
      </c>
      <c r="T1096" s="38">
        <f t="shared" si="229"/>
        <v>4458.9538525383878</v>
      </c>
      <c r="U1096" s="38">
        <v>5195.8970812007192</v>
      </c>
      <c r="V1096" s="458">
        <f t="shared" si="228"/>
        <v>736.94322866233142</v>
      </c>
      <c r="W1096" s="458">
        <f t="shared" si="234"/>
        <v>5178.2348872596485</v>
      </c>
      <c r="X1096" s="458">
        <v>0</v>
      </c>
      <c r="Y1096" s="459">
        <v>0</v>
      </c>
      <c r="Z1096" s="459">
        <v>0</v>
      </c>
      <c r="AA1096" s="459">
        <v>0</v>
      </c>
      <c r="AB1096" s="459">
        <v>0</v>
      </c>
      <c r="AC1096" s="459">
        <v>0</v>
      </c>
      <c r="AD1096" s="459">
        <v>0</v>
      </c>
      <c r="AE1096" s="459">
        <v>600</v>
      </c>
      <c r="AF1096" s="458">
        <f t="shared" si="236"/>
        <v>5178.2348872596485</v>
      </c>
      <c r="AG1096" s="459">
        <v>0</v>
      </c>
      <c r="AH1096" s="458">
        <v>0</v>
      </c>
      <c r="AI1096" s="459">
        <v>0</v>
      </c>
      <c r="AJ1096" s="458">
        <v>0</v>
      </c>
      <c r="AK1096" s="459">
        <v>0</v>
      </c>
      <c r="AL1096" s="459">
        <v>0</v>
      </c>
      <c r="AM1096" s="459">
        <v>0</v>
      </c>
      <c r="AN1096" s="459"/>
      <c r="AO1096" s="459">
        <v>0</v>
      </c>
      <c r="AP1096" s="460"/>
      <c r="AQ1096" s="460"/>
      <c r="AR1096" s="460"/>
      <c r="AS1096" s="460"/>
      <c r="AT1096" s="460"/>
      <c r="AU1096" s="460"/>
      <c r="AV1096" s="460"/>
      <c r="AW1096" s="460"/>
      <c r="AX1096" s="460"/>
      <c r="AY1096" s="460"/>
      <c r="AZ1096" s="460"/>
      <c r="BA1096" s="460"/>
      <c r="BB1096" s="460"/>
      <c r="BC1096" s="460"/>
      <c r="BD1096" s="460"/>
      <c r="BE1096" s="460"/>
      <c r="BF1096" s="460"/>
      <c r="BG1096" s="460"/>
      <c r="BH1096" s="460"/>
      <c r="BI1096" s="460"/>
      <c r="BJ1096" s="460"/>
      <c r="BK1096" s="460"/>
      <c r="BL1096" s="460"/>
      <c r="BM1096" s="460"/>
      <c r="BN1096" s="460"/>
      <c r="BO1096" s="460"/>
      <c r="BP1096" s="460"/>
      <c r="BQ1096" s="460"/>
      <c r="BR1096" s="460"/>
      <c r="BS1096" s="460"/>
      <c r="BT1096" s="460"/>
      <c r="BU1096" s="460"/>
      <c r="BV1096" s="460"/>
      <c r="BW1096" s="460"/>
      <c r="BX1096" s="460"/>
      <c r="BY1096" s="460"/>
      <c r="BZ1096" s="460"/>
      <c r="CA1096" s="460"/>
      <c r="CB1096" s="460"/>
      <c r="CC1096" s="460"/>
      <c r="CD1096" s="460"/>
      <c r="CE1096" s="460"/>
      <c r="CF1096" s="460"/>
      <c r="CG1096" s="460"/>
      <c r="CH1096" s="460"/>
      <c r="CI1096" s="460"/>
      <c r="CJ1096" s="460"/>
      <c r="CK1096" s="460"/>
    </row>
    <row r="1097" spans="1:89" s="329" customFormat="1" ht="36" customHeight="1" x14ac:dyDescent="0.25">
      <c r="A1097" s="329">
        <v>1</v>
      </c>
      <c r="B1097" s="39">
        <f>SUBTOTAL(103,$A$1000:A1097)</f>
        <v>96</v>
      </c>
      <c r="C1097" s="33" t="s">
        <v>1791</v>
      </c>
      <c r="D1097" s="330">
        <v>1917</v>
      </c>
      <c r="E1097" s="330"/>
      <c r="F1097" s="331" t="s">
        <v>68</v>
      </c>
      <c r="G1097" s="330">
        <v>2</v>
      </c>
      <c r="H1097" s="330" t="s">
        <v>56</v>
      </c>
      <c r="I1097" s="334">
        <v>643.4</v>
      </c>
      <c r="J1097" s="334">
        <v>615.9</v>
      </c>
      <c r="K1097" s="334">
        <v>423.09999999999997</v>
      </c>
      <c r="L1097" s="332">
        <v>21</v>
      </c>
      <c r="M1097" s="330" t="s">
        <v>46</v>
      </c>
      <c r="N1097" s="330" t="s">
        <v>50</v>
      </c>
      <c r="O1097" s="333" t="s">
        <v>65</v>
      </c>
      <c r="P1097" s="38">
        <v>1785415</v>
      </c>
      <c r="Q1097" s="38">
        <v>0</v>
      </c>
      <c r="R1097" s="38">
        <v>0</v>
      </c>
      <c r="S1097" s="38">
        <f t="shared" si="233"/>
        <v>1785415</v>
      </c>
      <c r="T1097" s="38">
        <f t="shared" si="229"/>
        <v>2774.9689151383277</v>
      </c>
      <c r="U1097" s="38">
        <v>3590.3172365557971</v>
      </c>
      <c r="V1097" s="458">
        <f t="shared" si="228"/>
        <v>815.34832141746938</v>
      </c>
      <c r="W1097" s="458">
        <f t="shared" si="234"/>
        <v>3578.1128225054399</v>
      </c>
      <c r="X1097" s="458">
        <v>0</v>
      </c>
      <c r="Y1097" s="459">
        <v>0</v>
      </c>
      <c r="Z1097" s="459">
        <v>0</v>
      </c>
      <c r="AA1097" s="459">
        <v>0</v>
      </c>
      <c r="AB1097" s="459">
        <v>0</v>
      </c>
      <c r="AC1097" s="459">
        <v>0</v>
      </c>
      <c r="AD1097" s="459">
        <v>0</v>
      </c>
      <c r="AE1097" s="459">
        <v>369</v>
      </c>
      <c r="AF1097" s="458">
        <f t="shared" si="236"/>
        <v>3578.1128225054399</v>
      </c>
      <c r="AG1097" s="459">
        <v>0</v>
      </c>
      <c r="AH1097" s="458">
        <v>0</v>
      </c>
      <c r="AI1097" s="459">
        <v>0</v>
      </c>
      <c r="AJ1097" s="458">
        <v>0</v>
      </c>
      <c r="AK1097" s="459">
        <v>0</v>
      </c>
      <c r="AL1097" s="459">
        <v>0</v>
      </c>
      <c r="AM1097" s="459">
        <v>0</v>
      </c>
      <c r="AN1097" s="459"/>
      <c r="AO1097" s="459">
        <v>0</v>
      </c>
      <c r="AP1097" s="460"/>
      <c r="AQ1097" s="460"/>
      <c r="AR1097" s="460"/>
      <c r="AS1097" s="460"/>
      <c r="AT1097" s="460"/>
      <c r="AU1097" s="460"/>
      <c r="AV1097" s="460"/>
      <c r="AW1097" s="460"/>
      <c r="AX1097" s="460"/>
      <c r="AY1097" s="460"/>
      <c r="AZ1097" s="460"/>
      <c r="BA1097" s="460"/>
      <c r="BB1097" s="460"/>
      <c r="BC1097" s="460"/>
      <c r="BD1097" s="460"/>
      <c r="BE1097" s="460"/>
      <c r="BF1097" s="460"/>
      <c r="BG1097" s="460"/>
      <c r="BH1097" s="460"/>
      <c r="BI1097" s="460"/>
      <c r="BJ1097" s="460"/>
      <c r="BK1097" s="460"/>
      <c r="BL1097" s="460"/>
      <c r="BM1097" s="460"/>
      <c r="BN1097" s="460"/>
      <c r="BO1097" s="460"/>
      <c r="BP1097" s="460"/>
      <c r="BQ1097" s="460"/>
      <c r="BR1097" s="460"/>
      <c r="BS1097" s="460"/>
      <c r="BT1097" s="460"/>
      <c r="BU1097" s="460"/>
      <c r="BV1097" s="460"/>
      <c r="BW1097" s="460"/>
      <c r="BX1097" s="460"/>
      <c r="BY1097" s="460"/>
      <c r="BZ1097" s="460"/>
      <c r="CA1097" s="460"/>
      <c r="CB1097" s="460"/>
      <c r="CC1097" s="460"/>
      <c r="CD1097" s="460"/>
      <c r="CE1097" s="460"/>
      <c r="CF1097" s="460"/>
      <c r="CG1097" s="460"/>
      <c r="CH1097" s="460"/>
      <c r="CI1097" s="460"/>
      <c r="CJ1097" s="460"/>
      <c r="CK1097" s="460"/>
    </row>
    <row r="1098" spans="1:89" s="329" customFormat="1" ht="36" customHeight="1" x14ac:dyDescent="0.25">
      <c r="A1098" s="329">
        <v>1</v>
      </c>
      <c r="B1098" s="39">
        <f>SUBTOTAL(103,$A$1000:A1098)</f>
        <v>97</v>
      </c>
      <c r="C1098" s="33" t="s">
        <v>1792</v>
      </c>
      <c r="D1098" s="330">
        <v>1967</v>
      </c>
      <c r="E1098" s="330"/>
      <c r="F1098" s="331" t="s">
        <v>48</v>
      </c>
      <c r="G1098" s="330">
        <v>2</v>
      </c>
      <c r="H1098" s="330" t="s">
        <v>56</v>
      </c>
      <c r="I1098" s="334">
        <v>678.4</v>
      </c>
      <c r="J1098" s="334">
        <v>629.79999999999995</v>
      </c>
      <c r="K1098" s="334">
        <v>589.79999999999995</v>
      </c>
      <c r="L1098" s="332">
        <v>35</v>
      </c>
      <c r="M1098" s="330" t="s">
        <v>46</v>
      </c>
      <c r="N1098" s="330" t="s">
        <v>50</v>
      </c>
      <c r="O1098" s="333" t="s">
        <v>67</v>
      </c>
      <c r="P1098" s="38">
        <v>2534110.7700000005</v>
      </c>
      <c r="Q1098" s="38">
        <v>0</v>
      </c>
      <c r="R1098" s="38">
        <v>0</v>
      </c>
      <c r="S1098" s="38">
        <f t="shared" si="233"/>
        <v>2534110.7700000005</v>
      </c>
      <c r="T1098" s="38">
        <f t="shared" si="229"/>
        <v>3735.4227152122648</v>
      </c>
      <c r="U1098" s="38">
        <v>4844.6340654481137</v>
      </c>
      <c r="V1098" s="458">
        <f t="shared" si="228"/>
        <v>1109.2113502358488</v>
      </c>
      <c r="W1098" s="458">
        <f t="shared" si="234"/>
        <v>4828.1659050707549</v>
      </c>
      <c r="X1098" s="458">
        <v>0</v>
      </c>
      <c r="Y1098" s="459">
        <v>0</v>
      </c>
      <c r="Z1098" s="459">
        <v>0</v>
      </c>
      <c r="AA1098" s="459">
        <v>0</v>
      </c>
      <c r="AB1098" s="459">
        <v>0</v>
      </c>
      <c r="AC1098" s="459">
        <v>0</v>
      </c>
      <c r="AD1098" s="459">
        <v>0</v>
      </c>
      <c r="AE1098" s="459">
        <v>525</v>
      </c>
      <c r="AF1098" s="458">
        <f t="shared" si="236"/>
        <v>4828.1659050707549</v>
      </c>
      <c r="AG1098" s="459">
        <v>0</v>
      </c>
      <c r="AH1098" s="458">
        <v>0</v>
      </c>
      <c r="AI1098" s="459">
        <v>0</v>
      </c>
      <c r="AJ1098" s="458">
        <v>0</v>
      </c>
      <c r="AK1098" s="459">
        <v>0</v>
      </c>
      <c r="AL1098" s="459">
        <v>0</v>
      </c>
      <c r="AM1098" s="459">
        <v>0</v>
      </c>
      <c r="AN1098" s="459"/>
      <c r="AO1098" s="459">
        <v>0</v>
      </c>
      <c r="AP1098" s="460"/>
      <c r="AQ1098" s="460"/>
      <c r="AR1098" s="460"/>
      <c r="AS1098" s="460"/>
      <c r="AT1098" s="460"/>
      <c r="AU1098" s="460"/>
      <c r="AV1098" s="460"/>
      <c r="AW1098" s="460"/>
      <c r="AX1098" s="460"/>
      <c r="AY1098" s="460"/>
      <c r="AZ1098" s="460"/>
      <c r="BA1098" s="460"/>
      <c r="BB1098" s="460"/>
      <c r="BC1098" s="460"/>
      <c r="BD1098" s="460"/>
      <c r="BE1098" s="460"/>
      <c r="BF1098" s="460"/>
      <c r="BG1098" s="460"/>
      <c r="BH1098" s="460"/>
      <c r="BI1098" s="460"/>
      <c r="BJ1098" s="460"/>
      <c r="BK1098" s="460"/>
      <c r="BL1098" s="460"/>
      <c r="BM1098" s="460"/>
      <c r="BN1098" s="460"/>
      <c r="BO1098" s="460"/>
      <c r="BP1098" s="460"/>
      <c r="BQ1098" s="460"/>
      <c r="BR1098" s="460"/>
      <c r="BS1098" s="460"/>
      <c r="BT1098" s="460"/>
      <c r="BU1098" s="460"/>
      <c r="BV1098" s="460"/>
      <c r="BW1098" s="460"/>
      <c r="BX1098" s="460"/>
      <c r="BY1098" s="460"/>
      <c r="BZ1098" s="460"/>
      <c r="CA1098" s="460"/>
      <c r="CB1098" s="460"/>
      <c r="CC1098" s="460"/>
      <c r="CD1098" s="460"/>
      <c r="CE1098" s="460"/>
      <c r="CF1098" s="460"/>
      <c r="CG1098" s="460"/>
      <c r="CH1098" s="460"/>
      <c r="CI1098" s="460"/>
      <c r="CJ1098" s="460"/>
      <c r="CK1098" s="460"/>
    </row>
    <row r="1099" spans="1:89" s="329" customFormat="1" ht="36" customHeight="1" x14ac:dyDescent="0.25">
      <c r="A1099" s="329">
        <v>1</v>
      </c>
      <c r="B1099" s="39">
        <f>SUBTOTAL(103,$A$1000:A1099)</f>
        <v>98</v>
      </c>
      <c r="C1099" s="33" t="s">
        <v>1793</v>
      </c>
      <c r="D1099" s="330">
        <v>1975</v>
      </c>
      <c r="E1099" s="330"/>
      <c r="F1099" s="331" t="s">
        <v>48</v>
      </c>
      <c r="G1099" s="330">
        <v>2</v>
      </c>
      <c r="H1099" s="330" t="s">
        <v>56</v>
      </c>
      <c r="I1099" s="334">
        <v>817.4</v>
      </c>
      <c r="J1099" s="334">
        <v>755.8</v>
      </c>
      <c r="K1099" s="334">
        <v>652</v>
      </c>
      <c r="L1099" s="332">
        <v>43</v>
      </c>
      <c r="M1099" s="330" t="s">
        <v>46</v>
      </c>
      <c r="N1099" s="330" t="s">
        <v>50</v>
      </c>
      <c r="O1099" s="333" t="s">
        <v>67</v>
      </c>
      <c r="P1099" s="38">
        <v>2967533.3499999996</v>
      </c>
      <c r="Q1099" s="38">
        <v>0</v>
      </c>
      <c r="R1099" s="38">
        <v>0</v>
      </c>
      <c r="S1099" s="38">
        <f t="shared" si="233"/>
        <v>2967533.3499999996</v>
      </c>
      <c r="T1099" s="38">
        <f t="shared" si="229"/>
        <v>3630.4543063371661</v>
      </c>
      <c r="U1099" s="38">
        <v>4702.4182285294837</v>
      </c>
      <c r="V1099" s="458">
        <f t="shared" si="228"/>
        <v>1071.9639221923176</v>
      </c>
      <c r="W1099" s="458">
        <f t="shared" si="234"/>
        <v>4686.4334964521649</v>
      </c>
      <c r="X1099" s="458">
        <v>0</v>
      </c>
      <c r="Y1099" s="459">
        <v>0</v>
      </c>
      <c r="Z1099" s="459">
        <v>0</v>
      </c>
      <c r="AA1099" s="459">
        <v>0</v>
      </c>
      <c r="AB1099" s="459">
        <v>0</v>
      </c>
      <c r="AC1099" s="459">
        <v>0</v>
      </c>
      <c r="AD1099" s="459">
        <v>0</v>
      </c>
      <c r="AE1099" s="459">
        <v>614</v>
      </c>
      <c r="AF1099" s="458">
        <f t="shared" si="236"/>
        <v>4686.4334964521649</v>
      </c>
      <c r="AG1099" s="459">
        <v>0</v>
      </c>
      <c r="AH1099" s="458">
        <v>0</v>
      </c>
      <c r="AI1099" s="459">
        <v>0</v>
      </c>
      <c r="AJ1099" s="458">
        <v>0</v>
      </c>
      <c r="AK1099" s="459">
        <v>0</v>
      </c>
      <c r="AL1099" s="459">
        <v>0</v>
      </c>
      <c r="AM1099" s="459">
        <v>0</v>
      </c>
      <c r="AN1099" s="459"/>
      <c r="AO1099" s="459">
        <v>0</v>
      </c>
      <c r="AP1099" s="460"/>
      <c r="AQ1099" s="460"/>
      <c r="AR1099" s="460"/>
      <c r="AS1099" s="460"/>
      <c r="AT1099" s="460"/>
      <c r="AU1099" s="460"/>
      <c r="AV1099" s="460"/>
      <c r="AW1099" s="460"/>
      <c r="AX1099" s="460"/>
      <c r="AY1099" s="460"/>
      <c r="AZ1099" s="460"/>
      <c r="BA1099" s="460"/>
      <c r="BB1099" s="460"/>
      <c r="BC1099" s="460"/>
      <c r="BD1099" s="460"/>
      <c r="BE1099" s="460"/>
      <c r="BF1099" s="460"/>
      <c r="BG1099" s="460"/>
      <c r="BH1099" s="460"/>
      <c r="BI1099" s="460"/>
      <c r="BJ1099" s="460"/>
      <c r="BK1099" s="460"/>
      <c r="BL1099" s="460"/>
      <c r="BM1099" s="460"/>
      <c r="BN1099" s="460"/>
      <c r="BO1099" s="460"/>
      <c r="BP1099" s="460"/>
      <c r="BQ1099" s="460"/>
      <c r="BR1099" s="460"/>
      <c r="BS1099" s="460"/>
      <c r="BT1099" s="460"/>
      <c r="BU1099" s="460"/>
      <c r="BV1099" s="460"/>
      <c r="BW1099" s="460"/>
      <c r="BX1099" s="460"/>
      <c r="BY1099" s="460"/>
      <c r="BZ1099" s="460"/>
      <c r="CA1099" s="460"/>
      <c r="CB1099" s="460"/>
      <c r="CC1099" s="460"/>
      <c r="CD1099" s="460"/>
      <c r="CE1099" s="460"/>
      <c r="CF1099" s="460"/>
      <c r="CG1099" s="460"/>
      <c r="CH1099" s="460"/>
      <c r="CI1099" s="460"/>
      <c r="CJ1099" s="460"/>
      <c r="CK1099" s="460"/>
    </row>
    <row r="1100" spans="1:89" s="329" customFormat="1" ht="36" customHeight="1" x14ac:dyDescent="0.25">
      <c r="A1100" s="329">
        <v>1</v>
      </c>
      <c r="B1100" s="39">
        <f>SUBTOTAL(103,$A$1000:A1100)</f>
        <v>99</v>
      </c>
      <c r="C1100" s="33" t="s">
        <v>1794</v>
      </c>
      <c r="D1100" s="330">
        <v>1950</v>
      </c>
      <c r="E1100" s="330"/>
      <c r="F1100" s="331" t="s">
        <v>48</v>
      </c>
      <c r="G1100" s="330">
        <v>2</v>
      </c>
      <c r="H1100" s="330" t="s">
        <v>57</v>
      </c>
      <c r="I1100" s="334">
        <v>411.15</v>
      </c>
      <c r="J1100" s="334">
        <v>411.15</v>
      </c>
      <c r="K1100" s="334">
        <v>369.45</v>
      </c>
      <c r="L1100" s="332">
        <v>18</v>
      </c>
      <c r="M1100" s="330" t="s">
        <v>46</v>
      </c>
      <c r="N1100" s="330" t="s">
        <v>50</v>
      </c>
      <c r="O1100" s="333" t="s">
        <v>65</v>
      </c>
      <c r="P1100" s="38">
        <v>1780239.97</v>
      </c>
      <c r="Q1100" s="38">
        <v>0</v>
      </c>
      <c r="R1100" s="38">
        <v>0</v>
      </c>
      <c r="S1100" s="38">
        <f t="shared" si="233"/>
        <v>1780239.97</v>
      </c>
      <c r="T1100" s="38">
        <f t="shared" si="229"/>
        <v>4329.9038550407395</v>
      </c>
      <c r="U1100" s="38">
        <v>5633.6380882889453</v>
      </c>
      <c r="V1100" s="458">
        <f t="shared" si="228"/>
        <v>1303.7342332482058</v>
      </c>
      <c r="W1100" s="458">
        <f t="shared" si="234"/>
        <v>5614.4878997932628</v>
      </c>
      <c r="X1100" s="458">
        <v>0</v>
      </c>
      <c r="Y1100" s="459">
        <v>0</v>
      </c>
      <c r="Z1100" s="459">
        <v>0</v>
      </c>
      <c r="AA1100" s="459">
        <v>0</v>
      </c>
      <c r="AB1100" s="459">
        <v>0</v>
      </c>
      <c r="AC1100" s="459">
        <v>0</v>
      </c>
      <c r="AD1100" s="459">
        <v>0</v>
      </c>
      <c r="AE1100" s="459">
        <v>370</v>
      </c>
      <c r="AF1100" s="458">
        <f t="shared" si="236"/>
        <v>5614.4878997932628</v>
      </c>
      <c r="AG1100" s="459">
        <v>0</v>
      </c>
      <c r="AH1100" s="458">
        <v>0</v>
      </c>
      <c r="AI1100" s="459">
        <v>0</v>
      </c>
      <c r="AJ1100" s="458">
        <v>0</v>
      </c>
      <c r="AK1100" s="459">
        <v>0</v>
      </c>
      <c r="AL1100" s="459">
        <v>0</v>
      </c>
      <c r="AM1100" s="459">
        <v>0</v>
      </c>
      <c r="AN1100" s="459"/>
      <c r="AO1100" s="459">
        <v>0</v>
      </c>
      <c r="AP1100" s="460"/>
      <c r="AQ1100" s="460"/>
      <c r="AR1100" s="460"/>
      <c r="AS1100" s="460"/>
      <c r="AT1100" s="460"/>
      <c r="AU1100" s="460"/>
      <c r="AV1100" s="460"/>
      <c r="AW1100" s="460"/>
      <c r="AX1100" s="460"/>
      <c r="AY1100" s="460"/>
      <c r="AZ1100" s="460"/>
      <c r="BA1100" s="460"/>
      <c r="BB1100" s="460"/>
      <c r="BC1100" s="460"/>
      <c r="BD1100" s="460"/>
      <c r="BE1100" s="460"/>
      <c r="BF1100" s="460"/>
      <c r="BG1100" s="460"/>
      <c r="BH1100" s="460"/>
      <c r="BI1100" s="460"/>
      <c r="BJ1100" s="460"/>
      <c r="BK1100" s="460"/>
      <c r="BL1100" s="460"/>
      <c r="BM1100" s="460"/>
      <c r="BN1100" s="460"/>
      <c r="BO1100" s="460"/>
      <c r="BP1100" s="460"/>
      <c r="BQ1100" s="460"/>
      <c r="BR1100" s="460"/>
      <c r="BS1100" s="460"/>
      <c r="BT1100" s="460"/>
      <c r="BU1100" s="460"/>
      <c r="BV1100" s="460"/>
      <c r="BW1100" s="460"/>
      <c r="BX1100" s="460"/>
      <c r="BY1100" s="460"/>
      <c r="BZ1100" s="460"/>
      <c r="CA1100" s="460"/>
      <c r="CB1100" s="460"/>
      <c r="CC1100" s="460"/>
      <c r="CD1100" s="460"/>
      <c r="CE1100" s="460"/>
      <c r="CF1100" s="460"/>
      <c r="CG1100" s="460"/>
      <c r="CH1100" s="460"/>
      <c r="CI1100" s="460"/>
      <c r="CJ1100" s="460"/>
      <c r="CK1100" s="460"/>
    </row>
    <row r="1101" spans="1:89" s="329" customFormat="1" ht="36" customHeight="1" x14ac:dyDescent="0.25">
      <c r="A1101" s="329">
        <v>1</v>
      </c>
      <c r="B1101" s="39">
        <f>SUBTOTAL(103,$A$1000:A1101)</f>
        <v>100</v>
      </c>
      <c r="C1101" s="33" t="s">
        <v>1795</v>
      </c>
      <c r="D1101" s="330">
        <v>1966</v>
      </c>
      <c r="E1101" s="330"/>
      <c r="F1101" s="331" t="s">
        <v>48</v>
      </c>
      <c r="G1101" s="330">
        <v>2</v>
      </c>
      <c r="H1101" s="330" t="s">
        <v>56</v>
      </c>
      <c r="I1101" s="334">
        <v>667.6</v>
      </c>
      <c r="J1101" s="334">
        <v>667.6</v>
      </c>
      <c r="K1101" s="334">
        <v>586.70000000000005</v>
      </c>
      <c r="L1101" s="332">
        <v>39</v>
      </c>
      <c r="M1101" s="330" t="s">
        <v>46</v>
      </c>
      <c r="N1101" s="330" t="s">
        <v>50</v>
      </c>
      <c r="O1101" s="333" t="s">
        <v>67</v>
      </c>
      <c r="P1101" s="38">
        <v>2557235.63</v>
      </c>
      <c r="Q1101" s="38">
        <v>0</v>
      </c>
      <c r="R1101" s="38">
        <v>0</v>
      </c>
      <c r="S1101" s="38">
        <f t="shared" si="233"/>
        <v>2557235.63</v>
      </c>
      <c r="T1101" s="38">
        <f t="shared" si="229"/>
        <v>3830.4907579388851</v>
      </c>
      <c r="U1101" s="38">
        <v>4969.8931995206704</v>
      </c>
      <c r="V1101" s="458">
        <f t="shared" si="228"/>
        <v>1139.4024415817853</v>
      </c>
      <c r="W1101" s="458">
        <f t="shared" si="234"/>
        <v>4952.9992510485317</v>
      </c>
      <c r="X1101" s="458">
        <v>0</v>
      </c>
      <c r="Y1101" s="459">
        <v>0</v>
      </c>
      <c r="Z1101" s="459">
        <v>0</v>
      </c>
      <c r="AA1101" s="459">
        <v>0</v>
      </c>
      <c r="AB1101" s="459">
        <v>0</v>
      </c>
      <c r="AC1101" s="459">
        <v>0</v>
      </c>
      <c r="AD1101" s="459">
        <v>0</v>
      </c>
      <c r="AE1101" s="459">
        <v>530</v>
      </c>
      <c r="AF1101" s="458">
        <f t="shared" si="236"/>
        <v>4952.9992510485317</v>
      </c>
      <c r="AG1101" s="459">
        <v>0</v>
      </c>
      <c r="AH1101" s="458">
        <v>0</v>
      </c>
      <c r="AI1101" s="459">
        <v>0</v>
      </c>
      <c r="AJ1101" s="458">
        <v>0</v>
      </c>
      <c r="AK1101" s="459">
        <v>0</v>
      </c>
      <c r="AL1101" s="459">
        <v>0</v>
      </c>
      <c r="AM1101" s="459">
        <v>0</v>
      </c>
      <c r="AN1101" s="459"/>
      <c r="AO1101" s="459">
        <v>0</v>
      </c>
      <c r="AP1101" s="460"/>
      <c r="AQ1101" s="460"/>
      <c r="AR1101" s="460"/>
      <c r="AS1101" s="460"/>
      <c r="AT1101" s="460"/>
      <c r="AU1101" s="460"/>
      <c r="AV1101" s="460"/>
      <c r="AW1101" s="460"/>
      <c r="AX1101" s="460"/>
      <c r="AY1101" s="460"/>
      <c r="AZ1101" s="460"/>
      <c r="BA1101" s="460"/>
      <c r="BB1101" s="460"/>
      <c r="BC1101" s="460"/>
      <c r="BD1101" s="460"/>
      <c r="BE1101" s="460"/>
      <c r="BF1101" s="460"/>
      <c r="BG1101" s="460"/>
      <c r="BH1101" s="460"/>
      <c r="BI1101" s="460"/>
      <c r="BJ1101" s="460"/>
      <c r="BK1101" s="460"/>
      <c r="BL1101" s="460"/>
      <c r="BM1101" s="460"/>
      <c r="BN1101" s="460"/>
      <c r="BO1101" s="460"/>
      <c r="BP1101" s="460"/>
      <c r="BQ1101" s="460"/>
      <c r="BR1101" s="460"/>
      <c r="BS1101" s="460"/>
      <c r="BT1101" s="460"/>
      <c r="BU1101" s="460"/>
      <c r="BV1101" s="460"/>
      <c r="BW1101" s="460"/>
      <c r="BX1101" s="460"/>
      <c r="BY1101" s="460"/>
      <c r="BZ1101" s="460"/>
      <c r="CA1101" s="460"/>
      <c r="CB1101" s="460"/>
      <c r="CC1101" s="460"/>
      <c r="CD1101" s="460"/>
      <c r="CE1101" s="460"/>
      <c r="CF1101" s="460"/>
      <c r="CG1101" s="460"/>
      <c r="CH1101" s="460"/>
      <c r="CI1101" s="460"/>
      <c r="CJ1101" s="460"/>
      <c r="CK1101" s="460"/>
    </row>
    <row r="1102" spans="1:89" s="329" customFormat="1" ht="36" customHeight="1" x14ac:dyDescent="0.25">
      <c r="A1102" s="329">
        <v>1</v>
      </c>
      <c r="B1102" s="39">
        <f>SUBTOTAL(103,$A$1000:A1102)</f>
        <v>101</v>
      </c>
      <c r="C1102" s="33" t="s">
        <v>1796</v>
      </c>
      <c r="D1102" s="330">
        <v>1977</v>
      </c>
      <c r="E1102" s="330"/>
      <c r="F1102" s="331" t="s">
        <v>48</v>
      </c>
      <c r="G1102" s="330">
        <v>9</v>
      </c>
      <c r="H1102" s="330" t="s">
        <v>57</v>
      </c>
      <c r="I1102" s="334">
        <v>2576</v>
      </c>
      <c r="J1102" s="334">
        <v>2271.29</v>
      </c>
      <c r="K1102" s="334">
        <v>2123.6999999999998</v>
      </c>
      <c r="L1102" s="332">
        <v>119</v>
      </c>
      <c r="M1102" s="330" t="s">
        <v>46</v>
      </c>
      <c r="N1102" s="330" t="s">
        <v>50</v>
      </c>
      <c r="O1102" s="333" t="s">
        <v>67</v>
      </c>
      <c r="P1102" s="38">
        <v>1910689.27</v>
      </c>
      <c r="Q1102" s="38">
        <v>0</v>
      </c>
      <c r="R1102" s="38">
        <v>0</v>
      </c>
      <c r="S1102" s="38">
        <f t="shared" si="233"/>
        <v>1910689.27</v>
      </c>
      <c r="T1102" s="38">
        <f t="shared" si="229"/>
        <v>741.72720108695648</v>
      </c>
      <c r="U1102" s="38">
        <v>962.35840062111788</v>
      </c>
      <c r="V1102" s="458">
        <f t="shared" si="228"/>
        <v>220.6311995341614</v>
      </c>
      <c r="W1102" s="458">
        <f t="shared" si="234"/>
        <v>959.08709627329188</v>
      </c>
      <c r="X1102" s="458">
        <v>0</v>
      </c>
      <c r="Y1102" s="459">
        <v>0</v>
      </c>
      <c r="Z1102" s="459">
        <v>0</v>
      </c>
      <c r="AA1102" s="459">
        <v>0</v>
      </c>
      <c r="AB1102" s="459">
        <v>0</v>
      </c>
      <c r="AC1102" s="459">
        <v>0</v>
      </c>
      <c r="AD1102" s="459">
        <v>0</v>
      </c>
      <c r="AE1102" s="459">
        <v>396</v>
      </c>
      <c r="AF1102" s="458">
        <f t="shared" si="236"/>
        <v>959.08709627329188</v>
      </c>
      <c r="AG1102" s="459">
        <v>0</v>
      </c>
      <c r="AH1102" s="458">
        <v>0</v>
      </c>
      <c r="AI1102" s="459">
        <v>0</v>
      </c>
      <c r="AJ1102" s="458">
        <v>0</v>
      </c>
      <c r="AK1102" s="459">
        <v>0</v>
      </c>
      <c r="AL1102" s="459">
        <v>0</v>
      </c>
      <c r="AM1102" s="459">
        <v>0</v>
      </c>
      <c r="AN1102" s="459"/>
      <c r="AO1102" s="459">
        <v>0</v>
      </c>
      <c r="AP1102" s="460"/>
      <c r="AQ1102" s="460"/>
      <c r="AR1102" s="460"/>
      <c r="AS1102" s="460"/>
      <c r="AT1102" s="460"/>
      <c r="AU1102" s="460"/>
      <c r="AV1102" s="460"/>
      <c r="AW1102" s="460"/>
      <c r="AX1102" s="460"/>
      <c r="AY1102" s="460"/>
      <c r="AZ1102" s="460"/>
      <c r="BA1102" s="460"/>
      <c r="BB1102" s="460"/>
      <c r="BC1102" s="460"/>
      <c r="BD1102" s="460"/>
      <c r="BE1102" s="460"/>
      <c r="BF1102" s="460"/>
      <c r="BG1102" s="460"/>
      <c r="BH1102" s="460"/>
      <c r="BI1102" s="460"/>
      <c r="BJ1102" s="460"/>
      <c r="BK1102" s="460"/>
      <c r="BL1102" s="460"/>
      <c r="BM1102" s="460"/>
      <c r="BN1102" s="460"/>
      <c r="BO1102" s="460"/>
      <c r="BP1102" s="460"/>
      <c r="BQ1102" s="460"/>
      <c r="BR1102" s="460"/>
      <c r="BS1102" s="460"/>
      <c r="BT1102" s="460"/>
      <c r="BU1102" s="460"/>
      <c r="BV1102" s="460"/>
      <c r="BW1102" s="460"/>
      <c r="BX1102" s="460"/>
      <c r="BY1102" s="460"/>
      <c r="BZ1102" s="460"/>
      <c r="CA1102" s="460"/>
      <c r="CB1102" s="460"/>
      <c r="CC1102" s="460"/>
      <c r="CD1102" s="460"/>
      <c r="CE1102" s="460"/>
      <c r="CF1102" s="460"/>
      <c r="CG1102" s="460"/>
      <c r="CH1102" s="460"/>
      <c r="CI1102" s="460"/>
      <c r="CJ1102" s="460"/>
      <c r="CK1102" s="460"/>
    </row>
    <row r="1103" spans="1:89" s="329" customFormat="1" ht="36" customHeight="1" x14ac:dyDescent="0.25">
      <c r="A1103" s="329">
        <v>1</v>
      </c>
      <c r="B1103" s="39">
        <f>SUBTOTAL(103,$A$1000:A1103)</f>
        <v>102</v>
      </c>
      <c r="C1103" s="33" t="s">
        <v>1797</v>
      </c>
      <c r="D1103" s="330">
        <v>1988</v>
      </c>
      <c r="E1103" s="330"/>
      <c r="F1103" s="331" t="s">
        <v>48</v>
      </c>
      <c r="G1103" s="330">
        <v>9</v>
      </c>
      <c r="H1103" s="330" t="s">
        <v>61</v>
      </c>
      <c r="I1103" s="334">
        <v>5795.4</v>
      </c>
      <c r="J1103" s="334">
        <v>5795.4</v>
      </c>
      <c r="K1103" s="334">
        <v>5264.2</v>
      </c>
      <c r="L1103" s="332">
        <v>304</v>
      </c>
      <c r="M1103" s="330" t="s">
        <v>46</v>
      </c>
      <c r="N1103" s="330" t="s">
        <v>50</v>
      </c>
      <c r="O1103" s="333" t="s">
        <v>169</v>
      </c>
      <c r="P1103" s="38">
        <v>6400000</v>
      </c>
      <c r="Q1103" s="38">
        <v>0</v>
      </c>
      <c r="R1103" s="38">
        <v>0</v>
      </c>
      <c r="S1103" s="38">
        <f t="shared" si="233"/>
        <v>6400000</v>
      </c>
      <c r="T1103" s="38">
        <f t="shared" si="229"/>
        <v>1104.3241191289644</v>
      </c>
      <c r="U1103" s="38">
        <v>1272.2849156227353</v>
      </c>
      <c r="V1103" s="458">
        <f t="shared" si="228"/>
        <v>167.96079649377089</v>
      </c>
      <c r="W1103" s="458">
        <f t="shared" si="234"/>
        <v>1272.2849156227353</v>
      </c>
      <c r="X1103" s="458">
        <v>0</v>
      </c>
      <c r="Y1103" s="459">
        <v>0</v>
      </c>
      <c r="Z1103" s="459">
        <v>0</v>
      </c>
      <c r="AA1103" s="459">
        <v>0</v>
      </c>
      <c r="AB1103" s="459">
        <v>0</v>
      </c>
      <c r="AC1103" s="459">
        <v>3</v>
      </c>
      <c r="AD1103" s="458">
        <f>2457800*AC1103/I1103</f>
        <v>1272.2849156227353</v>
      </c>
      <c r="AE1103" s="459">
        <v>0</v>
      </c>
      <c r="AF1103" s="458">
        <v>0</v>
      </c>
      <c r="AG1103" s="459">
        <v>0</v>
      </c>
      <c r="AH1103" s="458">
        <v>0</v>
      </c>
      <c r="AI1103" s="459">
        <v>0</v>
      </c>
      <c r="AJ1103" s="458">
        <v>0</v>
      </c>
      <c r="AK1103" s="459">
        <v>0</v>
      </c>
      <c r="AL1103" s="459">
        <v>0</v>
      </c>
      <c r="AM1103" s="459">
        <v>0</v>
      </c>
      <c r="AN1103" s="459"/>
      <c r="AO1103" s="459">
        <v>0</v>
      </c>
      <c r="AP1103" s="460"/>
      <c r="AQ1103" s="460"/>
      <c r="AR1103" s="460"/>
      <c r="AS1103" s="460"/>
      <c r="AT1103" s="460"/>
      <c r="AU1103" s="460"/>
      <c r="AV1103" s="460"/>
      <c r="AW1103" s="460"/>
      <c r="AX1103" s="460"/>
      <c r="AY1103" s="460"/>
      <c r="AZ1103" s="460"/>
      <c r="BA1103" s="460"/>
      <c r="BB1103" s="460"/>
      <c r="BC1103" s="460"/>
      <c r="BD1103" s="460"/>
      <c r="BE1103" s="460"/>
      <c r="BF1103" s="460"/>
      <c r="BG1103" s="460"/>
      <c r="BH1103" s="460"/>
      <c r="BI1103" s="460"/>
      <c r="BJ1103" s="460"/>
      <c r="BK1103" s="460"/>
      <c r="BL1103" s="460"/>
      <c r="BM1103" s="460"/>
      <c r="BN1103" s="460"/>
      <c r="BO1103" s="460"/>
      <c r="BP1103" s="460"/>
      <c r="BQ1103" s="460"/>
      <c r="BR1103" s="460"/>
      <c r="BS1103" s="460"/>
      <c r="BT1103" s="460"/>
      <c r="BU1103" s="460"/>
      <c r="BV1103" s="460"/>
      <c r="BW1103" s="460"/>
      <c r="BX1103" s="460"/>
      <c r="BY1103" s="460"/>
      <c r="BZ1103" s="460"/>
      <c r="CA1103" s="460"/>
      <c r="CB1103" s="460"/>
      <c r="CC1103" s="460"/>
      <c r="CD1103" s="460"/>
      <c r="CE1103" s="460"/>
      <c r="CF1103" s="460"/>
      <c r="CG1103" s="460"/>
      <c r="CH1103" s="460"/>
      <c r="CI1103" s="460"/>
      <c r="CJ1103" s="460"/>
      <c r="CK1103" s="460"/>
    </row>
    <row r="1104" spans="1:89" s="329" customFormat="1" ht="36" customHeight="1" x14ac:dyDescent="0.25">
      <c r="B1104" s="33" t="s">
        <v>1798</v>
      </c>
      <c r="C1104" s="33"/>
      <c r="D1104" s="330" t="s">
        <v>131</v>
      </c>
      <c r="E1104" s="330" t="s">
        <v>131</v>
      </c>
      <c r="F1104" s="330" t="s">
        <v>131</v>
      </c>
      <c r="G1104" s="330" t="s">
        <v>131</v>
      </c>
      <c r="H1104" s="330" t="s">
        <v>131</v>
      </c>
      <c r="I1104" s="334">
        <f>SUM(I1105:I1115)</f>
        <v>28818.510000000002</v>
      </c>
      <c r="J1104" s="334">
        <f>SUM(J1105:J1115)</f>
        <v>20731.500000000004</v>
      </c>
      <c r="K1104" s="334">
        <f>SUM(K1105:K1115)</f>
        <v>19493.600000000002</v>
      </c>
      <c r="L1104" s="332">
        <f>SUM(L1105:L1115)</f>
        <v>844</v>
      </c>
      <c r="M1104" s="330" t="s">
        <v>131</v>
      </c>
      <c r="N1104" s="330" t="s">
        <v>131</v>
      </c>
      <c r="O1104" s="333" t="s">
        <v>131</v>
      </c>
      <c r="P1104" s="334">
        <v>46331140.729999997</v>
      </c>
      <c r="Q1104" s="334">
        <f>SUM(Q1105:Q1115)</f>
        <v>0</v>
      </c>
      <c r="R1104" s="334">
        <f>SUM(R1105:R1115)</f>
        <v>0</v>
      </c>
      <c r="S1104" s="334">
        <f>SUM(S1105:S1115)</f>
        <v>46331140.729999997</v>
      </c>
      <c r="T1104" s="38">
        <f t="shared" si="229"/>
        <v>1607.6868904742123</v>
      </c>
      <c r="U1104" s="38">
        <f>MAX(U1105:U1115)</f>
        <v>8661.3065976714097</v>
      </c>
      <c r="V1104" s="458">
        <f t="shared" si="228"/>
        <v>7053.6197071971974</v>
      </c>
      <c r="W1104" s="458"/>
      <c r="X1104" s="458"/>
      <c r="Y1104" s="459"/>
      <c r="Z1104" s="459"/>
      <c r="AA1104" s="459"/>
      <c r="AB1104" s="459"/>
      <c r="AC1104" s="459"/>
      <c r="AD1104" s="459"/>
      <c r="AE1104" s="459"/>
      <c r="AF1104" s="459"/>
      <c r="AG1104" s="459"/>
      <c r="AH1104" s="459"/>
      <c r="AI1104" s="459"/>
      <c r="AJ1104" s="459"/>
      <c r="AK1104" s="459"/>
      <c r="AL1104" s="459"/>
      <c r="AM1104" s="459"/>
      <c r="AN1104" s="459"/>
      <c r="AO1104" s="459"/>
      <c r="AP1104" s="460"/>
      <c r="AQ1104" s="460"/>
      <c r="AR1104" s="460"/>
      <c r="AS1104" s="460"/>
      <c r="AT1104" s="460"/>
      <c r="AU1104" s="460"/>
      <c r="AV1104" s="460"/>
      <c r="AW1104" s="460"/>
      <c r="AX1104" s="460"/>
      <c r="AY1104" s="460"/>
      <c r="AZ1104" s="460"/>
      <c r="BA1104" s="460"/>
      <c r="BB1104" s="460"/>
      <c r="BC1104" s="460"/>
      <c r="BD1104" s="460"/>
      <c r="BE1104" s="460"/>
      <c r="BF1104" s="460"/>
      <c r="BG1104" s="460"/>
      <c r="BH1104" s="460"/>
      <c r="BI1104" s="460"/>
      <c r="BJ1104" s="460"/>
      <c r="BK1104" s="460"/>
      <c r="BL1104" s="460"/>
      <c r="BM1104" s="460"/>
      <c r="BN1104" s="460"/>
      <c r="BO1104" s="460"/>
      <c r="BP1104" s="460"/>
      <c r="BQ1104" s="460"/>
      <c r="BR1104" s="460"/>
      <c r="BS1104" s="460"/>
      <c r="BT1104" s="460"/>
      <c r="BU1104" s="460"/>
      <c r="BV1104" s="460"/>
      <c r="BW1104" s="460"/>
      <c r="BX1104" s="460"/>
      <c r="BY1104" s="460"/>
      <c r="BZ1104" s="460"/>
      <c r="CA1104" s="460"/>
      <c r="CB1104" s="460"/>
      <c r="CC1104" s="460"/>
      <c r="CD1104" s="460"/>
      <c r="CE1104" s="460"/>
      <c r="CF1104" s="460"/>
      <c r="CG1104" s="460"/>
      <c r="CH1104" s="460"/>
      <c r="CI1104" s="460"/>
      <c r="CJ1104" s="460"/>
      <c r="CK1104" s="460"/>
    </row>
    <row r="1105" spans="1:89" s="329" customFormat="1" ht="36" customHeight="1" x14ac:dyDescent="0.25">
      <c r="A1105" s="329">
        <v>1</v>
      </c>
      <c r="B1105" s="39">
        <f>SUBTOTAL(103,$A$1000:A1105)</f>
        <v>103</v>
      </c>
      <c r="C1105" s="33" t="s">
        <v>1799</v>
      </c>
      <c r="D1105" s="330">
        <v>1961</v>
      </c>
      <c r="E1105" s="330"/>
      <c r="F1105" s="331" t="s">
        <v>48</v>
      </c>
      <c r="G1105" s="330">
        <v>3</v>
      </c>
      <c r="H1105" s="330" t="s">
        <v>56</v>
      </c>
      <c r="I1105" s="334">
        <v>1044</v>
      </c>
      <c r="J1105" s="334">
        <v>968.1</v>
      </c>
      <c r="K1105" s="334">
        <v>968.1</v>
      </c>
      <c r="L1105" s="332">
        <v>40</v>
      </c>
      <c r="M1105" s="330" t="s">
        <v>46</v>
      </c>
      <c r="N1105" s="330" t="s">
        <v>50</v>
      </c>
      <c r="O1105" s="333" t="s">
        <v>2007</v>
      </c>
      <c r="P1105" s="38">
        <v>2642230.7999999998</v>
      </c>
      <c r="Q1105" s="38">
        <v>0</v>
      </c>
      <c r="R1105" s="38">
        <v>0</v>
      </c>
      <c r="S1105" s="38">
        <f t="shared" ref="S1105:S1115" si="237">P1105-Q1105-R1105</f>
        <v>2642230.7999999998</v>
      </c>
      <c r="T1105" s="38">
        <f t="shared" si="229"/>
        <v>2530.8724137931031</v>
      </c>
      <c r="U1105" s="38">
        <v>3034.1533908045972</v>
      </c>
      <c r="V1105" s="458">
        <f t="shared" ref="V1105:V1168" si="238">U1105-T1105</f>
        <v>503.28097701149409</v>
      </c>
      <c r="W1105" s="458">
        <f t="shared" ref="W1105:W1115" si="239">X1105+Y1105+Z1105+AA1105+AB1105+AD1105+AF1105+AH1105+AJ1105+AL1105+AN1105+AO1105</f>
        <v>3023.8395210727967</v>
      </c>
      <c r="X1105" s="458">
        <v>0</v>
      </c>
      <c r="Y1105" s="459">
        <v>0</v>
      </c>
      <c r="Z1105" s="459">
        <v>0</v>
      </c>
      <c r="AA1105" s="459">
        <v>0</v>
      </c>
      <c r="AB1105" s="459">
        <v>0</v>
      </c>
      <c r="AC1105" s="459">
        <v>0</v>
      </c>
      <c r="AD1105" s="459">
        <v>0</v>
      </c>
      <c r="AE1105" s="459">
        <v>506</v>
      </c>
      <c r="AF1105" s="458">
        <f>6238.91*AE1105/I1105</f>
        <v>3023.8395210727967</v>
      </c>
      <c r="AG1105" s="459">
        <v>0</v>
      </c>
      <c r="AH1105" s="458">
        <v>0</v>
      </c>
      <c r="AI1105" s="459">
        <v>0</v>
      </c>
      <c r="AJ1105" s="458">
        <v>0</v>
      </c>
      <c r="AK1105" s="459">
        <v>0</v>
      </c>
      <c r="AL1105" s="459">
        <v>0</v>
      </c>
      <c r="AM1105" s="459">
        <v>0</v>
      </c>
      <c r="AN1105" s="459"/>
      <c r="AO1105" s="459">
        <v>0</v>
      </c>
      <c r="AP1105" s="460"/>
      <c r="AQ1105" s="460"/>
      <c r="AR1105" s="460"/>
      <c r="AS1105" s="460"/>
      <c r="AT1105" s="460"/>
      <c r="AU1105" s="460"/>
      <c r="AV1105" s="460"/>
      <c r="AW1105" s="460"/>
      <c r="AX1105" s="460"/>
      <c r="AY1105" s="460"/>
      <c r="AZ1105" s="460"/>
      <c r="BA1105" s="460"/>
      <c r="BB1105" s="460"/>
      <c r="BC1105" s="460"/>
      <c r="BD1105" s="460"/>
      <c r="BE1105" s="460"/>
      <c r="BF1105" s="460"/>
      <c r="BG1105" s="460"/>
      <c r="BH1105" s="460"/>
      <c r="BI1105" s="460"/>
      <c r="BJ1105" s="460"/>
      <c r="BK1105" s="460"/>
      <c r="BL1105" s="460"/>
      <c r="BM1105" s="460"/>
      <c r="BN1105" s="460"/>
      <c r="BO1105" s="460"/>
      <c r="BP1105" s="460"/>
      <c r="BQ1105" s="460"/>
      <c r="BR1105" s="460"/>
      <c r="BS1105" s="460"/>
      <c r="BT1105" s="460"/>
      <c r="BU1105" s="460"/>
      <c r="BV1105" s="460"/>
      <c r="BW1105" s="460"/>
      <c r="BX1105" s="460"/>
      <c r="BY1105" s="460"/>
      <c r="BZ1105" s="460"/>
      <c r="CA1105" s="460"/>
      <c r="CB1105" s="460"/>
      <c r="CC1105" s="460"/>
      <c r="CD1105" s="460"/>
      <c r="CE1105" s="460"/>
      <c r="CF1105" s="460"/>
      <c r="CG1105" s="460"/>
      <c r="CH1105" s="460"/>
      <c r="CI1105" s="460"/>
      <c r="CJ1105" s="460"/>
      <c r="CK1105" s="460"/>
    </row>
    <row r="1106" spans="1:89" s="329" customFormat="1" ht="36" customHeight="1" x14ac:dyDescent="0.25">
      <c r="A1106" s="329">
        <v>1</v>
      </c>
      <c r="B1106" s="39">
        <f>SUBTOTAL(103,$A$1000:A1106)</f>
        <v>104</v>
      </c>
      <c r="C1106" s="33" t="s">
        <v>1800</v>
      </c>
      <c r="D1106" s="330">
        <v>1960</v>
      </c>
      <c r="E1106" s="330"/>
      <c r="F1106" s="331" t="s">
        <v>48</v>
      </c>
      <c r="G1106" s="330">
        <v>2</v>
      </c>
      <c r="H1106" s="330" t="s">
        <v>56</v>
      </c>
      <c r="I1106" s="334">
        <v>711.5</v>
      </c>
      <c r="J1106" s="334">
        <v>515.1</v>
      </c>
      <c r="K1106" s="334">
        <v>515.1</v>
      </c>
      <c r="L1106" s="332">
        <v>13</v>
      </c>
      <c r="M1106" s="330" t="s">
        <v>46</v>
      </c>
      <c r="N1106" s="330" t="s">
        <v>47</v>
      </c>
      <c r="O1106" s="333" t="s">
        <v>49</v>
      </c>
      <c r="P1106" s="38">
        <v>2496020.4</v>
      </c>
      <c r="Q1106" s="38">
        <v>0</v>
      </c>
      <c r="R1106" s="38">
        <v>0</v>
      </c>
      <c r="S1106" s="38">
        <f t="shared" si="237"/>
        <v>2496020.4</v>
      </c>
      <c r="T1106" s="38">
        <f t="shared" ref="T1106:T1169" si="240">P1106/I1106</f>
        <v>3508.1101897399858</v>
      </c>
      <c r="U1106" s="38">
        <v>4205.7214617006321</v>
      </c>
      <c r="V1106" s="458">
        <f t="shared" si="238"/>
        <v>697.61127196064626</v>
      </c>
      <c r="W1106" s="458">
        <f t="shared" si="239"/>
        <v>4191.4251300070273</v>
      </c>
      <c r="X1106" s="458">
        <v>0</v>
      </c>
      <c r="Y1106" s="459">
        <v>0</v>
      </c>
      <c r="Z1106" s="459">
        <v>0</v>
      </c>
      <c r="AA1106" s="459">
        <v>0</v>
      </c>
      <c r="AB1106" s="459">
        <v>0</v>
      </c>
      <c r="AC1106" s="459">
        <v>0</v>
      </c>
      <c r="AD1106" s="459">
        <v>0</v>
      </c>
      <c r="AE1106" s="459">
        <v>478</v>
      </c>
      <c r="AF1106" s="458">
        <f>6238.91*AE1106/I1106</f>
        <v>4191.4251300070273</v>
      </c>
      <c r="AG1106" s="459">
        <v>0</v>
      </c>
      <c r="AH1106" s="458">
        <v>0</v>
      </c>
      <c r="AI1106" s="459">
        <v>0</v>
      </c>
      <c r="AJ1106" s="458">
        <v>0</v>
      </c>
      <c r="AK1106" s="459">
        <v>0</v>
      </c>
      <c r="AL1106" s="459">
        <v>0</v>
      </c>
      <c r="AM1106" s="459">
        <v>0</v>
      </c>
      <c r="AN1106" s="459"/>
      <c r="AO1106" s="459">
        <v>0</v>
      </c>
      <c r="AP1106" s="460"/>
      <c r="AQ1106" s="460"/>
      <c r="AR1106" s="460"/>
      <c r="AS1106" s="460"/>
      <c r="AT1106" s="460"/>
      <c r="AU1106" s="460"/>
      <c r="AV1106" s="460"/>
      <c r="AW1106" s="460"/>
      <c r="AX1106" s="460"/>
      <c r="AY1106" s="460"/>
      <c r="AZ1106" s="460"/>
      <c r="BA1106" s="460"/>
      <c r="BB1106" s="460"/>
      <c r="BC1106" s="460"/>
      <c r="BD1106" s="460"/>
      <c r="BE1106" s="460"/>
      <c r="BF1106" s="460"/>
      <c r="BG1106" s="460"/>
      <c r="BH1106" s="460"/>
      <c r="BI1106" s="460"/>
      <c r="BJ1106" s="460"/>
      <c r="BK1106" s="460"/>
      <c r="BL1106" s="460"/>
      <c r="BM1106" s="460"/>
      <c r="BN1106" s="460"/>
      <c r="BO1106" s="460"/>
      <c r="BP1106" s="460"/>
      <c r="BQ1106" s="460"/>
      <c r="BR1106" s="460"/>
      <c r="BS1106" s="460"/>
      <c r="BT1106" s="460"/>
      <c r="BU1106" s="460"/>
      <c r="BV1106" s="460"/>
      <c r="BW1106" s="460"/>
      <c r="BX1106" s="460"/>
      <c r="BY1106" s="460"/>
      <c r="BZ1106" s="460"/>
      <c r="CA1106" s="460"/>
      <c r="CB1106" s="460"/>
      <c r="CC1106" s="460"/>
      <c r="CD1106" s="460"/>
      <c r="CE1106" s="460"/>
      <c r="CF1106" s="460"/>
      <c r="CG1106" s="460"/>
      <c r="CH1106" s="460"/>
      <c r="CI1106" s="460"/>
      <c r="CJ1106" s="460"/>
      <c r="CK1106" s="460"/>
    </row>
    <row r="1107" spans="1:89" s="329" customFormat="1" ht="36" customHeight="1" x14ac:dyDescent="0.25">
      <c r="A1107" s="329">
        <v>1</v>
      </c>
      <c r="B1107" s="39">
        <f>SUBTOTAL(103,$A$1000:A1107)</f>
        <v>105</v>
      </c>
      <c r="C1107" s="33" t="s">
        <v>1801</v>
      </c>
      <c r="D1107" s="330">
        <v>1962</v>
      </c>
      <c r="E1107" s="330"/>
      <c r="F1107" s="331" t="s">
        <v>48</v>
      </c>
      <c r="G1107" s="330">
        <v>4</v>
      </c>
      <c r="H1107" s="330" t="s">
        <v>56</v>
      </c>
      <c r="I1107" s="334">
        <v>1599.4</v>
      </c>
      <c r="J1107" s="334">
        <v>1280.9000000000001</v>
      </c>
      <c r="K1107" s="334">
        <v>975</v>
      </c>
      <c r="L1107" s="332">
        <v>60</v>
      </c>
      <c r="M1107" s="330" t="s">
        <v>46</v>
      </c>
      <c r="N1107" s="330" t="s">
        <v>50</v>
      </c>
      <c r="O1107" s="333" t="s">
        <v>2011</v>
      </c>
      <c r="P1107" s="38">
        <v>3119600</v>
      </c>
      <c r="Q1107" s="38">
        <v>0</v>
      </c>
      <c r="R1107" s="38">
        <v>0</v>
      </c>
      <c r="S1107" s="38">
        <f t="shared" si="237"/>
        <v>3119600</v>
      </c>
      <c r="T1107" s="38">
        <f t="shared" si="240"/>
        <v>1950.4814305364512</v>
      </c>
      <c r="U1107" s="38">
        <v>2454.1322558459419</v>
      </c>
      <c r="V1107" s="458">
        <f t="shared" si="238"/>
        <v>503.65082530949076</v>
      </c>
      <c r="W1107" s="458">
        <f t="shared" si="239"/>
        <v>2445.7900275103161</v>
      </c>
      <c r="X1107" s="458">
        <v>0</v>
      </c>
      <c r="Y1107" s="459">
        <v>0</v>
      </c>
      <c r="Z1107" s="459">
        <v>0</v>
      </c>
      <c r="AA1107" s="459">
        <v>0</v>
      </c>
      <c r="AB1107" s="459">
        <v>0</v>
      </c>
      <c r="AC1107" s="459">
        <v>0</v>
      </c>
      <c r="AD1107" s="459">
        <v>0</v>
      </c>
      <c r="AE1107" s="459">
        <v>627</v>
      </c>
      <c r="AF1107" s="458">
        <f>6238.91*AE1107/I1107</f>
        <v>2445.7900275103161</v>
      </c>
      <c r="AG1107" s="459">
        <v>0</v>
      </c>
      <c r="AH1107" s="458">
        <v>0</v>
      </c>
      <c r="AI1107" s="459">
        <v>0</v>
      </c>
      <c r="AJ1107" s="458">
        <v>0</v>
      </c>
      <c r="AK1107" s="459">
        <v>0</v>
      </c>
      <c r="AL1107" s="459">
        <v>0</v>
      </c>
      <c r="AM1107" s="459">
        <v>0</v>
      </c>
      <c r="AN1107" s="459"/>
      <c r="AO1107" s="459">
        <v>0</v>
      </c>
      <c r="AP1107" s="460"/>
      <c r="AQ1107" s="460"/>
      <c r="AR1107" s="460"/>
      <c r="AS1107" s="460"/>
      <c r="AT1107" s="460"/>
      <c r="AU1107" s="460"/>
      <c r="AV1107" s="460"/>
      <c r="AW1107" s="460"/>
      <c r="AX1107" s="460"/>
      <c r="AY1107" s="460"/>
      <c r="AZ1107" s="460"/>
      <c r="BA1107" s="460"/>
      <c r="BB1107" s="460"/>
      <c r="BC1107" s="460"/>
      <c r="BD1107" s="460"/>
      <c r="BE1107" s="460"/>
      <c r="BF1107" s="460"/>
      <c r="BG1107" s="460"/>
      <c r="BH1107" s="460"/>
      <c r="BI1107" s="460"/>
      <c r="BJ1107" s="460"/>
      <c r="BK1107" s="460"/>
      <c r="BL1107" s="460"/>
      <c r="BM1107" s="460"/>
      <c r="BN1107" s="460"/>
      <c r="BO1107" s="460"/>
      <c r="BP1107" s="460"/>
      <c r="BQ1107" s="460"/>
      <c r="BR1107" s="460"/>
      <c r="BS1107" s="460"/>
      <c r="BT1107" s="460"/>
      <c r="BU1107" s="460"/>
      <c r="BV1107" s="460"/>
      <c r="BW1107" s="460"/>
      <c r="BX1107" s="460"/>
      <c r="BY1107" s="460"/>
      <c r="BZ1107" s="460"/>
      <c r="CA1107" s="460"/>
      <c r="CB1107" s="460"/>
      <c r="CC1107" s="460"/>
      <c r="CD1107" s="460"/>
      <c r="CE1107" s="460"/>
      <c r="CF1107" s="460"/>
      <c r="CG1107" s="460"/>
      <c r="CH1107" s="460"/>
      <c r="CI1107" s="460"/>
      <c r="CJ1107" s="460"/>
      <c r="CK1107" s="460"/>
    </row>
    <row r="1108" spans="1:89" s="329" customFormat="1" ht="36" customHeight="1" x14ac:dyDescent="0.25">
      <c r="A1108" s="329">
        <v>1</v>
      </c>
      <c r="B1108" s="39">
        <f>SUBTOTAL(103,$A$1000:A1108)</f>
        <v>106</v>
      </c>
      <c r="C1108" s="33" t="s">
        <v>1802</v>
      </c>
      <c r="D1108" s="330">
        <v>1991</v>
      </c>
      <c r="E1108" s="330"/>
      <c r="F1108" s="331" t="s">
        <v>63</v>
      </c>
      <c r="G1108" s="330">
        <v>9</v>
      </c>
      <c r="H1108" s="330" t="s">
        <v>59</v>
      </c>
      <c r="I1108" s="334">
        <v>10990.1</v>
      </c>
      <c r="J1108" s="334">
        <v>7793.3</v>
      </c>
      <c r="K1108" s="334">
        <v>7793.3</v>
      </c>
      <c r="L1108" s="332">
        <v>318</v>
      </c>
      <c r="M1108" s="330" t="s">
        <v>46</v>
      </c>
      <c r="N1108" s="330" t="s">
        <v>50</v>
      </c>
      <c r="O1108" s="333" t="s">
        <v>2023</v>
      </c>
      <c r="P1108" s="38">
        <v>8572796.0600000005</v>
      </c>
      <c r="Q1108" s="38">
        <v>0</v>
      </c>
      <c r="R1108" s="38">
        <v>0</v>
      </c>
      <c r="S1108" s="38">
        <f t="shared" si="237"/>
        <v>8572796.0600000005</v>
      </c>
      <c r="T1108" s="38">
        <f t="shared" si="240"/>
        <v>780.04713878854602</v>
      </c>
      <c r="U1108" s="38">
        <v>894.55055004049098</v>
      </c>
      <c r="V1108" s="458">
        <f t="shared" si="238"/>
        <v>114.50341125194495</v>
      </c>
      <c r="W1108" s="458">
        <f t="shared" si="239"/>
        <v>894.55055004049098</v>
      </c>
      <c r="X1108" s="458">
        <v>0</v>
      </c>
      <c r="Y1108" s="459">
        <v>0</v>
      </c>
      <c r="Z1108" s="459">
        <v>0</v>
      </c>
      <c r="AA1108" s="459">
        <v>0</v>
      </c>
      <c r="AB1108" s="459">
        <v>0</v>
      </c>
      <c r="AC1108" s="459">
        <v>4</v>
      </c>
      <c r="AD1108" s="458">
        <f>2457800*AC1108/I1108</f>
        <v>894.55055004049098</v>
      </c>
      <c r="AE1108" s="459">
        <v>0</v>
      </c>
      <c r="AF1108" s="458">
        <v>0</v>
      </c>
      <c r="AG1108" s="459">
        <v>0</v>
      </c>
      <c r="AH1108" s="458">
        <v>0</v>
      </c>
      <c r="AI1108" s="459">
        <v>0</v>
      </c>
      <c r="AJ1108" s="458">
        <v>0</v>
      </c>
      <c r="AK1108" s="459">
        <v>0</v>
      </c>
      <c r="AL1108" s="459">
        <v>0</v>
      </c>
      <c r="AM1108" s="459">
        <v>0</v>
      </c>
      <c r="AN1108" s="459"/>
      <c r="AO1108" s="459">
        <v>0</v>
      </c>
      <c r="AP1108" s="460"/>
      <c r="AQ1108" s="460"/>
      <c r="AR1108" s="460"/>
      <c r="AS1108" s="460"/>
      <c r="AT1108" s="460"/>
      <c r="AU1108" s="460"/>
      <c r="AV1108" s="460"/>
      <c r="AW1108" s="460"/>
      <c r="AX1108" s="460"/>
      <c r="AY1108" s="460"/>
      <c r="AZ1108" s="460"/>
      <c r="BA1108" s="460"/>
      <c r="BB1108" s="460"/>
      <c r="BC1108" s="460"/>
      <c r="BD1108" s="460"/>
      <c r="BE1108" s="460"/>
      <c r="BF1108" s="460"/>
      <c r="BG1108" s="460"/>
      <c r="BH1108" s="460"/>
      <c r="BI1108" s="460"/>
      <c r="BJ1108" s="460"/>
      <c r="BK1108" s="460"/>
      <c r="BL1108" s="460"/>
      <c r="BM1108" s="460"/>
      <c r="BN1108" s="460"/>
      <c r="BO1108" s="460"/>
      <c r="BP1108" s="460"/>
      <c r="BQ1108" s="460"/>
      <c r="BR1108" s="460"/>
      <c r="BS1108" s="460"/>
      <c r="BT1108" s="460"/>
      <c r="BU1108" s="460"/>
      <c r="BV1108" s="460"/>
      <c r="BW1108" s="460"/>
      <c r="BX1108" s="460"/>
      <c r="BY1108" s="460"/>
      <c r="BZ1108" s="460"/>
      <c r="CA1108" s="460"/>
      <c r="CB1108" s="460"/>
      <c r="CC1108" s="460"/>
      <c r="CD1108" s="460"/>
      <c r="CE1108" s="460"/>
      <c r="CF1108" s="460"/>
      <c r="CG1108" s="460"/>
      <c r="CH1108" s="460"/>
      <c r="CI1108" s="460"/>
      <c r="CJ1108" s="460"/>
      <c r="CK1108" s="460"/>
    </row>
    <row r="1109" spans="1:89" s="329" customFormat="1" ht="36" customHeight="1" x14ac:dyDescent="0.25">
      <c r="A1109" s="329">
        <v>1</v>
      </c>
      <c r="B1109" s="39">
        <f>SUBTOTAL(103,$A$1000:A1109)</f>
        <v>107</v>
      </c>
      <c r="C1109" s="33" t="s">
        <v>940</v>
      </c>
      <c r="D1109" s="330">
        <v>1937</v>
      </c>
      <c r="E1109" s="330"/>
      <c r="F1109" s="331" t="s">
        <v>48</v>
      </c>
      <c r="G1109" s="330">
        <v>3</v>
      </c>
      <c r="H1109" s="330" t="s">
        <v>59</v>
      </c>
      <c r="I1109" s="334">
        <v>2758</v>
      </c>
      <c r="J1109" s="334">
        <v>1462.7</v>
      </c>
      <c r="K1109" s="334">
        <v>1347.2</v>
      </c>
      <c r="L1109" s="332">
        <v>62</v>
      </c>
      <c r="M1109" s="330" t="s">
        <v>46</v>
      </c>
      <c r="N1109" s="330" t="s">
        <v>50</v>
      </c>
      <c r="O1109" s="333" t="s">
        <v>2011</v>
      </c>
      <c r="P1109" s="38">
        <v>7101648</v>
      </c>
      <c r="Q1109" s="38">
        <v>0</v>
      </c>
      <c r="R1109" s="38">
        <v>0</v>
      </c>
      <c r="S1109" s="38">
        <f t="shared" si="237"/>
        <v>7101648</v>
      </c>
      <c r="T1109" s="38">
        <f t="shared" si="240"/>
        <v>2574.9267585206671</v>
      </c>
      <c r="U1109" s="38">
        <v>3086.9682378535172</v>
      </c>
      <c r="V1109" s="458">
        <f t="shared" si="238"/>
        <v>512.04147933285003</v>
      </c>
      <c r="W1109" s="458">
        <f t="shared" si="239"/>
        <v>3076.4748368382884</v>
      </c>
      <c r="X1109" s="458">
        <v>0</v>
      </c>
      <c r="Y1109" s="459">
        <v>0</v>
      </c>
      <c r="Z1109" s="459">
        <v>0</v>
      </c>
      <c r="AA1109" s="459">
        <v>0</v>
      </c>
      <c r="AB1109" s="459">
        <v>0</v>
      </c>
      <c r="AC1109" s="459">
        <v>0</v>
      </c>
      <c r="AD1109" s="459">
        <v>0</v>
      </c>
      <c r="AE1109" s="459">
        <v>1360</v>
      </c>
      <c r="AF1109" s="458">
        <f>6238.91*AE1109/I1109</f>
        <v>3076.4748368382884</v>
      </c>
      <c r="AG1109" s="459">
        <v>0</v>
      </c>
      <c r="AH1109" s="458">
        <v>0</v>
      </c>
      <c r="AI1109" s="459">
        <v>0</v>
      </c>
      <c r="AJ1109" s="458">
        <v>0</v>
      </c>
      <c r="AK1109" s="459">
        <v>0</v>
      </c>
      <c r="AL1109" s="459">
        <v>0</v>
      </c>
      <c r="AM1109" s="459">
        <v>0</v>
      </c>
      <c r="AN1109" s="459"/>
      <c r="AO1109" s="459">
        <v>0</v>
      </c>
      <c r="AP1109" s="460"/>
      <c r="AQ1109" s="460"/>
      <c r="AR1109" s="460"/>
      <c r="AS1109" s="460"/>
      <c r="AT1109" s="460"/>
      <c r="AU1109" s="460"/>
      <c r="AV1109" s="460"/>
      <c r="AW1109" s="460"/>
      <c r="AX1109" s="460"/>
      <c r="AY1109" s="460"/>
      <c r="AZ1109" s="460"/>
      <c r="BA1109" s="460"/>
      <c r="BB1109" s="460"/>
      <c r="BC1109" s="460"/>
      <c r="BD1109" s="460"/>
      <c r="BE1109" s="460"/>
      <c r="BF1109" s="460"/>
      <c r="BG1109" s="460"/>
      <c r="BH1109" s="460"/>
      <c r="BI1109" s="460"/>
      <c r="BJ1109" s="460"/>
      <c r="BK1109" s="460"/>
      <c r="BL1109" s="460"/>
      <c r="BM1109" s="460"/>
      <c r="BN1109" s="460"/>
      <c r="BO1109" s="460"/>
      <c r="BP1109" s="460"/>
      <c r="BQ1109" s="460"/>
      <c r="BR1109" s="460"/>
      <c r="BS1109" s="460"/>
      <c r="BT1109" s="460"/>
      <c r="BU1109" s="460"/>
      <c r="BV1109" s="460"/>
      <c r="BW1109" s="460"/>
      <c r="BX1109" s="460"/>
      <c r="BY1109" s="460"/>
      <c r="BZ1109" s="460"/>
      <c r="CA1109" s="460"/>
      <c r="CB1109" s="460"/>
      <c r="CC1109" s="460"/>
      <c r="CD1109" s="460"/>
      <c r="CE1109" s="460"/>
      <c r="CF1109" s="460"/>
      <c r="CG1109" s="460"/>
      <c r="CH1109" s="460"/>
      <c r="CI1109" s="460"/>
      <c r="CJ1109" s="460"/>
      <c r="CK1109" s="460"/>
    </row>
    <row r="1110" spans="1:89" s="329" customFormat="1" ht="36" customHeight="1" x14ac:dyDescent="0.25">
      <c r="A1110" s="329">
        <v>1</v>
      </c>
      <c r="B1110" s="39">
        <f>SUBTOTAL(103,$A$1000:A1110)</f>
        <v>108</v>
      </c>
      <c r="C1110" s="33" t="s">
        <v>1803</v>
      </c>
      <c r="D1110" s="330">
        <v>1959</v>
      </c>
      <c r="E1110" s="330"/>
      <c r="F1110" s="331" t="s">
        <v>48</v>
      </c>
      <c r="G1110" s="330">
        <v>4</v>
      </c>
      <c r="H1110" s="330" t="s">
        <v>56</v>
      </c>
      <c r="I1110" s="334">
        <v>1406.5</v>
      </c>
      <c r="J1110" s="334">
        <v>1307.5</v>
      </c>
      <c r="K1110" s="334">
        <v>809</v>
      </c>
      <c r="L1110" s="332">
        <v>67</v>
      </c>
      <c r="M1110" s="330" t="s">
        <v>46</v>
      </c>
      <c r="N1110" s="330" t="s">
        <v>50</v>
      </c>
      <c r="O1110" s="333" t="s">
        <v>2011</v>
      </c>
      <c r="P1110" s="38">
        <v>3388948.1999999997</v>
      </c>
      <c r="Q1110" s="38">
        <v>0</v>
      </c>
      <c r="R1110" s="38">
        <v>0</v>
      </c>
      <c r="S1110" s="38">
        <f t="shared" si="237"/>
        <v>3388948.1999999997</v>
      </c>
      <c r="T1110" s="38">
        <f t="shared" si="240"/>
        <v>2409.4903661571275</v>
      </c>
      <c r="U1110" s="38">
        <v>2888.6337077852822</v>
      </c>
      <c r="V1110" s="458">
        <f t="shared" si="238"/>
        <v>479.14334162815476</v>
      </c>
      <c r="W1110" s="458">
        <f t="shared" si="239"/>
        <v>2878.8144969783148</v>
      </c>
      <c r="X1110" s="458">
        <v>0</v>
      </c>
      <c r="Y1110" s="459">
        <v>0</v>
      </c>
      <c r="Z1110" s="459">
        <v>0</v>
      </c>
      <c r="AA1110" s="459">
        <v>0</v>
      </c>
      <c r="AB1110" s="459">
        <v>0</v>
      </c>
      <c r="AC1110" s="459">
        <v>0</v>
      </c>
      <c r="AD1110" s="459">
        <v>0</v>
      </c>
      <c r="AE1110" s="459">
        <v>649</v>
      </c>
      <c r="AF1110" s="458">
        <f>6238.91*AE1110/I1110</f>
        <v>2878.8144969783148</v>
      </c>
      <c r="AG1110" s="459">
        <v>0</v>
      </c>
      <c r="AH1110" s="458">
        <v>0</v>
      </c>
      <c r="AI1110" s="459">
        <v>0</v>
      </c>
      <c r="AJ1110" s="458">
        <v>0</v>
      </c>
      <c r="AK1110" s="459">
        <v>0</v>
      </c>
      <c r="AL1110" s="459">
        <v>0</v>
      </c>
      <c r="AM1110" s="459">
        <v>0</v>
      </c>
      <c r="AN1110" s="459"/>
      <c r="AO1110" s="459">
        <v>0</v>
      </c>
      <c r="AP1110" s="460"/>
      <c r="AQ1110" s="460"/>
      <c r="AR1110" s="460"/>
      <c r="AS1110" s="460"/>
      <c r="AT1110" s="460"/>
      <c r="AU1110" s="460"/>
      <c r="AV1110" s="460"/>
      <c r="AW1110" s="460"/>
      <c r="AX1110" s="460"/>
      <c r="AY1110" s="460"/>
      <c r="AZ1110" s="460"/>
      <c r="BA1110" s="460"/>
      <c r="BB1110" s="460"/>
      <c r="BC1110" s="460"/>
      <c r="BD1110" s="460"/>
      <c r="BE1110" s="460"/>
      <c r="BF1110" s="460"/>
      <c r="BG1110" s="460"/>
      <c r="BH1110" s="460"/>
      <c r="BI1110" s="460"/>
      <c r="BJ1110" s="460"/>
      <c r="BK1110" s="460"/>
      <c r="BL1110" s="460"/>
      <c r="BM1110" s="460"/>
      <c r="BN1110" s="460"/>
      <c r="BO1110" s="460"/>
      <c r="BP1110" s="460"/>
      <c r="BQ1110" s="460"/>
      <c r="BR1110" s="460"/>
      <c r="BS1110" s="460"/>
      <c r="BT1110" s="460"/>
      <c r="BU1110" s="460"/>
      <c r="BV1110" s="460"/>
      <c r="BW1110" s="460"/>
      <c r="BX1110" s="460"/>
      <c r="BY1110" s="460"/>
      <c r="BZ1110" s="460"/>
      <c r="CA1110" s="460"/>
      <c r="CB1110" s="460"/>
      <c r="CC1110" s="460"/>
      <c r="CD1110" s="460"/>
      <c r="CE1110" s="460"/>
      <c r="CF1110" s="460"/>
      <c r="CG1110" s="460"/>
      <c r="CH1110" s="460"/>
      <c r="CI1110" s="460"/>
      <c r="CJ1110" s="460"/>
      <c r="CK1110" s="460"/>
    </row>
    <row r="1111" spans="1:89" s="329" customFormat="1" ht="36" customHeight="1" x14ac:dyDescent="0.25">
      <c r="A1111" s="329">
        <v>1</v>
      </c>
      <c r="B1111" s="39">
        <f>SUBTOTAL(103,$A$1000:A1111)</f>
        <v>109</v>
      </c>
      <c r="C1111" s="33" t="s">
        <v>1804</v>
      </c>
      <c r="D1111" s="330">
        <v>1965</v>
      </c>
      <c r="E1111" s="330"/>
      <c r="F1111" s="331" t="s">
        <v>48</v>
      </c>
      <c r="G1111" s="330">
        <v>5</v>
      </c>
      <c r="H1111" s="330" t="s">
        <v>56</v>
      </c>
      <c r="I1111" s="334">
        <v>2042.45</v>
      </c>
      <c r="J1111" s="334">
        <v>1565</v>
      </c>
      <c r="K1111" s="334">
        <v>1565</v>
      </c>
      <c r="L1111" s="332">
        <v>65</v>
      </c>
      <c r="M1111" s="330" t="s">
        <v>46</v>
      </c>
      <c r="N1111" s="330" t="s">
        <v>50</v>
      </c>
      <c r="O1111" s="333" t="s">
        <v>2009</v>
      </c>
      <c r="P1111" s="38">
        <v>3446388</v>
      </c>
      <c r="Q1111" s="38">
        <v>0</v>
      </c>
      <c r="R1111" s="38">
        <v>0</v>
      </c>
      <c r="S1111" s="38">
        <f t="shared" si="237"/>
        <v>3446388</v>
      </c>
      <c r="T1111" s="38">
        <f t="shared" si="240"/>
        <v>1687.3793728120638</v>
      </c>
      <c r="U1111" s="38">
        <v>2022.9260936620235</v>
      </c>
      <c r="V1111" s="458">
        <f t="shared" si="238"/>
        <v>335.54672084995968</v>
      </c>
      <c r="W1111" s="458">
        <f t="shared" si="239"/>
        <v>2016.0496462581702</v>
      </c>
      <c r="X1111" s="458">
        <v>0</v>
      </c>
      <c r="Y1111" s="459">
        <v>0</v>
      </c>
      <c r="Z1111" s="459">
        <v>0</v>
      </c>
      <c r="AA1111" s="459">
        <v>0</v>
      </c>
      <c r="AB1111" s="459">
        <v>0</v>
      </c>
      <c r="AC1111" s="459">
        <v>0</v>
      </c>
      <c r="AD1111" s="459">
        <v>0</v>
      </c>
      <c r="AE1111" s="459">
        <v>660</v>
      </c>
      <c r="AF1111" s="458">
        <f>6238.91*AE1111/I1111</f>
        <v>2016.0496462581702</v>
      </c>
      <c r="AG1111" s="459">
        <v>0</v>
      </c>
      <c r="AH1111" s="458">
        <v>0</v>
      </c>
      <c r="AI1111" s="459">
        <v>0</v>
      </c>
      <c r="AJ1111" s="458">
        <v>0</v>
      </c>
      <c r="AK1111" s="459">
        <v>0</v>
      </c>
      <c r="AL1111" s="459">
        <v>0</v>
      </c>
      <c r="AM1111" s="459">
        <v>0</v>
      </c>
      <c r="AN1111" s="459"/>
      <c r="AO1111" s="459">
        <v>0</v>
      </c>
      <c r="AP1111" s="460"/>
      <c r="AQ1111" s="460"/>
      <c r="AR1111" s="460"/>
      <c r="AS1111" s="460"/>
      <c r="AT1111" s="460"/>
      <c r="AU1111" s="460"/>
      <c r="AV1111" s="460"/>
      <c r="AW1111" s="460"/>
      <c r="AX1111" s="460"/>
      <c r="AY1111" s="460"/>
      <c r="AZ1111" s="460"/>
      <c r="BA1111" s="460"/>
      <c r="BB1111" s="460"/>
      <c r="BC1111" s="460"/>
      <c r="BD1111" s="460"/>
      <c r="BE1111" s="460"/>
      <c r="BF1111" s="460"/>
      <c r="BG1111" s="460"/>
      <c r="BH1111" s="460"/>
      <c r="BI1111" s="460"/>
      <c r="BJ1111" s="460"/>
      <c r="BK1111" s="460"/>
      <c r="BL1111" s="460"/>
      <c r="BM1111" s="460"/>
      <c r="BN1111" s="460"/>
      <c r="BO1111" s="460"/>
      <c r="BP1111" s="460"/>
      <c r="BQ1111" s="460"/>
      <c r="BR1111" s="460"/>
      <c r="BS1111" s="460"/>
      <c r="BT1111" s="460"/>
      <c r="BU1111" s="460"/>
      <c r="BV1111" s="460"/>
      <c r="BW1111" s="460"/>
      <c r="BX1111" s="460"/>
      <c r="BY1111" s="460"/>
      <c r="BZ1111" s="460"/>
      <c r="CA1111" s="460"/>
      <c r="CB1111" s="460"/>
      <c r="CC1111" s="460"/>
      <c r="CD1111" s="460"/>
      <c r="CE1111" s="460"/>
      <c r="CF1111" s="460"/>
      <c r="CG1111" s="460"/>
      <c r="CH1111" s="460"/>
      <c r="CI1111" s="460"/>
      <c r="CJ1111" s="460"/>
      <c r="CK1111" s="460"/>
    </row>
    <row r="1112" spans="1:89" s="329" customFormat="1" ht="36" customHeight="1" x14ac:dyDescent="0.25">
      <c r="A1112" s="329">
        <v>1</v>
      </c>
      <c r="B1112" s="39">
        <f>SUBTOTAL(103,$A$1000:A1112)</f>
        <v>110</v>
      </c>
      <c r="C1112" s="33" t="s">
        <v>1805</v>
      </c>
      <c r="D1112" s="330">
        <v>1955</v>
      </c>
      <c r="E1112" s="330"/>
      <c r="F1112" s="331" t="s">
        <v>70</v>
      </c>
      <c r="G1112" s="330">
        <v>2</v>
      </c>
      <c r="H1112" s="330" t="s">
        <v>56</v>
      </c>
      <c r="I1112" s="334">
        <v>685.7</v>
      </c>
      <c r="J1112" s="334">
        <v>629.20000000000005</v>
      </c>
      <c r="K1112" s="334">
        <v>629.20000000000005</v>
      </c>
      <c r="L1112" s="332">
        <v>28</v>
      </c>
      <c r="M1112" s="330" t="s">
        <v>46</v>
      </c>
      <c r="N1112" s="330" t="s">
        <v>47</v>
      </c>
      <c r="O1112" s="333" t="s">
        <v>49</v>
      </c>
      <c r="P1112" s="38">
        <v>2827058</v>
      </c>
      <c r="Q1112" s="38">
        <v>0</v>
      </c>
      <c r="R1112" s="38">
        <v>0</v>
      </c>
      <c r="S1112" s="38">
        <f t="shared" si="237"/>
        <v>2827058</v>
      </c>
      <c r="T1112" s="38">
        <f t="shared" si="240"/>
        <v>4122.8788099752073</v>
      </c>
      <c r="U1112" s="38">
        <v>4665.2429488114331</v>
      </c>
      <c r="V1112" s="458">
        <f t="shared" si="238"/>
        <v>542.36413883622572</v>
      </c>
      <c r="W1112" s="458">
        <f t="shared" si="239"/>
        <v>4649.3845850955222</v>
      </c>
      <c r="X1112" s="458">
        <v>0</v>
      </c>
      <c r="Y1112" s="459">
        <v>0</v>
      </c>
      <c r="Z1112" s="459">
        <v>0</v>
      </c>
      <c r="AA1112" s="459">
        <v>0</v>
      </c>
      <c r="AB1112" s="459">
        <v>0</v>
      </c>
      <c r="AC1112" s="459">
        <v>0</v>
      </c>
      <c r="AD1112" s="459">
        <v>0</v>
      </c>
      <c r="AE1112" s="459">
        <v>511</v>
      </c>
      <c r="AF1112" s="458">
        <f>6238.91*AE1112/I1112</f>
        <v>4649.3845850955222</v>
      </c>
      <c r="AG1112" s="459">
        <v>0</v>
      </c>
      <c r="AH1112" s="458">
        <v>0</v>
      </c>
      <c r="AI1112" s="459">
        <v>0</v>
      </c>
      <c r="AJ1112" s="458">
        <v>0</v>
      </c>
      <c r="AK1112" s="459">
        <v>0</v>
      </c>
      <c r="AL1112" s="459">
        <v>0</v>
      </c>
      <c r="AM1112" s="459">
        <v>0</v>
      </c>
      <c r="AN1112" s="459"/>
      <c r="AO1112" s="459">
        <v>0</v>
      </c>
      <c r="AP1112" s="460"/>
      <c r="AQ1112" s="460"/>
      <c r="AR1112" s="460"/>
      <c r="AS1112" s="460"/>
      <c r="AT1112" s="460"/>
      <c r="AU1112" s="460"/>
      <c r="AV1112" s="460"/>
      <c r="AW1112" s="460"/>
      <c r="AX1112" s="460"/>
      <c r="AY1112" s="460"/>
      <c r="AZ1112" s="460"/>
      <c r="BA1112" s="460"/>
      <c r="BB1112" s="460"/>
      <c r="BC1112" s="460"/>
      <c r="BD1112" s="460"/>
      <c r="BE1112" s="460"/>
      <c r="BF1112" s="460"/>
      <c r="BG1112" s="460"/>
      <c r="BH1112" s="460"/>
      <c r="BI1112" s="460"/>
      <c r="BJ1112" s="460"/>
      <c r="BK1112" s="460"/>
      <c r="BL1112" s="460"/>
      <c r="BM1112" s="460"/>
      <c r="BN1112" s="460"/>
      <c r="BO1112" s="460"/>
      <c r="BP1112" s="460"/>
      <c r="BQ1112" s="460"/>
      <c r="BR1112" s="460"/>
      <c r="BS1112" s="460"/>
      <c r="BT1112" s="460"/>
      <c r="BU1112" s="460"/>
      <c r="BV1112" s="460"/>
      <c r="BW1112" s="460"/>
      <c r="BX1112" s="460"/>
      <c r="BY1112" s="460"/>
      <c r="BZ1112" s="460"/>
      <c r="CA1112" s="460"/>
      <c r="CB1112" s="460"/>
      <c r="CC1112" s="460"/>
      <c r="CD1112" s="460"/>
      <c r="CE1112" s="460"/>
      <c r="CF1112" s="460"/>
      <c r="CG1112" s="460"/>
      <c r="CH1112" s="460"/>
      <c r="CI1112" s="460"/>
      <c r="CJ1112" s="460"/>
      <c r="CK1112" s="460"/>
    </row>
    <row r="1113" spans="1:89" s="329" customFormat="1" ht="36" customHeight="1" x14ac:dyDescent="0.25">
      <c r="A1113" s="329">
        <v>1</v>
      </c>
      <c r="B1113" s="39">
        <f>SUBTOTAL(103,$A$1000:A1113)</f>
        <v>111</v>
      </c>
      <c r="C1113" s="33" t="s">
        <v>1806</v>
      </c>
      <c r="D1113" s="330">
        <v>1975</v>
      </c>
      <c r="E1113" s="330"/>
      <c r="F1113" s="331" t="s">
        <v>48</v>
      </c>
      <c r="G1113" s="330">
        <v>5</v>
      </c>
      <c r="H1113" s="330" t="s">
        <v>1969</v>
      </c>
      <c r="I1113" s="334">
        <v>6824.86</v>
      </c>
      <c r="J1113" s="334">
        <v>4475.3999999999996</v>
      </c>
      <c r="K1113" s="334">
        <v>4306.8999999999996</v>
      </c>
      <c r="L1113" s="332">
        <v>160</v>
      </c>
      <c r="M1113" s="330" t="s">
        <v>46</v>
      </c>
      <c r="N1113" s="330" t="s">
        <v>50</v>
      </c>
      <c r="O1113" s="333" t="s">
        <v>95</v>
      </c>
      <c r="P1113" s="38">
        <v>8660275.6699999981</v>
      </c>
      <c r="Q1113" s="38">
        <v>0</v>
      </c>
      <c r="R1113" s="38">
        <v>0</v>
      </c>
      <c r="S1113" s="38">
        <f t="shared" si="237"/>
        <v>8660275.6699999981</v>
      </c>
      <c r="T1113" s="38">
        <f t="shared" si="240"/>
        <v>1268.9308894248377</v>
      </c>
      <c r="U1113" s="38">
        <v>1878.0955250364109</v>
      </c>
      <c r="V1113" s="458">
        <f t="shared" si="238"/>
        <v>609.1646356115732</v>
      </c>
      <c r="W1113" s="458">
        <f t="shared" si="239"/>
        <v>1871.7113940798786</v>
      </c>
      <c r="X1113" s="458">
        <v>0</v>
      </c>
      <c r="Y1113" s="459">
        <v>0</v>
      </c>
      <c r="Z1113" s="459">
        <v>0</v>
      </c>
      <c r="AA1113" s="459">
        <v>0</v>
      </c>
      <c r="AB1113" s="459">
        <v>0</v>
      </c>
      <c r="AC1113" s="459">
        <v>0</v>
      </c>
      <c r="AD1113" s="459">
        <v>0</v>
      </c>
      <c r="AE1113" s="459">
        <v>2047.5</v>
      </c>
      <c r="AF1113" s="458">
        <f>6238.91*AE1113/I1113</f>
        <v>1871.7113940798786</v>
      </c>
      <c r="AG1113" s="459">
        <v>0</v>
      </c>
      <c r="AH1113" s="458">
        <v>0</v>
      </c>
      <c r="AI1113" s="459">
        <v>0</v>
      </c>
      <c r="AJ1113" s="458">
        <v>0</v>
      </c>
      <c r="AK1113" s="459">
        <v>0</v>
      </c>
      <c r="AL1113" s="459">
        <v>0</v>
      </c>
      <c r="AM1113" s="459">
        <v>0</v>
      </c>
      <c r="AN1113" s="459"/>
      <c r="AO1113" s="459">
        <v>0</v>
      </c>
      <c r="AP1113" s="460"/>
      <c r="AQ1113" s="460"/>
      <c r="AR1113" s="460"/>
      <c r="AS1113" s="460"/>
      <c r="AT1113" s="460"/>
      <c r="AU1113" s="460"/>
      <c r="AV1113" s="460"/>
      <c r="AW1113" s="460"/>
      <c r="AX1113" s="460"/>
      <c r="AY1113" s="460"/>
      <c r="AZ1113" s="460"/>
      <c r="BA1113" s="460"/>
      <c r="BB1113" s="460"/>
      <c r="BC1113" s="460"/>
      <c r="BD1113" s="460"/>
      <c r="BE1113" s="460"/>
      <c r="BF1113" s="460"/>
      <c r="BG1113" s="460"/>
      <c r="BH1113" s="460"/>
      <c r="BI1113" s="460"/>
      <c r="BJ1113" s="460"/>
      <c r="BK1113" s="460"/>
      <c r="BL1113" s="460"/>
      <c r="BM1113" s="460"/>
      <c r="BN1113" s="460"/>
      <c r="BO1113" s="460"/>
      <c r="BP1113" s="460"/>
      <c r="BQ1113" s="460"/>
      <c r="BR1113" s="460"/>
      <c r="BS1113" s="460"/>
      <c r="BT1113" s="460"/>
      <c r="BU1113" s="460"/>
      <c r="BV1113" s="460"/>
      <c r="BW1113" s="460"/>
      <c r="BX1113" s="460"/>
      <c r="BY1113" s="460"/>
      <c r="BZ1113" s="460"/>
      <c r="CA1113" s="460"/>
      <c r="CB1113" s="460"/>
      <c r="CC1113" s="460"/>
      <c r="CD1113" s="460"/>
      <c r="CE1113" s="460"/>
      <c r="CF1113" s="460"/>
      <c r="CG1113" s="460"/>
      <c r="CH1113" s="460"/>
      <c r="CI1113" s="460"/>
      <c r="CJ1113" s="460"/>
      <c r="CK1113" s="460"/>
    </row>
    <row r="1114" spans="1:89" s="329" customFormat="1" ht="36" customHeight="1" x14ac:dyDescent="0.25">
      <c r="A1114" s="329">
        <v>1</v>
      </c>
      <c r="B1114" s="39">
        <f>SUBTOTAL(103,$A$1000:A1114)</f>
        <v>112</v>
      </c>
      <c r="C1114" s="33" t="s">
        <v>1475</v>
      </c>
      <c r="D1114" s="330">
        <v>1959</v>
      </c>
      <c r="E1114" s="330"/>
      <c r="F1114" s="331" t="s">
        <v>48</v>
      </c>
      <c r="G1114" s="330">
        <v>2</v>
      </c>
      <c r="H1114" s="330" t="s">
        <v>57</v>
      </c>
      <c r="I1114" s="334">
        <v>309.2</v>
      </c>
      <c r="J1114" s="334">
        <v>287.5</v>
      </c>
      <c r="K1114" s="334">
        <v>287.5</v>
      </c>
      <c r="L1114" s="332">
        <v>14</v>
      </c>
      <c r="M1114" s="330" t="s">
        <v>46</v>
      </c>
      <c r="N1114" s="330" t="s">
        <v>50</v>
      </c>
      <c r="O1114" s="333" t="s">
        <v>168</v>
      </c>
      <c r="P1114" s="38">
        <v>1991891.6</v>
      </c>
      <c r="Q1114" s="38">
        <v>0</v>
      </c>
      <c r="R1114" s="38">
        <v>0</v>
      </c>
      <c r="S1114" s="38">
        <f t="shared" si="237"/>
        <v>1991891.6</v>
      </c>
      <c r="T1114" s="38">
        <f t="shared" si="240"/>
        <v>6442.081500646831</v>
      </c>
      <c r="U1114" s="38">
        <v>8661.3065976714097</v>
      </c>
      <c r="V1114" s="458">
        <f t="shared" si="238"/>
        <v>2219.2250970245786</v>
      </c>
      <c r="W1114" s="458">
        <f t="shared" si="239"/>
        <v>8661.3065976714097</v>
      </c>
      <c r="X1114" s="458">
        <v>0</v>
      </c>
      <c r="Y1114" s="459">
        <v>0</v>
      </c>
      <c r="Z1114" s="459">
        <v>0</v>
      </c>
      <c r="AA1114" s="459">
        <v>0</v>
      </c>
      <c r="AB1114" s="459">
        <v>0</v>
      </c>
      <c r="AC1114" s="459">
        <v>0</v>
      </c>
      <c r="AD1114" s="459">
        <v>0</v>
      </c>
      <c r="AE1114" s="459">
        <v>0</v>
      </c>
      <c r="AF1114" s="458">
        <v>0</v>
      </c>
      <c r="AG1114" s="459">
        <v>0</v>
      </c>
      <c r="AH1114" s="458">
        <v>0</v>
      </c>
      <c r="AI1114" s="459">
        <v>360</v>
      </c>
      <c r="AJ1114" s="458">
        <f>7439.1*AI1114/I1114</f>
        <v>8661.3065976714097</v>
      </c>
      <c r="AK1114" s="459">
        <v>0</v>
      </c>
      <c r="AL1114" s="459">
        <v>0</v>
      </c>
      <c r="AM1114" s="459">
        <v>0</v>
      </c>
      <c r="AN1114" s="459"/>
      <c r="AO1114" s="459">
        <v>0</v>
      </c>
      <c r="AP1114" s="460"/>
      <c r="AQ1114" s="460"/>
      <c r="AR1114" s="460"/>
      <c r="AS1114" s="460"/>
      <c r="AT1114" s="460"/>
      <c r="AU1114" s="460"/>
      <c r="AV1114" s="460"/>
      <c r="AW1114" s="460"/>
      <c r="AX1114" s="460"/>
      <c r="AY1114" s="460"/>
      <c r="AZ1114" s="460"/>
      <c r="BA1114" s="460"/>
      <c r="BB1114" s="460"/>
      <c r="BC1114" s="460"/>
      <c r="BD1114" s="460"/>
      <c r="BE1114" s="460"/>
      <c r="BF1114" s="460"/>
      <c r="BG1114" s="460"/>
      <c r="BH1114" s="460"/>
      <c r="BI1114" s="460"/>
      <c r="BJ1114" s="460"/>
      <c r="BK1114" s="460"/>
      <c r="BL1114" s="460"/>
      <c r="BM1114" s="460"/>
      <c r="BN1114" s="460"/>
      <c r="BO1114" s="460"/>
      <c r="BP1114" s="460"/>
      <c r="BQ1114" s="460"/>
      <c r="BR1114" s="460"/>
      <c r="BS1114" s="460"/>
      <c r="BT1114" s="460"/>
      <c r="BU1114" s="460"/>
      <c r="BV1114" s="460"/>
      <c r="BW1114" s="460"/>
      <c r="BX1114" s="460"/>
      <c r="BY1114" s="460"/>
      <c r="BZ1114" s="460"/>
      <c r="CA1114" s="460"/>
      <c r="CB1114" s="460"/>
      <c r="CC1114" s="460"/>
      <c r="CD1114" s="460"/>
      <c r="CE1114" s="460"/>
      <c r="CF1114" s="460"/>
      <c r="CG1114" s="460"/>
      <c r="CH1114" s="460"/>
      <c r="CI1114" s="460"/>
      <c r="CJ1114" s="460"/>
      <c r="CK1114" s="460"/>
    </row>
    <row r="1115" spans="1:89" s="329" customFormat="1" ht="36" customHeight="1" x14ac:dyDescent="0.25">
      <c r="A1115" s="329">
        <v>1</v>
      </c>
      <c r="B1115" s="39">
        <f>SUBTOTAL(103,$A$1000:A1115)</f>
        <v>113</v>
      </c>
      <c r="C1115" s="33" t="s">
        <v>1807</v>
      </c>
      <c r="D1115" s="330">
        <v>1958</v>
      </c>
      <c r="E1115" s="330"/>
      <c r="F1115" s="331" t="s">
        <v>48</v>
      </c>
      <c r="G1115" s="330">
        <v>2</v>
      </c>
      <c r="H1115" s="330" t="s">
        <v>56</v>
      </c>
      <c r="I1115" s="334">
        <v>446.8</v>
      </c>
      <c r="J1115" s="334">
        <v>446.8</v>
      </c>
      <c r="K1115" s="334">
        <v>297.3</v>
      </c>
      <c r="L1115" s="332">
        <v>17</v>
      </c>
      <c r="M1115" s="330" t="s">
        <v>46</v>
      </c>
      <c r="N1115" s="330" t="s">
        <v>47</v>
      </c>
      <c r="O1115" s="333" t="s">
        <v>49</v>
      </c>
      <c r="P1115" s="38">
        <v>2084284</v>
      </c>
      <c r="Q1115" s="38">
        <v>0</v>
      </c>
      <c r="R1115" s="38">
        <v>0</v>
      </c>
      <c r="S1115" s="38">
        <f t="shared" si="237"/>
        <v>2084284</v>
      </c>
      <c r="T1115" s="38">
        <f t="shared" si="240"/>
        <v>4664.9149507609663</v>
      </c>
      <c r="U1115" s="38">
        <v>5324.243957027752</v>
      </c>
      <c r="V1115" s="458">
        <f t="shared" si="238"/>
        <v>659.32900626678565</v>
      </c>
      <c r="W1115" s="458">
        <f t="shared" si="239"/>
        <v>5306.1454789615036</v>
      </c>
      <c r="X1115" s="458">
        <v>0</v>
      </c>
      <c r="Y1115" s="459">
        <v>0</v>
      </c>
      <c r="Z1115" s="459">
        <v>0</v>
      </c>
      <c r="AA1115" s="459">
        <v>0</v>
      </c>
      <c r="AB1115" s="459">
        <v>0</v>
      </c>
      <c r="AC1115" s="459">
        <v>0</v>
      </c>
      <c r="AD1115" s="459">
        <v>0</v>
      </c>
      <c r="AE1115" s="459">
        <v>380</v>
      </c>
      <c r="AF1115" s="458">
        <f>6238.91*AE1115/I1115</f>
        <v>5306.1454789615036</v>
      </c>
      <c r="AG1115" s="459">
        <v>0</v>
      </c>
      <c r="AH1115" s="458">
        <v>0</v>
      </c>
      <c r="AI1115" s="459">
        <v>0</v>
      </c>
      <c r="AJ1115" s="458">
        <v>0</v>
      </c>
      <c r="AK1115" s="459">
        <v>0</v>
      </c>
      <c r="AL1115" s="459">
        <v>0</v>
      </c>
      <c r="AM1115" s="459">
        <v>0</v>
      </c>
      <c r="AN1115" s="459"/>
      <c r="AO1115" s="459">
        <v>0</v>
      </c>
      <c r="AP1115" s="460"/>
      <c r="AQ1115" s="460"/>
      <c r="AR1115" s="460"/>
      <c r="AS1115" s="460"/>
      <c r="AT1115" s="460"/>
      <c r="AU1115" s="460"/>
      <c r="AV1115" s="460"/>
      <c r="AW1115" s="460"/>
      <c r="AX1115" s="460"/>
      <c r="AY1115" s="460"/>
      <c r="AZ1115" s="460"/>
      <c r="BA1115" s="460"/>
      <c r="BB1115" s="460"/>
      <c r="BC1115" s="460"/>
      <c r="BD1115" s="460"/>
      <c r="BE1115" s="460"/>
      <c r="BF1115" s="460"/>
      <c r="BG1115" s="460"/>
      <c r="BH1115" s="460"/>
      <c r="BI1115" s="460"/>
      <c r="BJ1115" s="460"/>
      <c r="BK1115" s="460"/>
      <c r="BL1115" s="460"/>
      <c r="BM1115" s="460"/>
      <c r="BN1115" s="460"/>
      <c r="BO1115" s="460"/>
      <c r="BP1115" s="460"/>
      <c r="BQ1115" s="460"/>
      <c r="BR1115" s="460"/>
      <c r="BS1115" s="460"/>
      <c r="BT1115" s="460"/>
      <c r="BU1115" s="460"/>
      <c r="BV1115" s="460"/>
      <c r="BW1115" s="460"/>
      <c r="BX1115" s="460"/>
      <c r="BY1115" s="460"/>
      <c r="BZ1115" s="460"/>
      <c r="CA1115" s="460"/>
      <c r="CB1115" s="460"/>
      <c r="CC1115" s="460"/>
      <c r="CD1115" s="460"/>
      <c r="CE1115" s="460"/>
      <c r="CF1115" s="460"/>
      <c r="CG1115" s="460"/>
      <c r="CH1115" s="460"/>
      <c r="CI1115" s="460"/>
      <c r="CJ1115" s="460"/>
      <c r="CK1115" s="460"/>
    </row>
    <row r="1116" spans="1:89" s="329" customFormat="1" ht="36" customHeight="1" x14ac:dyDescent="0.25">
      <c r="B1116" s="33" t="s">
        <v>1232</v>
      </c>
      <c r="C1116" s="462"/>
      <c r="D1116" s="330" t="s">
        <v>131</v>
      </c>
      <c r="E1116" s="330" t="s">
        <v>131</v>
      </c>
      <c r="F1116" s="330" t="s">
        <v>131</v>
      </c>
      <c r="G1116" s="330" t="s">
        <v>131</v>
      </c>
      <c r="H1116" s="330" t="s">
        <v>131</v>
      </c>
      <c r="I1116" s="334">
        <f>I1117+I1118</f>
        <v>13712.699999999999</v>
      </c>
      <c r="J1116" s="334">
        <f>J1117+J1118</f>
        <v>12166.6</v>
      </c>
      <c r="K1116" s="334">
        <f>K1117+K1118</f>
        <v>11718.300000000001</v>
      </c>
      <c r="L1116" s="332">
        <f>L1117+L1118</f>
        <v>547</v>
      </c>
      <c r="M1116" s="330" t="s">
        <v>131</v>
      </c>
      <c r="N1116" s="330" t="s">
        <v>131</v>
      </c>
      <c r="O1116" s="333" t="s">
        <v>131</v>
      </c>
      <c r="P1116" s="334">
        <v>21856214.649999999</v>
      </c>
      <c r="Q1116" s="334">
        <f>Q1117+Q1118</f>
        <v>0</v>
      </c>
      <c r="R1116" s="334">
        <f>R1117+R1118</f>
        <v>0</v>
      </c>
      <c r="S1116" s="334">
        <f>S1117+S1118</f>
        <v>21856214.649999999</v>
      </c>
      <c r="T1116" s="38">
        <f t="shared" si="240"/>
        <v>1593.8666090558388</v>
      </c>
      <c r="U1116" s="38">
        <f>MAX(U1117:U1118)</f>
        <v>5371.5068076009993</v>
      </c>
      <c r="V1116" s="458">
        <f t="shared" si="238"/>
        <v>3777.6401985451603</v>
      </c>
      <c r="W1116" s="458"/>
      <c r="X1116" s="458"/>
      <c r="Y1116" s="459"/>
      <c r="Z1116" s="459"/>
      <c r="AA1116" s="459"/>
      <c r="AB1116" s="459"/>
      <c r="AC1116" s="459"/>
      <c r="AD1116" s="459"/>
      <c r="AE1116" s="459"/>
      <c r="AF1116" s="459"/>
      <c r="AG1116" s="459"/>
      <c r="AH1116" s="459"/>
      <c r="AI1116" s="459"/>
      <c r="AJ1116" s="459"/>
      <c r="AK1116" s="459"/>
      <c r="AL1116" s="459"/>
      <c r="AM1116" s="459"/>
      <c r="AN1116" s="459"/>
      <c r="AO1116" s="459"/>
      <c r="AP1116" s="460"/>
      <c r="AQ1116" s="460"/>
      <c r="AR1116" s="460"/>
      <c r="AS1116" s="460"/>
      <c r="AT1116" s="460"/>
      <c r="AU1116" s="460"/>
      <c r="AV1116" s="460"/>
      <c r="AW1116" s="460"/>
      <c r="AX1116" s="460"/>
      <c r="AY1116" s="460"/>
      <c r="AZ1116" s="460"/>
      <c r="BA1116" s="460"/>
      <c r="BB1116" s="460"/>
      <c r="BC1116" s="460"/>
      <c r="BD1116" s="460"/>
      <c r="BE1116" s="460"/>
      <c r="BF1116" s="460"/>
      <c r="BG1116" s="460"/>
      <c r="BH1116" s="460"/>
      <c r="BI1116" s="460"/>
      <c r="BJ1116" s="460"/>
      <c r="BK1116" s="460"/>
      <c r="BL1116" s="460"/>
      <c r="BM1116" s="460"/>
      <c r="BN1116" s="460"/>
      <c r="BO1116" s="460"/>
      <c r="BP1116" s="460"/>
      <c r="BQ1116" s="460"/>
      <c r="BR1116" s="460"/>
      <c r="BS1116" s="460"/>
      <c r="BT1116" s="460"/>
      <c r="BU1116" s="460"/>
      <c r="BV1116" s="460"/>
      <c r="BW1116" s="460"/>
      <c r="BX1116" s="460"/>
      <c r="BY1116" s="460"/>
      <c r="BZ1116" s="460"/>
      <c r="CA1116" s="460"/>
      <c r="CB1116" s="460"/>
      <c r="CC1116" s="460"/>
      <c r="CD1116" s="460"/>
      <c r="CE1116" s="460"/>
      <c r="CF1116" s="460"/>
      <c r="CG1116" s="460"/>
      <c r="CH1116" s="460"/>
      <c r="CI1116" s="460"/>
      <c r="CJ1116" s="460"/>
      <c r="CK1116" s="460"/>
    </row>
    <row r="1117" spans="1:89" s="329" customFormat="1" ht="36" customHeight="1" x14ac:dyDescent="0.25">
      <c r="A1117" s="329">
        <v>1</v>
      </c>
      <c r="B1117" s="39">
        <f>SUBTOTAL(103,$A$1000:A1117)</f>
        <v>114</v>
      </c>
      <c r="C1117" s="33" t="s">
        <v>1808</v>
      </c>
      <c r="D1117" s="330">
        <v>1981</v>
      </c>
      <c r="E1117" s="330">
        <v>2016</v>
      </c>
      <c r="F1117" s="331" t="s">
        <v>60</v>
      </c>
      <c r="G1117" s="330">
        <v>5</v>
      </c>
      <c r="H1117" s="330" t="s">
        <v>75</v>
      </c>
      <c r="I1117" s="334">
        <v>3982.4</v>
      </c>
      <c r="J1117" s="334">
        <v>3501.5</v>
      </c>
      <c r="K1117" s="334">
        <v>3375.6</v>
      </c>
      <c r="L1117" s="332">
        <v>165</v>
      </c>
      <c r="M1117" s="330" t="s">
        <v>46</v>
      </c>
      <c r="N1117" s="330" t="s">
        <v>50</v>
      </c>
      <c r="O1117" s="333" t="s">
        <v>64</v>
      </c>
      <c r="P1117" s="38">
        <v>7550257.2599999998</v>
      </c>
      <c r="Q1117" s="38">
        <v>0</v>
      </c>
      <c r="R1117" s="38">
        <v>0</v>
      </c>
      <c r="S1117" s="38">
        <f>P1117-Q1117-R1117</f>
        <v>7550257.2599999998</v>
      </c>
      <c r="T1117" s="38">
        <f t="shared" si="240"/>
        <v>1895.9063027320208</v>
      </c>
      <c r="U1117" s="38">
        <v>4532.13</v>
      </c>
      <c r="V1117" s="458">
        <f t="shared" si="238"/>
        <v>2636.2236972679793</v>
      </c>
      <c r="W1117" s="458">
        <f t="shared" ref="W1117:W1118" si="241">X1117+Y1117+Z1117+AA1117+AB1117+AD1117+AF1117+AH1117+AJ1117+AL1117+AN1117+AO1117</f>
        <v>4586.9399999999996</v>
      </c>
      <c r="X1117" s="458">
        <v>101.55</v>
      </c>
      <c r="Y1117" s="459">
        <v>245.44</v>
      </c>
      <c r="Z1117" s="459">
        <v>3259.66</v>
      </c>
      <c r="AA1117" s="459">
        <v>184.98</v>
      </c>
      <c r="AB1117" s="459">
        <v>795.31</v>
      </c>
      <c r="AC1117" s="459">
        <v>0</v>
      </c>
      <c r="AD1117" s="459">
        <v>0</v>
      </c>
      <c r="AE1117" s="459">
        <v>0</v>
      </c>
      <c r="AF1117" s="458">
        <v>0</v>
      </c>
      <c r="AG1117" s="459">
        <v>0</v>
      </c>
      <c r="AH1117" s="458">
        <v>0</v>
      </c>
      <c r="AI1117" s="459">
        <v>0</v>
      </c>
      <c r="AJ1117" s="458">
        <v>0</v>
      </c>
      <c r="AK1117" s="459">
        <v>0</v>
      </c>
      <c r="AL1117" s="459">
        <v>0</v>
      </c>
      <c r="AM1117" s="459">
        <v>0</v>
      </c>
      <c r="AN1117" s="459"/>
      <c r="AO1117" s="459">
        <v>0</v>
      </c>
      <c r="AP1117" s="460"/>
      <c r="AQ1117" s="460"/>
      <c r="AR1117" s="460"/>
      <c r="AS1117" s="460"/>
      <c r="AT1117" s="460"/>
      <c r="AU1117" s="460"/>
      <c r="AV1117" s="460"/>
      <c r="AW1117" s="460"/>
      <c r="AX1117" s="460"/>
      <c r="AY1117" s="460"/>
      <c r="AZ1117" s="460"/>
      <c r="BA1117" s="460"/>
      <c r="BB1117" s="460"/>
      <c r="BC1117" s="460"/>
      <c r="BD1117" s="460"/>
      <c r="BE1117" s="460"/>
      <c r="BF1117" s="460"/>
      <c r="BG1117" s="460"/>
      <c r="BH1117" s="460"/>
      <c r="BI1117" s="460"/>
      <c r="BJ1117" s="460"/>
      <c r="BK1117" s="460"/>
      <c r="BL1117" s="460"/>
      <c r="BM1117" s="460"/>
      <c r="BN1117" s="460"/>
      <c r="BO1117" s="460"/>
      <c r="BP1117" s="460"/>
      <c r="BQ1117" s="460"/>
      <c r="BR1117" s="460"/>
      <c r="BS1117" s="460"/>
      <c r="BT1117" s="460"/>
      <c r="BU1117" s="460"/>
      <c r="BV1117" s="460"/>
      <c r="BW1117" s="460"/>
      <c r="BX1117" s="460"/>
      <c r="BY1117" s="460"/>
      <c r="BZ1117" s="460"/>
      <c r="CA1117" s="460"/>
      <c r="CB1117" s="460"/>
      <c r="CC1117" s="460"/>
      <c r="CD1117" s="460"/>
      <c r="CE1117" s="460"/>
      <c r="CF1117" s="460"/>
      <c r="CG1117" s="460"/>
      <c r="CH1117" s="460"/>
      <c r="CI1117" s="460"/>
      <c r="CJ1117" s="460"/>
      <c r="CK1117" s="460"/>
    </row>
    <row r="1118" spans="1:89" s="329" customFormat="1" ht="36" customHeight="1" x14ac:dyDescent="0.25">
      <c r="A1118" s="329">
        <v>1</v>
      </c>
      <c r="B1118" s="39">
        <f>SUBTOTAL(103,$A$1000:A1118)</f>
        <v>115</v>
      </c>
      <c r="C1118" s="33" t="s">
        <v>1809</v>
      </c>
      <c r="D1118" s="330">
        <v>1999</v>
      </c>
      <c r="E1118" s="330">
        <v>2016</v>
      </c>
      <c r="F1118" s="331" t="s">
        <v>60</v>
      </c>
      <c r="G1118" s="330">
        <v>9</v>
      </c>
      <c r="H1118" s="330" t="s">
        <v>59</v>
      </c>
      <c r="I1118" s="334">
        <v>9730.2999999999993</v>
      </c>
      <c r="J1118" s="334">
        <v>8665.1</v>
      </c>
      <c r="K1118" s="334">
        <v>8342.7000000000007</v>
      </c>
      <c r="L1118" s="332">
        <v>382</v>
      </c>
      <c r="M1118" s="330" t="s">
        <v>46</v>
      </c>
      <c r="N1118" s="330" t="s">
        <v>50</v>
      </c>
      <c r="O1118" s="333" t="s">
        <v>64</v>
      </c>
      <c r="P1118" s="38">
        <v>14305957.390000001</v>
      </c>
      <c r="Q1118" s="38">
        <v>0</v>
      </c>
      <c r="R1118" s="38">
        <v>0</v>
      </c>
      <c r="S1118" s="38">
        <f>P1118-Q1118-R1118</f>
        <v>14305957.390000001</v>
      </c>
      <c r="T1118" s="38">
        <f t="shared" si="240"/>
        <v>1470.2483366391582</v>
      </c>
      <c r="U1118" s="38">
        <v>5371.5068076009993</v>
      </c>
      <c r="V1118" s="458">
        <f t="shared" si="238"/>
        <v>3901.2584709618413</v>
      </c>
      <c r="W1118" s="458">
        <f t="shared" si="241"/>
        <v>5633.9843169275355</v>
      </c>
      <c r="X1118" s="458">
        <v>0</v>
      </c>
      <c r="Y1118" s="459">
        <v>0</v>
      </c>
      <c r="Z1118" s="459">
        <v>0</v>
      </c>
      <c r="AA1118" s="459">
        <v>0</v>
      </c>
      <c r="AB1118" s="459">
        <v>0</v>
      </c>
      <c r="AC1118" s="459">
        <v>0</v>
      </c>
      <c r="AD1118" s="459">
        <v>0</v>
      </c>
      <c r="AE1118" s="459">
        <v>0</v>
      </c>
      <c r="AF1118" s="458">
        <v>0</v>
      </c>
      <c r="AG1118" s="459">
        <v>0</v>
      </c>
      <c r="AH1118" s="458">
        <v>0</v>
      </c>
      <c r="AI1118" s="459">
        <v>7025.9</v>
      </c>
      <c r="AJ1118" s="458">
        <f>7802.61*AI1118/I1118</f>
        <v>5633.9843169275355</v>
      </c>
      <c r="AK1118" s="459">
        <v>0</v>
      </c>
      <c r="AL1118" s="459">
        <v>0</v>
      </c>
      <c r="AM1118" s="459">
        <v>0</v>
      </c>
      <c r="AN1118" s="459"/>
      <c r="AO1118" s="459">
        <v>0</v>
      </c>
      <c r="AP1118" s="460"/>
      <c r="AQ1118" s="460"/>
      <c r="AR1118" s="460"/>
      <c r="AS1118" s="460"/>
      <c r="AT1118" s="460"/>
      <c r="AU1118" s="460"/>
      <c r="AV1118" s="460"/>
      <c r="AW1118" s="460"/>
      <c r="AX1118" s="460"/>
      <c r="AY1118" s="460"/>
      <c r="AZ1118" s="460"/>
      <c r="BA1118" s="460"/>
      <c r="BB1118" s="460"/>
      <c r="BC1118" s="460"/>
      <c r="BD1118" s="460"/>
      <c r="BE1118" s="460"/>
      <c r="BF1118" s="460"/>
      <c r="BG1118" s="460"/>
      <c r="BH1118" s="460"/>
      <c r="BI1118" s="460"/>
      <c r="BJ1118" s="460"/>
      <c r="BK1118" s="460"/>
      <c r="BL1118" s="460"/>
      <c r="BM1118" s="460"/>
      <c r="BN1118" s="460"/>
      <c r="BO1118" s="460"/>
      <c r="BP1118" s="460"/>
      <c r="BQ1118" s="460"/>
      <c r="BR1118" s="460"/>
      <c r="BS1118" s="460"/>
      <c r="BT1118" s="460"/>
      <c r="BU1118" s="460"/>
      <c r="BV1118" s="460"/>
      <c r="BW1118" s="460"/>
      <c r="BX1118" s="460"/>
      <c r="BY1118" s="460"/>
      <c r="BZ1118" s="460"/>
      <c r="CA1118" s="460"/>
      <c r="CB1118" s="460"/>
      <c r="CC1118" s="460"/>
      <c r="CD1118" s="460"/>
      <c r="CE1118" s="460"/>
      <c r="CF1118" s="460"/>
      <c r="CG1118" s="460"/>
      <c r="CH1118" s="460"/>
      <c r="CI1118" s="460"/>
      <c r="CJ1118" s="460"/>
      <c r="CK1118" s="460"/>
    </row>
    <row r="1119" spans="1:89" s="329" customFormat="1" ht="36" customHeight="1" x14ac:dyDescent="0.25">
      <c r="B1119" s="33" t="s">
        <v>96</v>
      </c>
      <c r="C1119" s="462"/>
      <c r="D1119" s="330" t="s">
        <v>131</v>
      </c>
      <c r="E1119" s="330" t="s">
        <v>131</v>
      </c>
      <c r="F1119" s="330" t="s">
        <v>131</v>
      </c>
      <c r="G1119" s="330" t="s">
        <v>131</v>
      </c>
      <c r="H1119" s="330" t="s">
        <v>131</v>
      </c>
      <c r="I1119" s="334">
        <f>SUM(I1120:I1127)</f>
        <v>44403.5</v>
      </c>
      <c r="J1119" s="334">
        <f>SUM(J1120:J1127)</f>
        <v>37098.74</v>
      </c>
      <c r="K1119" s="334">
        <f>SUM(K1120:K1127)</f>
        <v>31970.329999999998</v>
      </c>
      <c r="L1119" s="332">
        <f>SUM(L1120:L1127)</f>
        <v>1743</v>
      </c>
      <c r="M1119" s="330" t="s">
        <v>131</v>
      </c>
      <c r="N1119" s="330" t="s">
        <v>131</v>
      </c>
      <c r="O1119" s="333" t="s">
        <v>131</v>
      </c>
      <c r="P1119" s="334">
        <v>51599396.32</v>
      </c>
      <c r="Q1119" s="334">
        <f>SUM(Q1120:Q1127)</f>
        <v>0</v>
      </c>
      <c r="R1119" s="334">
        <f>SUM(R1120:R1127)</f>
        <v>0</v>
      </c>
      <c r="S1119" s="334">
        <f>SUM(S1120:S1127)</f>
        <v>51599396.32</v>
      </c>
      <c r="T1119" s="38">
        <f t="shared" si="240"/>
        <v>1162.056962176405</v>
      </c>
      <c r="U1119" s="38">
        <f>MAX(U1120:U1127)</f>
        <v>7396.5430112644772</v>
      </c>
      <c r="V1119" s="458">
        <f t="shared" si="238"/>
        <v>6234.4860490880719</v>
      </c>
      <c r="W1119" s="458"/>
      <c r="X1119" s="458"/>
      <c r="Y1119" s="459"/>
      <c r="Z1119" s="459"/>
      <c r="AA1119" s="459"/>
      <c r="AB1119" s="459"/>
      <c r="AC1119" s="459"/>
      <c r="AD1119" s="459"/>
      <c r="AE1119" s="459"/>
      <c r="AF1119" s="459"/>
      <c r="AG1119" s="459"/>
      <c r="AH1119" s="459"/>
      <c r="AI1119" s="459"/>
      <c r="AJ1119" s="459"/>
      <c r="AK1119" s="459"/>
      <c r="AL1119" s="459"/>
      <c r="AM1119" s="459"/>
      <c r="AN1119" s="459"/>
      <c r="AO1119" s="459"/>
      <c r="AP1119" s="460"/>
      <c r="AQ1119" s="460"/>
      <c r="AR1119" s="460"/>
      <c r="AS1119" s="460"/>
      <c r="AT1119" s="460"/>
      <c r="AU1119" s="460"/>
      <c r="AV1119" s="460"/>
      <c r="AW1119" s="460"/>
      <c r="AX1119" s="460"/>
      <c r="AY1119" s="460"/>
      <c r="AZ1119" s="460"/>
      <c r="BA1119" s="460"/>
      <c r="BB1119" s="460"/>
      <c r="BC1119" s="460"/>
      <c r="BD1119" s="460"/>
      <c r="BE1119" s="460"/>
      <c r="BF1119" s="460"/>
      <c r="BG1119" s="460"/>
      <c r="BH1119" s="460"/>
      <c r="BI1119" s="460"/>
      <c r="BJ1119" s="460"/>
      <c r="BK1119" s="460"/>
      <c r="BL1119" s="460"/>
      <c r="BM1119" s="460"/>
      <c r="BN1119" s="460"/>
      <c r="BO1119" s="460"/>
      <c r="BP1119" s="460"/>
      <c r="BQ1119" s="460"/>
      <c r="BR1119" s="460"/>
      <c r="BS1119" s="460"/>
      <c r="BT1119" s="460"/>
      <c r="BU1119" s="460"/>
      <c r="BV1119" s="460"/>
      <c r="BW1119" s="460"/>
      <c r="BX1119" s="460"/>
      <c r="BY1119" s="460"/>
      <c r="BZ1119" s="460"/>
      <c r="CA1119" s="460"/>
      <c r="CB1119" s="460"/>
      <c r="CC1119" s="460"/>
      <c r="CD1119" s="460"/>
      <c r="CE1119" s="460"/>
      <c r="CF1119" s="460"/>
      <c r="CG1119" s="460"/>
      <c r="CH1119" s="460"/>
      <c r="CI1119" s="460"/>
      <c r="CJ1119" s="460"/>
      <c r="CK1119" s="460"/>
    </row>
    <row r="1120" spans="1:89" s="329" customFormat="1" ht="36" customHeight="1" x14ac:dyDescent="0.25">
      <c r="A1120" s="329">
        <v>1</v>
      </c>
      <c r="B1120" s="39">
        <f>SUBTOTAL(103,$A$1000:A1120)</f>
        <v>116</v>
      </c>
      <c r="C1120" s="33" t="s">
        <v>1810</v>
      </c>
      <c r="D1120" s="330">
        <v>1967</v>
      </c>
      <c r="E1120" s="330"/>
      <c r="F1120" s="331" t="s">
        <v>48</v>
      </c>
      <c r="G1120" s="330">
        <v>5</v>
      </c>
      <c r="H1120" s="330" t="s">
        <v>59</v>
      </c>
      <c r="I1120" s="334">
        <v>5264.54</v>
      </c>
      <c r="J1120" s="334">
        <v>3236.74</v>
      </c>
      <c r="K1120" s="334">
        <v>2547.17</v>
      </c>
      <c r="L1120" s="332">
        <v>119</v>
      </c>
      <c r="M1120" s="330" t="s">
        <v>46</v>
      </c>
      <c r="N1120" s="330" t="s">
        <v>50</v>
      </c>
      <c r="O1120" s="333" t="s">
        <v>2028</v>
      </c>
      <c r="P1120" s="38">
        <v>5121801</v>
      </c>
      <c r="Q1120" s="38">
        <v>0</v>
      </c>
      <c r="R1120" s="38">
        <v>0</v>
      </c>
      <c r="S1120" s="38">
        <f t="shared" ref="S1120:S1127" si="242">P1120-Q1120-R1120</f>
        <v>5121801</v>
      </c>
      <c r="T1120" s="38">
        <f t="shared" si="240"/>
        <v>972.8867099499671</v>
      </c>
      <c r="U1120" s="38">
        <v>1166.530483195113</v>
      </c>
      <c r="V1120" s="458">
        <f t="shared" si="238"/>
        <v>193.64377324514589</v>
      </c>
      <c r="W1120" s="458">
        <f t="shared" ref="W1120:W1127" si="243">X1120+Y1120+Z1120+AA1120+AB1120+AD1120+AF1120+AH1120+AJ1120+AL1120+AN1120+AO1120</f>
        <v>1162.5651452928462</v>
      </c>
      <c r="X1120" s="458">
        <v>0</v>
      </c>
      <c r="Y1120" s="459">
        <v>0</v>
      </c>
      <c r="Z1120" s="459">
        <v>0</v>
      </c>
      <c r="AA1120" s="459">
        <v>0</v>
      </c>
      <c r="AB1120" s="459">
        <v>0</v>
      </c>
      <c r="AC1120" s="459">
        <v>0</v>
      </c>
      <c r="AD1120" s="459">
        <v>0</v>
      </c>
      <c r="AE1120" s="459">
        <v>981</v>
      </c>
      <c r="AF1120" s="458">
        <f>6238.91*AE1120/I1120</f>
        <v>1162.5651452928462</v>
      </c>
      <c r="AG1120" s="459">
        <v>0</v>
      </c>
      <c r="AH1120" s="458">
        <v>0</v>
      </c>
      <c r="AI1120" s="459">
        <v>0</v>
      </c>
      <c r="AJ1120" s="458">
        <v>0</v>
      </c>
      <c r="AK1120" s="459">
        <v>0</v>
      </c>
      <c r="AL1120" s="459">
        <v>0</v>
      </c>
      <c r="AM1120" s="459">
        <v>0</v>
      </c>
      <c r="AN1120" s="459"/>
      <c r="AO1120" s="459">
        <v>0</v>
      </c>
      <c r="AP1120" s="460"/>
      <c r="AQ1120" s="460"/>
      <c r="AR1120" s="460"/>
      <c r="AS1120" s="460"/>
      <c r="AT1120" s="460"/>
      <c r="AU1120" s="460"/>
      <c r="AV1120" s="460"/>
      <c r="AW1120" s="460"/>
      <c r="AX1120" s="460"/>
      <c r="AY1120" s="460"/>
      <c r="AZ1120" s="460"/>
      <c r="BA1120" s="460"/>
      <c r="BB1120" s="460"/>
      <c r="BC1120" s="460"/>
      <c r="BD1120" s="460"/>
      <c r="BE1120" s="460"/>
      <c r="BF1120" s="460"/>
      <c r="BG1120" s="460"/>
      <c r="BH1120" s="460"/>
      <c r="BI1120" s="460"/>
      <c r="BJ1120" s="460"/>
      <c r="BK1120" s="460"/>
      <c r="BL1120" s="460"/>
      <c r="BM1120" s="460"/>
      <c r="BN1120" s="460"/>
      <c r="BO1120" s="460"/>
      <c r="BP1120" s="460"/>
      <c r="BQ1120" s="460"/>
      <c r="BR1120" s="460"/>
      <c r="BS1120" s="460"/>
      <c r="BT1120" s="460"/>
      <c r="BU1120" s="460"/>
      <c r="BV1120" s="460"/>
      <c r="BW1120" s="460"/>
      <c r="BX1120" s="460"/>
      <c r="BY1120" s="460"/>
      <c r="BZ1120" s="460"/>
      <c r="CA1120" s="460"/>
      <c r="CB1120" s="460"/>
      <c r="CC1120" s="460"/>
      <c r="CD1120" s="460"/>
      <c r="CE1120" s="460"/>
      <c r="CF1120" s="460"/>
      <c r="CG1120" s="460"/>
      <c r="CH1120" s="460"/>
      <c r="CI1120" s="460"/>
      <c r="CJ1120" s="460"/>
      <c r="CK1120" s="460"/>
    </row>
    <row r="1121" spans="1:89" s="329" customFormat="1" ht="36" customHeight="1" x14ac:dyDescent="0.25">
      <c r="A1121" s="329">
        <v>1</v>
      </c>
      <c r="B1121" s="39">
        <f>SUBTOTAL(103,$A$1000:A1121)</f>
        <v>117</v>
      </c>
      <c r="C1121" s="33" t="s">
        <v>1811</v>
      </c>
      <c r="D1121" s="330">
        <v>1969</v>
      </c>
      <c r="E1121" s="330"/>
      <c r="F1121" s="331" t="s">
        <v>48</v>
      </c>
      <c r="G1121" s="330">
        <v>5</v>
      </c>
      <c r="H1121" s="330" t="s">
        <v>1961</v>
      </c>
      <c r="I1121" s="334">
        <v>8212.5400000000009</v>
      </c>
      <c r="J1121" s="334">
        <v>5998.64</v>
      </c>
      <c r="K1121" s="334">
        <v>5998.64</v>
      </c>
      <c r="L1121" s="332">
        <v>252</v>
      </c>
      <c r="M1121" s="330" t="s">
        <v>46</v>
      </c>
      <c r="N1121" s="330" t="s">
        <v>50</v>
      </c>
      <c r="O1121" s="333" t="s">
        <v>2028</v>
      </c>
      <c r="P1121" s="38">
        <v>8124000</v>
      </c>
      <c r="Q1121" s="38">
        <v>0</v>
      </c>
      <c r="R1121" s="38">
        <v>0</v>
      </c>
      <c r="S1121" s="38">
        <f t="shared" si="242"/>
        <v>8124000</v>
      </c>
      <c r="T1121" s="38">
        <f t="shared" si="240"/>
        <v>989.21892617874607</v>
      </c>
      <c r="U1121" s="38">
        <v>1290.1455061406091</v>
      </c>
      <c r="V1121" s="458">
        <f t="shared" si="238"/>
        <v>300.92657996186301</v>
      </c>
      <c r="W1121" s="458">
        <f t="shared" si="243"/>
        <v>1285.7599689012166</v>
      </c>
      <c r="X1121" s="458">
        <v>0</v>
      </c>
      <c r="Y1121" s="459">
        <v>0</v>
      </c>
      <c r="Z1121" s="459">
        <v>0</v>
      </c>
      <c r="AA1121" s="459">
        <v>0</v>
      </c>
      <c r="AB1121" s="459">
        <v>0</v>
      </c>
      <c r="AC1121" s="459">
        <v>0</v>
      </c>
      <c r="AD1121" s="459">
        <v>0</v>
      </c>
      <c r="AE1121" s="459">
        <v>1692.5</v>
      </c>
      <c r="AF1121" s="458">
        <f>6238.91*AE1121/I1121</f>
        <v>1285.7599689012166</v>
      </c>
      <c r="AG1121" s="459">
        <v>0</v>
      </c>
      <c r="AH1121" s="458">
        <v>0</v>
      </c>
      <c r="AI1121" s="459">
        <v>0</v>
      </c>
      <c r="AJ1121" s="458">
        <v>0</v>
      </c>
      <c r="AK1121" s="459">
        <v>0</v>
      </c>
      <c r="AL1121" s="459">
        <v>0</v>
      </c>
      <c r="AM1121" s="459">
        <v>0</v>
      </c>
      <c r="AN1121" s="459"/>
      <c r="AO1121" s="459">
        <v>0</v>
      </c>
      <c r="AP1121" s="460"/>
      <c r="AQ1121" s="460"/>
      <c r="AR1121" s="460"/>
      <c r="AS1121" s="460"/>
      <c r="AT1121" s="460"/>
      <c r="AU1121" s="460"/>
      <c r="AV1121" s="460"/>
      <c r="AW1121" s="460"/>
      <c r="AX1121" s="460"/>
      <c r="AY1121" s="460"/>
      <c r="AZ1121" s="460"/>
      <c r="BA1121" s="460"/>
      <c r="BB1121" s="460"/>
      <c r="BC1121" s="460"/>
      <c r="BD1121" s="460"/>
      <c r="BE1121" s="460"/>
      <c r="BF1121" s="460"/>
      <c r="BG1121" s="460"/>
      <c r="BH1121" s="460"/>
      <c r="BI1121" s="460"/>
      <c r="BJ1121" s="460"/>
      <c r="BK1121" s="460"/>
      <c r="BL1121" s="460"/>
      <c r="BM1121" s="460"/>
      <c r="BN1121" s="460"/>
      <c r="BO1121" s="460"/>
      <c r="BP1121" s="460"/>
      <c r="BQ1121" s="460"/>
      <c r="BR1121" s="460"/>
      <c r="BS1121" s="460"/>
      <c r="BT1121" s="460"/>
      <c r="BU1121" s="460"/>
      <c r="BV1121" s="460"/>
      <c r="BW1121" s="460"/>
      <c r="BX1121" s="460"/>
      <c r="BY1121" s="460"/>
      <c r="BZ1121" s="460"/>
      <c r="CA1121" s="460"/>
      <c r="CB1121" s="460"/>
      <c r="CC1121" s="460"/>
      <c r="CD1121" s="460"/>
      <c r="CE1121" s="460"/>
      <c r="CF1121" s="460"/>
      <c r="CG1121" s="460"/>
      <c r="CH1121" s="460"/>
      <c r="CI1121" s="460"/>
      <c r="CJ1121" s="460"/>
      <c r="CK1121" s="460"/>
    </row>
    <row r="1122" spans="1:89" s="329" customFormat="1" ht="36" customHeight="1" x14ac:dyDescent="0.25">
      <c r="A1122" s="329">
        <v>1</v>
      </c>
      <c r="B1122" s="39">
        <f>SUBTOTAL(103,$A$1000:A1122)</f>
        <v>118</v>
      </c>
      <c r="C1122" s="33" t="s">
        <v>1812</v>
      </c>
      <c r="D1122" s="330">
        <v>1990</v>
      </c>
      <c r="E1122" s="330"/>
      <c r="F1122" s="331" t="s">
        <v>63</v>
      </c>
      <c r="G1122" s="330">
        <v>2</v>
      </c>
      <c r="H1122" s="330" t="s">
        <v>56</v>
      </c>
      <c r="I1122" s="334">
        <v>630.29999999999995</v>
      </c>
      <c r="J1122" s="334">
        <v>568.70000000000005</v>
      </c>
      <c r="K1122" s="334">
        <v>568.70000000000005</v>
      </c>
      <c r="L1122" s="332">
        <v>25</v>
      </c>
      <c r="M1122" s="330" t="s">
        <v>46</v>
      </c>
      <c r="N1122" s="330" t="s">
        <v>50</v>
      </c>
      <c r="O1122" s="333" t="s">
        <v>2030</v>
      </c>
      <c r="P1122" s="38">
        <v>4662041.0599999996</v>
      </c>
      <c r="Q1122" s="38">
        <v>0</v>
      </c>
      <c r="R1122" s="38">
        <v>0</v>
      </c>
      <c r="S1122" s="38">
        <f t="shared" si="242"/>
        <v>4662041.0599999996</v>
      </c>
      <c r="T1122" s="38">
        <f t="shared" si="240"/>
        <v>7396.5430112644772</v>
      </c>
      <c r="U1122" s="38">
        <v>7396.5430112644772</v>
      </c>
      <c r="V1122" s="458">
        <f t="shared" si="238"/>
        <v>0</v>
      </c>
      <c r="W1122" s="458">
        <f>T1122</f>
        <v>7396.5430112644772</v>
      </c>
      <c r="X1122" s="458">
        <v>0</v>
      </c>
      <c r="Y1122" s="459">
        <v>0</v>
      </c>
      <c r="Z1122" s="459">
        <v>0</v>
      </c>
      <c r="AA1122" s="459">
        <v>0</v>
      </c>
      <c r="AB1122" s="459">
        <v>0</v>
      </c>
      <c r="AC1122" s="459">
        <v>0</v>
      </c>
      <c r="AD1122" s="459">
        <v>0</v>
      </c>
      <c r="AE1122" s="459">
        <v>650</v>
      </c>
      <c r="AF1122" s="458">
        <f>6436.53*AE1122/I1122</f>
        <v>6637.703474535936</v>
      </c>
      <c r="AG1122" s="459">
        <v>0</v>
      </c>
      <c r="AH1122" s="458">
        <v>0</v>
      </c>
      <c r="AI1122" s="459">
        <v>0</v>
      </c>
      <c r="AJ1122" s="458">
        <v>0</v>
      </c>
      <c r="AK1122" s="459">
        <v>0</v>
      </c>
      <c r="AL1122" s="459">
        <v>0</v>
      </c>
      <c r="AM1122" s="459">
        <v>0</v>
      </c>
      <c r="AN1122" s="459"/>
      <c r="AO1122" s="459">
        <v>0</v>
      </c>
      <c r="AP1122" s="460"/>
      <c r="AQ1122" s="460"/>
      <c r="AR1122" s="460"/>
      <c r="AS1122" s="460"/>
      <c r="AT1122" s="460"/>
      <c r="AU1122" s="460"/>
      <c r="AV1122" s="460"/>
      <c r="AW1122" s="460"/>
      <c r="AX1122" s="460"/>
      <c r="AY1122" s="460"/>
      <c r="AZ1122" s="460"/>
      <c r="BA1122" s="460"/>
      <c r="BB1122" s="460"/>
      <c r="BC1122" s="460"/>
      <c r="BD1122" s="460"/>
      <c r="BE1122" s="460"/>
      <c r="BF1122" s="460"/>
      <c r="BG1122" s="460"/>
      <c r="BH1122" s="460"/>
      <c r="BI1122" s="460"/>
      <c r="BJ1122" s="460"/>
      <c r="BK1122" s="460"/>
      <c r="BL1122" s="460"/>
      <c r="BM1122" s="460"/>
      <c r="BN1122" s="460"/>
      <c r="BO1122" s="460"/>
      <c r="BP1122" s="460"/>
      <c r="BQ1122" s="460"/>
      <c r="BR1122" s="460"/>
      <c r="BS1122" s="460"/>
      <c r="BT1122" s="460"/>
      <c r="BU1122" s="460"/>
      <c r="BV1122" s="460"/>
      <c r="BW1122" s="460"/>
      <c r="BX1122" s="460"/>
      <c r="BY1122" s="460"/>
      <c r="BZ1122" s="460"/>
      <c r="CA1122" s="460"/>
      <c r="CB1122" s="460"/>
      <c r="CC1122" s="460"/>
      <c r="CD1122" s="460"/>
      <c r="CE1122" s="460"/>
      <c r="CF1122" s="460"/>
      <c r="CG1122" s="460"/>
      <c r="CH1122" s="460"/>
      <c r="CI1122" s="460"/>
      <c r="CJ1122" s="460"/>
      <c r="CK1122" s="460"/>
    </row>
    <row r="1123" spans="1:89" s="329" customFormat="1" ht="36" customHeight="1" x14ac:dyDescent="0.25">
      <c r="A1123" s="329">
        <v>1</v>
      </c>
      <c r="B1123" s="39">
        <f>SUBTOTAL(103,$A$1000:A1123)</f>
        <v>119</v>
      </c>
      <c r="C1123" s="33" t="s">
        <v>1813</v>
      </c>
      <c r="D1123" s="330">
        <v>1982</v>
      </c>
      <c r="E1123" s="330"/>
      <c r="F1123" s="331" t="s">
        <v>48</v>
      </c>
      <c r="G1123" s="330">
        <v>9</v>
      </c>
      <c r="H1123" s="330" t="s">
        <v>1969</v>
      </c>
      <c r="I1123" s="334">
        <v>12113.01</v>
      </c>
      <c r="J1123" s="334">
        <v>10694</v>
      </c>
      <c r="K1123" s="334">
        <v>10692.21</v>
      </c>
      <c r="L1123" s="332">
        <v>559</v>
      </c>
      <c r="M1123" s="330" t="s">
        <v>46</v>
      </c>
      <c r="N1123" s="330" t="s">
        <v>50</v>
      </c>
      <c r="O1123" s="333" t="s">
        <v>2030</v>
      </c>
      <c r="P1123" s="38">
        <v>9052752</v>
      </c>
      <c r="Q1123" s="38">
        <v>0</v>
      </c>
      <c r="R1123" s="38">
        <v>0</v>
      </c>
      <c r="S1123" s="38">
        <f t="shared" si="242"/>
        <v>9052752</v>
      </c>
      <c r="T1123" s="38">
        <f t="shared" si="240"/>
        <v>747.35775831110516</v>
      </c>
      <c r="U1123" s="38">
        <v>936.46948859119232</v>
      </c>
      <c r="V1123" s="458">
        <f t="shared" si="238"/>
        <v>189.11173028008716</v>
      </c>
      <c r="W1123" s="458">
        <f t="shared" si="243"/>
        <v>933.28618733081203</v>
      </c>
      <c r="X1123" s="458">
        <v>0</v>
      </c>
      <c r="Y1123" s="459">
        <v>0</v>
      </c>
      <c r="Z1123" s="459">
        <v>0</v>
      </c>
      <c r="AA1123" s="459">
        <v>0</v>
      </c>
      <c r="AB1123" s="459">
        <v>0</v>
      </c>
      <c r="AC1123" s="459">
        <v>0</v>
      </c>
      <c r="AD1123" s="459">
        <v>0</v>
      </c>
      <c r="AE1123" s="459">
        <v>1812</v>
      </c>
      <c r="AF1123" s="458">
        <f>6238.91*AE1123/I1123</f>
        <v>933.28618733081203</v>
      </c>
      <c r="AG1123" s="459">
        <v>0</v>
      </c>
      <c r="AH1123" s="458">
        <v>0</v>
      </c>
      <c r="AI1123" s="459">
        <v>0</v>
      </c>
      <c r="AJ1123" s="458">
        <v>0</v>
      </c>
      <c r="AK1123" s="459">
        <v>0</v>
      </c>
      <c r="AL1123" s="459">
        <v>0</v>
      </c>
      <c r="AM1123" s="459">
        <v>0</v>
      </c>
      <c r="AN1123" s="459"/>
      <c r="AO1123" s="459">
        <v>0</v>
      </c>
      <c r="AP1123" s="460"/>
      <c r="AQ1123" s="460"/>
      <c r="AR1123" s="460"/>
      <c r="AS1123" s="460"/>
      <c r="AT1123" s="460"/>
      <c r="AU1123" s="460"/>
      <c r="AV1123" s="460"/>
      <c r="AW1123" s="460"/>
      <c r="AX1123" s="460"/>
      <c r="AY1123" s="460"/>
      <c r="AZ1123" s="460"/>
      <c r="BA1123" s="460"/>
      <c r="BB1123" s="460"/>
      <c r="BC1123" s="460"/>
      <c r="BD1123" s="460"/>
      <c r="BE1123" s="460"/>
      <c r="BF1123" s="460"/>
      <c r="BG1123" s="460"/>
      <c r="BH1123" s="460"/>
      <c r="BI1123" s="460"/>
      <c r="BJ1123" s="460"/>
      <c r="BK1123" s="460"/>
      <c r="BL1123" s="460"/>
      <c r="BM1123" s="460"/>
      <c r="BN1123" s="460"/>
      <c r="BO1123" s="460"/>
      <c r="BP1123" s="460"/>
      <c r="BQ1123" s="460"/>
      <c r="BR1123" s="460"/>
      <c r="BS1123" s="460"/>
      <c r="BT1123" s="460"/>
      <c r="BU1123" s="460"/>
      <c r="BV1123" s="460"/>
      <c r="BW1123" s="460"/>
      <c r="BX1123" s="460"/>
      <c r="BY1123" s="460"/>
      <c r="BZ1123" s="460"/>
      <c r="CA1123" s="460"/>
      <c r="CB1123" s="460"/>
      <c r="CC1123" s="460"/>
      <c r="CD1123" s="460"/>
      <c r="CE1123" s="460"/>
      <c r="CF1123" s="460"/>
      <c r="CG1123" s="460"/>
      <c r="CH1123" s="460"/>
      <c r="CI1123" s="460"/>
      <c r="CJ1123" s="460"/>
      <c r="CK1123" s="460"/>
    </row>
    <row r="1124" spans="1:89" s="329" customFormat="1" ht="36" customHeight="1" x14ac:dyDescent="0.25">
      <c r="A1124" s="329">
        <v>1</v>
      </c>
      <c r="B1124" s="39">
        <f>SUBTOTAL(103,$A$1000:A1124)</f>
        <v>120</v>
      </c>
      <c r="C1124" s="33" t="s">
        <v>1814</v>
      </c>
      <c r="D1124" s="330">
        <v>1975</v>
      </c>
      <c r="E1124" s="330"/>
      <c r="F1124" s="331" t="s">
        <v>48</v>
      </c>
      <c r="G1124" s="330">
        <v>5</v>
      </c>
      <c r="H1124" s="330" t="s">
        <v>57</v>
      </c>
      <c r="I1124" s="334">
        <v>2310.5</v>
      </c>
      <c r="J1124" s="334">
        <v>1287.55</v>
      </c>
      <c r="K1124" s="334">
        <v>830.8</v>
      </c>
      <c r="L1124" s="332">
        <v>86</v>
      </c>
      <c r="M1124" s="330" t="s">
        <v>46</v>
      </c>
      <c r="N1124" s="330" t="s">
        <v>50</v>
      </c>
      <c r="O1124" s="333" t="s">
        <v>2027</v>
      </c>
      <c r="P1124" s="38">
        <v>6820409.8600000003</v>
      </c>
      <c r="Q1124" s="38">
        <v>0</v>
      </c>
      <c r="R1124" s="38">
        <v>0</v>
      </c>
      <c r="S1124" s="38">
        <f t="shared" si="242"/>
        <v>6820409.8600000003</v>
      </c>
      <c r="T1124" s="38">
        <f t="shared" si="240"/>
        <v>2951.9194373512228</v>
      </c>
      <c r="U1124" s="38">
        <v>3055.0001731227003</v>
      </c>
      <c r="V1124" s="458">
        <f t="shared" si="238"/>
        <v>103.08073577147752</v>
      </c>
      <c r="W1124" s="458">
        <f t="shared" si="243"/>
        <v>6944.6272148885528</v>
      </c>
      <c r="X1124" s="458">
        <v>0</v>
      </c>
      <c r="Y1124" s="459">
        <v>0</v>
      </c>
      <c r="Z1124" s="459">
        <v>0</v>
      </c>
      <c r="AA1124" s="459">
        <v>0</v>
      </c>
      <c r="AB1124" s="459">
        <v>0</v>
      </c>
      <c r="AC1124" s="459">
        <v>0</v>
      </c>
      <c r="AD1124" s="459">
        <v>0</v>
      </c>
      <c r="AE1124" s="459">
        <v>0</v>
      </c>
      <c r="AF1124" s="458">
        <v>0</v>
      </c>
      <c r="AG1124" s="459">
        <v>0</v>
      </c>
      <c r="AH1124" s="458">
        <v>0</v>
      </c>
      <c r="AI1124" s="459">
        <v>0</v>
      </c>
      <c r="AJ1124" s="458">
        <v>0</v>
      </c>
      <c r="AK1124" s="459">
        <v>209</v>
      </c>
      <c r="AL1124" s="458">
        <f>76773.02*AK1124/I1124</f>
        <v>6944.6272148885528</v>
      </c>
      <c r="AM1124" s="459">
        <v>0</v>
      </c>
      <c r="AN1124" s="459"/>
      <c r="AO1124" s="459">
        <v>0</v>
      </c>
      <c r="AP1124" s="460"/>
      <c r="AQ1124" s="460"/>
      <c r="AR1124" s="460"/>
      <c r="AS1124" s="460"/>
      <c r="AT1124" s="460"/>
      <c r="AU1124" s="460"/>
      <c r="AV1124" s="460"/>
      <c r="AW1124" s="460"/>
      <c r="AX1124" s="460"/>
      <c r="AY1124" s="460"/>
      <c r="AZ1124" s="460"/>
      <c r="BA1124" s="460"/>
      <c r="BB1124" s="460"/>
      <c r="BC1124" s="460"/>
      <c r="BD1124" s="460"/>
      <c r="BE1124" s="460"/>
      <c r="BF1124" s="460"/>
      <c r="BG1124" s="460"/>
      <c r="BH1124" s="460"/>
      <c r="BI1124" s="460"/>
      <c r="BJ1124" s="460"/>
      <c r="BK1124" s="460"/>
      <c r="BL1124" s="460"/>
      <c r="BM1124" s="460"/>
      <c r="BN1124" s="460"/>
      <c r="BO1124" s="460"/>
      <c r="BP1124" s="460"/>
      <c r="BQ1124" s="460"/>
      <c r="BR1124" s="460"/>
      <c r="BS1124" s="460"/>
      <c r="BT1124" s="460"/>
      <c r="BU1124" s="460"/>
      <c r="BV1124" s="460"/>
      <c r="BW1124" s="460"/>
      <c r="BX1124" s="460"/>
      <c r="BY1124" s="460"/>
      <c r="BZ1124" s="460"/>
      <c r="CA1124" s="460"/>
      <c r="CB1124" s="460"/>
      <c r="CC1124" s="460"/>
      <c r="CD1124" s="460"/>
      <c r="CE1124" s="460"/>
      <c r="CF1124" s="460"/>
      <c r="CG1124" s="460"/>
      <c r="CH1124" s="460"/>
      <c r="CI1124" s="460"/>
      <c r="CJ1124" s="460"/>
      <c r="CK1124" s="460"/>
    </row>
    <row r="1125" spans="1:89" s="329" customFormat="1" ht="36" customHeight="1" x14ac:dyDescent="0.25">
      <c r="A1125" s="329">
        <v>1</v>
      </c>
      <c r="B1125" s="39">
        <f>SUBTOTAL(103,$A$1000:A1125)</f>
        <v>121</v>
      </c>
      <c r="C1125" s="33" t="s">
        <v>1815</v>
      </c>
      <c r="D1125" s="330">
        <v>1982</v>
      </c>
      <c r="E1125" s="330"/>
      <c r="F1125" s="331" t="s">
        <v>48</v>
      </c>
      <c r="G1125" s="330">
        <v>9</v>
      </c>
      <c r="H1125" s="330" t="s">
        <v>59</v>
      </c>
      <c r="I1125" s="334">
        <v>9363</v>
      </c>
      <c r="J1125" s="334">
        <v>9363</v>
      </c>
      <c r="K1125" s="334">
        <v>5631</v>
      </c>
      <c r="L1125" s="332">
        <v>419</v>
      </c>
      <c r="M1125" s="330" t="s">
        <v>46</v>
      </c>
      <c r="N1125" s="330" t="s">
        <v>50</v>
      </c>
      <c r="O1125" s="333" t="s">
        <v>2189</v>
      </c>
      <c r="P1125" s="38">
        <v>9102212.3999999985</v>
      </c>
      <c r="Q1125" s="38">
        <v>0</v>
      </c>
      <c r="R1125" s="38">
        <v>0</v>
      </c>
      <c r="S1125" s="38">
        <f t="shared" si="242"/>
        <v>9102212.3999999985</v>
      </c>
      <c r="T1125" s="38">
        <f t="shared" si="240"/>
        <v>972.14700416533151</v>
      </c>
      <c r="U1125" s="38">
        <v>1218.139502403076</v>
      </c>
      <c r="V1125" s="458">
        <f t="shared" si="238"/>
        <v>245.99249823774448</v>
      </c>
      <c r="W1125" s="458">
        <f t="shared" si="243"/>
        <v>1213.9987321371357</v>
      </c>
      <c r="X1125" s="458">
        <v>0</v>
      </c>
      <c r="Y1125" s="459">
        <v>0</v>
      </c>
      <c r="Z1125" s="459">
        <v>0</v>
      </c>
      <c r="AA1125" s="459">
        <v>0</v>
      </c>
      <c r="AB1125" s="459">
        <v>0</v>
      </c>
      <c r="AC1125" s="459">
        <v>0</v>
      </c>
      <c r="AD1125" s="459">
        <v>0</v>
      </c>
      <c r="AE1125" s="459">
        <v>1821.9</v>
      </c>
      <c r="AF1125" s="458">
        <f>6238.91*AE1125/I1125</f>
        <v>1213.9987321371357</v>
      </c>
      <c r="AG1125" s="459">
        <v>0</v>
      </c>
      <c r="AH1125" s="458">
        <v>0</v>
      </c>
      <c r="AI1125" s="459">
        <v>0</v>
      </c>
      <c r="AJ1125" s="458">
        <v>0</v>
      </c>
      <c r="AK1125" s="459">
        <v>0</v>
      </c>
      <c r="AL1125" s="459">
        <v>0</v>
      </c>
      <c r="AM1125" s="459">
        <v>0</v>
      </c>
      <c r="AN1125" s="459"/>
      <c r="AO1125" s="459">
        <v>0</v>
      </c>
      <c r="AP1125" s="460"/>
      <c r="AQ1125" s="460"/>
      <c r="AR1125" s="460"/>
      <c r="AS1125" s="460"/>
      <c r="AT1125" s="460"/>
      <c r="AU1125" s="460"/>
      <c r="AV1125" s="460"/>
      <c r="AW1125" s="460"/>
      <c r="AX1125" s="460"/>
      <c r="AY1125" s="460"/>
      <c r="AZ1125" s="460"/>
      <c r="BA1125" s="460"/>
      <c r="BB1125" s="460"/>
      <c r="BC1125" s="460"/>
      <c r="BD1125" s="460"/>
      <c r="BE1125" s="460"/>
      <c r="BF1125" s="460"/>
      <c r="BG1125" s="460"/>
      <c r="BH1125" s="460"/>
      <c r="BI1125" s="460"/>
      <c r="BJ1125" s="460"/>
      <c r="BK1125" s="460"/>
      <c r="BL1125" s="460"/>
      <c r="BM1125" s="460"/>
      <c r="BN1125" s="460"/>
      <c r="BO1125" s="460"/>
      <c r="BP1125" s="460"/>
      <c r="BQ1125" s="460"/>
      <c r="BR1125" s="460"/>
      <c r="BS1125" s="460"/>
      <c r="BT1125" s="460"/>
      <c r="BU1125" s="460"/>
      <c r="BV1125" s="460"/>
      <c r="BW1125" s="460"/>
      <c r="BX1125" s="460"/>
      <c r="BY1125" s="460"/>
      <c r="BZ1125" s="460"/>
      <c r="CA1125" s="460"/>
      <c r="CB1125" s="460"/>
      <c r="CC1125" s="460"/>
      <c r="CD1125" s="460"/>
      <c r="CE1125" s="460"/>
      <c r="CF1125" s="460"/>
      <c r="CG1125" s="460"/>
      <c r="CH1125" s="460"/>
      <c r="CI1125" s="460"/>
      <c r="CJ1125" s="460"/>
      <c r="CK1125" s="460"/>
    </row>
    <row r="1126" spans="1:89" s="329" customFormat="1" ht="36" customHeight="1" x14ac:dyDescent="0.25">
      <c r="A1126" s="329">
        <v>1</v>
      </c>
      <c r="B1126" s="39">
        <f>SUBTOTAL(103,$A$1000:A1126)</f>
        <v>122</v>
      </c>
      <c r="C1126" s="33" t="s">
        <v>1816</v>
      </c>
      <c r="D1126" s="330">
        <v>1966</v>
      </c>
      <c r="E1126" s="330"/>
      <c r="F1126" s="331" t="s">
        <v>48</v>
      </c>
      <c r="G1126" s="330">
        <v>5</v>
      </c>
      <c r="H1126" s="330" t="s">
        <v>59</v>
      </c>
      <c r="I1126" s="334">
        <v>3420.4</v>
      </c>
      <c r="J1126" s="334">
        <v>3164.9</v>
      </c>
      <c r="K1126" s="334">
        <v>2916.6</v>
      </c>
      <c r="L1126" s="332">
        <v>75</v>
      </c>
      <c r="M1126" s="330" t="s">
        <v>46</v>
      </c>
      <c r="N1126" s="330" t="s">
        <v>50</v>
      </c>
      <c r="O1126" s="333" t="s">
        <v>2190</v>
      </c>
      <c r="P1126" s="38">
        <v>4594480</v>
      </c>
      <c r="Q1126" s="38">
        <v>0</v>
      </c>
      <c r="R1126" s="38">
        <v>0</v>
      </c>
      <c r="S1126" s="38">
        <f t="shared" si="242"/>
        <v>4594480</v>
      </c>
      <c r="T1126" s="38">
        <f t="shared" si="240"/>
        <v>1343.2580984680153</v>
      </c>
      <c r="U1126" s="38">
        <v>1610.6207461115657</v>
      </c>
      <c r="V1126" s="458">
        <f t="shared" si="238"/>
        <v>267.36264764355042</v>
      </c>
      <c r="W1126" s="458">
        <f t="shared" si="243"/>
        <v>1605.1458308969711</v>
      </c>
      <c r="X1126" s="458">
        <v>0</v>
      </c>
      <c r="Y1126" s="459">
        <v>0</v>
      </c>
      <c r="Z1126" s="459">
        <v>0</v>
      </c>
      <c r="AA1126" s="459">
        <v>0</v>
      </c>
      <c r="AB1126" s="459">
        <v>0</v>
      </c>
      <c r="AC1126" s="459">
        <v>0</v>
      </c>
      <c r="AD1126" s="459">
        <v>0</v>
      </c>
      <c r="AE1126" s="459">
        <v>880</v>
      </c>
      <c r="AF1126" s="458">
        <f>6238.91*AE1126/I1126</f>
        <v>1605.1458308969711</v>
      </c>
      <c r="AG1126" s="459">
        <v>0</v>
      </c>
      <c r="AH1126" s="458">
        <v>0</v>
      </c>
      <c r="AI1126" s="459">
        <v>0</v>
      </c>
      <c r="AJ1126" s="458">
        <v>0</v>
      </c>
      <c r="AK1126" s="459">
        <v>0</v>
      </c>
      <c r="AL1126" s="459">
        <v>0</v>
      </c>
      <c r="AM1126" s="459">
        <v>0</v>
      </c>
      <c r="AN1126" s="459"/>
      <c r="AO1126" s="459">
        <v>0</v>
      </c>
      <c r="AP1126" s="460"/>
      <c r="AQ1126" s="460"/>
      <c r="AR1126" s="460"/>
      <c r="AS1126" s="460"/>
      <c r="AT1126" s="460"/>
      <c r="AU1126" s="460"/>
      <c r="AV1126" s="460"/>
      <c r="AW1126" s="460"/>
      <c r="AX1126" s="460"/>
      <c r="AY1126" s="460"/>
      <c r="AZ1126" s="460"/>
      <c r="BA1126" s="460"/>
      <c r="BB1126" s="460"/>
      <c r="BC1126" s="460"/>
      <c r="BD1126" s="460"/>
      <c r="BE1126" s="460"/>
      <c r="BF1126" s="460"/>
      <c r="BG1126" s="460"/>
      <c r="BH1126" s="460"/>
      <c r="BI1126" s="460"/>
      <c r="BJ1126" s="460"/>
      <c r="BK1126" s="460"/>
      <c r="BL1126" s="460"/>
      <c r="BM1126" s="460"/>
      <c r="BN1126" s="460"/>
      <c r="BO1126" s="460"/>
      <c r="BP1126" s="460"/>
      <c r="BQ1126" s="460"/>
      <c r="BR1126" s="460"/>
      <c r="BS1126" s="460"/>
      <c r="BT1126" s="460"/>
      <c r="BU1126" s="460"/>
      <c r="BV1126" s="460"/>
      <c r="BW1126" s="460"/>
      <c r="BX1126" s="460"/>
      <c r="BY1126" s="460"/>
      <c r="BZ1126" s="460"/>
      <c r="CA1126" s="460"/>
      <c r="CB1126" s="460"/>
      <c r="CC1126" s="460"/>
      <c r="CD1126" s="460"/>
      <c r="CE1126" s="460"/>
      <c r="CF1126" s="460"/>
      <c r="CG1126" s="460"/>
      <c r="CH1126" s="460"/>
      <c r="CI1126" s="460"/>
      <c r="CJ1126" s="460"/>
      <c r="CK1126" s="460"/>
    </row>
    <row r="1127" spans="1:89" s="329" customFormat="1" ht="36" customHeight="1" x14ac:dyDescent="0.25">
      <c r="A1127" s="329">
        <v>1</v>
      </c>
      <c r="B1127" s="39">
        <f>SUBTOTAL(103,$A$1000:A1127)</f>
        <v>123</v>
      </c>
      <c r="C1127" s="33" t="s">
        <v>1817</v>
      </c>
      <c r="D1127" s="330">
        <v>1972</v>
      </c>
      <c r="E1127" s="330"/>
      <c r="F1127" s="331" t="s">
        <v>48</v>
      </c>
      <c r="G1127" s="330">
        <v>5</v>
      </c>
      <c r="H1127" s="330" t="s">
        <v>59</v>
      </c>
      <c r="I1127" s="334">
        <v>3089.21</v>
      </c>
      <c r="J1127" s="334">
        <v>2785.21</v>
      </c>
      <c r="K1127" s="334">
        <v>2785.21</v>
      </c>
      <c r="L1127" s="332">
        <v>208</v>
      </c>
      <c r="M1127" s="330" t="s">
        <v>46</v>
      </c>
      <c r="N1127" s="330" t="s">
        <v>50</v>
      </c>
      <c r="O1127" s="333" t="s">
        <v>2030</v>
      </c>
      <c r="P1127" s="38">
        <v>4121700</v>
      </c>
      <c r="Q1127" s="38">
        <v>0</v>
      </c>
      <c r="R1127" s="38">
        <v>0</v>
      </c>
      <c r="S1127" s="38">
        <f t="shared" si="242"/>
        <v>4121700</v>
      </c>
      <c r="T1127" s="38">
        <f t="shared" si="240"/>
        <v>1334.2246075857581</v>
      </c>
      <c r="U1127" s="38">
        <v>1671.837379135766</v>
      </c>
      <c r="V1127" s="458">
        <f t="shared" si="238"/>
        <v>337.61277155000789</v>
      </c>
      <c r="W1127" s="458">
        <f t="shared" si="243"/>
        <v>1666.1543728008132</v>
      </c>
      <c r="X1127" s="458">
        <v>0</v>
      </c>
      <c r="Y1127" s="459">
        <v>0</v>
      </c>
      <c r="Z1127" s="459">
        <v>0</v>
      </c>
      <c r="AA1127" s="459">
        <v>0</v>
      </c>
      <c r="AB1127" s="459">
        <v>0</v>
      </c>
      <c r="AC1127" s="459">
        <v>0</v>
      </c>
      <c r="AD1127" s="459">
        <v>0</v>
      </c>
      <c r="AE1127" s="459">
        <v>825</v>
      </c>
      <c r="AF1127" s="458">
        <f>6238.91*AE1127/I1127</f>
        <v>1666.1543728008132</v>
      </c>
      <c r="AG1127" s="459">
        <v>0</v>
      </c>
      <c r="AH1127" s="458">
        <v>0</v>
      </c>
      <c r="AI1127" s="459">
        <v>0</v>
      </c>
      <c r="AJ1127" s="458">
        <v>0</v>
      </c>
      <c r="AK1127" s="459">
        <v>0</v>
      </c>
      <c r="AL1127" s="459">
        <v>0</v>
      </c>
      <c r="AM1127" s="459">
        <v>0</v>
      </c>
      <c r="AN1127" s="459"/>
      <c r="AO1127" s="459">
        <v>0</v>
      </c>
      <c r="AP1127" s="460"/>
      <c r="AQ1127" s="460"/>
      <c r="AR1127" s="460"/>
      <c r="AS1127" s="460"/>
      <c r="AT1127" s="460"/>
      <c r="AU1127" s="460"/>
      <c r="AV1127" s="460"/>
      <c r="AW1127" s="460"/>
      <c r="AX1127" s="460"/>
      <c r="AY1127" s="460"/>
      <c r="AZ1127" s="460"/>
      <c r="BA1127" s="460"/>
      <c r="BB1127" s="460"/>
      <c r="BC1127" s="460"/>
      <c r="BD1127" s="460"/>
      <c r="BE1127" s="460"/>
      <c r="BF1127" s="460"/>
      <c r="BG1127" s="460"/>
      <c r="BH1127" s="460"/>
      <c r="BI1127" s="460"/>
      <c r="BJ1127" s="460"/>
      <c r="BK1127" s="460"/>
      <c r="BL1127" s="460"/>
      <c r="BM1127" s="460"/>
      <c r="BN1127" s="460"/>
      <c r="BO1127" s="460"/>
      <c r="BP1127" s="460"/>
      <c r="BQ1127" s="460"/>
      <c r="BR1127" s="460"/>
      <c r="BS1127" s="460"/>
      <c r="BT1127" s="460"/>
      <c r="BU1127" s="460"/>
      <c r="BV1127" s="460"/>
      <c r="BW1127" s="460"/>
      <c r="BX1127" s="460"/>
      <c r="BY1127" s="460"/>
      <c r="BZ1127" s="460"/>
      <c r="CA1127" s="460"/>
      <c r="CB1127" s="460"/>
      <c r="CC1127" s="460"/>
      <c r="CD1127" s="460"/>
      <c r="CE1127" s="460"/>
      <c r="CF1127" s="460"/>
      <c r="CG1127" s="460"/>
      <c r="CH1127" s="460"/>
      <c r="CI1127" s="460"/>
      <c r="CJ1127" s="460"/>
      <c r="CK1127" s="460"/>
    </row>
    <row r="1128" spans="1:89" s="329" customFormat="1" ht="36" customHeight="1" x14ac:dyDescent="0.25">
      <c r="B1128" s="33" t="s">
        <v>97</v>
      </c>
      <c r="C1128" s="33"/>
      <c r="D1128" s="330" t="s">
        <v>131</v>
      </c>
      <c r="E1128" s="330" t="s">
        <v>131</v>
      </c>
      <c r="F1128" s="330" t="s">
        <v>131</v>
      </c>
      <c r="G1128" s="330" t="s">
        <v>131</v>
      </c>
      <c r="H1128" s="330" t="s">
        <v>131</v>
      </c>
      <c r="I1128" s="334">
        <f>SUM(I1129:I1130)</f>
        <v>6151.9</v>
      </c>
      <c r="J1128" s="334">
        <f>SUM(J1129:J1130)</f>
        <v>3654</v>
      </c>
      <c r="K1128" s="334">
        <f>SUM(K1129:K1130)</f>
        <v>3396.8</v>
      </c>
      <c r="L1128" s="332">
        <f>SUM(L1129:L1130)</f>
        <v>158</v>
      </c>
      <c r="M1128" s="330" t="s">
        <v>131</v>
      </c>
      <c r="N1128" s="330" t="s">
        <v>131</v>
      </c>
      <c r="O1128" s="333" t="s">
        <v>131</v>
      </c>
      <c r="P1128" s="334">
        <v>5663822.2999999998</v>
      </c>
      <c r="Q1128" s="334">
        <f>SUM(Q1129:Q1130)</f>
        <v>0</v>
      </c>
      <c r="R1128" s="334">
        <f>SUM(R1129:R1130)</f>
        <v>0</v>
      </c>
      <c r="S1128" s="334">
        <f>SUM(S1129:S1130)</f>
        <v>5663822.2999999998</v>
      </c>
      <c r="T1128" s="38">
        <f t="shared" si="240"/>
        <v>920.66228319706113</v>
      </c>
      <c r="U1128" s="38">
        <f>MAX(U1129:U1130)</f>
        <v>2567.8276735851869</v>
      </c>
      <c r="V1128" s="458">
        <f t="shared" si="238"/>
        <v>1647.1653903881256</v>
      </c>
      <c r="W1128" s="458"/>
      <c r="X1128" s="458"/>
      <c r="Y1128" s="459"/>
      <c r="Z1128" s="459"/>
      <c r="AA1128" s="459"/>
      <c r="AB1128" s="459"/>
      <c r="AC1128" s="459"/>
      <c r="AD1128" s="459"/>
      <c r="AE1128" s="459"/>
      <c r="AF1128" s="459"/>
      <c r="AG1128" s="459"/>
      <c r="AH1128" s="459"/>
      <c r="AI1128" s="459"/>
      <c r="AJ1128" s="459"/>
      <c r="AK1128" s="459"/>
      <c r="AL1128" s="459"/>
      <c r="AM1128" s="459"/>
      <c r="AN1128" s="459"/>
      <c r="AO1128" s="459"/>
      <c r="AP1128" s="460"/>
      <c r="AQ1128" s="460"/>
      <c r="AR1128" s="460"/>
      <c r="AS1128" s="460"/>
      <c r="AT1128" s="460"/>
      <c r="AU1128" s="460"/>
      <c r="AV1128" s="460"/>
      <c r="AW1128" s="460"/>
      <c r="AX1128" s="460"/>
      <c r="AY1128" s="460"/>
      <c r="AZ1128" s="460"/>
      <c r="BA1128" s="460"/>
      <c r="BB1128" s="460"/>
      <c r="BC1128" s="460"/>
      <c r="BD1128" s="460"/>
      <c r="BE1128" s="460"/>
      <c r="BF1128" s="460"/>
      <c r="BG1128" s="460"/>
      <c r="BH1128" s="460"/>
      <c r="BI1128" s="460"/>
      <c r="BJ1128" s="460"/>
      <c r="BK1128" s="460"/>
      <c r="BL1128" s="460"/>
      <c r="BM1128" s="460"/>
      <c r="BN1128" s="460"/>
      <c r="BO1128" s="460"/>
      <c r="BP1128" s="460"/>
      <c r="BQ1128" s="460"/>
      <c r="BR1128" s="460"/>
      <c r="BS1128" s="460"/>
      <c r="BT1128" s="460"/>
      <c r="BU1128" s="460"/>
      <c r="BV1128" s="460"/>
      <c r="BW1128" s="460"/>
      <c r="BX1128" s="460"/>
      <c r="BY1128" s="460"/>
      <c r="BZ1128" s="460"/>
      <c r="CA1128" s="460"/>
      <c r="CB1128" s="460"/>
      <c r="CC1128" s="460"/>
      <c r="CD1128" s="460"/>
      <c r="CE1128" s="460"/>
      <c r="CF1128" s="460"/>
      <c r="CG1128" s="460"/>
      <c r="CH1128" s="460"/>
      <c r="CI1128" s="460"/>
      <c r="CJ1128" s="460"/>
      <c r="CK1128" s="460"/>
    </row>
    <row r="1129" spans="1:89" s="329" customFormat="1" ht="36" customHeight="1" x14ac:dyDescent="0.25">
      <c r="A1129" s="329">
        <v>1</v>
      </c>
      <c r="B1129" s="39">
        <f>SUBTOTAL(103,$A$1000:A1129)</f>
        <v>124</v>
      </c>
      <c r="C1129" s="33" t="s">
        <v>1818</v>
      </c>
      <c r="D1129" s="330">
        <v>1993</v>
      </c>
      <c r="E1129" s="330"/>
      <c r="F1129" s="331" t="s">
        <v>60</v>
      </c>
      <c r="G1129" s="330">
        <v>5</v>
      </c>
      <c r="H1129" s="330" t="s">
        <v>61</v>
      </c>
      <c r="I1129" s="334">
        <v>5482.2</v>
      </c>
      <c r="J1129" s="334">
        <v>3303.8</v>
      </c>
      <c r="K1129" s="334">
        <v>3096.3</v>
      </c>
      <c r="L1129" s="332">
        <v>147</v>
      </c>
      <c r="M1129" s="330" t="s">
        <v>46</v>
      </c>
      <c r="N1129" s="330" t="s">
        <v>50</v>
      </c>
      <c r="O1129" s="333" t="s">
        <v>84</v>
      </c>
      <c r="P1129" s="38">
        <v>4229613.5999999996</v>
      </c>
      <c r="Q1129" s="38">
        <v>0</v>
      </c>
      <c r="R1129" s="38">
        <v>0</v>
      </c>
      <c r="S1129" s="38">
        <f>P1129-Q1129-R1129</f>
        <v>4229613.5999999996</v>
      </c>
      <c r="T1129" s="38">
        <f t="shared" si="240"/>
        <v>771.5175659406807</v>
      </c>
      <c r="U1129" s="38">
        <v>966.74270438874896</v>
      </c>
      <c r="V1129" s="458">
        <f t="shared" si="238"/>
        <v>195.22513844806826</v>
      </c>
      <c r="W1129" s="458">
        <f t="shared" ref="W1129:W1130" si="244">X1129+Y1129+Z1129+AA1129+AB1129+AD1129+AF1129+AH1129+AJ1129+AL1129+AN1129+AO1129</f>
        <v>963.45649666192412</v>
      </c>
      <c r="X1129" s="458">
        <v>0</v>
      </c>
      <c r="Y1129" s="459">
        <v>0</v>
      </c>
      <c r="Z1129" s="459">
        <v>0</v>
      </c>
      <c r="AA1129" s="459">
        <v>0</v>
      </c>
      <c r="AB1129" s="459">
        <v>0</v>
      </c>
      <c r="AC1129" s="459">
        <v>0</v>
      </c>
      <c r="AD1129" s="459">
        <v>0</v>
      </c>
      <c r="AE1129" s="459">
        <v>846.6</v>
      </c>
      <c r="AF1129" s="458">
        <f>6238.91*AE1129/I1129</f>
        <v>963.45649666192412</v>
      </c>
      <c r="AG1129" s="459">
        <v>0</v>
      </c>
      <c r="AH1129" s="458">
        <v>0</v>
      </c>
      <c r="AI1129" s="459">
        <v>0</v>
      </c>
      <c r="AJ1129" s="458">
        <v>0</v>
      </c>
      <c r="AK1129" s="459">
        <v>0</v>
      </c>
      <c r="AL1129" s="459">
        <v>0</v>
      </c>
      <c r="AM1129" s="459">
        <v>0</v>
      </c>
      <c r="AN1129" s="459"/>
      <c r="AO1129" s="459">
        <v>0</v>
      </c>
      <c r="AP1129" s="460"/>
      <c r="AQ1129" s="460"/>
      <c r="AR1129" s="460"/>
      <c r="AS1129" s="460"/>
      <c r="AT1129" s="460"/>
      <c r="AU1129" s="460"/>
      <c r="AV1129" s="460"/>
      <c r="AW1129" s="460"/>
      <c r="AX1129" s="460"/>
      <c r="AY1129" s="460"/>
      <c r="AZ1129" s="460"/>
      <c r="BA1129" s="460"/>
      <c r="BB1129" s="460"/>
      <c r="BC1129" s="460"/>
      <c r="BD1129" s="460"/>
      <c r="BE1129" s="460"/>
      <c r="BF1129" s="460"/>
      <c r="BG1129" s="460"/>
      <c r="BH1129" s="460"/>
      <c r="BI1129" s="460"/>
      <c r="BJ1129" s="460"/>
      <c r="BK1129" s="460"/>
      <c r="BL1129" s="460"/>
      <c r="BM1129" s="460"/>
      <c r="BN1129" s="460"/>
      <c r="BO1129" s="460"/>
      <c r="BP1129" s="460"/>
      <c r="BQ1129" s="460"/>
      <c r="BR1129" s="460"/>
      <c r="BS1129" s="460"/>
      <c r="BT1129" s="460"/>
      <c r="BU1129" s="460"/>
      <c r="BV1129" s="460"/>
      <c r="BW1129" s="460"/>
      <c r="BX1129" s="460"/>
      <c r="BY1129" s="460"/>
      <c r="BZ1129" s="460"/>
      <c r="CA1129" s="460"/>
      <c r="CB1129" s="460"/>
      <c r="CC1129" s="460"/>
      <c r="CD1129" s="460"/>
      <c r="CE1129" s="460"/>
      <c r="CF1129" s="460"/>
      <c r="CG1129" s="460"/>
      <c r="CH1129" s="460"/>
      <c r="CI1129" s="460"/>
      <c r="CJ1129" s="460"/>
      <c r="CK1129" s="460"/>
    </row>
    <row r="1130" spans="1:89" s="329" customFormat="1" ht="36" customHeight="1" x14ac:dyDescent="0.25">
      <c r="A1130" s="329">
        <v>1</v>
      </c>
      <c r="B1130" s="39">
        <f>SUBTOTAL(103,$A$1000:A1130)</f>
        <v>125</v>
      </c>
      <c r="C1130" s="33" t="s">
        <v>1819</v>
      </c>
      <c r="D1130" s="330">
        <v>1964</v>
      </c>
      <c r="E1130" s="330"/>
      <c r="F1130" s="331" t="s">
        <v>48</v>
      </c>
      <c r="G1130" s="330">
        <v>2</v>
      </c>
      <c r="H1130" s="330" t="s">
        <v>56</v>
      </c>
      <c r="I1130" s="334">
        <v>669.7</v>
      </c>
      <c r="J1130" s="334">
        <v>350.2</v>
      </c>
      <c r="K1130" s="334">
        <v>300.5</v>
      </c>
      <c r="L1130" s="332">
        <v>11</v>
      </c>
      <c r="M1130" s="330" t="s">
        <v>46</v>
      </c>
      <c r="N1130" s="330" t="s">
        <v>50</v>
      </c>
      <c r="O1130" s="333" t="s">
        <v>84</v>
      </c>
      <c r="P1130" s="38">
        <v>1434208.7</v>
      </c>
      <c r="Q1130" s="38">
        <v>0</v>
      </c>
      <c r="R1130" s="38">
        <v>0</v>
      </c>
      <c r="S1130" s="38">
        <f>P1130-Q1130-R1130</f>
        <v>1434208.7</v>
      </c>
      <c r="T1130" s="38">
        <f t="shared" si="240"/>
        <v>2141.5689114528891</v>
      </c>
      <c r="U1130" s="38">
        <v>2567.8276735851869</v>
      </c>
      <c r="V1130" s="458">
        <f t="shared" si="238"/>
        <v>426.25876213229776</v>
      </c>
      <c r="W1130" s="458">
        <f t="shared" si="244"/>
        <v>2559.0989652083017</v>
      </c>
      <c r="X1130" s="458">
        <v>0</v>
      </c>
      <c r="Y1130" s="459">
        <v>0</v>
      </c>
      <c r="Z1130" s="459">
        <v>0</v>
      </c>
      <c r="AA1130" s="459">
        <v>0</v>
      </c>
      <c r="AB1130" s="459">
        <v>0</v>
      </c>
      <c r="AC1130" s="459">
        <v>0</v>
      </c>
      <c r="AD1130" s="459">
        <v>0</v>
      </c>
      <c r="AE1130" s="459">
        <v>274.7</v>
      </c>
      <c r="AF1130" s="458">
        <f>6238.91*AE1130/I1130</f>
        <v>2559.0989652083017</v>
      </c>
      <c r="AG1130" s="459">
        <v>0</v>
      </c>
      <c r="AH1130" s="458">
        <v>0</v>
      </c>
      <c r="AI1130" s="459">
        <v>0</v>
      </c>
      <c r="AJ1130" s="458">
        <v>0</v>
      </c>
      <c r="AK1130" s="459">
        <v>0</v>
      </c>
      <c r="AL1130" s="459">
        <v>0</v>
      </c>
      <c r="AM1130" s="459">
        <v>0</v>
      </c>
      <c r="AN1130" s="459"/>
      <c r="AO1130" s="459">
        <v>0</v>
      </c>
      <c r="AP1130" s="460"/>
      <c r="AQ1130" s="460"/>
      <c r="AR1130" s="460"/>
      <c r="AS1130" s="460"/>
      <c r="AT1130" s="460"/>
      <c r="AU1130" s="460"/>
      <c r="AV1130" s="460"/>
      <c r="AW1130" s="460"/>
      <c r="AX1130" s="460"/>
      <c r="AY1130" s="460"/>
      <c r="AZ1130" s="460"/>
      <c r="BA1130" s="460"/>
      <c r="BB1130" s="460"/>
      <c r="BC1130" s="460"/>
      <c r="BD1130" s="460"/>
      <c r="BE1130" s="460"/>
      <c r="BF1130" s="460"/>
      <c r="BG1130" s="460"/>
      <c r="BH1130" s="460"/>
      <c r="BI1130" s="460"/>
      <c r="BJ1130" s="460"/>
      <c r="BK1130" s="460"/>
      <c r="BL1130" s="460"/>
      <c r="BM1130" s="460"/>
      <c r="BN1130" s="460"/>
      <c r="BO1130" s="460"/>
      <c r="BP1130" s="460"/>
      <c r="BQ1130" s="460"/>
      <c r="BR1130" s="460"/>
      <c r="BS1130" s="460"/>
      <c r="BT1130" s="460"/>
      <c r="BU1130" s="460"/>
      <c r="BV1130" s="460"/>
      <c r="BW1130" s="460"/>
      <c r="BX1130" s="460"/>
      <c r="BY1130" s="460"/>
      <c r="BZ1130" s="460"/>
      <c r="CA1130" s="460"/>
      <c r="CB1130" s="460"/>
      <c r="CC1130" s="460"/>
      <c r="CD1130" s="460"/>
      <c r="CE1130" s="460"/>
      <c r="CF1130" s="460"/>
      <c r="CG1130" s="460"/>
      <c r="CH1130" s="460"/>
      <c r="CI1130" s="460"/>
      <c r="CJ1130" s="460"/>
      <c r="CK1130" s="460"/>
    </row>
    <row r="1131" spans="1:89" s="329" customFormat="1" ht="36" customHeight="1" x14ac:dyDescent="0.25">
      <c r="B1131" s="33" t="s">
        <v>1252</v>
      </c>
      <c r="C1131" s="33"/>
      <c r="D1131" s="330" t="s">
        <v>131</v>
      </c>
      <c r="E1131" s="330" t="s">
        <v>131</v>
      </c>
      <c r="F1131" s="330" t="s">
        <v>131</v>
      </c>
      <c r="G1131" s="330" t="s">
        <v>131</v>
      </c>
      <c r="H1131" s="330" t="s">
        <v>131</v>
      </c>
      <c r="I1131" s="334">
        <f>SUM(I1132:I1134)</f>
        <v>11575.699999999999</v>
      </c>
      <c r="J1131" s="334">
        <f>SUM(J1132:J1134)</f>
        <v>8980.6999999999989</v>
      </c>
      <c r="K1131" s="334">
        <f>SUM(K1132:K1134)</f>
        <v>7069.9000000000005</v>
      </c>
      <c r="L1131" s="332">
        <f>SUM(L1132:L1134)</f>
        <v>348</v>
      </c>
      <c r="M1131" s="330" t="s">
        <v>131</v>
      </c>
      <c r="N1131" s="330" t="s">
        <v>131</v>
      </c>
      <c r="O1131" s="333" t="s">
        <v>131</v>
      </c>
      <c r="P1131" s="38">
        <v>9644472.4000000004</v>
      </c>
      <c r="Q1131" s="38">
        <f t="shared" ref="Q1131:S1131" si="245">SUM(Q1132:Q1134)</f>
        <v>0</v>
      </c>
      <c r="R1131" s="38">
        <f t="shared" si="245"/>
        <v>0</v>
      </c>
      <c r="S1131" s="38">
        <f t="shared" si="245"/>
        <v>9644472.4000000004</v>
      </c>
      <c r="T1131" s="38">
        <f t="shared" si="240"/>
        <v>833.16537228850098</v>
      </c>
      <c r="U1131" s="38">
        <f>MAX(U1132:U1134)</f>
        <v>3259.66</v>
      </c>
      <c r="V1131" s="458">
        <f t="shared" si="238"/>
        <v>2426.4946277114987</v>
      </c>
      <c r="W1131" s="458"/>
      <c r="X1131" s="458"/>
      <c r="Y1131" s="459"/>
      <c r="Z1131" s="459"/>
      <c r="AA1131" s="459"/>
      <c r="AB1131" s="459"/>
      <c r="AC1131" s="459"/>
      <c r="AD1131" s="459"/>
      <c r="AE1131" s="459"/>
      <c r="AF1131" s="459"/>
      <c r="AG1131" s="459"/>
      <c r="AH1131" s="459"/>
      <c r="AI1131" s="459"/>
      <c r="AJ1131" s="459"/>
      <c r="AK1131" s="459"/>
      <c r="AL1131" s="459"/>
      <c r="AM1131" s="459"/>
      <c r="AN1131" s="459"/>
      <c r="AO1131" s="459"/>
      <c r="AP1131" s="460"/>
      <c r="AQ1131" s="460"/>
      <c r="AR1131" s="460"/>
      <c r="AS1131" s="460"/>
      <c r="AT1131" s="460"/>
      <c r="AU1131" s="460"/>
      <c r="AV1131" s="460"/>
      <c r="AW1131" s="460"/>
      <c r="AX1131" s="460"/>
      <c r="AY1131" s="460"/>
      <c r="AZ1131" s="460"/>
      <c r="BA1131" s="460"/>
      <c r="BB1131" s="460"/>
      <c r="BC1131" s="460"/>
      <c r="BD1131" s="460"/>
      <c r="BE1131" s="460"/>
      <c r="BF1131" s="460"/>
      <c r="BG1131" s="460"/>
      <c r="BH1131" s="460"/>
      <c r="BI1131" s="460"/>
      <c r="BJ1131" s="460"/>
      <c r="BK1131" s="460"/>
      <c r="BL1131" s="460"/>
      <c r="BM1131" s="460"/>
      <c r="BN1131" s="460"/>
      <c r="BO1131" s="460"/>
      <c r="BP1131" s="460"/>
      <c r="BQ1131" s="460"/>
      <c r="BR1131" s="460"/>
      <c r="BS1131" s="460"/>
      <c r="BT1131" s="460"/>
      <c r="BU1131" s="460"/>
      <c r="BV1131" s="460"/>
      <c r="BW1131" s="460"/>
      <c r="BX1131" s="460"/>
      <c r="BY1131" s="460"/>
      <c r="BZ1131" s="460"/>
      <c r="CA1131" s="460"/>
      <c r="CB1131" s="460"/>
      <c r="CC1131" s="460"/>
      <c r="CD1131" s="460"/>
      <c r="CE1131" s="460"/>
      <c r="CF1131" s="460"/>
      <c r="CG1131" s="460"/>
      <c r="CH1131" s="460"/>
      <c r="CI1131" s="460"/>
      <c r="CJ1131" s="460"/>
      <c r="CK1131" s="460"/>
    </row>
    <row r="1132" spans="1:89" s="329" customFormat="1" ht="36" customHeight="1" x14ac:dyDescent="0.25">
      <c r="A1132" s="329">
        <v>1</v>
      </c>
      <c r="B1132" s="39">
        <f>SUBTOTAL(103,$A$1000:A1132)</f>
        <v>126</v>
      </c>
      <c r="C1132" s="33" t="s">
        <v>1820</v>
      </c>
      <c r="D1132" s="330">
        <v>1882</v>
      </c>
      <c r="E1132" s="330"/>
      <c r="F1132" s="331" t="s">
        <v>48</v>
      </c>
      <c r="G1132" s="330">
        <v>3</v>
      </c>
      <c r="H1132" s="330" t="s">
        <v>61</v>
      </c>
      <c r="I1132" s="334">
        <v>3501.8</v>
      </c>
      <c r="J1132" s="334">
        <v>2939.7</v>
      </c>
      <c r="K1132" s="334">
        <v>1028.9000000000001</v>
      </c>
      <c r="L1132" s="332">
        <v>88</v>
      </c>
      <c r="M1132" s="330" t="s">
        <v>46</v>
      </c>
      <c r="N1132" s="330" t="s">
        <v>50</v>
      </c>
      <c r="O1132" s="333" t="s">
        <v>2037</v>
      </c>
      <c r="P1132" s="38">
        <v>4240119.51</v>
      </c>
      <c r="Q1132" s="38">
        <v>0</v>
      </c>
      <c r="R1132" s="38">
        <v>0</v>
      </c>
      <c r="S1132" s="38">
        <f>P1132-Q1132-R1132</f>
        <v>4240119.51</v>
      </c>
      <c r="T1132" s="38">
        <f t="shared" si="240"/>
        <v>1210.839999428865</v>
      </c>
      <c r="U1132" s="38">
        <v>3259.66</v>
      </c>
      <c r="V1132" s="458">
        <f t="shared" si="238"/>
        <v>2048.8200005711351</v>
      </c>
      <c r="W1132" s="458">
        <f t="shared" ref="W1132:W1134" si="246">X1132+Y1132+Z1132+AA1132+AB1132+AD1132+AF1132+AH1132+AJ1132+AL1132+AN1132+AO1132</f>
        <v>3259.66</v>
      </c>
      <c r="X1132" s="458">
        <v>0</v>
      </c>
      <c r="Y1132" s="459">
        <v>0</v>
      </c>
      <c r="Z1132" s="459">
        <v>3259.66</v>
      </c>
      <c r="AA1132" s="459">
        <v>0</v>
      </c>
      <c r="AB1132" s="459">
        <v>0</v>
      </c>
      <c r="AC1132" s="459">
        <v>0</v>
      </c>
      <c r="AD1132" s="459">
        <v>0</v>
      </c>
      <c r="AE1132" s="459">
        <v>0</v>
      </c>
      <c r="AF1132" s="458">
        <v>0</v>
      </c>
      <c r="AG1132" s="459">
        <v>0</v>
      </c>
      <c r="AH1132" s="458">
        <v>0</v>
      </c>
      <c r="AI1132" s="459">
        <v>0</v>
      </c>
      <c r="AJ1132" s="458">
        <v>0</v>
      </c>
      <c r="AK1132" s="459">
        <v>0</v>
      </c>
      <c r="AL1132" s="459">
        <v>0</v>
      </c>
      <c r="AM1132" s="459">
        <v>0</v>
      </c>
      <c r="AN1132" s="459"/>
      <c r="AO1132" s="459">
        <v>0</v>
      </c>
      <c r="AP1132" s="460"/>
      <c r="AQ1132" s="460"/>
      <c r="AR1132" s="460"/>
      <c r="AS1132" s="460"/>
      <c r="AT1132" s="460"/>
      <c r="AU1132" s="460"/>
      <c r="AV1132" s="460"/>
      <c r="AW1132" s="460"/>
      <c r="AX1132" s="460"/>
      <c r="AY1132" s="460"/>
      <c r="AZ1132" s="460"/>
      <c r="BA1132" s="460"/>
      <c r="BB1132" s="460"/>
      <c r="BC1132" s="460"/>
      <c r="BD1132" s="460"/>
      <c r="BE1132" s="460"/>
      <c r="BF1132" s="460"/>
      <c r="BG1132" s="460"/>
      <c r="BH1132" s="460"/>
      <c r="BI1132" s="460"/>
      <c r="BJ1132" s="460"/>
      <c r="BK1132" s="460"/>
      <c r="BL1132" s="460"/>
      <c r="BM1132" s="460"/>
      <c r="BN1132" s="460"/>
      <c r="BO1132" s="460"/>
      <c r="BP1132" s="460"/>
      <c r="BQ1132" s="460"/>
      <c r="BR1132" s="460"/>
      <c r="BS1132" s="460"/>
      <c r="BT1132" s="460"/>
      <c r="BU1132" s="460"/>
      <c r="BV1132" s="460"/>
      <c r="BW1132" s="460"/>
      <c r="BX1132" s="460"/>
      <c r="BY1132" s="460"/>
      <c r="BZ1132" s="460"/>
      <c r="CA1132" s="460"/>
      <c r="CB1132" s="460"/>
      <c r="CC1132" s="460"/>
      <c r="CD1132" s="460"/>
      <c r="CE1132" s="460"/>
      <c r="CF1132" s="460"/>
      <c r="CG1132" s="460"/>
      <c r="CH1132" s="460"/>
      <c r="CI1132" s="460"/>
      <c r="CJ1132" s="460"/>
      <c r="CK1132" s="460"/>
    </row>
    <row r="1133" spans="1:89" s="329" customFormat="1" ht="36" customHeight="1" x14ac:dyDescent="0.25">
      <c r="A1133" s="329">
        <v>1</v>
      </c>
      <c r="B1133" s="39">
        <f>SUBTOTAL(103,$A$1000:A1133)</f>
        <v>127</v>
      </c>
      <c r="C1133" s="33" t="s">
        <v>1821</v>
      </c>
      <c r="D1133" s="330">
        <v>1990</v>
      </c>
      <c r="E1133" s="330"/>
      <c r="F1133" s="331" t="s">
        <v>63</v>
      </c>
      <c r="G1133" s="330" t="s">
        <v>75</v>
      </c>
      <c r="H1133" s="330" t="s">
        <v>1969</v>
      </c>
      <c r="I1133" s="334">
        <v>6660</v>
      </c>
      <c r="J1133" s="334">
        <v>4728.7</v>
      </c>
      <c r="K1133" s="334">
        <v>4728.7</v>
      </c>
      <c r="L1133" s="332">
        <v>207</v>
      </c>
      <c r="M1133" s="330" t="s">
        <v>46</v>
      </c>
      <c r="N1133" s="330" t="s">
        <v>50</v>
      </c>
      <c r="O1133" s="333" t="s">
        <v>2037</v>
      </c>
      <c r="P1133" s="38">
        <v>5042809.67</v>
      </c>
      <c r="Q1133" s="38">
        <v>0</v>
      </c>
      <c r="R1133" s="38">
        <v>0</v>
      </c>
      <c r="S1133" s="38">
        <f>P1133-Q1133-R1133</f>
        <v>5042809.67</v>
      </c>
      <c r="T1133" s="38">
        <f t="shared" si="240"/>
        <v>757.17862912912915</v>
      </c>
      <c r="U1133" s="38">
        <v>1555.441022252252</v>
      </c>
      <c r="V1133" s="458">
        <f t="shared" si="238"/>
        <v>798.26239312312282</v>
      </c>
      <c r="W1133" s="458">
        <f t="shared" si="246"/>
        <v>2534.1072882882886</v>
      </c>
      <c r="X1133" s="458">
        <v>0</v>
      </c>
      <c r="Y1133" s="459">
        <v>0</v>
      </c>
      <c r="Z1133" s="459">
        <v>0</v>
      </c>
      <c r="AA1133" s="459">
        <v>0</v>
      </c>
      <c r="AB1133" s="459">
        <v>0</v>
      </c>
      <c r="AC1133" s="459">
        <v>0</v>
      </c>
      <c r="AD1133" s="459">
        <v>0</v>
      </c>
      <c r="AE1133" s="459">
        <v>0</v>
      </c>
      <c r="AF1133" s="458">
        <v>0</v>
      </c>
      <c r="AG1133" s="459">
        <v>0</v>
      </c>
      <c r="AH1133" s="458">
        <v>0</v>
      </c>
      <c r="AI1133" s="459">
        <v>782.6</v>
      </c>
      <c r="AJ1133" s="458">
        <f>7439.1*AI1133/I1133</f>
        <v>874.15009909909907</v>
      </c>
      <c r="AK1133" s="459">
        <v>144</v>
      </c>
      <c r="AL1133" s="458">
        <f>76773.02*AK1133/I1133</f>
        <v>1659.9571891891894</v>
      </c>
      <c r="AM1133" s="459">
        <v>0</v>
      </c>
      <c r="AN1133" s="459"/>
      <c r="AO1133" s="459">
        <v>0</v>
      </c>
      <c r="AP1133" s="460"/>
      <c r="AQ1133" s="460"/>
      <c r="AR1133" s="460"/>
      <c r="AS1133" s="460"/>
      <c r="AT1133" s="460"/>
      <c r="AU1133" s="460"/>
      <c r="AV1133" s="460"/>
      <c r="AW1133" s="460"/>
      <c r="AX1133" s="460"/>
      <c r="AY1133" s="460"/>
      <c r="AZ1133" s="460"/>
      <c r="BA1133" s="460"/>
      <c r="BB1133" s="460"/>
      <c r="BC1133" s="460"/>
      <c r="BD1133" s="460"/>
      <c r="BE1133" s="460"/>
      <c r="BF1133" s="460"/>
      <c r="BG1133" s="460"/>
      <c r="BH1133" s="460"/>
      <c r="BI1133" s="460"/>
      <c r="BJ1133" s="460"/>
      <c r="BK1133" s="460"/>
      <c r="BL1133" s="460"/>
      <c r="BM1133" s="460"/>
      <c r="BN1133" s="460"/>
      <c r="BO1133" s="460"/>
      <c r="BP1133" s="460"/>
      <c r="BQ1133" s="460"/>
      <c r="BR1133" s="460"/>
      <c r="BS1133" s="460"/>
      <c r="BT1133" s="460"/>
      <c r="BU1133" s="460"/>
      <c r="BV1133" s="460"/>
      <c r="BW1133" s="460"/>
      <c r="BX1133" s="460"/>
      <c r="BY1133" s="460"/>
      <c r="BZ1133" s="460"/>
      <c r="CA1133" s="460"/>
      <c r="CB1133" s="460"/>
      <c r="CC1133" s="460"/>
      <c r="CD1133" s="460"/>
      <c r="CE1133" s="460"/>
      <c r="CF1133" s="460"/>
      <c r="CG1133" s="460"/>
      <c r="CH1133" s="460"/>
      <c r="CI1133" s="460"/>
      <c r="CJ1133" s="460"/>
      <c r="CK1133" s="460"/>
    </row>
    <row r="1134" spans="1:89" s="329" customFormat="1" ht="36" customHeight="1" x14ac:dyDescent="0.25">
      <c r="A1134" s="329">
        <v>1</v>
      </c>
      <c r="B1134" s="39">
        <f>SUBTOTAL(103,$A$1000:A1134)</f>
        <v>128</v>
      </c>
      <c r="C1134" s="33" t="s">
        <v>1822</v>
      </c>
      <c r="D1134" s="330">
        <v>1930</v>
      </c>
      <c r="E1134" s="330"/>
      <c r="F1134" s="331" t="s">
        <v>1981</v>
      </c>
      <c r="G1134" s="330" t="s">
        <v>61</v>
      </c>
      <c r="H1134" s="330" t="s">
        <v>61</v>
      </c>
      <c r="I1134" s="334">
        <v>1413.9</v>
      </c>
      <c r="J1134" s="334">
        <v>1312.3</v>
      </c>
      <c r="K1134" s="334">
        <v>1312.3</v>
      </c>
      <c r="L1134" s="332">
        <v>53</v>
      </c>
      <c r="M1134" s="330" t="s">
        <v>46</v>
      </c>
      <c r="N1134" s="330" t="s">
        <v>50</v>
      </c>
      <c r="O1134" s="333" t="s">
        <v>2037</v>
      </c>
      <c r="P1134" s="38">
        <v>361543.22</v>
      </c>
      <c r="Q1134" s="38">
        <v>0</v>
      </c>
      <c r="R1134" s="38">
        <v>0</v>
      </c>
      <c r="S1134" s="38">
        <f>P1134-Q1134-R1134</f>
        <v>361543.22</v>
      </c>
      <c r="T1134" s="38">
        <f t="shared" si="240"/>
        <v>255.70635829973827</v>
      </c>
      <c r="U1134" s="38">
        <v>255.70635829973827</v>
      </c>
      <c r="V1134" s="458">
        <f t="shared" si="238"/>
        <v>0</v>
      </c>
      <c r="W1134" s="458">
        <f t="shared" si="246"/>
        <v>11936.597029492892</v>
      </c>
      <c r="X1134" s="458">
        <v>0</v>
      </c>
      <c r="Y1134" s="459">
        <v>0</v>
      </c>
      <c r="Z1134" s="459">
        <v>0</v>
      </c>
      <c r="AA1134" s="459">
        <v>0</v>
      </c>
      <c r="AB1134" s="459">
        <v>0</v>
      </c>
      <c r="AC1134" s="459">
        <v>0</v>
      </c>
      <c r="AD1134" s="459">
        <v>0</v>
      </c>
      <c r="AE1134" s="459">
        <v>0</v>
      </c>
      <c r="AF1134" s="458">
        <v>0</v>
      </c>
      <c r="AG1134" s="459">
        <v>0</v>
      </c>
      <c r="AH1134" s="458">
        <v>0</v>
      </c>
      <c r="AI1134" s="459">
        <v>782.6</v>
      </c>
      <c r="AJ1134" s="458">
        <f>7439.1*AI1134/I1134</f>
        <v>4117.575259919372</v>
      </c>
      <c r="AK1134" s="459">
        <v>144</v>
      </c>
      <c r="AL1134" s="458">
        <f>76773.02*AK1134/I1134</f>
        <v>7819.02176957352</v>
      </c>
      <c r="AM1134" s="459">
        <v>0</v>
      </c>
      <c r="AN1134" s="459"/>
      <c r="AO1134" s="459">
        <v>0</v>
      </c>
      <c r="AP1134" s="460"/>
      <c r="AQ1134" s="460"/>
      <c r="AR1134" s="460"/>
      <c r="AS1134" s="460"/>
      <c r="AT1134" s="460"/>
      <c r="AU1134" s="460"/>
      <c r="AV1134" s="460"/>
      <c r="AW1134" s="460"/>
      <c r="AX1134" s="460"/>
      <c r="AY1134" s="460"/>
      <c r="AZ1134" s="460"/>
      <c r="BA1134" s="460"/>
      <c r="BB1134" s="460"/>
      <c r="BC1134" s="460"/>
      <c r="BD1134" s="460"/>
      <c r="BE1134" s="460"/>
      <c r="BF1134" s="460"/>
      <c r="BG1134" s="460"/>
      <c r="BH1134" s="460"/>
      <c r="BI1134" s="460"/>
      <c r="BJ1134" s="460"/>
      <c r="BK1134" s="460"/>
      <c r="BL1134" s="460"/>
      <c r="BM1134" s="460"/>
      <c r="BN1134" s="460"/>
      <c r="BO1134" s="460"/>
      <c r="BP1134" s="460"/>
      <c r="BQ1134" s="460"/>
      <c r="BR1134" s="460"/>
      <c r="BS1134" s="460"/>
      <c r="BT1134" s="460"/>
      <c r="BU1134" s="460"/>
      <c r="BV1134" s="460"/>
      <c r="BW1134" s="460"/>
      <c r="BX1134" s="460"/>
      <c r="BY1134" s="460"/>
      <c r="BZ1134" s="460"/>
      <c r="CA1134" s="460"/>
      <c r="CB1134" s="460"/>
      <c r="CC1134" s="460"/>
      <c r="CD1134" s="460"/>
      <c r="CE1134" s="460"/>
      <c r="CF1134" s="460"/>
      <c r="CG1134" s="460"/>
      <c r="CH1134" s="460"/>
      <c r="CI1134" s="460"/>
      <c r="CJ1134" s="460"/>
      <c r="CK1134" s="460"/>
    </row>
    <row r="1135" spans="1:89" s="329" customFormat="1" ht="36" customHeight="1" x14ac:dyDescent="0.25">
      <c r="B1135" s="33" t="s">
        <v>1258</v>
      </c>
      <c r="C1135" s="33"/>
      <c r="D1135" s="330" t="s">
        <v>131</v>
      </c>
      <c r="E1135" s="330" t="s">
        <v>131</v>
      </c>
      <c r="F1135" s="330" t="s">
        <v>131</v>
      </c>
      <c r="G1135" s="330" t="s">
        <v>131</v>
      </c>
      <c r="H1135" s="330" t="s">
        <v>131</v>
      </c>
      <c r="I1135" s="334">
        <f>SUM(I1136:I1137)</f>
        <v>6442.65</v>
      </c>
      <c r="J1135" s="334">
        <f>SUM(J1136:J1137)</f>
        <v>4839.5</v>
      </c>
      <c r="K1135" s="334">
        <f>SUM(K1136:K1137)</f>
        <v>4755.2999999999993</v>
      </c>
      <c r="L1135" s="332">
        <f>SUM(L1136:L1137)</f>
        <v>188</v>
      </c>
      <c r="M1135" s="330" t="s">
        <v>131</v>
      </c>
      <c r="N1135" s="330" t="s">
        <v>131</v>
      </c>
      <c r="O1135" s="333" t="s">
        <v>131</v>
      </c>
      <c r="P1135" s="334">
        <v>8756823</v>
      </c>
      <c r="Q1135" s="334">
        <f>SUM(Q1136:Q1137)</f>
        <v>0</v>
      </c>
      <c r="R1135" s="334">
        <f>SUM(R1136:R1137)</f>
        <v>0</v>
      </c>
      <c r="S1135" s="334">
        <f>SUM(S1136:S1137)</f>
        <v>8756823</v>
      </c>
      <c r="T1135" s="38">
        <f t="shared" si="240"/>
        <v>1359.1958278037764</v>
      </c>
      <c r="U1135" s="38">
        <f>MAX(U1136:U1137)</f>
        <v>2039.9475117630775</v>
      </c>
      <c r="V1135" s="458">
        <f t="shared" si="238"/>
        <v>680.75168395930109</v>
      </c>
      <c r="W1135" s="458"/>
      <c r="X1135" s="458"/>
      <c r="Y1135" s="459"/>
      <c r="Z1135" s="459"/>
      <c r="AA1135" s="459"/>
      <c r="AB1135" s="459"/>
      <c r="AC1135" s="459"/>
      <c r="AD1135" s="459"/>
      <c r="AE1135" s="459"/>
      <c r="AF1135" s="459"/>
      <c r="AG1135" s="459"/>
      <c r="AH1135" s="459"/>
      <c r="AI1135" s="459"/>
      <c r="AJ1135" s="459"/>
      <c r="AK1135" s="459"/>
      <c r="AL1135" s="459"/>
      <c r="AM1135" s="459"/>
      <c r="AN1135" s="459"/>
      <c r="AO1135" s="459"/>
      <c r="AP1135" s="460"/>
      <c r="AQ1135" s="460"/>
      <c r="AR1135" s="460"/>
      <c r="AS1135" s="460"/>
      <c r="AT1135" s="460"/>
      <c r="AU1135" s="460"/>
      <c r="AV1135" s="460"/>
      <c r="AW1135" s="460"/>
      <c r="AX1135" s="460"/>
      <c r="AY1135" s="460"/>
      <c r="AZ1135" s="460"/>
      <c r="BA1135" s="460"/>
      <c r="BB1135" s="460"/>
      <c r="BC1135" s="460"/>
      <c r="BD1135" s="460"/>
      <c r="BE1135" s="460"/>
      <c r="BF1135" s="460"/>
      <c r="BG1135" s="460"/>
      <c r="BH1135" s="460"/>
      <c r="BI1135" s="460"/>
      <c r="BJ1135" s="460"/>
      <c r="BK1135" s="460"/>
      <c r="BL1135" s="460"/>
      <c r="BM1135" s="460"/>
      <c r="BN1135" s="460"/>
      <c r="BO1135" s="460"/>
      <c r="BP1135" s="460"/>
      <c r="BQ1135" s="460"/>
      <c r="BR1135" s="460"/>
      <c r="BS1135" s="460"/>
      <c r="BT1135" s="460"/>
      <c r="BU1135" s="460"/>
      <c r="BV1135" s="460"/>
      <c r="BW1135" s="460"/>
      <c r="BX1135" s="460"/>
      <c r="BY1135" s="460"/>
      <c r="BZ1135" s="460"/>
      <c r="CA1135" s="460"/>
      <c r="CB1135" s="460"/>
      <c r="CC1135" s="460"/>
      <c r="CD1135" s="460"/>
      <c r="CE1135" s="460"/>
      <c r="CF1135" s="460"/>
      <c r="CG1135" s="460"/>
      <c r="CH1135" s="460"/>
      <c r="CI1135" s="460"/>
      <c r="CJ1135" s="460"/>
      <c r="CK1135" s="460"/>
    </row>
    <row r="1136" spans="1:89" s="329" customFormat="1" ht="36" customHeight="1" x14ac:dyDescent="0.25">
      <c r="A1136" s="329">
        <v>1</v>
      </c>
      <c r="B1136" s="39">
        <f>SUBTOTAL(103,$A$1000:A1136)</f>
        <v>129</v>
      </c>
      <c r="C1136" s="33" t="s">
        <v>1823</v>
      </c>
      <c r="D1136" s="330">
        <v>1986</v>
      </c>
      <c r="E1136" s="330"/>
      <c r="F1136" s="331" t="s">
        <v>48</v>
      </c>
      <c r="G1136" s="330">
        <v>5</v>
      </c>
      <c r="H1136" s="330" t="s">
        <v>59</v>
      </c>
      <c r="I1136" s="334">
        <v>3732.9</v>
      </c>
      <c r="J1136" s="334">
        <v>2826.7</v>
      </c>
      <c r="K1136" s="334">
        <v>2826.7</v>
      </c>
      <c r="L1136" s="332">
        <v>115</v>
      </c>
      <c r="M1136" s="330" t="s">
        <v>46</v>
      </c>
      <c r="N1136" s="330" t="s">
        <v>50</v>
      </c>
      <c r="O1136" s="333" t="s">
        <v>2191</v>
      </c>
      <c r="P1136" s="38">
        <v>4146680</v>
      </c>
      <c r="Q1136" s="38">
        <v>0</v>
      </c>
      <c r="R1136" s="38">
        <v>0</v>
      </c>
      <c r="S1136" s="38">
        <f>P1136-Q1136-R1136</f>
        <v>4146680</v>
      </c>
      <c r="T1136" s="38">
        <f t="shared" si="240"/>
        <v>1110.8467947172439</v>
      </c>
      <c r="U1136" s="38">
        <v>1391.9359479225266</v>
      </c>
      <c r="V1136" s="458">
        <f t="shared" si="238"/>
        <v>281.08915320528263</v>
      </c>
      <c r="W1136" s="458">
        <f t="shared" ref="W1136:W1137" si="247">X1136+Y1136+Z1136+AA1136+AB1136+AD1136+AF1136+AH1136+AJ1136+AL1136+AN1136+AO1136</f>
        <v>1387.2043987248519</v>
      </c>
      <c r="X1136" s="458">
        <v>0</v>
      </c>
      <c r="Y1136" s="459">
        <v>0</v>
      </c>
      <c r="Z1136" s="459">
        <v>0</v>
      </c>
      <c r="AA1136" s="459">
        <v>0</v>
      </c>
      <c r="AB1136" s="459">
        <v>0</v>
      </c>
      <c r="AC1136" s="459">
        <v>0</v>
      </c>
      <c r="AD1136" s="459">
        <v>0</v>
      </c>
      <c r="AE1136" s="459">
        <v>830</v>
      </c>
      <c r="AF1136" s="458">
        <f>6238.91*AE1136/I1136</f>
        <v>1387.2043987248519</v>
      </c>
      <c r="AG1136" s="459">
        <v>0</v>
      </c>
      <c r="AH1136" s="458">
        <v>0</v>
      </c>
      <c r="AI1136" s="459">
        <v>0</v>
      </c>
      <c r="AJ1136" s="458">
        <v>0</v>
      </c>
      <c r="AK1136" s="459">
        <v>0</v>
      </c>
      <c r="AL1136" s="459">
        <v>0</v>
      </c>
      <c r="AM1136" s="459">
        <v>0</v>
      </c>
      <c r="AN1136" s="459"/>
      <c r="AO1136" s="459">
        <v>0</v>
      </c>
      <c r="AP1136" s="460"/>
      <c r="AQ1136" s="460"/>
      <c r="AR1136" s="460"/>
      <c r="AS1136" s="460"/>
      <c r="AT1136" s="460"/>
      <c r="AU1136" s="460"/>
      <c r="AV1136" s="460"/>
      <c r="AW1136" s="460"/>
      <c r="AX1136" s="460"/>
      <c r="AY1136" s="460"/>
      <c r="AZ1136" s="460"/>
      <c r="BA1136" s="460"/>
      <c r="BB1136" s="460"/>
      <c r="BC1136" s="460"/>
      <c r="BD1136" s="460"/>
      <c r="BE1136" s="460"/>
      <c r="BF1136" s="460"/>
      <c r="BG1136" s="460"/>
      <c r="BH1136" s="460"/>
      <c r="BI1136" s="460"/>
      <c r="BJ1136" s="460"/>
      <c r="BK1136" s="460"/>
      <c r="BL1136" s="460"/>
      <c r="BM1136" s="460"/>
      <c r="BN1136" s="460"/>
      <c r="BO1136" s="460"/>
      <c r="BP1136" s="460"/>
      <c r="BQ1136" s="460"/>
      <c r="BR1136" s="460"/>
      <c r="BS1136" s="460"/>
      <c r="BT1136" s="460"/>
      <c r="BU1136" s="460"/>
      <c r="BV1136" s="460"/>
      <c r="BW1136" s="460"/>
      <c r="BX1136" s="460"/>
      <c r="BY1136" s="460"/>
      <c r="BZ1136" s="460"/>
      <c r="CA1136" s="460"/>
      <c r="CB1136" s="460"/>
      <c r="CC1136" s="460"/>
      <c r="CD1136" s="460"/>
      <c r="CE1136" s="460"/>
      <c r="CF1136" s="460"/>
      <c r="CG1136" s="460"/>
      <c r="CH1136" s="460"/>
      <c r="CI1136" s="460"/>
      <c r="CJ1136" s="460"/>
      <c r="CK1136" s="460"/>
    </row>
    <row r="1137" spans="1:191" s="329" customFormat="1" ht="36" customHeight="1" x14ac:dyDescent="0.25">
      <c r="A1137" s="329">
        <v>1</v>
      </c>
      <c r="B1137" s="39">
        <f>SUBTOTAL(103,$A$1000:A1137)</f>
        <v>130</v>
      </c>
      <c r="C1137" s="33" t="s">
        <v>1824</v>
      </c>
      <c r="D1137" s="330">
        <v>1964</v>
      </c>
      <c r="E1137" s="330"/>
      <c r="F1137" s="331" t="s">
        <v>48</v>
      </c>
      <c r="G1137" s="330">
        <v>4</v>
      </c>
      <c r="H1137" s="330" t="s">
        <v>61</v>
      </c>
      <c r="I1137" s="334">
        <v>2709.75</v>
      </c>
      <c r="J1137" s="334">
        <v>2012.8</v>
      </c>
      <c r="K1137" s="334">
        <v>1928.6</v>
      </c>
      <c r="L1137" s="332">
        <v>73</v>
      </c>
      <c r="M1137" s="330" t="s">
        <v>46</v>
      </c>
      <c r="N1137" s="330" t="s">
        <v>50</v>
      </c>
      <c r="O1137" s="333" t="s">
        <v>2040</v>
      </c>
      <c r="P1137" s="38">
        <v>4610143</v>
      </c>
      <c r="Q1137" s="38">
        <v>0</v>
      </c>
      <c r="R1137" s="38">
        <v>0</v>
      </c>
      <c r="S1137" s="38">
        <f>P1137-Q1137-R1137</f>
        <v>4610143</v>
      </c>
      <c r="T1137" s="38">
        <f t="shared" si="240"/>
        <v>1701.3167266352984</v>
      </c>
      <c r="U1137" s="38">
        <v>2039.9475117630775</v>
      </c>
      <c r="V1137" s="458">
        <f t="shared" si="238"/>
        <v>338.63078512777906</v>
      </c>
      <c r="W1137" s="458">
        <f t="shared" si="247"/>
        <v>2033.0132041701265</v>
      </c>
      <c r="X1137" s="458">
        <v>0</v>
      </c>
      <c r="Y1137" s="459">
        <v>0</v>
      </c>
      <c r="Z1137" s="459">
        <v>0</v>
      </c>
      <c r="AA1137" s="459">
        <v>0</v>
      </c>
      <c r="AB1137" s="459">
        <v>0</v>
      </c>
      <c r="AC1137" s="459">
        <v>0</v>
      </c>
      <c r="AD1137" s="459">
        <v>0</v>
      </c>
      <c r="AE1137" s="459">
        <v>883</v>
      </c>
      <c r="AF1137" s="458">
        <f>6238.91*AE1137/I1137</f>
        <v>2033.0132041701265</v>
      </c>
      <c r="AG1137" s="459">
        <v>0</v>
      </c>
      <c r="AH1137" s="458">
        <v>0</v>
      </c>
      <c r="AI1137" s="459">
        <v>0</v>
      </c>
      <c r="AJ1137" s="458">
        <v>0</v>
      </c>
      <c r="AK1137" s="459">
        <v>0</v>
      </c>
      <c r="AL1137" s="459">
        <v>0</v>
      </c>
      <c r="AM1137" s="459">
        <v>0</v>
      </c>
      <c r="AN1137" s="459"/>
      <c r="AO1137" s="459">
        <v>0</v>
      </c>
      <c r="AP1137" s="460"/>
      <c r="AQ1137" s="460"/>
      <c r="AR1137" s="460"/>
      <c r="AS1137" s="460"/>
      <c r="AT1137" s="460"/>
      <c r="AU1137" s="460"/>
      <c r="AV1137" s="460"/>
      <c r="AW1137" s="460"/>
      <c r="AX1137" s="460"/>
      <c r="AY1137" s="460"/>
      <c r="AZ1137" s="460"/>
      <c r="BA1137" s="460"/>
      <c r="BB1137" s="460"/>
      <c r="BC1137" s="460"/>
      <c r="BD1137" s="460"/>
      <c r="BE1137" s="460"/>
      <c r="BF1137" s="460"/>
      <c r="BG1137" s="460"/>
      <c r="BH1137" s="460"/>
      <c r="BI1137" s="460"/>
      <c r="BJ1137" s="460"/>
      <c r="BK1137" s="460"/>
      <c r="BL1137" s="460"/>
      <c r="BM1137" s="460"/>
      <c r="BN1137" s="460"/>
      <c r="BO1137" s="460"/>
      <c r="BP1137" s="460"/>
      <c r="BQ1137" s="460"/>
      <c r="BR1137" s="460"/>
      <c r="BS1137" s="460"/>
      <c r="BT1137" s="460"/>
      <c r="BU1137" s="460"/>
      <c r="BV1137" s="460"/>
      <c r="BW1137" s="460"/>
      <c r="BX1137" s="460"/>
      <c r="BY1137" s="460"/>
      <c r="BZ1137" s="460"/>
      <c r="CA1137" s="460"/>
      <c r="CB1137" s="460"/>
      <c r="CC1137" s="460"/>
      <c r="CD1137" s="460"/>
      <c r="CE1137" s="460"/>
      <c r="CF1137" s="460"/>
      <c r="CG1137" s="460"/>
      <c r="CH1137" s="460"/>
      <c r="CI1137" s="460"/>
      <c r="CJ1137" s="460"/>
      <c r="CK1137" s="460"/>
    </row>
    <row r="1138" spans="1:191" s="329" customFormat="1" ht="36" customHeight="1" x14ac:dyDescent="0.25">
      <c r="B1138" s="33" t="s">
        <v>98</v>
      </c>
      <c r="C1138" s="462"/>
      <c r="D1138" s="330" t="s">
        <v>131</v>
      </c>
      <c r="E1138" s="330" t="s">
        <v>131</v>
      </c>
      <c r="F1138" s="330" t="s">
        <v>131</v>
      </c>
      <c r="G1138" s="330" t="s">
        <v>131</v>
      </c>
      <c r="H1138" s="330" t="s">
        <v>131</v>
      </c>
      <c r="I1138" s="334">
        <f>I1139</f>
        <v>1801.1</v>
      </c>
      <c r="J1138" s="334">
        <f>J1139</f>
        <v>1650.5</v>
      </c>
      <c r="K1138" s="334">
        <f>K1139</f>
        <v>277.10000000000002</v>
      </c>
      <c r="L1138" s="332">
        <f>L1139</f>
        <v>87</v>
      </c>
      <c r="M1138" s="330" t="s">
        <v>131</v>
      </c>
      <c r="N1138" s="330" t="s">
        <v>131</v>
      </c>
      <c r="O1138" s="333" t="s">
        <v>131</v>
      </c>
      <c r="P1138" s="38">
        <v>4369866.08</v>
      </c>
      <c r="Q1138" s="38">
        <f>Q1139</f>
        <v>0</v>
      </c>
      <c r="R1138" s="38">
        <f>R1139</f>
        <v>0</v>
      </c>
      <c r="S1138" s="38">
        <f>S1139</f>
        <v>4369866.08</v>
      </c>
      <c r="T1138" s="38">
        <f t="shared" si="240"/>
        <v>2426.2206873577261</v>
      </c>
      <c r="U1138" s="38">
        <f>U1139</f>
        <v>4181.3383876519902</v>
      </c>
      <c r="V1138" s="458">
        <f t="shared" si="238"/>
        <v>1755.1177002942641</v>
      </c>
      <c r="W1138" s="458"/>
      <c r="X1138" s="458"/>
      <c r="Y1138" s="459"/>
      <c r="Z1138" s="459"/>
      <c r="AA1138" s="459"/>
      <c r="AB1138" s="459"/>
      <c r="AC1138" s="459"/>
      <c r="AD1138" s="459"/>
      <c r="AE1138" s="459"/>
      <c r="AF1138" s="459"/>
      <c r="AG1138" s="459"/>
      <c r="AH1138" s="459"/>
      <c r="AI1138" s="459"/>
      <c r="AJ1138" s="459"/>
      <c r="AK1138" s="459"/>
      <c r="AL1138" s="459"/>
      <c r="AM1138" s="459"/>
      <c r="AN1138" s="459"/>
      <c r="AO1138" s="459"/>
      <c r="AP1138" s="460"/>
      <c r="AQ1138" s="460"/>
      <c r="AR1138" s="460"/>
      <c r="AS1138" s="460"/>
      <c r="AT1138" s="460"/>
      <c r="AU1138" s="460"/>
      <c r="AV1138" s="460"/>
      <c r="AW1138" s="460"/>
      <c r="AX1138" s="460"/>
      <c r="AY1138" s="460"/>
      <c r="AZ1138" s="460"/>
      <c r="BA1138" s="460"/>
      <c r="BB1138" s="460"/>
      <c r="BC1138" s="460"/>
      <c r="BD1138" s="460"/>
      <c r="BE1138" s="460"/>
      <c r="BF1138" s="460"/>
      <c r="BG1138" s="460"/>
      <c r="BH1138" s="460"/>
      <c r="BI1138" s="460"/>
      <c r="BJ1138" s="460"/>
      <c r="BK1138" s="460"/>
      <c r="BL1138" s="460"/>
      <c r="BM1138" s="460"/>
      <c r="BN1138" s="460"/>
      <c r="BO1138" s="460"/>
      <c r="BP1138" s="460"/>
      <c r="BQ1138" s="460"/>
      <c r="BR1138" s="460"/>
      <c r="BS1138" s="460"/>
      <c r="BT1138" s="460"/>
      <c r="BU1138" s="460"/>
      <c r="BV1138" s="460"/>
      <c r="BW1138" s="460"/>
      <c r="BX1138" s="460"/>
      <c r="BY1138" s="460"/>
      <c r="BZ1138" s="460"/>
      <c r="CA1138" s="460"/>
      <c r="CB1138" s="460"/>
      <c r="CC1138" s="460"/>
      <c r="CD1138" s="460"/>
      <c r="CE1138" s="460"/>
      <c r="CF1138" s="460"/>
      <c r="CG1138" s="460"/>
      <c r="CH1138" s="460"/>
      <c r="CI1138" s="460"/>
      <c r="CJ1138" s="460"/>
      <c r="CK1138" s="460"/>
    </row>
    <row r="1139" spans="1:191" s="266" customFormat="1" ht="36" customHeight="1" x14ac:dyDescent="0.25">
      <c r="A1139" s="329">
        <v>1</v>
      </c>
      <c r="B1139" s="39">
        <f>SUBTOTAL(103,$A$1000:A1139)</f>
        <v>131</v>
      </c>
      <c r="C1139" s="336" t="s">
        <v>1825</v>
      </c>
      <c r="D1139" s="330">
        <v>1978</v>
      </c>
      <c r="E1139" s="330"/>
      <c r="F1139" s="337" t="s">
        <v>48</v>
      </c>
      <c r="G1139" s="330" t="s">
        <v>61</v>
      </c>
      <c r="H1139" s="330" t="s">
        <v>61</v>
      </c>
      <c r="I1139" s="334">
        <v>1801.1</v>
      </c>
      <c r="J1139" s="334">
        <v>1650.5</v>
      </c>
      <c r="K1139" s="334">
        <v>277.10000000000002</v>
      </c>
      <c r="L1139" s="338">
        <v>87</v>
      </c>
      <c r="M1139" s="330" t="s">
        <v>46</v>
      </c>
      <c r="N1139" s="330" t="s">
        <v>50</v>
      </c>
      <c r="O1139" s="330" t="s">
        <v>2151</v>
      </c>
      <c r="P1139" s="334">
        <v>4369866.08</v>
      </c>
      <c r="Q1139" s="334">
        <v>0</v>
      </c>
      <c r="R1139" s="334">
        <v>0</v>
      </c>
      <c r="S1139" s="334">
        <f>P1139-Q1139-R1139</f>
        <v>4369866.08</v>
      </c>
      <c r="T1139" s="38">
        <f t="shared" si="240"/>
        <v>2426.2206873577261</v>
      </c>
      <c r="U1139" s="38">
        <v>4181.3383876519902</v>
      </c>
      <c r="V1139" s="458">
        <f>U1139-T1139</f>
        <v>1755.1177002942641</v>
      </c>
      <c r="W1139" s="458">
        <f>X1139+Y1139+Z1139+AA1139+AB1139+AD1139+AF1139+AH1139+AJ1139+AL1139+AN1139+AO1139</f>
        <v>4167.1249403142519</v>
      </c>
      <c r="X1139" s="458">
        <v>0</v>
      </c>
      <c r="Y1139" s="459">
        <v>0</v>
      </c>
      <c r="Z1139" s="459">
        <v>0</v>
      </c>
      <c r="AA1139" s="459">
        <v>0</v>
      </c>
      <c r="AB1139" s="459">
        <v>0</v>
      </c>
      <c r="AC1139" s="459">
        <v>0</v>
      </c>
      <c r="AD1139" s="459">
        <v>0</v>
      </c>
      <c r="AE1139" s="459">
        <v>1203</v>
      </c>
      <c r="AF1139" s="458">
        <f>6238.91*AE1139/I1139</f>
        <v>4167.1249403142519</v>
      </c>
      <c r="AG1139" s="459">
        <v>0</v>
      </c>
      <c r="AH1139" s="458">
        <v>0</v>
      </c>
      <c r="AI1139" s="459">
        <v>0</v>
      </c>
      <c r="AJ1139" s="458">
        <v>0</v>
      </c>
      <c r="AK1139" s="459">
        <v>0</v>
      </c>
      <c r="AL1139" s="459">
        <v>0</v>
      </c>
      <c r="AM1139" s="459">
        <v>0</v>
      </c>
      <c r="AN1139" s="459"/>
      <c r="AO1139" s="459">
        <v>0</v>
      </c>
      <c r="AP1139" s="460"/>
      <c r="AQ1139" s="250"/>
      <c r="AR1139" s="250"/>
      <c r="AS1139" s="250"/>
      <c r="AT1139" s="250"/>
      <c r="AU1139" s="250"/>
      <c r="AV1139" s="250"/>
      <c r="AW1139" s="250"/>
      <c r="AX1139" s="250"/>
      <c r="AY1139" s="250"/>
      <c r="AZ1139" s="250"/>
      <c r="BA1139" s="250"/>
      <c r="BB1139" s="250"/>
      <c r="BC1139" s="250"/>
      <c r="BD1139" s="250"/>
      <c r="BE1139" s="250"/>
      <c r="BF1139" s="250"/>
      <c r="BG1139" s="250"/>
      <c r="BH1139" s="250"/>
      <c r="BI1139" s="250"/>
      <c r="BJ1139" s="250"/>
      <c r="BK1139" s="250"/>
      <c r="BL1139" s="250"/>
      <c r="BM1139" s="250"/>
      <c r="BN1139" s="250"/>
      <c r="BO1139" s="250"/>
      <c r="BP1139" s="250"/>
      <c r="BQ1139" s="250"/>
      <c r="BR1139" s="250"/>
      <c r="BS1139" s="250"/>
      <c r="BT1139" s="250"/>
      <c r="BU1139" s="250"/>
      <c r="BV1139" s="250"/>
      <c r="BW1139" s="250"/>
      <c r="BX1139" s="250"/>
      <c r="BY1139" s="250"/>
      <c r="BZ1139" s="250"/>
      <c r="CA1139" s="250"/>
      <c r="CB1139" s="250"/>
      <c r="CC1139" s="250"/>
      <c r="CD1139" s="250"/>
      <c r="CE1139" s="250"/>
      <c r="CF1139" s="250"/>
      <c r="CG1139" s="250"/>
      <c r="CH1139" s="250"/>
      <c r="CI1139" s="250"/>
      <c r="CJ1139" s="250"/>
      <c r="CK1139" s="250"/>
      <c r="DQ1139" s="339"/>
      <c r="DR1139" s="339"/>
      <c r="DS1139" s="339"/>
      <c r="EP1139" s="340"/>
      <c r="FS1139" s="341"/>
      <c r="GI1139" s="342"/>
    </row>
    <row r="1140" spans="1:191" s="329" customFormat="1" ht="36" customHeight="1" x14ac:dyDescent="0.25">
      <c r="B1140" s="33" t="s">
        <v>1264</v>
      </c>
      <c r="C1140" s="33"/>
      <c r="D1140" s="330" t="s">
        <v>131</v>
      </c>
      <c r="E1140" s="330" t="s">
        <v>131</v>
      </c>
      <c r="F1140" s="330" t="s">
        <v>131</v>
      </c>
      <c r="G1140" s="330" t="s">
        <v>131</v>
      </c>
      <c r="H1140" s="330" t="s">
        <v>131</v>
      </c>
      <c r="I1140" s="334">
        <f>I1141</f>
        <v>1070.8</v>
      </c>
      <c r="J1140" s="334">
        <f>J1141</f>
        <v>1070.8</v>
      </c>
      <c r="K1140" s="334">
        <f>K1141</f>
        <v>942</v>
      </c>
      <c r="L1140" s="332">
        <f>L1141</f>
        <v>57</v>
      </c>
      <c r="M1140" s="330" t="s">
        <v>131</v>
      </c>
      <c r="N1140" s="330" t="s">
        <v>131</v>
      </c>
      <c r="O1140" s="333" t="s">
        <v>131</v>
      </c>
      <c r="P1140" s="38">
        <v>2936950.21</v>
      </c>
      <c r="Q1140" s="38">
        <f>Q1141</f>
        <v>0</v>
      </c>
      <c r="R1140" s="38">
        <f>R1141</f>
        <v>0</v>
      </c>
      <c r="S1140" s="38">
        <f>S1141</f>
        <v>2936950.21</v>
      </c>
      <c r="T1140" s="38">
        <f t="shared" si="240"/>
        <v>2742.7626167351514</v>
      </c>
      <c r="U1140" s="38">
        <f>U1141</f>
        <v>5467.4745050429592</v>
      </c>
      <c r="V1140" s="458">
        <f t="shared" si="238"/>
        <v>2724.7118883078078</v>
      </c>
      <c r="W1140" s="458"/>
      <c r="X1140" s="458"/>
      <c r="Y1140" s="459"/>
      <c r="Z1140" s="459"/>
      <c r="AA1140" s="459"/>
      <c r="AB1140" s="459"/>
      <c r="AC1140" s="459"/>
      <c r="AD1140" s="459"/>
      <c r="AE1140" s="459"/>
      <c r="AF1140" s="459"/>
      <c r="AG1140" s="459"/>
      <c r="AH1140" s="459"/>
      <c r="AI1140" s="459"/>
      <c r="AJ1140" s="459"/>
      <c r="AK1140" s="459"/>
      <c r="AL1140" s="459"/>
      <c r="AM1140" s="459"/>
      <c r="AN1140" s="459"/>
      <c r="AO1140" s="459"/>
      <c r="AP1140" s="460"/>
      <c r="AQ1140" s="460"/>
      <c r="AR1140" s="460"/>
      <c r="AS1140" s="460"/>
      <c r="AT1140" s="460"/>
      <c r="AU1140" s="460"/>
      <c r="AV1140" s="460"/>
      <c r="AW1140" s="460"/>
      <c r="AX1140" s="460"/>
      <c r="AY1140" s="460"/>
      <c r="AZ1140" s="460"/>
      <c r="BA1140" s="460"/>
      <c r="BB1140" s="460"/>
      <c r="BC1140" s="460"/>
      <c r="BD1140" s="460"/>
      <c r="BE1140" s="460"/>
      <c r="BF1140" s="460"/>
      <c r="BG1140" s="460"/>
      <c r="BH1140" s="460"/>
      <c r="BI1140" s="460"/>
      <c r="BJ1140" s="460"/>
      <c r="BK1140" s="460"/>
      <c r="BL1140" s="460"/>
      <c r="BM1140" s="460"/>
      <c r="BN1140" s="460"/>
      <c r="BO1140" s="460"/>
      <c r="BP1140" s="460"/>
      <c r="BQ1140" s="460"/>
      <c r="BR1140" s="460"/>
      <c r="BS1140" s="460"/>
      <c r="BT1140" s="460"/>
      <c r="BU1140" s="460"/>
      <c r="BV1140" s="460"/>
      <c r="BW1140" s="460"/>
      <c r="BX1140" s="460"/>
      <c r="BY1140" s="460"/>
      <c r="BZ1140" s="460"/>
      <c r="CA1140" s="460"/>
      <c r="CB1140" s="460"/>
      <c r="CC1140" s="460"/>
      <c r="CD1140" s="460"/>
      <c r="CE1140" s="460"/>
      <c r="CF1140" s="460"/>
      <c r="CG1140" s="460"/>
      <c r="CH1140" s="460"/>
      <c r="CI1140" s="460"/>
      <c r="CJ1140" s="460"/>
      <c r="CK1140" s="460"/>
    </row>
    <row r="1141" spans="1:191" s="266" customFormat="1" ht="36" customHeight="1" x14ac:dyDescent="0.25">
      <c r="A1141" s="329">
        <v>1</v>
      </c>
      <c r="B1141" s="39">
        <f>SUBTOTAL(103,$A$1000:A1141)</f>
        <v>132</v>
      </c>
      <c r="C1141" s="336" t="s">
        <v>1826</v>
      </c>
      <c r="D1141" s="330">
        <v>1979</v>
      </c>
      <c r="E1141" s="330"/>
      <c r="F1141" s="337" t="s">
        <v>48</v>
      </c>
      <c r="G1141" s="330">
        <v>2</v>
      </c>
      <c r="H1141" s="330" t="s">
        <v>61</v>
      </c>
      <c r="I1141" s="334">
        <v>1070.8</v>
      </c>
      <c r="J1141" s="334">
        <v>1070.8</v>
      </c>
      <c r="K1141" s="334">
        <v>942</v>
      </c>
      <c r="L1141" s="338">
        <v>57</v>
      </c>
      <c r="M1141" s="330" t="s">
        <v>46</v>
      </c>
      <c r="N1141" s="330" t="s">
        <v>71</v>
      </c>
      <c r="O1141" s="330" t="s">
        <v>2045</v>
      </c>
      <c r="P1141" s="334">
        <v>2936950.21</v>
      </c>
      <c r="Q1141" s="334">
        <v>0</v>
      </c>
      <c r="R1141" s="334">
        <v>0</v>
      </c>
      <c r="S1141" s="334">
        <f>P1141-Q1141-R1141</f>
        <v>2936950.21</v>
      </c>
      <c r="T1141" s="38">
        <f t="shared" si="240"/>
        <v>2742.7626167351514</v>
      </c>
      <c r="U1141" s="38">
        <v>5467.4745050429592</v>
      </c>
      <c r="V1141" s="458">
        <f>U1141-T1141</f>
        <v>2724.7118883078078</v>
      </c>
      <c r="W1141" s="458">
        <f>X1141+Y1141+Z1141+AA1141+AB1141+AD1141+AF1141+AH1141+AJ1141+AL1141+AN1141+AO1141</f>
        <v>5467.4745050429592</v>
      </c>
      <c r="X1141" s="458">
        <v>0</v>
      </c>
      <c r="Y1141" s="459">
        <v>0</v>
      </c>
      <c r="Z1141" s="459">
        <v>0</v>
      </c>
      <c r="AA1141" s="459">
        <v>0</v>
      </c>
      <c r="AB1141" s="459">
        <v>0</v>
      </c>
      <c r="AC1141" s="459">
        <v>0</v>
      </c>
      <c r="AD1141" s="459">
        <v>0</v>
      </c>
      <c r="AE1141" s="459">
        <v>0</v>
      </c>
      <c r="AF1141" s="458">
        <v>0</v>
      </c>
      <c r="AG1141" s="459">
        <v>0</v>
      </c>
      <c r="AH1141" s="458">
        <v>0</v>
      </c>
      <c r="AI1141" s="459">
        <v>787</v>
      </c>
      <c r="AJ1141" s="458">
        <f>7439.1*AI1141/I1141</f>
        <v>5467.4745050429592</v>
      </c>
      <c r="AK1141" s="459">
        <v>0</v>
      </c>
      <c r="AL1141" s="459">
        <v>0</v>
      </c>
      <c r="AM1141" s="459">
        <v>0</v>
      </c>
      <c r="AN1141" s="459"/>
      <c r="AO1141" s="459">
        <v>0</v>
      </c>
      <c r="AP1141" s="460"/>
      <c r="AQ1141" s="250"/>
      <c r="AR1141" s="250"/>
      <c r="AS1141" s="250"/>
      <c r="AT1141" s="250"/>
      <c r="AU1141" s="250"/>
      <c r="AV1141" s="250"/>
      <c r="AW1141" s="250"/>
      <c r="AX1141" s="250"/>
      <c r="AY1141" s="250"/>
      <c r="AZ1141" s="250"/>
      <c r="BA1141" s="250"/>
      <c r="BB1141" s="250"/>
      <c r="BC1141" s="250"/>
      <c r="BD1141" s="250"/>
      <c r="BE1141" s="250"/>
      <c r="BF1141" s="250"/>
      <c r="BG1141" s="250"/>
      <c r="BH1141" s="250"/>
      <c r="BI1141" s="250"/>
      <c r="BJ1141" s="250"/>
      <c r="BK1141" s="250"/>
      <c r="BL1141" s="250"/>
      <c r="BM1141" s="250"/>
      <c r="BN1141" s="250"/>
      <c r="BO1141" s="250"/>
      <c r="BP1141" s="250"/>
      <c r="BQ1141" s="250"/>
      <c r="BR1141" s="250"/>
      <c r="BS1141" s="250"/>
      <c r="BT1141" s="250"/>
      <c r="BU1141" s="250"/>
      <c r="BV1141" s="250"/>
      <c r="BW1141" s="250"/>
      <c r="BX1141" s="250"/>
      <c r="BY1141" s="250"/>
      <c r="BZ1141" s="250"/>
      <c r="CA1141" s="250"/>
      <c r="CB1141" s="250"/>
      <c r="CC1141" s="250"/>
      <c r="CD1141" s="250"/>
      <c r="CE1141" s="250"/>
      <c r="CF1141" s="250"/>
      <c r="CG1141" s="250"/>
      <c r="CH1141" s="250"/>
      <c r="CI1141" s="250"/>
      <c r="CJ1141" s="250"/>
      <c r="CK1141" s="250"/>
      <c r="DQ1141" s="339"/>
      <c r="DR1141" s="339"/>
      <c r="DS1141" s="339"/>
      <c r="EP1141" s="340"/>
      <c r="FS1141" s="341"/>
      <c r="GI1141" s="342"/>
    </row>
    <row r="1142" spans="1:191" s="329" customFormat="1" ht="36" customHeight="1" x14ac:dyDescent="0.25">
      <c r="B1142" s="33" t="s">
        <v>1270</v>
      </c>
      <c r="C1142" s="33"/>
      <c r="D1142" s="330" t="s">
        <v>131</v>
      </c>
      <c r="E1142" s="330" t="s">
        <v>131</v>
      </c>
      <c r="F1142" s="330" t="s">
        <v>131</v>
      </c>
      <c r="G1142" s="330" t="s">
        <v>131</v>
      </c>
      <c r="H1142" s="330" t="s">
        <v>131</v>
      </c>
      <c r="I1142" s="334">
        <f>I1143+I1144</f>
        <v>1547.1</v>
      </c>
      <c r="J1142" s="334">
        <f>J1143+J1144</f>
        <v>1426.8</v>
      </c>
      <c r="K1142" s="334">
        <f>K1143+K1144</f>
        <v>275.39999999999998</v>
      </c>
      <c r="L1142" s="332">
        <f>L1143+L1144</f>
        <v>72</v>
      </c>
      <c r="M1142" s="330" t="s">
        <v>131</v>
      </c>
      <c r="N1142" s="330" t="s">
        <v>131</v>
      </c>
      <c r="O1142" s="333" t="s">
        <v>131</v>
      </c>
      <c r="P1142" s="38">
        <v>2773728.46</v>
      </c>
      <c r="Q1142" s="38">
        <f>Q1143+Q1144</f>
        <v>0</v>
      </c>
      <c r="R1142" s="38">
        <f>R1143+R1144</f>
        <v>0</v>
      </c>
      <c r="S1142" s="38">
        <f>S1143+S1144</f>
        <v>2773728.46</v>
      </c>
      <c r="T1142" s="38">
        <f t="shared" si="240"/>
        <v>1792.8566091396808</v>
      </c>
      <c r="U1142" s="38">
        <f>MAX(U1143:U1144)</f>
        <v>3632.7844391055255</v>
      </c>
      <c r="V1142" s="458">
        <f t="shared" si="238"/>
        <v>1839.9278299658447</v>
      </c>
      <c r="W1142" s="458"/>
      <c r="X1142" s="458"/>
      <c r="Y1142" s="459"/>
      <c r="Z1142" s="459"/>
      <c r="AA1142" s="459"/>
      <c r="AB1142" s="459"/>
      <c r="AC1142" s="459"/>
      <c r="AD1142" s="459"/>
      <c r="AE1142" s="459"/>
      <c r="AF1142" s="459"/>
      <c r="AG1142" s="459"/>
      <c r="AH1142" s="459"/>
      <c r="AI1142" s="459"/>
      <c r="AJ1142" s="459"/>
      <c r="AK1142" s="459"/>
      <c r="AL1142" s="459"/>
      <c r="AM1142" s="459"/>
      <c r="AN1142" s="459"/>
      <c r="AO1142" s="459"/>
      <c r="AP1142" s="460"/>
      <c r="AQ1142" s="460"/>
      <c r="AR1142" s="460"/>
      <c r="AS1142" s="460"/>
      <c r="AT1142" s="460"/>
      <c r="AU1142" s="460"/>
      <c r="AV1142" s="460"/>
      <c r="AW1142" s="460"/>
      <c r="AX1142" s="460"/>
      <c r="AY1142" s="460"/>
      <c r="AZ1142" s="460"/>
      <c r="BA1142" s="460"/>
      <c r="BB1142" s="460"/>
      <c r="BC1142" s="460"/>
      <c r="BD1142" s="460"/>
      <c r="BE1142" s="460"/>
      <c r="BF1142" s="460"/>
      <c r="BG1142" s="460"/>
      <c r="BH1142" s="460"/>
      <c r="BI1142" s="460"/>
      <c r="BJ1142" s="460"/>
      <c r="BK1142" s="460"/>
      <c r="BL1142" s="460"/>
      <c r="BM1142" s="460"/>
      <c r="BN1142" s="460"/>
      <c r="BO1142" s="460"/>
      <c r="BP1142" s="460"/>
      <c r="BQ1142" s="460"/>
      <c r="BR1142" s="460"/>
      <c r="BS1142" s="460"/>
      <c r="BT1142" s="460"/>
      <c r="BU1142" s="460"/>
      <c r="BV1142" s="460"/>
      <c r="BW1142" s="460"/>
      <c r="BX1142" s="460"/>
      <c r="BY1142" s="460"/>
      <c r="BZ1142" s="460"/>
      <c r="CA1142" s="460"/>
      <c r="CB1142" s="460"/>
      <c r="CC1142" s="460"/>
      <c r="CD1142" s="460"/>
      <c r="CE1142" s="460"/>
      <c r="CF1142" s="460"/>
      <c r="CG1142" s="460"/>
      <c r="CH1142" s="460"/>
      <c r="CI1142" s="460"/>
      <c r="CJ1142" s="460"/>
      <c r="CK1142" s="460"/>
    </row>
    <row r="1143" spans="1:191" s="266" customFormat="1" ht="36" customHeight="1" x14ac:dyDescent="0.25">
      <c r="A1143" s="329">
        <v>1</v>
      </c>
      <c r="B1143" s="39">
        <f>SUBTOTAL(103,$A$1000:A1143)</f>
        <v>133</v>
      </c>
      <c r="C1143" s="336" t="s">
        <v>1827</v>
      </c>
      <c r="D1143" s="330">
        <v>1971</v>
      </c>
      <c r="E1143" s="330"/>
      <c r="F1143" s="337" t="s">
        <v>48</v>
      </c>
      <c r="G1143" s="330">
        <v>3</v>
      </c>
      <c r="H1143" s="330" t="s">
        <v>56</v>
      </c>
      <c r="I1143" s="334">
        <v>1082.2</v>
      </c>
      <c r="J1143" s="334">
        <v>1018.1</v>
      </c>
      <c r="K1143" s="334">
        <v>114.5</v>
      </c>
      <c r="L1143" s="338">
        <v>44</v>
      </c>
      <c r="M1143" s="330" t="s">
        <v>46</v>
      </c>
      <c r="N1143" s="330" t="s">
        <v>47</v>
      </c>
      <c r="O1143" s="330" t="s">
        <v>49</v>
      </c>
      <c r="P1143" s="334">
        <v>2539091.92</v>
      </c>
      <c r="Q1143" s="334">
        <v>0</v>
      </c>
      <c r="R1143" s="334">
        <v>0</v>
      </c>
      <c r="S1143" s="334">
        <f>P1143-Q1143-R1143</f>
        <v>2539091.92</v>
      </c>
      <c r="T1143" s="38">
        <f t="shared" si="240"/>
        <v>2346.2316762151172</v>
      </c>
      <c r="U1143" s="38">
        <v>3632.7844391055255</v>
      </c>
      <c r="V1143" s="458">
        <f t="shared" si="238"/>
        <v>1286.5527628904083</v>
      </c>
      <c r="W1143" s="458">
        <f t="shared" ref="W1143:W1144" si="248">X1143+Y1143+Z1143+AA1143+AB1143+AD1143+AF1143+AH1143+AJ1143+AL1143+AN1143+AO1143</f>
        <v>3620.4356680835335</v>
      </c>
      <c r="X1143" s="458">
        <v>0</v>
      </c>
      <c r="Y1143" s="459">
        <v>0</v>
      </c>
      <c r="Z1143" s="459">
        <v>0</v>
      </c>
      <c r="AA1143" s="459">
        <v>0</v>
      </c>
      <c r="AB1143" s="459">
        <v>0</v>
      </c>
      <c r="AC1143" s="459">
        <v>0</v>
      </c>
      <c r="AD1143" s="459">
        <v>0</v>
      </c>
      <c r="AE1143" s="459">
        <v>628</v>
      </c>
      <c r="AF1143" s="458">
        <f>6238.91*AE1143/I1143</f>
        <v>3620.4356680835335</v>
      </c>
      <c r="AG1143" s="459">
        <v>0</v>
      </c>
      <c r="AH1143" s="458">
        <v>0</v>
      </c>
      <c r="AI1143" s="459">
        <v>0</v>
      </c>
      <c r="AJ1143" s="458">
        <v>0</v>
      </c>
      <c r="AK1143" s="459">
        <v>0</v>
      </c>
      <c r="AL1143" s="459">
        <v>0</v>
      </c>
      <c r="AM1143" s="459">
        <v>0</v>
      </c>
      <c r="AN1143" s="459"/>
      <c r="AO1143" s="459">
        <v>0</v>
      </c>
      <c r="AP1143" s="460"/>
      <c r="AQ1143" s="250"/>
      <c r="AR1143" s="250"/>
      <c r="AS1143" s="250"/>
      <c r="AT1143" s="250"/>
      <c r="AU1143" s="250"/>
      <c r="AV1143" s="250"/>
      <c r="AW1143" s="250"/>
      <c r="AX1143" s="250"/>
      <c r="AY1143" s="250"/>
      <c r="AZ1143" s="250"/>
      <c r="BA1143" s="250"/>
      <c r="BB1143" s="250"/>
      <c r="BC1143" s="250"/>
      <c r="BD1143" s="250"/>
      <c r="BE1143" s="250"/>
      <c r="BF1143" s="250"/>
      <c r="BG1143" s="250"/>
      <c r="BH1143" s="250"/>
      <c r="BI1143" s="250"/>
      <c r="BJ1143" s="250"/>
      <c r="BK1143" s="250"/>
      <c r="BL1143" s="250"/>
      <c r="BM1143" s="250"/>
      <c r="BN1143" s="250"/>
      <c r="BO1143" s="250"/>
      <c r="BP1143" s="250"/>
      <c r="BQ1143" s="250"/>
      <c r="BR1143" s="250"/>
      <c r="BS1143" s="250"/>
      <c r="BT1143" s="250"/>
      <c r="BU1143" s="250"/>
      <c r="BV1143" s="250"/>
      <c r="BW1143" s="250"/>
      <c r="BX1143" s="250"/>
      <c r="BY1143" s="250"/>
      <c r="BZ1143" s="250"/>
      <c r="CA1143" s="250"/>
      <c r="CB1143" s="250"/>
      <c r="CC1143" s="250"/>
      <c r="CD1143" s="250"/>
      <c r="CE1143" s="250"/>
      <c r="CF1143" s="250"/>
      <c r="CG1143" s="250"/>
      <c r="CH1143" s="250"/>
      <c r="CI1143" s="250"/>
      <c r="CJ1143" s="250"/>
      <c r="CK1143" s="250"/>
      <c r="DQ1143" s="339"/>
      <c r="DR1143" s="339"/>
      <c r="DS1143" s="339"/>
      <c r="EP1143" s="340"/>
      <c r="FS1143" s="341"/>
      <c r="GI1143" s="342"/>
    </row>
    <row r="1144" spans="1:191" s="266" customFormat="1" ht="36" customHeight="1" x14ac:dyDescent="0.25">
      <c r="A1144" s="329">
        <v>1</v>
      </c>
      <c r="B1144" s="39">
        <f>SUBTOTAL(103,$A$1000:A1144)</f>
        <v>134</v>
      </c>
      <c r="C1144" s="336" t="s">
        <v>1828</v>
      </c>
      <c r="D1144" s="330">
        <v>1968</v>
      </c>
      <c r="E1144" s="330"/>
      <c r="F1144" s="337" t="s">
        <v>48</v>
      </c>
      <c r="G1144" s="330">
        <v>2</v>
      </c>
      <c r="H1144" s="330" t="s">
        <v>56</v>
      </c>
      <c r="I1144" s="334">
        <v>464.9</v>
      </c>
      <c r="J1144" s="334">
        <v>408.7</v>
      </c>
      <c r="K1144" s="334">
        <v>160.9</v>
      </c>
      <c r="L1144" s="338">
        <v>28</v>
      </c>
      <c r="M1144" s="330" t="s">
        <v>46</v>
      </c>
      <c r="N1144" s="330" t="s">
        <v>47</v>
      </c>
      <c r="O1144" s="330" t="s">
        <v>49</v>
      </c>
      <c r="P1144" s="334">
        <v>234636.54</v>
      </c>
      <c r="Q1144" s="334">
        <v>0</v>
      </c>
      <c r="R1144" s="334">
        <v>0</v>
      </c>
      <c r="S1144" s="334">
        <f>P1144-Q1144-R1144</f>
        <v>234636.54</v>
      </c>
      <c r="T1144" s="38">
        <f t="shared" si="240"/>
        <v>504.70324801032484</v>
      </c>
      <c r="U1144" s="38">
        <v>810.46</v>
      </c>
      <c r="V1144" s="458">
        <f t="shared" si="238"/>
        <v>305.75675198967519</v>
      </c>
      <c r="W1144" s="458">
        <f t="shared" si="248"/>
        <v>795.31</v>
      </c>
      <c r="X1144" s="458">
        <v>0</v>
      </c>
      <c r="Y1144" s="459">
        <v>0</v>
      </c>
      <c r="Z1144" s="459">
        <v>0</v>
      </c>
      <c r="AA1144" s="459">
        <v>0</v>
      </c>
      <c r="AB1144" s="459">
        <v>795.31</v>
      </c>
      <c r="AC1144" s="459">
        <v>0</v>
      </c>
      <c r="AD1144" s="459">
        <v>0</v>
      </c>
      <c r="AE1144" s="459">
        <v>0</v>
      </c>
      <c r="AF1144" s="458">
        <v>0</v>
      </c>
      <c r="AG1144" s="459">
        <v>0</v>
      </c>
      <c r="AH1144" s="458">
        <v>0</v>
      </c>
      <c r="AI1144" s="459">
        <v>0</v>
      </c>
      <c r="AJ1144" s="458">
        <v>0</v>
      </c>
      <c r="AK1144" s="459">
        <v>0</v>
      </c>
      <c r="AL1144" s="459">
        <v>0</v>
      </c>
      <c r="AM1144" s="459">
        <v>0</v>
      </c>
      <c r="AN1144" s="459"/>
      <c r="AO1144" s="459">
        <v>0</v>
      </c>
      <c r="AP1144" s="460"/>
      <c r="AQ1144" s="250"/>
      <c r="AR1144" s="250"/>
      <c r="AS1144" s="250"/>
      <c r="AT1144" s="250"/>
      <c r="AU1144" s="250"/>
      <c r="AV1144" s="250"/>
      <c r="AW1144" s="250"/>
      <c r="AX1144" s="250"/>
      <c r="AY1144" s="250"/>
      <c r="AZ1144" s="250"/>
      <c r="BA1144" s="250"/>
      <c r="BB1144" s="250"/>
      <c r="BC1144" s="250"/>
      <c r="BD1144" s="250"/>
      <c r="BE1144" s="250"/>
      <c r="BF1144" s="250"/>
      <c r="BG1144" s="250"/>
      <c r="BH1144" s="250"/>
      <c r="BI1144" s="250"/>
      <c r="BJ1144" s="250"/>
      <c r="BK1144" s="250"/>
      <c r="BL1144" s="250"/>
      <c r="BM1144" s="250"/>
      <c r="BN1144" s="250"/>
      <c r="BO1144" s="250"/>
      <c r="BP1144" s="250"/>
      <c r="BQ1144" s="250"/>
      <c r="BR1144" s="250"/>
      <c r="BS1144" s="250"/>
      <c r="BT1144" s="250"/>
      <c r="BU1144" s="250"/>
      <c r="BV1144" s="250"/>
      <c r="BW1144" s="250"/>
      <c r="BX1144" s="250"/>
      <c r="BY1144" s="250"/>
      <c r="BZ1144" s="250"/>
      <c r="CA1144" s="250"/>
      <c r="CB1144" s="250"/>
      <c r="CC1144" s="250"/>
      <c r="CD1144" s="250"/>
      <c r="CE1144" s="250"/>
      <c r="CF1144" s="250"/>
      <c r="CG1144" s="250"/>
      <c r="CH1144" s="250"/>
      <c r="CI1144" s="250"/>
      <c r="CJ1144" s="250"/>
      <c r="CK1144" s="250"/>
      <c r="DQ1144" s="339"/>
      <c r="DR1144" s="339"/>
      <c r="DS1144" s="339"/>
      <c r="EP1144" s="340"/>
      <c r="FS1144" s="341"/>
      <c r="GI1144" s="342"/>
    </row>
    <row r="1145" spans="1:191" s="329" customFormat="1" ht="36" customHeight="1" x14ac:dyDescent="0.25">
      <c r="B1145" s="33" t="s">
        <v>129</v>
      </c>
      <c r="C1145" s="33"/>
      <c r="D1145" s="330" t="s">
        <v>131</v>
      </c>
      <c r="E1145" s="330" t="s">
        <v>131</v>
      </c>
      <c r="F1145" s="330" t="s">
        <v>131</v>
      </c>
      <c r="G1145" s="330" t="s">
        <v>131</v>
      </c>
      <c r="H1145" s="330" t="s">
        <v>131</v>
      </c>
      <c r="I1145" s="334">
        <f>I1146</f>
        <v>520.79999999999995</v>
      </c>
      <c r="J1145" s="334">
        <f>J1146</f>
        <v>455.1</v>
      </c>
      <c r="K1145" s="334">
        <f>K1146</f>
        <v>413.6</v>
      </c>
      <c r="L1145" s="332">
        <f>L1146</f>
        <v>32</v>
      </c>
      <c r="M1145" s="330" t="s">
        <v>131</v>
      </c>
      <c r="N1145" s="330" t="s">
        <v>131</v>
      </c>
      <c r="O1145" s="333" t="s">
        <v>131</v>
      </c>
      <c r="P1145" s="38">
        <v>2158336.3499999996</v>
      </c>
      <c r="Q1145" s="38">
        <f>Q1146</f>
        <v>0</v>
      </c>
      <c r="R1145" s="38">
        <f>R1146</f>
        <v>0</v>
      </c>
      <c r="S1145" s="38">
        <f>S1146</f>
        <v>2158336.3499999996</v>
      </c>
      <c r="T1145" s="38">
        <f t="shared" si="240"/>
        <v>4144.2710253456216</v>
      </c>
      <c r="U1145" s="38">
        <f>U1146</f>
        <v>4723.9913018433181</v>
      </c>
      <c r="V1145" s="458">
        <f t="shared" si="238"/>
        <v>579.72027649769643</v>
      </c>
      <c r="W1145" s="458"/>
      <c r="X1145" s="458"/>
      <c r="Y1145" s="459"/>
      <c r="Z1145" s="459"/>
      <c r="AA1145" s="459"/>
      <c r="AB1145" s="459"/>
      <c r="AC1145" s="459"/>
      <c r="AD1145" s="459"/>
      <c r="AE1145" s="459"/>
      <c r="AF1145" s="459"/>
      <c r="AG1145" s="459"/>
      <c r="AH1145" s="459"/>
      <c r="AI1145" s="459"/>
      <c r="AJ1145" s="459"/>
      <c r="AK1145" s="459"/>
      <c r="AL1145" s="459"/>
      <c r="AM1145" s="459"/>
      <c r="AN1145" s="459"/>
      <c r="AO1145" s="459"/>
      <c r="AP1145" s="460"/>
      <c r="AQ1145" s="460"/>
      <c r="AR1145" s="460"/>
      <c r="AS1145" s="460"/>
      <c r="AT1145" s="460"/>
      <c r="AU1145" s="460"/>
      <c r="AV1145" s="460"/>
      <c r="AW1145" s="460"/>
      <c r="AX1145" s="460"/>
      <c r="AY1145" s="460"/>
      <c r="AZ1145" s="460"/>
      <c r="BA1145" s="460"/>
      <c r="BB1145" s="460"/>
      <c r="BC1145" s="460"/>
      <c r="BD1145" s="460"/>
      <c r="BE1145" s="460"/>
      <c r="BF1145" s="460"/>
      <c r="BG1145" s="460"/>
      <c r="BH1145" s="460"/>
      <c r="BI1145" s="460"/>
      <c r="BJ1145" s="460"/>
      <c r="BK1145" s="460"/>
      <c r="BL1145" s="460"/>
      <c r="BM1145" s="460"/>
      <c r="BN1145" s="460"/>
      <c r="BO1145" s="460"/>
      <c r="BP1145" s="460"/>
      <c r="BQ1145" s="460"/>
      <c r="BR1145" s="460"/>
      <c r="BS1145" s="460"/>
      <c r="BT1145" s="460"/>
      <c r="BU1145" s="460"/>
      <c r="BV1145" s="460"/>
      <c r="BW1145" s="460"/>
      <c r="BX1145" s="460"/>
      <c r="BY1145" s="460"/>
      <c r="BZ1145" s="460"/>
      <c r="CA1145" s="460"/>
      <c r="CB1145" s="460"/>
      <c r="CC1145" s="460"/>
      <c r="CD1145" s="460"/>
      <c r="CE1145" s="460"/>
      <c r="CF1145" s="460"/>
      <c r="CG1145" s="460"/>
      <c r="CH1145" s="460"/>
      <c r="CI1145" s="460"/>
      <c r="CJ1145" s="460"/>
      <c r="CK1145" s="460"/>
    </row>
    <row r="1146" spans="1:191" s="266" customFormat="1" ht="36" customHeight="1" x14ac:dyDescent="0.25">
      <c r="A1146" s="329">
        <v>1</v>
      </c>
      <c r="B1146" s="39">
        <f>SUBTOTAL(103,$A$1000:A1146)</f>
        <v>135</v>
      </c>
      <c r="C1146" s="336" t="s">
        <v>1829</v>
      </c>
      <c r="D1146" s="330">
        <v>1962</v>
      </c>
      <c r="E1146" s="330"/>
      <c r="F1146" s="337" t="s">
        <v>48</v>
      </c>
      <c r="G1146" s="330">
        <v>2</v>
      </c>
      <c r="H1146" s="330" t="s">
        <v>56</v>
      </c>
      <c r="I1146" s="334">
        <v>520.79999999999995</v>
      </c>
      <c r="J1146" s="334">
        <v>455.1</v>
      </c>
      <c r="K1146" s="334">
        <v>413.6</v>
      </c>
      <c r="L1146" s="338">
        <v>32</v>
      </c>
      <c r="M1146" s="330" t="s">
        <v>46</v>
      </c>
      <c r="N1146" s="330" t="s">
        <v>47</v>
      </c>
      <c r="O1146" s="330" t="s">
        <v>49</v>
      </c>
      <c r="P1146" s="334">
        <v>2158336.3499999996</v>
      </c>
      <c r="Q1146" s="334">
        <v>0</v>
      </c>
      <c r="R1146" s="334">
        <v>0</v>
      </c>
      <c r="S1146" s="334">
        <f>P1146-Q1146-R1146</f>
        <v>2158336.3499999996</v>
      </c>
      <c r="T1146" s="38">
        <f t="shared" si="240"/>
        <v>4144.2710253456216</v>
      </c>
      <c r="U1146" s="38">
        <v>4723.9913018433181</v>
      </c>
      <c r="V1146" s="458">
        <f>U1146-T1146</f>
        <v>579.72027649769643</v>
      </c>
      <c r="W1146" s="458">
        <f>X1146+Y1146+Z1146+AA1146+AB1146+AD1146+AF1146+AH1146+AJ1146+AL1146+AN1146+AO1146</f>
        <v>4707.9332373271891</v>
      </c>
      <c r="X1146" s="458">
        <v>0</v>
      </c>
      <c r="Y1146" s="459">
        <v>0</v>
      </c>
      <c r="Z1146" s="459">
        <v>0</v>
      </c>
      <c r="AA1146" s="459">
        <v>0</v>
      </c>
      <c r="AB1146" s="459">
        <v>0</v>
      </c>
      <c r="AC1146" s="459">
        <v>0</v>
      </c>
      <c r="AD1146" s="459">
        <v>0</v>
      </c>
      <c r="AE1146" s="459">
        <v>393</v>
      </c>
      <c r="AF1146" s="458">
        <f>6238.91*AE1146/I1146</f>
        <v>4707.9332373271891</v>
      </c>
      <c r="AG1146" s="459">
        <v>0</v>
      </c>
      <c r="AH1146" s="458">
        <v>0</v>
      </c>
      <c r="AI1146" s="459">
        <v>0</v>
      </c>
      <c r="AJ1146" s="458">
        <v>0</v>
      </c>
      <c r="AK1146" s="459">
        <v>0</v>
      </c>
      <c r="AL1146" s="459">
        <v>0</v>
      </c>
      <c r="AM1146" s="459">
        <v>0</v>
      </c>
      <c r="AN1146" s="459"/>
      <c r="AO1146" s="459">
        <v>0</v>
      </c>
      <c r="AP1146" s="460"/>
      <c r="AQ1146" s="250"/>
      <c r="AR1146" s="250"/>
      <c r="AS1146" s="250"/>
      <c r="AT1146" s="250"/>
      <c r="AU1146" s="250"/>
      <c r="AV1146" s="250"/>
      <c r="AW1146" s="250"/>
      <c r="AX1146" s="250"/>
      <c r="AY1146" s="250"/>
      <c r="AZ1146" s="250"/>
      <c r="BA1146" s="250"/>
      <c r="BB1146" s="250"/>
      <c r="BC1146" s="250"/>
      <c r="BD1146" s="250"/>
      <c r="BE1146" s="250"/>
      <c r="BF1146" s="250"/>
      <c r="BG1146" s="250"/>
      <c r="BH1146" s="250"/>
      <c r="BI1146" s="250"/>
      <c r="BJ1146" s="250"/>
      <c r="BK1146" s="250"/>
      <c r="BL1146" s="250"/>
      <c r="BM1146" s="250"/>
      <c r="BN1146" s="250"/>
      <c r="BO1146" s="250"/>
      <c r="BP1146" s="250"/>
      <c r="BQ1146" s="250"/>
      <c r="BR1146" s="250"/>
      <c r="BS1146" s="250"/>
      <c r="BT1146" s="250"/>
      <c r="BU1146" s="250"/>
      <c r="BV1146" s="250"/>
      <c r="BW1146" s="250"/>
      <c r="BX1146" s="250"/>
      <c r="BY1146" s="250"/>
      <c r="BZ1146" s="250"/>
      <c r="CA1146" s="250"/>
      <c r="CB1146" s="250"/>
      <c r="CC1146" s="250"/>
      <c r="CD1146" s="250"/>
      <c r="CE1146" s="250"/>
      <c r="CF1146" s="250"/>
      <c r="CG1146" s="250"/>
      <c r="CH1146" s="250"/>
      <c r="CI1146" s="250"/>
      <c r="CJ1146" s="250"/>
      <c r="CK1146" s="250"/>
      <c r="DQ1146" s="339"/>
      <c r="DR1146" s="339"/>
      <c r="DS1146" s="339"/>
      <c r="EP1146" s="340"/>
      <c r="FS1146" s="341"/>
      <c r="GI1146" s="342"/>
    </row>
    <row r="1147" spans="1:191" s="329" customFormat="1" ht="36" customHeight="1" x14ac:dyDescent="0.25">
      <c r="B1147" s="33" t="s">
        <v>99</v>
      </c>
      <c r="C1147" s="33"/>
      <c r="D1147" s="330" t="s">
        <v>131</v>
      </c>
      <c r="E1147" s="330" t="s">
        <v>131</v>
      </c>
      <c r="F1147" s="330" t="s">
        <v>131</v>
      </c>
      <c r="G1147" s="330" t="s">
        <v>131</v>
      </c>
      <c r="H1147" s="330" t="s">
        <v>131</v>
      </c>
      <c r="I1147" s="334">
        <f>I1148</f>
        <v>3156.2</v>
      </c>
      <c r="J1147" s="334">
        <f>J1148</f>
        <v>2811.5</v>
      </c>
      <c r="K1147" s="334">
        <f>K1148</f>
        <v>759.56</v>
      </c>
      <c r="L1147" s="332">
        <f>L1148</f>
        <v>151</v>
      </c>
      <c r="M1147" s="330" t="s">
        <v>131</v>
      </c>
      <c r="N1147" s="330" t="s">
        <v>131</v>
      </c>
      <c r="O1147" s="333" t="s">
        <v>131</v>
      </c>
      <c r="P1147" s="334">
        <v>2000000</v>
      </c>
      <c r="Q1147" s="334">
        <f>Q1148</f>
        <v>0</v>
      </c>
      <c r="R1147" s="334">
        <f>R1148</f>
        <v>0</v>
      </c>
      <c r="S1147" s="334">
        <f>S1148</f>
        <v>2000000</v>
      </c>
      <c r="T1147" s="38">
        <f t="shared" si="240"/>
        <v>633.67340472720366</v>
      </c>
      <c r="U1147" s="38">
        <f>U1148</f>
        <v>1338.6357743489004</v>
      </c>
      <c r="V1147" s="458">
        <f t="shared" si="238"/>
        <v>704.96236962169678</v>
      </c>
      <c r="W1147" s="458"/>
      <c r="X1147" s="458"/>
      <c r="Y1147" s="459"/>
      <c r="Z1147" s="459"/>
      <c r="AA1147" s="459"/>
      <c r="AB1147" s="459"/>
      <c r="AC1147" s="459"/>
      <c r="AD1147" s="459"/>
      <c r="AE1147" s="459"/>
      <c r="AF1147" s="459"/>
      <c r="AG1147" s="459"/>
      <c r="AH1147" s="459"/>
      <c r="AI1147" s="459"/>
      <c r="AJ1147" s="459"/>
      <c r="AK1147" s="459"/>
      <c r="AL1147" s="459"/>
      <c r="AM1147" s="459"/>
      <c r="AN1147" s="459"/>
      <c r="AO1147" s="459"/>
      <c r="AP1147" s="460"/>
      <c r="AQ1147" s="460"/>
      <c r="AR1147" s="460"/>
      <c r="AS1147" s="460"/>
      <c r="AT1147" s="460"/>
      <c r="AU1147" s="460"/>
      <c r="AV1147" s="460"/>
      <c r="AW1147" s="460"/>
      <c r="AX1147" s="460"/>
      <c r="AY1147" s="460"/>
      <c r="AZ1147" s="460"/>
      <c r="BA1147" s="460"/>
      <c r="BB1147" s="460"/>
      <c r="BC1147" s="460"/>
      <c r="BD1147" s="460"/>
      <c r="BE1147" s="460"/>
      <c r="BF1147" s="460"/>
      <c r="BG1147" s="460"/>
      <c r="BH1147" s="460"/>
      <c r="BI1147" s="460"/>
      <c r="BJ1147" s="460"/>
      <c r="BK1147" s="460"/>
      <c r="BL1147" s="460"/>
      <c r="BM1147" s="460"/>
      <c r="BN1147" s="460"/>
      <c r="BO1147" s="460"/>
      <c r="BP1147" s="460"/>
      <c r="BQ1147" s="460"/>
      <c r="BR1147" s="460"/>
      <c r="BS1147" s="460"/>
      <c r="BT1147" s="460"/>
      <c r="BU1147" s="460"/>
      <c r="BV1147" s="460"/>
      <c r="BW1147" s="460"/>
      <c r="BX1147" s="460"/>
      <c r="BY1147" s="460"/>
      <c r="BZ1147" s="460"/>
      <c r="CA1147" s="460"/>
      <c r="CB1147" s="460"/>
      <c r="CC1147" s="460"/>
      <c r="CD1147" s="460"/>
      <c r="CE1147" s="460"/>
      <c r="CF1147" s="460"/>
      <c r="CG1147" s="460"/>
      <c r="CH1147" s="460"/>
      <c r="CI1147" s="460"/>
      <c r="CJ1147" s="460"/>
      <c r="CK1147" s="460"/>
    </row>
    <row r="1148" spans="1:191" s="329" customFormat="1" ht="36" customHeight="1" x14ac:dyDescent="0.25">
      <c r="A1148" s="329">
        <v>1</v>
      </c>
      <c r="B1148" s="39">
        <f>SUBTOTAL(103,$A$1000:A1148)</f>
        <v>136</v>
      </c>
      <c r="C1148" s="33" t="s">
        <v>1830</v>
      </c>
      <c r="D1148" s="330">
        <v>1990</v>
      </c>
      <c r="E1148" s="330"/>
      <c r="F1148" s="331" t="s">
        <v>2150</v>
      </c>
      <c r="G1148" s="330">
        <v>5</v>
      </c>
      <c r="H1148" s="330" t="s">
        <v>59</v>
      </c>
      <c r="I1148" s="334">
        <v>3156.2</v>
      </c>
      <c r="J1148" s="334">
        <v>2811.5</v>
      </c>
      <c r="K1148" s="334">
        <v>759.56</v>
      </c>
      <c r="L1148" s="332">
        <v>151</v>
      </c>
      <c r="M1148" s="330" t="s">
        <v>46</v>
      </c>
      <c r="N1148" s="330" t="s">
        <v>50</v>
      </c>
      <c r="O1148" s="333" t="s">
        <v>2151</v>
      </c>
      <c r="P1148" s="38">
        <v>2000000</v>
      </c>
      <c r="Q1148" s="38">
        <v>0</v>
      </c>
      <c r="R1148" s="38">
        <v>0</v>
      </c>
      <c r="S1148" s="38">
        <f>P1148-Q1148-R1148</f>
        <v>2000000</v>
      </c>
      <c r="T1148" s="38">
        <f t="shared" si="240"/>
        <v>633.67340472720366</v>
      </c>
      <c r="U1148" s="38">
        <v>1338.6357743489004</v>
      </c>
      <c r="V1148" s="458">
        <f>U1148-T1148</f>
        <v>704.96236962169678</v>
      </c>
      <c r="W1148" s="458">
        <f>X1148+Y1148+Z1148+AA1148+AB1148+AD1148+AF1148+AH1148+AJ1148+AL1148+AN1148+AO1148</f>
        <v>1334.0854061846526</v>
      </c>
      <c r="X1148" s="458">
        <v>0</v>
      </c>
      <c r="Y1148" s="459">
        <v>0</v>
      </c>
      <c r="Z1148" s="459">
        <v>0</v>
      </c>
      <c r="AA1148" s="459">
        <v>0</v>
      </c>
      <c r="AB1148" s="459">
        <v>0</v>
      </c>
      <c r="AC1148" s="459">
        <v>0</v>
      </c>
      <c r="AD1148" s="459">
        <v>0</v>
      </c>
      <c r="AE1148" s="459">
        <v>674.9</v>
      </c>
      <c r="AF1148" s="458">
        <f>6238.91*AE1148/I1148</f>
        <v>1334.0854061846526</v>
      </c>
      <c r="AG1148" s="459">
        <v>0</v>
      </c>
      <c r="AH1148" s="458">
        <v>0</v>
      </c>
      <c r="AI1148" s="459">
        <v>0</v>
      </c>
      <c r="AJ1148" s="458">
        <v>0</v>
      </c>
      <c r="AK1148" s="459">
        <v>0</v>
      </c>
      <c r="AL1148" s="459">
        <v>0</v>
      </c>
      <c r="AM1148" s="459">
        <v>0</v>
      </c>
      <c r="AN1148" s="459"/>
      <c r="AO1148" s="459">
        <v>0</v>
      </c>
      <c r="AP1148" s="460"/>
      <c r="AQ1148" s="460"/>
      <c r="AR1148" s="460"/>
      <c r="AS1148" s="460"/>
      <c r="AT1148" s="460"/>
      <c r="AU1148" s="460"/>
      <c r="AV1148" s="460"/>
      <c r="AW1148" s="460"/>
      <c r="AX1148" s="460"/>
      <c r="AY1148" s="460"/>
      <c r="AZ1148" s="460"/>
      <c r="BA1148" s="460"/>
      <c r="BB1148" s="460"/>
      <c r="BC1148" s="460"/>
      <c r="BD1148" s="460"/>
      <c r="BE1148" s="460"/>
      <c r="BF1148" s="460"/>
      <c r="BG1148" s="460"/>
      <c r="BH1148" s="460"/>
      <c r="BI1148" s="460"/>
      <c r="BJ1148" s="460"/>
      <c r="BK1148" s="460"/>
      <c r="BL1148" s="460"/>
      <c r="BM1148" s="460"/>
      <c r="BN1148" s="460"/>
      <c r="BO1148" s="460"/>
      <c r="BP1148" s="460"/>
      <c r="BQ1148" s="460"/>
      <c r="BR1148" s="460"/>
      <c r="BS1148" s="460"/>
      <c r="BT1148" s="460"/>
      <c r="BU1148" s="460"/>
      <c r="BV1148" s="460"/>
      <c r="BW1148" s="460"/>
      <c r="BX1148" s="460"/>
      <c r="BY1148" s="460"/>
      <c r="BZ1148" s="460"/>
      <c r="CA1148" s="460"/>
      <c r="CB1148" s="460"/>
      <c r="CC1148" s="460"/>
      <c r="CD1148" s="460"/>
      <c r="CE1148" s="460"/>
      <c r="CF1148" s="460"/>
      <c r="CG1148" s="460"/>
      <c r="CH1148" s="460"/>
      <c r="CI1148" s="460"/>
      <c r="CJ1148" s="460"/>
      <c r="CK1148" s="460"/>
    </row>
    <row r="1149" spans="1:191" s="329" customFormat="1" ht="36" customHeight="1" x14ac:dyDescent="0.25">
      <c r="B1149" s="33" t="s">
        <v>100</v>
      </c>
      <c r="C1149" s="33"/>
      <c r="D1149" s="330" t="s">
        <v>131</v>
      </c>
      <c r="E1149" s="330" t="s">
        <v>131</v>
      </c>
      <c r="F1149" s="330" t="s">
        <v>131</v>
      </c>
      <c r="G1149" s="330" t="s">
        <v>131</v>
      </c>
      <c r="H1149" s="330" t="s">
        <v>131</v>
      </c>
      <c r="I1149" s="334">
        <f>SUM(I1150:I1155)</f>
        <v>11293.6</v>
      </c>
      <c r="J1149" s="334">
        <f>SUM(J1150:J1155)</f>
        <v>11107.800000000001</v>
      </c>
      <c r="K1149" s="334">
        <f>SUM(K1150:K1155)</f>
        <v>9948.5</v>
      </c>
      <c r="L1149" s="332">
        <f>SUM(L1150:L1155)</f>
        <v>522</v>
      </c>
      <c r="M1149" s="330" t="s">
        <v>131</v>
      </c>
      <c r="N1149" s="330" t="s">
        <v>131</v>
      </c>
      <c r="O1149" s="333" t="s">
        <v>131</v>
      </c>
      <c r="P1149" s="38">
        <v>19139362.629999999</v>
      </c>
      <c r="Q1149" s="38">
        <f>SUM(Q1150:Q1155)</f>
        <v>0</v>
      </c>
      <c r="R1149" s="38">
        <f>SUM(R1150:R1155)</f>
        <v>0</v>
      </c>
      <c r="S1149" s="38">
        <f>SUM(S1150:S1155)</f>
        <v>19139362.629999999</v>
      </c>
      <c r="T1149" s="38">
        <f t="shared" si="240"/>
        <v>1694.7087403485159</v>
      </c>
      <c r="U1149" s="38">
        <f>MAX(U1150:U1155)</f>
        <v>9517.2893682588601</v>
      </c>
      <c r="V1149" s="458">
        <f t="shared" si="238"/>
        <v>7822.5806279103444</v>
      </c>
      <c r="W1149" s="458"/>
      <c r="X1149" s="458"/>
      <c r="Y1149" s="459"/>
      <c r="Z1149" s="459"/>
      <c r="AA1149" s="459"/>
      <c r="AB1149" s="459"/>
      <c r="AC1149" s="459"/>
      <c r="AD1149" s="459"/>
      <c r="AE1149" s="459"/>
      <c r="AF1149" s="459"/>
      <c r="AG1149" s="459"/>
      <c r="AH1149" s="459"/>
      <c r="AI1149" s="459"/>
      <c r="AJ1149" s="459"/>
      <c r="AK1149" s="459"/>
      <c r="AL1149" s="459"/>
      <c r="AM1149" s="459"/>
      <c r="AN1149" s="459"/>
      <c r="AO1149" s="459"/>
      <c r="AP1149" s="460"/>
      <c r="AQ1149" s="460"/>
      <c r="AR1149" s="460"/>
      <c r="AS1149" s="460"/>
      <c r="AT1149" s="460"/>
      <c r="AU1149" s="460"/>
      <c r="AV1149" s="460"/>
      <c r="AW1149" s="460"/>
      <c r="AX1149" s="460"/>
      <c r="AY1149" s="460"/>
      <c r="AZ1149" s="460"/>
      <c r="BA1149" s="460"/>
      <c r="BB1149" s="460"/>
      <c r="BC1149" s="460"/>
      <c r="BD1149" s="460"/>
      <c r="BE1149" s="460"/>
      <c r="BF1149" s="460"/>
      <c r="BG1149" s="460"/>
      <c r="BH1149" s="460"/>
      <c r="BI1149" s="460"/>
      <c r="BJ1149" s="460"/>
      <c r="BK1149" s="460"/>
      <c r="BL1149" s="460"/>
      <c r="BM1149" s="460"/>
      <c r="BN1149" s="460"/>
      <c r="BO1149" s="460"/>
      <c r="BP1149" s="460"/>
      <c r="BQ1149" s="460"/>
      <c r="BR1149" s="460"/>
      <c r="BS1149" s="460"/>
      <c r="BT1149" s="460"/>
      <c r="BU1149" s="460"/>
      <c r="BV1149" s="460"/>
      <c r="BW1149" s="460"/>
      <c r="BX1149" s="460"/>
      <c r="BY1149" s="460"/>
      <c r="BZ1149" s="460"/>
      <c r="CA1149" s="460"/>
      <c r="CB1149" s="460"/>
      <c r="CC1149" s="460"/>
      <c r="CD1149" s="460"/>
      <c r="CE1149" s="460"/>
      <c r="CF1149" s="460"/>
      <c r="CG1149" s="460"/>
      <c r="CH1149" s="460"/>
      <c r="CI1149" s="460"/>
      <c r="CJ1149" s="460"/>
      <c r="CK1149" s="460"/>
    </row>
    <row r="1150" spans="1:191" s="266" customFormat="1" ht="36" customHeight="1" x14ac:dyDescent="0.25">
      <c r="A1150" s="329">
        <v>1</v>
      </c>
      <c r="B1150" s="39">
        <f>SUBTOTAL(103,$A$1000:A1150)</f>
        <v>137</v>
      </c>
      <c r="C1150" s="336" t="s">
        <v>1831</v>
      </c>
      <c r="D1150" s="330">
        <v>1963</v>
      </c>
      <c r="E1150" s="330"/>
      <c r="F1150" s="337" t="s">
        <v>68</v>
      </c>
      <c r="G1150" s="330">
        <v>2</v>
      </c>
      <c r="H1150" s="330" t="s">
        <v>56</v>
      </c>
      <c r="I1150" s="334">
        <v>279.7</v>
      </c>
      <c r="J1150" s="334">
        <v>175.8</v>
      </c>
      <c r="K1150" s="334">
        <v>175.8</v>
      </c>
      <c r="L1150" s="338">
        <v>24</v>
      </c>
      <c r="M1150" s="330" t="s">
        <v>46</v>
      </c>
      <c r="N1150" s="330" t="s">
        <v>47</v>
      </c>
      <c r="O1150" s="330" t="s">
        <v>49</v>
      </c>
      <c r="P1150" s="334">
        <v>1358190.18</v>
      </c>
      <c r="Q1150" s="334">
        <v>0</v>
      </c>
      <c r="R1150" s="334">
        <v>0</v>
      </c>
      <c r="S1150" s="334">
        <f t="shared" ref="S1150:S1155" si="249">P1150-Q1150-R1150</f>
        <v>1358190.18</v>
      </c>
      <c r="T1150" s="38">
        <f t="shared" si="240"/>
        <v>4855.8819449410084</v>
      </c>
      <c r="U1150" s="38">
        <v>5821.5066821594564</v>
      </c>
      <c r="V1150" s="458">
        <f t="shared" si="238"/>
        <v>965.62473721844799</v>
      </c>
      <c r="W1150" s="458">
        <f t="shared" ref="W1150:W1155" si="250">X1150+Y1150+Z1150+AA1150+AB1150+AD1150+AF1150+AH1150+AJ1150+AL1150+AN1150+AO1150</f>
        <v>5801.7178798712912</v>
      </c>
      <c r="X1150" s="458">
        <v>0</v>
      </c>
      <c r="Y1150" s="459">
        <v>0</v>
      </c>
      <c r="Z1150" s="459">
        <v>0</v>
      </c>
      <c r="AA1150" s="459">
        <v>0</v>
      </c>
      <c r="AB1150" s="459">
        <v>0</v>
      </c>
      <c r="AC1150" s="459">
        <v>0</v>
      </c>
      <c r="AD1150" s="459">
        <v>0</v>
      </c>
      <c r="AE1150" s="459">
        <v>260.10000000000002</v>
      </c>
      <c r="AF1150" s="458">
        <f>6238.91*AE1150/I1150</f>
        <v>5801.7178798712912</v>
      </c>
      <c r="AG1150" s="459">
        <v>0</v>
      </c>
      <c r="AH1150" s="458">
        <v>0</v>
      </c>
      <c r="AI1150" s="459">
        <v>0</v>
      </c>
      <c r="AJ1150" s="458">
        <v>0</v>
      </c>
      <c r="AK1150" s="459">
        <v>0</v>
      </c>
      <c r="AL1150" s="459">
        <v>0</v>
      </c>
      <c r="AM1150" s="459">
        <v>0</v>
      </c>
      <c r="AN1150" s="459"/>
      <c r="AO1150" s="459">
        <v>0</v>
      </c>
      <c r="AP1150" s="460"/>
      <c r="AQ1150" s="250"/>
      <c r="AR1150" s="250"/>
      <c r="AS1150" s="250"/>
      <c r="AT1150" s="250"/>
      <c r="AU1150" s="250"/>
      <c r="AV1150" s="250"/>
      <c r="AW1150" s="250"/>
      <c r="AX1150" s="250"/>
      <c r="AY1150" s="250"/>
      <c r="AZ1150" s="250"/>
      <c r="BA1150" s="250"/>
      <c r="BB1150" s="250"/>
      <c r="BC1150" s="250"/>
      <c r="BD1150" s="250"/>
      <c r="BE1150" s="250"/>
      <c r="BF1150" s="250"/>
      <c r="BG1150" s="250"/>
      <c r="BH1150" s="250"/>
      <c r="BI1150" s="250"/>
      <c r="BJ1150" s="250"/>
      <c r="BK1150" s="250"/>
      <c r="BL1150" s="250"/>
      <c r="BM1150" s="250"/>
      <c r="BN1150" s="250"/>
      <c r="BO1150" s="250"/>
      <c r="BP1150" s="250"/>
      <c r="BQ1150" s="250"/>
      <c r="BR1150" s="250"/>
      <c r="BS1150" s="250"/>
      <c r="BT1150" s="250"/>
      <c r="BU1150" s="250"/>
      <c r="BV1150" s="250"/>
      <c r="BW1150" s="250"/>
      <c r="BX1150" s="250"/>
      <c r="BY1150" s="250"/>
      <c r="BZ1150" s="250"/>
      <c r="CA1150" s="250"/>
      <c r="CB1150" s="250"/>
      <c r="CC1150" s="250"/>
      <c r="CD1150" s="250"/>
      <c r="CE1150" s="250"/>
      <c r="CF1150" s="250"/>
      <c r="CG1150" s="250"/>
      <c r="CH1150" s="250"/>
      <c r="CI1150" s="250"/>
      <c r="CJ1150" s="250"/>
      <c r="CK1150" s="250"/>
      <c r="DQ1150" s="339"/>
      <c r="DR1150" s="339"/>
      <c r="DS1150" s="339"/>
      <c r="EP1150" s="340"/>
      <c r="FS1150" s="341"/>
      <c r="GI1150" s="342"/>
    </row>
    <row r="1151" spans="1:191" s="266" customFormat="1" ht="36" customHeight="1" x14ac:dyDescent="0.25">
      <c r="A1151" s="329">
        <v>1</v>
      </c>
      <c r="B1151" s="39">
        <f>SUBTOTAL(103,$A$1000:A1151)</f>
        <v>138</v>
      </c>
      <c r="C1151" s="336" t="s">
        <v>1832</v>
      </c>
      <c r="D1151" s="330">
        <v>1981</v>
      </c>
      <c r="E1151" s="330"/>
      <c r="F1151" s="337" t="s">
        <v>48</v>
      </c>
      <c r="G1151" s="330">
        <v>5</v>
      </c>
      <c r="H1151" s="330" t="s">
        <v>59</v>
      </c>
      <c r="I1151" s="334">
        <v>2798</v>
      </c>
      <c r="J1151" s="334">
        <v>2798</v>
      </c>
      <c r="K1151" s="334">
        <v>1700.7</v>
      </c>
      <c r="L1151" s="338">
        <v>156</v>
      </c>
      <c r="M1151" s="330" t="s">
        <v>46</v>
      </c>
      <c r="N1151" s="330" t="s">
        <v>50</v>
      </c>
      <c r="O1151" s="330" t="s">
        <v>2052</v>
      </c>
      <c r="P1151" s="334">
        <v>3973325</v>
      </c>
      <c r="Q1151" s="334">
        <v>0</v>
      </c>
      <c r="R1151" s="334">
        <v>0</v>
      </c>
      <c r="S1151" s="334">
        <f t="shared" si="249"/>
        <v>3973325</v>
      </c>
      <c r="T1151" s="38">
        <f t="shared" si="240"/>
        <v>1420.0589706933524</v>
      </c>
      <c r="U1151" s="38">
        <v>1901.7732308791994</v>
      </c>
      <c r="V1151" s="458">
        <f t="shared" si="238"/>
        <v>481.71426018584702</v>
      </c>
      <c r="W1151" s="458">
        <f t="shared" si="250"/>
        <v>1895.3086132952108</v>
      </c>
      <c r="X1151" s="458">
        <v>0</v>
      </c>
      <c r="Y1151" s="459">
        <v>0</v>
      </c>
      <c r="Z1151" s="459">
        <v>0</v>
      </c>
      <c r="AA1151" s="459">
        <v>0</v>
      </c>
      <c r="AB1151" s="459">
        <v>0</v>
      </c>
      <c r="AC1151" s="459">
        <v>0</v>
      </c>
      <c r="AD1151" s="459">
        <v>0</v>
      </c>
      <c r="AE1151" s="459">
        <v>850</v>
      </c>
      <c r="AF1151" s="458">
        <f>6238.91*AE1151/I1151</f>
        <v>1895.3086132952108</v>
      </c>
      <c r="AG1151" s="459">
        <v>0</v>
      </c>
      <c r="AH1151" s="458">
        <v>0</v>
      </c>
      <c r="AI1151" s="459">
        <v>0</v>
      </c>
      <c r="AJ1151" s="458">
        <v>0</v>
      </c>
      <c r="AK1151" s="459">
        <v>0</v>
      </c>
      <c r="AL1151" s="459">
        <v>0</v>
      </c>
      <c r="AM1151" s="459">
        <v>0</v>
      </c>
      <c r="AN1151" s="459"/>
      <c r="AO1151" s="459">
        <v>0</v>
      </c>
      <c r="AP1151" s="460"/>
      <c r="AQ1151" s="250"/>
      <c r="AR1151" s="250"/>
      <c r="AS1151" s="250"/>
      <c r="AT1151" s="250"/>
      <c r="AU1151" s="250"/>
      <c r="AV1151" s="250"/>
      <c r="AW1151" s="250"/>
      <c r="AX1151" s="250"/>
      <c r="AY1151" s="250"/>
      <c r="AZ1151" s="250"/>
      <c r="BA1151" s="250"/>
      <c r="BB1151" s="250"/>
      <c r="BC1151" s="250"/>
      <c r="BD1151" s="250"/>
      <c r="BE1151" s="250"/>
      <c r="BF1151" s="250"/>
      <c r="BG1151" s="250"/>
      <c r="BH1151" s="250"/>
      <c r="BI1151" s="250"/>
      <c r="BJ1151" s="250"/>
      <c r="BK1151" s="250"/>
      <c r="BL1151" s="250"/>
      <c r="BM1151" s="250"/>
      <c r="BN1151" s="250"/>
      <c r="BO1151" s="250"/>
      <c r="BP1151" s="250"/>
      <c r="BQ1151" s="250"/>
      <c r="BR1151" s="250"/>
      <c r="BS1151" s="250"/>
      <c r="BT1151" s="250"/>
      <c r="BU1151" s="250"/>
      <c r="BV1151" s="250"/>
      <c r="BW1151" s="250"/>
      <c r="BX1151" s="250"/>
      <c r="BY1151" s="250"/>
      <c r="BZ1151" s="250"/>
      <c r="CA1151" s="250"/>
      <c r="CB1151" s="250"/>
      <c r="CC1151" s="250"/>
      <c r="CD1151" s="250"/>
      <c r="CE1151" s="250"/>
      <c r="CF1151" s="250"/>
      <c r="CG1151" s="250"/>
      <c r="CH1151" s="250"/>
      <c r="CI1151" s="250"/>
      <c r="CJ1151" s="250"/>
      <c r="CK1151" s="250"/>
      <c r="DQ1151" s="339"/>
      <c r="DR1151" s="339"/>
      <c r="DS1151" s="339"/>
      <c r="EP1151" s="340"/>
      <c r="FS1151" s="341"/>
      <c r="GI1151" s="342"/>
    </row>
    <row r="1152" spans="1:191" s="266" customFormat="1" ht="36" customHeight="1" x14ac:dyDescent="0.25">
      <c r="A1152" s="329">
        <v>1</v>
      </c>
      <c r="B1152" s="39">
        <f>SUBTOTAL(103,$A$1000:A1152)</f>
        <v>139</v>
      </c>
      <c r="C1152" s="336" t="s">
        <v>1833</v>
      </c>
      <c r="D1152" s="330">
        <v>1980</v>
      </c>
      <c r="E1152" s="330"/>
      <c r="F1152" s="337" t="s">
        <v>48</v>
      </c>
      <c r="G1152" s="330">
        <v>2</v>
      </c>
      <c r="H1152" s="330" t="s">
        <v>61</v>
      </c>
      <c r="I1152" s="334">
        <v>939.9</v>
      </c>
      <c r="J1152" s="334">
        <v>858</v>
      </c>
      <c r="K1152" s="334">
        <v>830.3</v>
      </c>
      <c r="L1152" s="338">
        <v>47</v>
      </c>
      <c r="M1152" s="330" t="s">
        <v>46</v>
      </c>
      <c r="N1152" s="330" t="s">
        <v>50</v>
      </c>
      <c r="O1152" s="330" t="s">
        <v>2153</v>
      </c>
      <c r="P1152" s="334">
        <v>2687908</v>
      </c>
      <c r="Q1152" s="334">
        <v>0</v>
      </c>
      <c r="R1152" s="334">
        <v>0</v>
      </c>
      <c r="S1152" s="334">
        <f t="shared" si="249"/>
        <v>2687908</v>
      </c>
      <c r="T1152" s="38">
        <f t="shared" si="240"/>
        <v>2859.7808277476329</v>
      </c>
      <c r="U1152" s="38">
        <v>3666.5970794765399</v>
      </c>
      <c r="V1152" s="458">
        <f t="shared" si="238"/>
        <v>806.81625172890699</v>
      </c>
      <c r="W1152" s="458">
        <f t="shared" si="250"/>
        <v>3654.1333705713378</v>
      </c>
      <c r="X1152" s="458">
        <v>0</v>
      </c>
      <c r="Y1152" s="459">
        <v>0</v>
      </c>
      <c r="Z1152" s="459">
        <v>0</v>
      </c>
      <c r="AA1152" s="459">
        <v>0</v>
      </c>
      <c r="AB1152" s="459">
        <v>0</v>
      </c>
      <c r="AC1152" s="459">
        <v>0</v>
      </c>
      <c r="AD1152" s="459">
        <v>0</v>
      </c>
      <c r="AE1152" s="459">
        <v>550.5</v>
      </c>
      <c r="AF1152" s="458">
        <f>6238.91*AE1152/I1152</f>
        <v>3654.1333705713378</v>
      </c>
      <c r="AG1152" s="459">
        <v>0</v>
      </c>
      <c r="AH1152" s="458">
        <v>0</v>
      </c>
      <c r="AI1152" s="459">
        <v>0</v>
      </c>
      <c r="AJ1152" s="458">
        <v>0</v>
      </c>
      <c r="AK1152" s="459">
        <v>0</v>
      </c>
      <c r="AL1152" s="459">
        <v>0</v>
      </c>
      <c r="AM1152" s="459">
        <v>0</v>
      </c>
      <c r="AN1152" s="459"/>
      <c r="AO1152" s="459">
        <v>0</v>
      </c>
      <c r="AP1152" s="460"/>
      <c r="AQ1152" s="250"/>
      <c r="AR1152" s="250"/>
      <c r="AS1152" s="250"/>
      <c r="AT1152" s="250"/>
      <c r="AU1152" s="250"/>
      <c r="AV1152" s="250"/>
      <c r="AW1152" s="250"/>
      <c r="AX1152" s="250"/>
      <c r="AY1152" s="250"/>
      <c r="AZ1152" s="250"/>
      <c r="BA1152" s="250"/>
      <c r="BB1152" s="250"/>
      <c r="BC1152" s="250"/>
      <c r="BD1152" s="250"/>
      <c r="BE1152" s="250"/>
      <c r="BF1152" s="250"/>
      <c r="BG1152" s="250"/>
      <c r="BH1152" s="250"/>
      <c r="BI1152" s="250"/>
      <c r="BJ1152" s="250"/>
      <c r="BK1152" s="250"/>
      <c r="BL1152" s="250"/>
      <c r="BM1152" s="250"/>
      <c r="BN1152" s="250"/>
      <c r="BO1152" s="250"/>
      <c r="BP1152" s="250"/>
      <c r="BQ1152" s="250"/>
      <c r="BR1152" s="250"/>
      <c r="BS1152" s="250"/>
      <c r="BT1152" s="250"/>
      <c r="BU1152" s="250"/>
      <c r="BV1152" s="250"/>
      <c r="BW1152" s="250"/>
      <c r="BX1152" s="250"/>
      <c r="BY1152" s="250"/>
      <c r="BZ1152" s="250"/>
      <c r="CA1152" s="250"/>
      <c r="CB1152" s="250"/>
      <c r="CC1152" s="250"/>
      <c r="CD1152" s="250"/>
      <c r="CE1152" s="250"/>
      <c r="CF1152" s="250"/>
      <c r="CG1152" s="250"/>
      <c r="CH1152" s="250"/>
      <c r="CI1152" s="250"/>
      <c r="CJ1152" s="250"/>
      <c r="CK1152" s="250"/>
      <c r="DQ1152" s="339"/>
      <c r="DR1152" s="339"/>
      <c r="DS1152" s="339"/>
      <c r="EP1152" s="340"/>
      <c r="FS1152" s="341"/>
      <c r="GI1152" s="342"/>
    </row>
    <row r="1153" spans="1:191" s="266" customFormat="1" ht="36" customHeight="1" x14ac:dyDescent="0.25">
      <c r="A1153" s="329">
        <v>1</v>
      </c>
      <c r="B1153" s="39">
        <f>SUBTOTAL(103,$A$1000:A1153)</f>
        <v>140</v>
      </c>
      <c r="C1153" s="336" t="s">
        <v>945</v>
      </c>
      <c r="D1153" s="330">
        <v>1993</v>
      </c>
      <c r="E1153" s="330"/>
      <c r="F1153" s="337" t="s">
        <v>60</v>
      </c>
      <c r="G1153" s="330">
        <v>5</v>
      </c>
      <c r="H1153" s="330" t="s">
        <v>61</v>
      </c>
      <c r="I1153" s="334">
        <v>3247.3</v>
      </c>
      <c r="J1153" s="334">
        <v>3247.3</v>
      </c>
      <c r="K1153" s="334">
        <v>3245</v>
      </c>
      <c r="L1153" s="338">
        <v>133</v>
      </c>
      <c r="M1153" s="330" t="s">
        <v>46</v>
      </c>
      <c r="N1153" s="330" t="s">
        <v>71</v>
      </c>
      <c r="O1153" s="330" t="s">
        <v>2152</v>
      </c>
      <c r="P1153" s="334">
        <v>5240868.3999999994</v>
      </c>
      <c r="Q1153" s="334">
        <v>0</v>
      </c>
      <c r="R1153" s="334">
        <v>0</v>
      </c>
      <c r="S1153" s="334">
        <f t="shared" si="249"/>
        <v>5240868.3999999994</v>
      </c>
      <c r="T1153" s="38">
        <f t="shared" si="240"/>
        <v>1613.915683798848</v>
      </c>
      <c r="U1153" s="38">
        <v>1831.4231823360944</v>
      </c>
      <c r="V1153" s="458">
        <f t="shared" si="238"/>
        <v>217.50749853724642</v>
      </c>
      <c r="W1153" s="458">
        <f t="shared" si="250"/>
        <v>1341.2967850214022</v>
      </c>
      <c r="X1153" s="458">
        <v>0</v>
      </c>
      <c r="Y1153" s="459">
        <v>0</v>
      </c>
      <c r="Z1153" s="459">
        <v>0</v>
      </c>
      <c r="AA1153" s="459">
        <v>0</v>
      </c>
      <c r="AB1153" s="459">
        <v>0</v>
      </c>
      <c r="AC1153" s="459">
        <v>0</v>
      </c>
      <c r="AD1153" s="459">
        <v>0</v>
      </c>
      <c r="AE1153" s="459">
        <v>0</v>
      </c>
      <c r="AF1153" s="458">
        <v>0</v>
      </c>
      <c r="AG1153" s="459">
        <v>0</v>
      </c>
      <c r="AH1153" s="458">
        <v>0</v>
      </c>
      <c r="AI1153" s="459">
        <v>585.5</v>
      </c>
      <c r="AJ1153" s="458">
        <f>7439.1*AI1153/I1153</f>
        <v>1341.2967850214022</v>
      </c>
      <c r="AK1153" s="459">
        <v>0</v>
      </c>
      <c r="AL1153" s="459">
        <v>0</v>
      </c>
      <c r="AM1153" s="459">
        <v>0</v>
      </c>
      <c r="AN1153" s="459"/>
      <c r="AO1153" s="459">
        <v>0</v>
      </c>
      <c r="AP1153" s="460"/>
      <c r="AQ1153" s="250"/>
      <c r="AR1153" s="250"/>
      <c r="AS1153" s="250"/>
      <c r="AT1153" s="250"/>
      <c r="AU1153" s="250"/>
      <c r="AV1153" s="250"/>
      <c r="AW1153" s="250"/>
      <c r="AX1153" s="250"/>
      <c r="AY1153" s="250"/>
      <c r="AZ1153" s="250"/>
      <c r="BA1153" s="250"/>
      <c r="BB1153" s="250"/>
      <c r="BC1153" s="250"/>
      <c r="BD1153" s="250"/>
      <c r="BE1153" s="250"/>
      <c r="BF1153" s="250"/>
      <c r="BG1153" s="250"/>
      <c r="BH1153" s="250"/>
      <c r="BI1153" s="250"/>
      <c r="BJ1153" s="250"/>
      <c r="BK1153" s="250"/>
      <c r="BL1153" s="250"/>
      <c r="BM1153" s="250"/>
      <c r="BN1153" s="250"/>
      <c r="BO1153" s="250"/>
      <c r="BP1153" s="250"/>
      <c r="BQ1153" s="250"/>
      <c r="BR1153" s="250"/>
      <c r="BS1153" s="250"/>
      <c r="BT1153" s="250"/>
      <c r="BU1153" s="250"/>
      <c r="BV1153" s="250"/>
      <c r="BW1153" s="250"/>
      <c r="BX1153" s="250"/>
      <c r="BY1153" s="250"/>
      <c r="BZ1153" s="250"/>
      <c r="CA1153" s="250"/>
      <c r="CB1153" s="250"/>
      <c r="CC1153" s="250"/>
      <c r="CD1153" s="250"/>
      <c r="CE1153" s="250"/>
      <c r="CF1153" s="250"/>
      <c r="CG1153" s="250"/>
      <c r="CH1153" s="250"/>
      <c r="CI1153" s="250"/>
      <c r="CJ1153" s="250"/>
      <c r="CK1153" s="250"/>
      <c r="DQ1153" s="339"/>
      <c r="DR1153" s="339"/>
      <c r="DS1153" s="339"/>
      <c r="EP1153" s="340"/>
      <c r="FS1153" s="341"/>
      <c r="GI1153" s="342"/>
    </row>
    <row r="1154" spans="1:191" s="266" customFormat="1" ht="36" customHeight="1" x14ac:dyDescent="0.25">
      <c r="A1154" s="329">
        <v>1</v>
      </c>
      <c r="B1154" s="39">
        <f>SUBTOTAL(103,$A$1000:A1154)</f>
        <v>141</v>
      </c>
      <c r="C1154" s="336" t="s">
        <v>1834</v>
      </c>
      <c r="D1154" s="330">
        <v>1983</v>
      </c>
      <c r="E1154" s="330"/>
      <c r="F1154" s="337" t="s">
        <v>48</v>
      </c>
      <c r="G1154" s="330">
        <v>9</v>
      </c>
      <c r="H1154" s="330" t="s">
        <v>56</v>
      </c>
      <c r="I1154" s="334">
        <v>3834</v>
      </c>
      <c r="J1154" s="334">
        <v>3834</v>
      </c>
      <c r="K1154" s="334">
        <v>3802</v>
      </c>
      <c r="L1154" s="338">
        <v>141</v>
      </c>
      <c r="M1154" s="330" t="s">
        <v>46</v>
      </c>
      <c r="N1154" s="330" t="s">
        <v>71</v>
      </c>
      <c r="O1154" s="330" t="s">
        <v>2192</v>
      </c>
      <c r="P1154" s="334">
        <v>4496606</v>
      </c>
      <c r="Q1154" s="334">
        <v>0</v>
      </c>
      <c r="R1154" s="334">
        <v>0</v>
      </c>
      <c r="S1154" s="334">
        <f t="shared" si="249"/>
        <v>4496606</v>
      </c>
      <c r="T1154" s="38">
        <f t="shared" si="240"/>
        <v>1172.8236828377674</v>
      </c>
      <c r="U1154" s="38">
        <v>1282.1074595722482</v>
      </c>
      <c r="V1154" s="458">
        <f t="shared" si="238"/>
        <v>109.28377673448085</v>
      </c>
      <c r="W1154" s="458">
        <f t="shared" si="250"/>
        <v>1545.8958007303079</v>
      </c>
      <c r="X1154" s="458">
        <v>0</v>
      </c>
      <c r="Y1154" s="459">
        <v>0</v>
      </c>
      <c r="Z1154" s="459">
        <v>0</v>
      </c>
      <c r="AA1154" s="459">
        <v>0</v>
      </c>
      <c r="AB1154" s="459">
        <v>0</v>
      </c>
      <c r="AC1154" s="459">
        <v>0</v>
      </c>
      <c r="AD1154" s="459">
        <v>0</v>
      </c>
      <c r="AE1154" s="459">
        <v>950</v>
      </c>
      <c r="AF1154" s="458">
        <f>6238.91*AE1154/I1154</f>
        <v>1545.8958007303079</v>
      </c>
      <c r="AG1154" s="459">
        <v>0</v>
      </c>
      <c r="AH1154" s="458">
        <v>0</v>
      </c>
      <c r="AI1154" s="459">
        <v>0</v>
      </c>
      <c r="AJ1154" s="458">
        <v>0</v>
      </c>
      <c r="AK1154" s="459">
        <v>0</v>
      </c>
      <c r="AL1154" s="459">
        <v>0</v>
      </c>
      <c r="AM1154" s="459">
        <v>0</v>
      </c>
      <c r="AN1154" s="459"/>
      <c r="AO1154" s="459">
        <v>0</v>
      </c>
      <c r="AP1154" s="460"/>
      <c r="AQ1154" s="250"/>
      <c r="AR1154" s="250"/>
      <c r="AS1154" s="250"/>
      <c r="AT1154" s="250"/>
      <c r="AU1154" s="250"/>
      <c r="AV1154" s="250"/>
      <c r="AW1154" s="250"/>
      <c r="AX1154" s="250"/>
      <c r="AY1154" s="250"/>
      <c r="AZ1154" s="250"/>
      <c r="BA1154" s="250"/>
      <c r="BB1154" s="250"/>
      <c r="BC1154" s="250"/>
      <c r="BD1154" s="250"/>
      <c r="BE1154" s="250"/>
      <c r="BF1154" s="250"/>
      <c r="BG1154" s="250"/>
      <c r="BH1154" s="250"/>
      <c r="BI1154" s="250"/>
      <c r="BJ1154" s="250"/>
      <c r="BK1154" s="250"/>
      <c r="BL1154" s="250"/>
      <c r="BM1154" s="250"/>
      <c r="BN1154" s="250"/>
      <c r="BO1154" s="250"/>
      <c r="BP1154" s="250"/>
      <c r="BQ1154" s="250"/>
      <c r="BR1154" s="250"/>
      <c r="BS1154" s="250"/>
      <c r="BT1154" s="250"/>
      <c r="BU1154" s="250"/>
      <c r="BV1154" s="250"/>
      <c r="BW1154" s="250"/>
      <c r="BX1154" s="250"/>
      <c r="BY1154" s="250"/>
      <c r="BZ1154" s="250"/>
      <c r="CA1154" s="250"/>
      <c r="CB1154" s="250"/>
      <c r="CC1154" s="250"/>
      <c r="CD1154" s="250"/>
      <c r="CE1154" s="250"/>
      <c r="CF1154" s="250"/>
      <c r="CG1154" s="250"/>
      <c r="CH1154" s="250"/>
      <c r="CI1154" s="250"/>
      <c r="CJ1154" s="250"/>
      <c r="CK1154" s="250"/>
      <c r="DQ1154" s="339"/>
      <c r="DR1154" s="339"/>
      <c r="DS1154" s="339"/>
      <c r="EP1154" s="340"/>
      <c r="FS1154" s="341"/>
      <c r="GI1154" s="342"/>
    </row>
    <row r="1155" spans="1:191" s="266" customFormat="1" ht="36" customHeight="1" x14ac:dyDescent="0.25">
      <c r="A1155" s="329">
        <v>1</v>
      </c>
      <c r="B1155" s="39">
        <f>SUBTOTAL(103,$A$1000:A1155)</f>
        <v>142</v>
      </c>
      <c r="C1155" s="336" t="s">
        <v>1835</v>
      </c>
      <c r="D1155" s="330">
        <v>1959</v>
      </c>
      <c r="E1155" s="330"/>
      <c r="F1155" s="337" t="s">
        <v>1981</v>
      </c>
      <c r="G1155" s="330" t="s">
        <v>56</v>
      </c>
      <c r="H1155" s="330">
        <v>1</v>
      </c>
      <c r="I1155" s="334">
        <v>194.7</v>
      </c>
      <c r="J1155" s="334">
        <v>194.7</v>
      </c>
      <c r="K1155" s="334">
        <v>194.7</v>
      </c>
      <c r="L1155" s="338">
        <v>21</v>
      </c>
      <c r="M1155" s="330" t="s">
        <v>46</v>
      </c>
      <c r="N1155" s="330" t="s">
        <v>47</v>
      </c>
      <c r="O1155" s="330" t="s">
        <v>49</v>
      </c>
      <c r="P1155" s="334">
        <v>1382465.05</v>
      </c>
      <c r="Q1155" s="334">
        <v>0</v>
      </c>
      <c r="R1155" s="334">
        <v>0</v>
      </c>
      <c r="S1155" s="334">
        <f t="shared" si="249"/>
        <v>1382465.05</v>
      </c>
      <c r="T1155" s="38">
        <f t="shared" si="240"/>
        <v>7100.4881869542896</v>
      </c>
      <c r="U1155" s="38">
        <v>9517.2893682588601</v>
      </c>
      <c r="V1155" s="458">
        <f t="shared" si="238"/>
        <v>2416.8011813045705</v>
      </c>
      <c r="W1155" s="458">
        <f t="shared" si="250"/>
        <v>25247.046738572164</v>
      </c>
      <c r="X1155" s="458">
        <v>0</v>
      </c>
      <c r="Y1155" s="459">
        <v>0</v>
      </c>
      <c r="Z1155" s="459">
        <v>0</v>
      </c>
      <c r="AA1155" s="459">
        <v>0</v>
      </c>
      <c r="AB1155" s="459">
        <v>0</v>
      </c>
      <c r="AC1155" s="459">
        <v>2</v>
      </c>
      <c r="AD1155" s="458">
        <f>2457800*AC1155/I1155</f>
        <v>25247.046738572164</v>
      </c>
      <c r="AE1155" s="459">
        <v>0</v>
      </c>
      <c r="AF1155" s="458">
        <v>0</v>
      </c>
      <c r="AG1155" s="459">
        <v>0</v>
      </c>
      <c r="AH1155" s="458">
        <v>0</v>
      </c>
      <c r="AI1155" s="459">
        <v>0</v>
      </c>
      <c r="AJ1155" s="458">
        <v>0</v>
      </c>
      <c r="AK1155" s="459">
        <v>0</v>
      </c>
      <c r="AL1155" s="459">
        <v>0</v>
      </c>
      <c r="AM1155" s="459">
        <v>0</v>
      </c>
      <c r="AN1155" s="459"/>
      <c r="AO1155" s="459">
        <v>0</v>
      </c>
      <c r="AP1155" s="460"/>
      <c r="AQ1155" s="250"/>
      <c r="AR1155" s="250"/>
      <c r="AS1155" s="250"/>
      <c r="AT1155" s="250"/>
      <c r="AU1155" s="250"/>
      <c r="AV1155" s="250"/>
      <c r="AW1155" s="250"/>
      <c r="AX1155" s="250"/>
      <c r="AY1155" s="250"/>
      <c r="AZ1155" s="250"/>
      <c r="BA1155" s="250"/>
      <c r="BB1155" s="250"/>
      <c r="BC1155" s="250"/>
      <c r="BD1155" s="250"/>
      <c r="BE1155" s="250"/>
      <c r="BF1155" s="250"/>
      <c r="BG1155" s="250"/>
      <c r="BH1155" s="250"/>
      <c r="BI1155" s="250"/>
      <c r="BJ1155" s="250"/>
      <c r="BK1155" s="250"/>
      <c r="BL1155" s="250"/>
      <c r="BM1155" s="250"/>
      <c r="BN1155" s="250"/>
      <c r="BO1155" s="250"/>
      <c r="BP1155" s="250"/>
      <c r="BQ1155" s="250"/>
      <c r="BR1155" s="250"/>
      <c r="BS1155" s="250"/>
      <c r="BT1155" s="250"/>
      <c r="BU1155" s="250"/>
      <c r="BV1155" s="250"/>
      <c r="BW1155" s="250"/>
      <c r="BX1155" s="250"/>
      <c r="BY1155" s="250"/>
      <c r="BZ1155" s="250"/>
      <c r="CA1155" s="250"/>
      <c r="CB1155" s="250"/>
      <c r="CC1155" s="250"/>
      <c r="CD1155" s="250"/>
      <c r="CE1155" s="250"/>
      <c r="CF1155" s="250"/>
      <c r="CG1155" s="250"/>
      <c r="CH1155" s="250"/>
      <c r="CI1155" s="250"/>
      <c r="CJ1155" s="250"/>
      <c r="CK1155" s="250"/>
      <c r="DQ1155" s="339"/>
      <c r="DR1155" s="339"/>
      <c r="DS1155" s="339"/>
      <c r="EP1155" s="340"/>
      <c r="FS1155" s="341"/>
      <c r="GI1155" s="342"/>
    </row>
    <row r="1156" spans="1:191" s="329" customFormat="1" ht="36" customHeight="1" x14ac:dyDescent="0.25">
      <c r="B1156" s="33" t="s">
        <v>101</v>
      </c>
      <c r="C1156" s="462"/>
      <c r="D1156" s="330" t="s">
        <v>131</v>
      </c>
      <c r="E1156" s="330" t="s">
        <v>131</v>
      </c>
      <c r="F1156" s="330" t="s">
        <v>131</v>
      </c>
      <c r="G1156" s="330" t="s">
        <v>131</v>
      </c>
      <c r="H1156" s="330" t="s">
        <v>131</v>
      </c>
      <c r="I1156" s="334">
        <f>SUM(I1157:I1159)</f>
        <v>6105.4</v>
      </c>
      <c r="J1156" s="334">
        <f>SUM(J1157:J1159)</f>
        <v>5837.7</v>
      </c>
      <c r="K1156" s="334">
        <f>SUM(K1157:K1159)</f>
        <v>5224.2</v>
      </c>
      <c r="L1156" s="332">
        <f>SUM(L1157:L1159)</f>
        <v>226</v>
      </c>
      <c r="M1156" s="330" t="s">
        <v>131</v>
      </c>
      <c r="N1156" s="330" t="s">
        <v>131</v>
      </c>
      <c r="O1156" s="333" t="s">
        <v>131</v>
      </c>
      <c r="P1156" s="38">
        <v>13813074.67</v>
      </c>
      <c r="Q1156" s="38">
        <f t="shared" ref="Q1156:S1156" si="251">SUM(Q1157:Q1159)</f>
        <v>0</v>
      </c>
      <c r="R1156" s="38">
        <f t="shared" si="251"/>
        <v>0</v>
      </c>
      <c r="S1156" s="38">
        <f t="shared" si="251"/>
        <v>13813074.67</v>
      </c>
      <c r="T1156" s="38">
        <f t="shared" si="240"/>
        <v>2262.4356585973073</v>
      </c>
      <c r="U1156" s="38">
        <f>MAX(U1157:U1159)</f>
        <v>6872.3278080697928</v>
      </c>
      <c r="V1156" s="458">
        <f t="shared" si="238"/>
        <v>4609.8921494724855</v>
      </c>
      <c r="W1156" s="458"/>
      <c r="X1156" s="458"/>
      <c r="Y1156" s="459"/>
      <c r="Z1156" s="459"/>
      <c r="AA1156" s="459"/>
      <c r="AB1156" s="459"/>
      <c r="AC1156" s="459"/>
      <c r="AD1156" s="459"/>
      <c r="AE1156" s="459"/>
      <c r="AF1156" s="459"/>
      <c r="AG1156" s="459"/>
      <c r="AH1156" s="459"/>
      <c r="AI1156" s="459"/>
      <c r="AJ1156" s="459"/>
      <c r="AK1156" s="459"/>
      <c r="AL1156" s="459"/>
      <c r="AM1156" s="459"/>
      <c r="AN1156" s="459"/>
      <c r="AO1156" s="459"/>
      <c r="AP1156" s="460"/>
      <c r="AQ1156" s="460"/>
      <c r="AR1156" s="460"/>
      <c r="AS1156" s="460"/>
      <c r="AT1156" s="460"/>
      <c r="AU1156" s="460"/>
      <c r="AV1156" s="460"/>
      <c r="AW1156" s="460"/>
      <c r="AX1156" s="460"/>
      <c r="AY1156" s="460"/>
      <c r="AZ1156" s="460"/>
      <c r="BA1156" s="460"/>
      <c r="BB1156" s="460"/>
      <c r="BC1156" s="460"/>
      <c r="BD1156" s="460"/>
      <c r="BE1156" s="460"/>
      <c r="BF1156" s="460"/>
      <c r="BG1156" s="460"/>
      <c r="BH1156" s="460"/>
      <c r="BI1156" s="460"/>
      <c r="BJ1156" s="460"/>
      <c r="BK1156" s="460"/>
      <c r="BL1156" s="460"/>
      <c r="BM1156" s="460"/>
      <c r="BN1156" s="460"/>
      <c r="BO1156" s="460"/>
      <c r="BP1156" s="460"/>
      <c r="BQ1156" s="460"/>
      <c r="BR1156" s="460"/>
      <c r="BS1156" s="460"/>
      <c r="BT1156" s="460"/>
      <c r="BU1156" s="460"/>
      <c r="BV1156" s="460"/>
      <c r="BW1156" s="460"/>
      <c r="BX1156" s="460"/>
      <c r="BY1156" s="460"/>
      <c r="BZ1156" s="460"/>
      <c r="CA1156" s="460"/>
      <c r="CB1156" s="460"/>
      <c r="CC1156" s="460"/>
      <c r="CD1156" s="460"/>
      <c r="CE1156" s="460"/>
      <c r="CF1156" s="460"/>
      <c r="CG1156" s="460"/>
      <c r="CH1156" s="460"/>
      <c r="CI1156" s="460"/>
      <c r="CJ1156" s="460"/>
      <c r="CK1156" s="460"/>
    </row>
    <row r="1157" spans="1:191" s="266" customFormat="1" ht="36" customHeight="1" x14ac:dyDescent="0.25">
      <c r="A1157" s="329">
        <v>1</v>
      </c>
      <c r="B1157" s="39">
        <f>SUBTOTAL(103,$A$1000:A1157)</f>
        <v>143</v>
      </c>
      <c r="C1157" s="336" t="s">
        <v>1836</v>
      </c>
      <c r="D1157" s="330">
        <v>1954</v>
      </c>
      <c r="E1157" s="330"/>
      <c r="F1157" s="337" t="s">
        <v>70</v>
      </c>
      <c r="G1157" s="330">
        <v>2</v>
      </c>
      <c r="H1157" s="330" t="s">
        <v>56</v>
      </c>
      <c r="I1157" s="334">
        <v>825.3</v>
      </c>
      <c r="J1157" s="334">
        <v>751.4</v>
      </c>
      <c r="K1157" s="334">
        <v>638.6</v>
      </c>
      <c r="L1157" s="338">
        <v>32</v>
      </c>
      <c r="M1157" s="330" t="s">
        <v>46</v>
      </c>
      <c r="N1157" s="330" t="s">
        <v>50</v>
      </c>
      <c r="O1157" s="330" t="s">
        <v>2058</v>
      </c>
      <c r="P1157" s="334">
        <v>4620600</v>
      </c>
      <c r="Q1157" s="334">
        <v>0</v>
      </c>
      <c r="R1157" s="334">
        <v>0</v>
      </c>
      <c r="S1157" s="334">
        <f>P1157-Q1157-R1157</f>
        <v>4620600</v>
      </c>
      <c r="T1157" s="38">
        <f t="shared" si="240"/>
        <v>5598.6913849509274</v>
      </c>
      <c r="U1157" s="38">
        <v>6872.3278080697928</v>
      </c>
      <c r="V1157" s="458">
        <f t="shared" si="238"/>
        <v>1273.6364231188654</v>
      </c>
      <c r="W1157" s="458">
        <f t="shared" ref="W1157:W1159" si="252">X1157+Y1157+Z1157+AA1157+AB1157+AD1157+AF1157+AH1157+AJ1157+AL1157+AN1157+AO1157</f>
        <v>6848.9669938204297</v>
      </c>
      <c r="X1157" s="458">
        <v>0</v>
      </c>
      <c r="Y1157" s="459">
        <v>0</v>
      </c>
      <c r="Z1157" s="459">
        <v>0</v>
      </c>
      <c r="AA1157" s="459">
        <v>0</v>
      </c>
      <c r="AB1157" s="459">
        <v>0</v>
      </c>
      <c r="AC1157" s="459">
        <v>0</v>
      </c>
      <c r="AD1157" s="459">
        <v>0</v>
      </c>
      <c r="AE1157" s="459">
        <v>906</v>
      </c>
      <c r="AF1157" s="458">
        <f>6238.91*AE1157/I1157</f>
        <v>6848.9669938204297</v>
      </c>
      <c r="AG1157" s="459">
        <v>0</v>
      </c>
      <c r="AH1157" s="458">
        <v>0</v>
      </c>
      <c r="AI1157" s="459">
        <v>0</v>
      </c>
      <c r="AJ1157" s="458">
        <v>0</v>
      </c>
      <c r="AK1157" s="459">
        <v>0</v>
      </c>
      <c r="AL1157" s="459">
        <v>0</v>
      </c>
      <c r="AM1157" s="459">
        <v>0</v>
      </c>
      <c r="AN1157" s="459"/>
      <c r="AO1157" s="459">
        <v>0</v>
      </c>
      <c r="AP1157" s="460"/>
      <c r="AQ1157" s="250"/>
      <c r="AR1157" s="250"/>
      <c r="AS1157" s="250"/>
      <c r="AT1157" s="250"/>
      <c r="AU1157" s="250"/>
      <c r="AV1157" s="250"/>
      <c r="AW1157" s="250"/>
      <c r="AX1157" s="250"/>
      <c r="AY1157" s="250"/>
      <c r="AZ1157" s="250"/>
      <c r="BA1157" s="250"/>
      <c r="BB1157" s="250"/>
      <c r="BC1157" s="250"/>
      <c r="BD1157" s="250"/>
      <c r="BE1157" s="250"/>
      <c r="BF1157" s="250"/>
      <c r="BG1157" s="250"/>
      <c r="BH1157" s="250"/>
      <c r="BI1157" s="250"/>
      <c r="BJ1157" s="250"/>
      <c r="BK1157" s="250"/>
      <c r="BL1157" s="250"/>
      <c r="BM1157" s="250"/>
      <c r="BN1157" s="250"/>
      <c r="BO1157" s="250"/>
      <c r="BP1157" s="250"/>
      <c r="BQ1157" s="250"/>
      <c r="BR1157" s="250"/>
      <c r="BS1157" s="250"/>
      <c r="BT1157" s="250"/>
      <c r="BU1157" s="250"/>
      <c r="BV1157" s="250"/>
      <c r="BW1157" s="250"/>
      <c r="BX1157" s="250"/>
      <c r="BY1157" s="250"/>
      <c r="BZ1157" s="250"/>
      <c r="CA1157" s="250"/>
      <c r="CB1157" s="250"/>
      <c r="CC1157" s="250"/>
      <c r="CD1157" s="250"/>
      <c r="CE1157" s="250"/>
      <c r="CF1157" s="250"/>
      <c r="CG1157" s="250"/>
      <c r="CH1157" s="250"/>
      <c r="CI1157" s="250"/>
      <c r="CJ1157" s="250"/>
      <c r="CK1157" s="250"/>
      <c r="DQ1157" s="339"/>
      <c r="DR1157" s="339"/>
      <c r="DS1157" s="339"/>
      <c r="EP1157" s="340"/>
      <c r="FS1157" s="341"/>
      <c r="GI1157" s="342"/>
    </row>
    <row r="1158" spans="1:191" s="266" customFormat="1" ht="36" customHeight="1" x14ac:dyDescent="0.25">
      <c r="A1158" s="329">
        <v>1</v>
      </c>
      <c r="B1158" s="39">
        <f>SUBTOTAL(103,$A$1000:A1158)</f>
        <v>144</v>
      </c>
      <c r="C1158" s="336" t="s">
        <v>1837</v>
      </c>
      <c r="D1158" s="330">
        <v>1846</v>
      </c>
      <c r="E1158" s="330"/>
      <c r="F1158" s="337" t="s">
        <v>2004</v>
      </c>
      <c r="G1158" s="330">
        <v>2</v>
      </c>
      <c r="H1158" s="330" t="s">
        <v>57</v>
      </c>
      <c r="I1158" s="334">
        <v>276.2</v>
      </c>
      <c r="J1158" s="334">
        <v>277.3</v>
      </c>
      <c r="K1158" s="334">
        <v>259.39999999999998</v>
      </c>
      <c r="L1158" s="338">
        <v>9</v>
      </c>
      <c r="M1158" s="330" t="s">
        <v>46</v>
      </c>
      <c r="N1158" s="330" t="s">
        <v>50</v>
      </c>
      <c r="O1158" s="330" t="s">
        <v>2057</v>
      </c>
      <c r="P1158" s="334">
        <v>1221174.67</v>
      </c>
      <c r="Q1158" s="334">
        <v>0</v>
      </c>
      <c r="R1158" s="334">
        <v>0</v>
      </c>
      <c r="S1158" s="334">
        <f>P1158-Q1158-R1158</f>
        <v>1221174.67</v>
      </c>
      <c r="T1158" s="38">
        <f t="shared" si="240"/>
        <v>4421.342034757422</v>
      </c>
      <c r="U1158" s="38">
        <v>2576.4374197684019</v>
      </c>
      <c r="V1158" s="458">
        <f t="shared" si="238"/>
        <v>-1844.90461498902</v>
      </c>
      <c r="W1158" s="458">
        <f t="shared" si="252"/>
        <v>35305.634793627811</v>
      </c>
      <c r="X1158" s="458">
        <v>0</v>
      </c>
      <c r="Y1158" s="459">
        <v>0</v>
      </c>
      <c r="Z1158" s="459">
        <v>0</v>
      </c>
      <c r="AA1158" s="459">
        <v>0</v>
      </c>
      <c r="AB1158" s="459">
        <v>0</v>
      </c>
      <c r="AC1158" s="459">
        <v>0</v>
      </c>
      <c r="AD1158" s="459">
        <v>0</v>
      </c>
      <c r="AE1158" s="459">
        <v>1563</v>
      </c>
      <c r="AF1158" s="458">
        <f>6238.91*AE1158/I1158</f>
        <v>35305.634793627811</v>
      </c>
      <c r="AG1158" s="459">
        <v>0</v>
      </c>
      <c r="AH1158" s="458">
        <v>0</v>
      </c>
      <c r="AI1158" s="459">
        <v>0</v>
      </c>
      <c r="AJ1158" s="458">
        <v>0</v>
      </c>
      <c r="AK1158" s="459">
        <v>0</v>
      </c>
      <c r="AL1158" s="459">
        <v>0</v>
      </c>
      <c r="AM1158" s="459">
        <v>0</v>
      </c>
      <c r="AN1158" s="459"/>
      <c r="AO1158" s="459">
        <v>0</v>
      </c>
      <c r="AP1158" s="460"/>
      <c r="AQ1158" s="250"/>
      <c r="AR1158" s="250"/>
      <c r="AS1158" s="250"/>
      <c r="AT1158" s="250"/>
      <c r="AU1158" s="250"/>
      <c r="AV1158" s="250"/>
      <c r="AW1158" s="250"/>
      <c r="AX1158" s="250"/>
      <c r="AY1158" s="250"/>
      <c r="AZ1158" s="250"/>
      <c r="BA1158" s="250"/>
      <c r="BB1158" s="250"/>
      <c r="BC1158" s="250"/>
      <c r="BD1158" s="250"/>
      <c r="BE1158" s="250"/>
      <c r="BF1158" s="250"/>
      <c r="BG1158" s="250"/>
      <c r="BH1158" s="250"/>
      <c r="BI1158" s="250"/>
      <c r="BJ1158" s="250"/>
      <c r="BK1158" s="250"/>
      <c r="BL1158" s="250"/>
      <c r="BM1158" s="250"/>
      <c r="BN1158" s="250"/>
      <c r="BO1158" s="250"/>
      <c r="BP1158" s="250"/>
      <c r="BQ1158" s="250"/>
      <c r="BR1158" s="250"/>
      <c r="BS1158" s="250"/>
      <c r="BT1158" s="250"/>
      <c r="BU1158" s="250"/>
      <c r="BV1158" s="250"/>
      <c r="BW1158" s="250"/>
      <c r="BX1158" s="250"/>
      <c r="BY1158" s="250"/>
      <c r="BZ1158" s="250"/>
      <c r="CA1158" s="250"/>
      <c r="CB1158" s="250"/>
      <c r="CC1158" s="250"/>
      <c r="CD1158" s="250"/>
      <c r="CE1158" s="250"/>
      <c r="CF1158" s="250"/>
      <c r="CG1158" s="250"/>
      <c r="CH1158" s="250"/>
      <c r="CI1158" s="250"/>
      <c r="CJ1158" s="250"/>
      <c r="CK1158" s="250"/>
      <c r="DQ1158" s="339"/>
      <c r="DR1158" s="339"/>
      <c r="DS1158" s="339"/>
      <c r="EP1158" s="340"/>
      <c r="FS1158" s="341"/>
      <c r="GI1158" s="342"/>
    </row>
    <row r="1159" spans="1:191" s="266" customFormat="1" ht="36" customHeight="1" x14ac:dyDescent="0.25">
      <c r="A1159" s="329">
        <v>1</v>
      </c>
      <c r="B1159" s="39">
        <f>SUBTOTAL(103,$A$1000:A1159)</f>
        <v>145</v>
      </c>
      <c r="C1159" s="336" t="s">
        <v>1838</v>
      </c>
      <c r="D1159" s="330">
        <v>1970</v>
      </c>
      <c r="E1159" s="330"/>
      <c r="F1159" s="337" t="s">
        <v>48</v>
      </c>
      <c r="G1159" s="330">
        <v>5</v>
      </c>
      <c r="H1159" s="330" t="s">
        <v>1969</v>
      </c>
      <c r="I1159" s="334">
        <v>5003.8999999999996</v>
      </c>
      <c r="J1159" s="334">
        <v>4809</v>
      </c>
      <c r="K1159" s="334">
        <v>4326.2</v>
      </c>
      <c r="L1159" s="338">
        <v>185</v>
      </c>
      <c r="M1159" s="330" t="s">
        <v>46</v>
      </c>
      <c r="N1159" s="330" t="s">
        <v>50</v>
      </c>
      <c r="O1159" s="330" t="s">
        <v>69</v>
      </c>
      <c r="P1159" s="334">
        <v>7971300</v>
      </c>
      <c r="Q1159" s="334">
        <v>0</v>
      </c>
      <c r="R1159" s="334">
        <v>0</v>
      </c>
      <c r="S1159" s="334">
        <f>P1159-Q1159-R1159</f>
        <v>7971300</v>
      </c>
      <c r="T1159" s="38">
        <f t="shared" si="240"/>
        <v>1593.0174463918145</v>
      </c>
      <c r="U1159" s="38">
        <v>1955.4101740642298</v>
      </c>
      <c r="V1159" s="458">
        <f t="shared" si="238"/>
        <v>362.39272767241528</v>
      </c>
      <c r="W1159" s="458">
        <f t="shared" si="252"/>
        <v>1948.7632306800697</v>
      </c>
      <c r="X1159" s="458">
        <v>0</v>
      </c>
      <c r="Y1159" s="459">
        <v>0</v>
      </c>
      <c r="Z1159" s="459">
        <v>0</v>
      </c>
      <c r="AA1159" s="459">
        <v>0</v>
      </c>
      <c r="AB1159" s="459">
        <v>0</v>
      </c>
      <c r="AC1159" s="459">
        <v>0</v>
      </c>
      <c r="AD1159" s="459">
        <v>0</v>
      </c>
      <c r="AE1159" s="459">
        <v>1563</v>
      </c>
      <c r="AF1159" s="458">
        <f>6238.91*AE1159/I1159</f>
        <v>1948.7632306800697</v>
      </c>
      <c r="AG1159" s="459">
        <v>0</v>
      </c>
      <c r="AH1159" s="458">
        <v>0</v>
      </c>
      <c r="AI1159" s="459">
        <v>0</v>
      </c>
      <c r="AJ1159" s="458">
        <v>0</v>
      </c>
      <c r="AK1159" s="459">
        <v>0</v>
      </c>
      <c r="AL1159" s="459">
        <v>0</v>
      </c>
      <c r="AM1159" s="459">
        <v>0</v>
      </c>
      <c r="AN1159" s="459"/>
      <c r="AO1159" s="459">
        <v>0</v>
      </c>
      <c r="AP1159" s="460"/>
      <c r="AQ1159" s="250"/>
      <c r="AR1159" s="250"/>
      <c r="AS1159" s="250"/>
      <c r="AT1159" s="250"/>
      <c r="AU1159" s="250"/>
      <c r="AV1159" s="250"/>
      <c r="AW1159" s="250"/>
      <c r="AX1159" s="250"/>
      <c r="AY1159" s="250"/>
      <c r="AZ1159" s="250"/>
      <c r="BA1159" s="250"/>
      <c r="BB1159" s="250"/>
      <c r="BC1159" s="250"/>
      <c r="BD1159" s="250"/>
      <c r="BE1159" s="250"/>
      <c r="BF1159" s="250"/>
      <c r="BG1159" s="250"/>
      <c r="BH1159" s="250"/>
      <c r="BI1159" s="250"/>
      <c r="BJ1159" s="250"/>
      <c r="BK1159" s="250"/>
      <c r="BL1159" s="250"/>
      <c r="BM1159" s="250"/>
      <c r="BN1159" s="250"/>
      <c r="BO1159" s="250"/>
      <c r="BP1159" s="250"/>
      <c r="BQ1159" s="250"/>
      <c r="BR1159" s="250"/>
      <c r="BS1159" s="250"/>
      <c r="BT1159" s="250"/>
      <c r="BU1159" s="250"/>
      <c r="BV1159" s="250"/>
      <c r="BW1159" s="250"/>
      <c r="BX1159" s="250"/>
      <c r="BY1159" s="250"/>
      <c r="BZ1159" s="250"/>
      <c r="CA1159" s="250"/>
      <c r="CB1159" s="250"/>
      <c r="CC1159" s="250"/>
      <c r="CD1159" s="250"/>
      <c r="CE1159" s="250"/>
      <c r="CF1159" s="250"/>
      <c r="CG1159" s="250"/>
      <c r="CH1159" s="250"/>
      <c r="CI1159" s="250"/>
      <c r="CJ1159" s="250"/>
      <c r="CK1159" s="250"/>
      <c r="DQ1159" s="339"/>
      <c r="DR1159" s="339"/>
      <c r="DS1159" s="339"/>
      <c r="EP1159" s="340"/>
      <c r="FS1159" s="341"/>
      <c r="GI1159" s="342"/>
    </row>
    <row r="1160" spans="1:191" s="329" customFormat="1" ht="36" customHeight="1" x14ac:dyDescent="0.25">
      <c r="B1160" s="33" t="s">
        <v>102</v>
      </c>
      <c r="C1160" s="33"/>
      <c r="D1160" s="330" t="s">
        <v>131</v>
      </c>
      <c r="E1160" s="330" t="s">
        <v>131</v>
      </c>
      <c r="F1160" s="330" t="s">
        <v>131</v>
      </c>
      <c r="G1160" s="330" t="s">
        <v>131</v>
      </c>
      <c r="H1160" s="330" t="s">
        <v>131</v>
      </c>
      <c r="I1160" s="334">
        <f>I1161</f>
        <v>396.2</v>
      </c>
      <c r="J1160" s="334">
        <f>J1161</f>
        <v>347.5</v>
      </c>
      <c r="K1160" s="334">
        <f>K1161</f>
        <v>187.9</v>
      </c>
      <c r="L1160" s="332">
        <f>L1161</f>
        <v>20</v>
      </c>
      <c r="M1160" s="330" t="s">
        <v>131</v>
      </c>
      <c r="N1160" s="330" t="s">
        <v>131</v>
      </c>
      <c r="O1160" s="333" t="s">
        <v>131</v>
      </c>
      <c r="P1160" s="38">
        <v>1724820</v>
      </c>
      <c r="Q1160" s="38">
        <f>Q1161</f>
        <v>0</v>
      </c>
      <c r="R1160" s="38">
        <f>R1161</f>
        <v>0</v>
      </c>
      <c r="S1160" s="38">
        <f>S1161</f>
        <v>1724820</v>
      </c>
      <c r="T1160" s="38">
        <f t="shared" si="240"/>
        <v>4353.4073700151439</v>
      </c>
      <c r="U1160" s="38">
        <f>U1161</f>
        <v>5343.7563301362943</v>
      </c>
      <c r="V1160" s="458">
        <f t="shared" si="238"/>
        <v>990.34896012115041</v>
      </c>
      <c r="W1160" s="458"/>
      <c r="X1160" s="458"/>
      <c r="Y1160" s="459"/>
      <c r="Z1160" s="459"/>
      <c r="AA1160" s="459"/>
      <c r="AB1160" s="459"/>
      <c r="AC1160" s="459"/>
      <c r="AD1160" s="459"/>
      <c r="AE1160" s="459"/>
      <c r="AF1160" s="459"/>
      <c r="AG1160" s="459"/>
      <c r="AH1160" s="459"/>
      <c r="AI1160" s="459"/>
      <c r="AJ1160" s="459"/>
      <c r="AK1160" s="459"/>
      <c r="AL1160" s="459"/>
      <c r="AM1160" s="459"/>
      <c r="AN1160" s="459"/>
      <c r="AO1160" s="459"/>
      <c r="AP1160" s="460"/>
      <c r="AQ1160" s="460"/>
      <c r="AR1160" s="460"/>
      <c r="AS1160" s="460"/>
      <c r="AT1160" s="460"/>
      <c r="AU1160" s="460"/>
      <c r="AV1160" s="460"/>
      <c r="AW1160" s="460"/>
      <c r="AX1160" s="460"/>
      <c r="AY1160" s="460"/>
      <c r="AZ1160" s="460"/>
      <c r="BA1160" s="460"/>
      <c r="BB1160" s="460"/>
      <c r="BC1160" s="460"/>
      <c r="BD1160" s="460"/>
      <c r="BE1160" s="460"/>
      <c r="BF1160" s="460"/>
      <c r="BG1160" s="460"/>
      <c r="BH1160" s="460"/>
      <c r="BI1160" s="460"/>
      <c r="BJ1160" s="460"/>
      <c r="BK1160" s="460"/>
      <c r="BL1160" s="460"/>
      <c r="BM1160" s="460"/>
      <c r="BN1160" s="460"/>
      <c r="BO1160" s="460"/>
      <c r="BP1160" s="460"/>
      <c r="BQ1160" s="460"/>
      <c r="BR1160" s="460"/>
      <c r="BS1160" s="460"/>
      <c r="BT1160" s="460"/>
      <c r="BU1160" s="460"/>
      <c r="BV1160" s="460"/>
      <c r="BW1160" s="460"/>
      <c r="BX1160" s="460"/>
      <c r="BY1160" s="460"/>
      <c r="BZ1160" s="460"/>
      <c r="CA1160" s="460"/>
      <c r="CB1160" s="460"/>
      <c r="CC1160" s="460"/>
      <c r="CD1160" s="460"/>
      <c r="CE1160" s="460"/>
      <c r="CF1160" s="460"/>
      <c r="CG1160" s="460"/>
      <c r="CH1160" s="460"/>
      <c r="CI1160" s="460"/>
      <c r="CJ1160" s="460"/>
      <c r="CK1160" s="460"/>
    </row>
    <row r="1161" spans="1:191" s="266" customFormat="1" ht="36" customHeight="1" x14ac:dyDescent="0.25">
      <c r="A1161" s="329">
        <v>1</v>
      </c>
      <c r="B1161" s="39">
        <f>SUBTOTAL(103,$A$1000:A1161)</f>
        <v>146</v>
      </c>
      <c r="C1161" s="336" t="s">
        <v>1839</v>
      </c>
      <c r="D1161" s="330">
        <v>1977</v>
      </c>
      <c r="E1161" s="330"/>
      <c r="F1161" s="337" t="s">
        <v>48</v>
      </c>
      <c r="G1161" s="330">
        <v>2</v>
      </c>
      <c r="H1161" s="330" t="s">
        <v>57</v>
      </c>
      <c r="I1161" s="334">
        <v>396.2</v>
      </c>
      <c r="J1161" s="334">
        <v>347.5</v>
      </c>
      <c r="K1161" s="334">
        <v>187.9</v>
      </c>
      <c r="L1161" s="338">
        <v>20</v>
      </c>
      <c r="M1161" s="330" t="s">
        <v>46</v>
      </c>
      <c r="N1161" s="330" t="s">
        <v>47</v>
      </c>
      <c r="O1161" s="330" t="s">
        <v>49</v>
      </c>
      <c r="P1161" s="334">
        <v>1724820</v>
      </c>
      <c r="Q1161" s="334">
        <v>0</v>
      </c>
      <c r="R1161" s="334">
        <v>0</v>
      </c>
      <c r="S1161" s="334">
        <f>P1161-Q1161-R1161</f>
        <v>1724820</v>
      </c>
      <c r="T1161" s="38">
        <f t="shared" si="240"/>
        <v>4353.4073700151439</v>
      </c>
      <c r="U1161" s="38">
        <v>5343.7563301362943</v>
      </c>
      <c r="V1161" s="458">
        <f>U1161-T1161</f>
        <v>990.34896012115041</v>
      </c>
      <c r="W1161" s="458">
        <f>X1161+Y1161+Z1161+AA1161+AB1161+AD1161+AF1161+AH1161+AJ1161+AL1161+AN1161+AO1161</f>
        <v>5325.5915244825837</v>
      </c>
      <c r="X1161" s="458">
        <v>0</v>
      </c>
      <c r="Y1161" s="459">
        <v>0</v>
      </c>
      <c r="Z1161" s="459">
        <v>0</v>
      </c>
      <c r="AA1161" s="459">
        <v>0</v>
      </c>
      <c r="AB1161" s="459">
        <v>0</v>
      </c>
      <c r="AC1161" s="459">
        <v>0</v>
      </c>
      <c r="AD1161" s="459">
        <v>0</v>
      </c>
      <c r="AE1161" s="459">
        <v>338.2</v>
      </c>
      <c r="AF1161" s="458">
        <f>6238.91*AE1161/I1161</f>
        <v>5325.5915244825837</v>
      </c>
      <c r="AG1161" s="459">
        <v>0</v>
      </c>
      <c r="AH1161" s="458">
        <v>0</v>
      </c>
      <c r="AI1161" s="459">
        <v>0</v>
      </c>
      <c r="AJ1161" s="458">
        <v>0</v>
      </c>
      <c r="AK1161" s="459">
        <v>0</v>
      </c>
      <c r="AL1161" s="459">
        <v>0</v>
      </c>
      <c r="AM1161" s="459">
        <v>0</v>
      </c>
      <c r="AN1161" s="459"/>
      <c r="AO1161" s="459">
        <v>0</v>
      </c>
      <c r="AP1161" s="460"/>
      <c r="AQ1161" s="250"/>
      <c r="AR1161" s="250"/>
      <c r="AS1161" s="250"/>
      <c r="AT1161" s="250"/>
      <c r="AU1161" s="250"/>
      <c r="AV1161" s="250"/>
      <c r="AW1161" s="250"/>
      <c r="AX1161" s="250"/>
      <c r="AY1161" s="250"/>
      <c r="AZ1161" s="250"/>
      <c r="BA1161" s="250"/>
      <c r="BB1161" s="250"/>
      <c r="BC1161" s="250"/>
      <c r="BD1161" s="250"/>
      <c r="BE1161" s="250"/>
      <c r="BF1161" s="250"/>
      <c r="BG1161" s="250"/>
      <c r="BH1161" s="250"/>
      <c r="BI1161" s="250"/>
      <c r="BJ1161" s="250"/>
      <c r="BK1161" s="250"/>
      <c r="BL1161" s="250"/>
      <c r="BM1161" s="250"/>
      <c r="BN1161" s="250"/>
      <c r="BO1161" s="250"/>
      <c r="BP1161" s="250"/>
      <c r="BQ1161" s="250"/>
      <c r="BR1161" s="250"/>
      <c r="BS1161" s="250"/>
      <c r="BT1161" s="250"/>
      <c r="BU1161" s="250"/>
      <c r="BV1161" s="250"/>
      <c r="BW1161" s="250"/>
      <c r="BX1161" s="250"/>
      <c r="BY1161" s="250"/>
      <c r="BZ1161" s="250"/>
      <c r="CA1161" s="250"/>
      <c r="CB1161" s="250"/>
      <c r="CC1161" s="250"/>
      <c r="CD1161" s="250"/>
      <c r="CE1161" s="250"/>
      <c r="CF1161" s="250"/>
      <c r="CG1161" s="250"/>
      <c r="CH1161" s="250"/>
      <c r="CI1161" s="250"/>
      <c r="CJ1161" s="250"/>
      <c r="CK1161" s="250"/>
      <c r="DQ1161" s="339"/>
      <c r="DR1161" s="339"/>
      <c r="DS1161" s="339"/>
      <c r="EP1161" s="340"/>
      <c r="FS1161" s="341"/>
      <c r="GI1161" s="342"/>
    </row>
    <row r="1162" spans="1:191" s="329" customFormat="1" ht="36" customHeight="1" x14ac:dyDescent="0.25">
      <c r="B1162" s="33" t="s">
        <v>1300</v>
      </c>
      <c r="C1162" s="33"/>
      <c r="D1162" s="330" t="s">
        <v>131</v>
      </c>
      <c r="E1162" s="330" t="s">
        <v>131</v>
      </c>
      <c r="F1162" s="330" t="s">
        <v>131</v>
      </c>
      <c r="G1162" s="330" t="s">
        <v>131</v>
      </c>
      <c r="H1162" s="330" t="s">
        <v>131</v>
      </c>
      <c r="I1162" s="334">
        <f>I1163</f>
        <v>1011.8</v>
      </c>
      <c r="J1162" s="334">
        <f>J1163</f>
        <v>928.8</v>
      </c>
      <c r="K1162" s="334">
        <f>K1163</f>
        <v>827.3</v>
      </c>
      <c r="L1162" s="332">
        <f>L1163</f>
        <v>36</v>
      </c>
      <c r="M1162" s="330" t="s">
        <v>131</v>
      </c>
      <c r="N1162" s="330" t="s">
        <v>131</v>
      </c>
      <c r="O1162" s="333" t="s">
        <v>131</v>
      </c>
      <c r="P1162" s="38">
        <v>1739107.3499999999</v>
      </c>
      <c r="Q1162" s="38">
        <f>Q1163</f>
        <v>0</v>
      </c>
      <c r="R1162" s="38">
        <f>R1163</f>
        <v>0</v>
      </c>
      <c r="S1162" s="38">
        <f>S1163</f>
        <v>1739107.3499999999</v>
      </c>
      <c r="T1162" s="38">
        <f t="shared" si="240"/>
        <v>1718.8252124925873</v>
      </c>
      <c r="U1162" s="38">
        <f>U1163</f>
        <v>4181.277100217435</v>
      </c>
      <c r="V1162" s="458">
        <f t="shared" si="238"/>
        <v>2462.4518877248474</v>
      </c>
      <c r="W1162" s="458"/>
      <c r="X1162" s="458"/>
      <c r="Y1162" s="459"/>
      <c r="Z1162" s="459"/>
      <c r="AA1162" s="459"/>
      <c r="AB1162" s="459"/>
      <c r="AC1162" s="459"/>
      <c r="AD1162" s="459"/>
      <c r="AE1162" s="459"/>
      <c r="AF1162" s="459"/>
      <c r="AG1162" s="459"/>
      <c r="AH1162" s="459"/>
      <c r="AI1162" s="459"/>
      <c r="AJ1162" s="459"/>
      <c r="AK1162" s="459"/>
      <c r="AL1162" s="459"/>
      <c r="AM1162" s="459"/>
      <c r="AN1162" s="459"/>
      <c r="AO1162" s="459"/>
      <c r="AP1162" s="460"/>
      <c r="AQ1162" s="460"/>
      <c r="AR1162" s="460"/>
      <c r="AS1162" s="460"/>
      <c r="AT1162" s="460"/>
      <c r="AU1162" s="460"/>
      <c r="AV1162" s="460"/>
      <c r="AW1162" s="460"/>
      <c r="AX1162" s="460"/>
      <c r="AY1162" s="460"/>
      <c r="AZ1162" s="460"/>
      <c r="BA1162" s="460"/>
      <c r="BB1162" s="460"/>
      <c r="BC1162" s="460"/>
      <c r="BD1162" s="460"/>
      <c r="BE1162" s="460"/>
      <c r="BF1162" s="460"/>
      <c r="BG1162" s="460"/>
      <c r="BH1162" s="460"/>
      <c r="BI1162" s="460"/>
      <c r="BJ1162" s="460"/>
      <c r="BK1162" s="460"/>
      <c r="BL1162" s="460"/>
      <c r="BM1162" s="460"/>
      <c r="BN1162" s="460"/>
      <c r="BO1162" s="460"/>
      <c r="BP1162" s="460"/>
      <c r="BQ1162" s="460"/>
      <c r="BR1162" s="460"/>
      <c r="BS1162" s="460"/>
      <c r="BT1162" s="460"/>
      <c r="BU1162" s="460"/>
      <c r="BV1162" s="460"/>
      <c r="BW1162" s="460"/>
      <c r="BX1162" s="460"/>
      <c r="BY1162" s="460"/>
      <c r="BZ1162" s="460"/>
      <c r="CA1162" s="460"/>
      <c r="CB1162" s="460"/>
      <c r="CC1162" s="460"/>
      <c r="CD1162" s="460"/>
      <c r="CE1162" s="460"/>
      <c r="CF1162" s="460"/>
      <c r="CG1162" s="460"/>
      <c r="CH1162" s="460"/>
      <c r="CI1162" s="460"/>
      <c r="CJ1162" s="460"/>
      <c r="CK1162" s="460"/>
    </row>
    <row r="1163" spans="1:191" s="266" customFormat="1" ht="36" customHeight="1" x14ac:dyDescent="0.25">
      <c r="A1163" s="329">
        <v>1</v>
      </c>
      <c r="B1163" s="39">
        <f>SUBTOTAL(103,$A$1000:A1163)</f>
        <v>147</v>
      </c>
      <c r="C1163" s="336" t="s">
        <v>1840</v>
      </c>
      <c r="D1163" s="330">
        <v>1979</v>
      </c>
      <c r="E1163" s="330"/>
      <c r="F1163" s="337" t="s">
        <v>60</v>
      </c>
      <c r="G1163" s="330">
        <v>3</v>
      </c>
      <c r="H1163" s="330" t="s">
        <v>56</v>
      </c>
      <c r="I1163" s="334">
        <v>1011.8</v>
      </c>
      <c r="J1163" s="334">
        <v>928.8</v>
      </c>
      <c r="K1163" s="334">
        <v>827.3</v>
      </c>
      <c r="L1163" s="338">
        <v>36</v>
      </c>
      <c r="M1163" s="330" t="s">
        <v>46</v>
      </c>
      <c r="N1163" s="330" t="s">
        <v>47</v>
      </c>
      <c r="O1163" s="330" t="s">
        <v>49</v>
      </c>
      <c r="P1163" s="334">
        <v>1739107.3499999999</v>
      </c>
      <c r="Q1163" s="334">
        <v>0</v>
      </c>
      <c r="R1163" s="334">
        <v>0</v>
      </c>
      <c r="S1163" s="334">
        <f>P1163-Q1163-R1163</f>
        <v>1739107.3499999999</v>
      </c>
      <c r="T1163" s="38">
        <f t="shared" si="240"/>
        <v>1718.8252124925873</v>
      </c>
      <c r="U1163" s="38">
        <v>4181.277100217435</v>
      </c>
      <c r="V1163" s="458">
        <f>U1163-T1163</f>
        <v>2462.4518877248474</v>
      </c>
      <c r="W1163" s="458">
        <f>X1163+Y1163+Z1163+AA1163+AB1163+AD1163+AF1163+AH1163+AJ1163+AL1163+AN1163+AO1163</f>
        <v>4385.594294326942</v>
      </c>
      <c r="X1163" s="458">
        <v>0</v>
      </c>
      <c r="Y1163" s="459">
        <v>0</v>
      </c>
      <c r="Z1163" s="459">
        <v>0</v>
      </c>
      <c r="AA1163" s="459">
        <v>0</v>
      </c>
      <c r="AB1163" s="459">
        <v>0</v>
      </c>
      <c r="AC1163" s="459">
        <v>0</v>
      </c>
      <c r="AD1163" s="459">
        <v>0</v>
      </c>
      <c r="AE1163" s="459">
        <v>0</v>
      </c>
      <c r="AF1163" s="458">
        <v>0</v>
      </c>
      <c r="AG1163" s="459">
        <v>0</v>
      </c>
      <c r="AH1163" s="458">
        <v>0</v>
      </c>
      <c r="AI1163" s="459">
        <v>568.70000000000005</v>
      </c>
      <c r="AJ1163" s="458">
        <f>7802.61*AI1163/I1163</f>
        <v>4385.594294326942</v>
      </c>
      <c r="AK1163" s="459">
        <v>0</v>
      </c>
      <c r="AL1163" s="459">
        <v>0</v>
      </c>
      <c r="AM1163" s="459">
        <v>0</v>
      </c>
      <c r="AN1163" s="459"/>
      <c r="AO1163" s="459">
        <v>0</v>
      </c>
      <c r="AP1163" s="460"/>
      <c r="AQ1163" s="250"/>
      <c r="AR1163" s="250"/>
      <c r="AS1163" s="250"/>
      <c r="AT1163" s="250"/>
      <c r="AU1163" s="250"/>
      <c r="AV1163" s="250"/>
      <c r="AW1163" s="250"/>
      <c r="AX1163" s="250"/>
      <c r="AY1163" s="250"/>
      <c r="AZ1163" s="250"/>
      <c r="BA1163" s="250"/>
      <c r="BB1163" s="250"/>
      <c r="BC1163" s="250"/>
      <c r="BD1163" s="250"/>
      <c r="BE1163" s="250"/>
      <c r="BF1163" s="250"/>
      <c r="BG1163" s="250"/>
      <c r="BH1163" s="250"/>
      <c r="BI1163" s="250"/>
      <c r="BJ1163" s="250"/>
      <c r="BK1163" s="250"/>
      <c r="BL1163" s="250"/>
      <c r="BM1163" s="250"/>
      <c r="BN1163" s="250"/>
      <c r="BO1163" s="250"/>
      <c r="BP1163" s="250"/>
      <c r="BQ1163" s="250"/>
      <c r="BR1163" s="250"/>
      <c r="BS1163" s="250"/>
      <c r="BT1163" s="250"/>
      <c r="BU1163" s="250"/>
      <c r="BV1163" s="250"/>
      <c r="BW1163" s="250"/>
      <c r="BX1163" s="250"/>
      <c r="BY1163" s="250"/>
      <c r="BZ1163" s="250"/>
      <c r="CA1163" s="250"/>
      <c r="CB1163" s="250"/>
      <c r="CC1163" s="250"/>
      <c r="CD1163" s="250"/>
      <c r="CE1163" s="250"/>
      <c r="CF1163" s="250"/>
      <c r="CG1163" s="250"/>
      <c r="CH1163" s="250"/>
      <c r="CI1163" s="250"/>
      <c r="CJ1163" s="250"/>
      <c r="CK1163" s="250"/>
      <c r="DQ1163" s="339"/>
      <c r="DR1163" s="339"/>
      <c r="DS1163" s="339"/>
      <c r="EP1163" s="340"/>
      <c r="FS1163" s="341"/>
      <c r="GI1163" s="342"/>
    </row>
    <row r="1164" spans="1:191" s="329" customFormat="1" ht="36" customHeight="1" x14ac:dyDescent="0.25">
      <c r="B1164" s="33" t="s">
        <v>130</v>
      </c>
      <c r="C1164" s="463"/>
      <c r="D1164" s="330" t="s">
        <v>131</v>
      </c>
      <c r="E1164" s="330" t="s">
        <v>131</v>
      </c>
      <c r="F1164" s="330" t="s">
        <v>131</v>
      </c>
      <c r="G1164" s="330" t="s">
        <v>131</v>
      </c>
      <c r="H1164" s="330" t="s">
        <v>131</v>
      </c>
      <c r="I1164" s="334">
        <f>I1165</f>
        <v>594.20000000000005</v>
      </c>
      <c r="J1164" s="334">
        <f>J1165</f>
        <v>550.6</v>
      </c>
      <c r="K1164" s="334">
        <f>K1165</f>
        <v>550.6</v>
      </c>
      <c r="L1164" s="332">
        <f>L1165</f>
        <v>21</v>
      </c>
      <c r="M1164" s="330" t="s">
        <v>131</v>
      </c>
      <c r="N1164" s="330" t="s">
        <v>131</v>
      </c>
      <c r="O1164" s="333" t="s">
        <v>131</v>
      </c>
      <c r="P1164" s="38">
        <v>3373804.98</v>
      </c>
      <c r="Q1164" s="38">
        <f>Q1165</f>
        <v>0</v>
      </c>
      <c r="R1164" s="38">
        <f>R1165</f>
        <v>0</v>
      </c>
      <c r="S1164" s="38">
        <f>S1165</f>
        <v>3373804.98</v>
      </c>
      <c r="T1164" s="38">
        <f t="shared" si="240"/>
        <v>5677.8946146078761</v>
      </c>
      <c r="U1164" s="38">
        <f>U1165</f>
        <v>6806.9820918882524</v>
      </c>
      <c r="V1164" s="458">
        <f t="shared" si="238"/>
        <v>1129.0874772803763</v>
      </c>
      <c r="W1164" s="458"/>
      <c r="X1164" s="458"/>
      <c r="Y1164" s="459"/>
      <c r="Z1164" s="459"/>
      <c r="AA1164" s="459"/>
      <c r="AB1164" s="459"/>
      <c r="AC1164" s="459"/>
      <c r="AD1164" s="459"/>
      <c r="AE1164" s="459"/>
      <c r="AF1164" s="459"/>
      <c r="AG1164" s="459"/>
      <c r="AH1164" s="459"/>
      <c r="AI1164" s="459"/>
      <c r="AJ1164" s="459"/>
      <c r="AK1164" s="459"/>
      <c r="AL1164" s="459"/>
      <c r="AM1164" s="459"/>
      <c r="AN1164" s="459"/>
      <c r="AO1164" s="459"/>
      <c r="AP1164" s="460"/>
      <c r="AQ1164" s="460"/>
      <c r="AR1164" s="460"/>
      <c r="AS1164" s="460"/>
      <c r="AT1164" s="460"/>
      <c r="AU1164" s="460"/>
      <c r="AV1164" s="460"/>
      <c r="AW1164" s="460"/>
      <c r="AX1164" s="460"/>
      <c r="AY1164" s="460"/>
      <c r="AZ1164" s="460"/>
      <c r="BA1164" s="460"/>
      <c r="BB1164" s="460"/>
      <c r="BC1164" s="460"/>
      <c r="BD1164" s="460"/>
      <c r="BE1164" s="460"/>
      <c r="BF1164" s="460"/>
      <c r="BG1164" s="460"/>
      <c r="BH1164" s="460"/>
      <c r="BI1164" s="460"/>
      <c r="BJ1164" s="460"/>
      <c r="BK1164" s="460"/>
      <c r="BL1164" s="460"/>
      <c r="BM1164" s="460"/>
      <c r="BN1164" s="460"/>
      <c r="BO1164" s="460"/>
      <c r="BP1164" s="460"/>
      <c r="BQ1164" s="460"/>
      <c r="BR1164" s="460"/>
      <c r="BS1164" s="460"/>
      <c r="BT1164" s="460"/>
      <c r="BU1164" s="460"/>
      <c r="BV1164" s="460"/>
      <c r="BW1164" s="460"/>
      <c r="BX1164" s="460"/>
      <c r="BY1164" s="460"/>
      <c r="BZ1164" s="460"/>
      <c r="CA1164" s="460"/>
      <c r="CB1164" s="460"/>
      <c r="CC1164" s="460"/>
      <c r="CD1164" s="460"/>
      <c r="CE1164" s="460"/>
      <c r="CF1164" s="460"/>
      <c r="CG1164" s="460"/>
      <c r="CH1164" s="460"/>
      <c r="CI1164" s="460"/>
      <c r="CJ1164" s="460"/>
      <c r="CK1164" s="460"/>
    </row>
    <row r="1165" spans="1:191" s="266" customFormat="1" ht="36" customHeight="1" x14ac:dyDescent="0.25">
      <c r="A1165" s="329">
        <v>1</v>
      </c>
      <c r="B1165" s="39">
        <f>SUBTOTAL(103,$A$1000:A1165)</f>
        <v>148</v>
      </c>
      <c r="C1165" s="336" t="s">
        <v>1841</v>
      </c>
      <c r="D1165" s="330">
        <v>1977</v>
      </c>
      <c r="E1165" s="330"/>
      <c r="F1165" s="337" t="s">
        <v>48</v>
      </c>
      <c r="G1165" s="330">
        <v>2</v>
      </c>
      <c r="H1165" s="330" t="s">
        <v>56</v>
      </c>
      <c r="I1165" s="334">
        <v>594.20000000000005</v>
      </c>
      <c r="J1165" s="334">
        <v>550.6</v>
      </c>
      <c r="K1165" s="334">
        <v>550.6</v>
      </c>
      <c r="L1165" s="338">
        <v>21</v>
      </c>
      <c r="M1165" s="330" t="s">
        <v>46</v>
      </c>
      <c r="N1165" s="330" t="s">
        <v>47</v>
      </c>
      <c r="O1165" s="330" t="s">
        <v>49</v>
      </c>
      <c r="P1165" s="334">
        <v>3373804.98</v>
      </c>
      <c r="Q1165" s="334">
        <v>0</v>
      </c>
      <c r="R1165" s="334">
        <v>0</v>
      </c>
      <c r="S1165" s="334">
        <f>P1165-Q1165-R1165</f>
        <v>3373804.98</v>
      </c>
      <c r="T1165" s="38">
        <f t="shared" si="240"/>
        <v>5677.8946146078761</v>
      </c>
      <c r="U1165" s="38">
        <v>6806.9820918882524</v>
      </c>
      <c r="V1165" s="458">
        <f>U1165-T1165</f>
        <v>1129.0874772803763</v>
      </c>
      <c r="W1165" s="458">
        <f>X1165+Y1165+Z1165+AA1165+AB1165+AD1165+AF1165+AH1165+AJ1165+AL1165+AN1165+AO1165</f>
        <v>6783.843404577583</v>
      </c>
      <c r="X1165" s="458">
        <v>0</v>
      </c>
      <c r="Y1165" s="459">
        <v>0</v>
      </c>
      <c r="Z1165" s="459">
        <v>0</v>
      </c>
      <c r="AA1165" s="459">
        <v>0</v>
      </c>
      <c r="AB1165" s="459">
        <v>0</v>
      </c>
      <c r="AC1165" s="459">
        <v>0</v>
      </c>
      <c r="AD1165" s="459">
        <v>0</v>
      </c>
      <c r="AE1165" s="459">
        <v>646.1</v>
      </c>
      <c r="AF1165" s="458">
        <f>6238.91*AE1165/I1165</f>
        <v>6783.843404577583</v>
      </c>
      <c r="AG1165" s="459">
        <v>0</v>
      </c>
      <c r="AH1165" s="458">
        <v>0</v>
      </c>
      <c r="AI1165" s="459">
        <v>0</v>
      </c>
      <c r="AJ1165" s="458">
        <v>0</v>
      </c>
      <c r="AK1165" s="459">
        <v>0</v>
      </c>
      <c r="AL1165" s="459">
        <v>0</v>
      </c>
      <c r="AM1165" s="459">
        <v>0</v>
      </c>
      <c r="AN1165" s="459"/>
      <c r="AO1165" s="459">
        <v>0</v>
      </c>
      <c r="AP1165" s="460"/>
      <c r="AQ1165" s="250"/>
      <c r="AR1165" s="250"/>
      <c r="AS1165" s="250"/>
      <c r="AT1165" s="250"/>
      <c r="AU1165" s="250"/>
      <c r="AV1165" s="250"/>
      <c r="AW1165" s="250"/>
      <c r="AX1165" s="250"/>
      <c r="AY1165" s="250"/>
      <c r="AZ1165" s="250"/>
      <c r="BA1165" s="250"/>
      <c r="BB1165" s="250"/>
      <c r="BC1165" s="250"/>
      <c r="BD1165" s="250"/>
      <c r="BE1165" s="250"/>
      <c r="BF1165" s="250"/>
      <c r="BG1165" s="250"/>
      <c r="BH1165" s="250"/>
      <c r="BI1165" s="250"/>
      <c r="BJ1165" s="250"/>
      <c r="BK1165" s="250"/>
      <c r="BL1165" s="250"/>
      <c r="BM1165" s="250"/>
      <c r="BN1165" s="250"/>
      <c r="BO1165" s="250"/>
      <c r="BP1165" s="250"/>
      <c r="BQ1165" s="250"/>
      <c r="BR1165" s="250"/>
      <c r="BS1165" s="250"/>
      <c r="BT1165" s="250"/>
      <c r="BU1165" s="250"/>
      <c r="BV1165" s="250"/>
      <c r="BW1165" s="250"/>
      <c r="BX1165" s="250"/>
      <c r="BY1165" s="250"/>
      <c r="BZ1165" s="250"/>
      <c r="CA1165" s="250"/>
      <c r="CB1165" s="250"/>
      <c r="CC1165" s="250"/>
      <c r="CD1165" s="250"/>
      <c r="CE1165" s="250"/>
      <c r="CF1165" s="250"/>
      <c r="CG1165" s="250"/>
      <c r="CH1165" s="250"/>
      <c r="CI1165" s="250"/>
      <c r="CJ1165" s="250"/>
      <c r="CK1165" s="250"/>
      <c r="DQ1165" s="339"/>
      <c r="DR1165" s="339"/>
      <c r="DS1165" s="339"/>
      <c r="EP1165" s="340"/>
      <c r="FS1165" s="341"/>
      <c r="GI1165" s="342"/>
    </row>
    <row r="1166" spans="1:191" s="329" customFormat="1" ht="36" customHeight="1" x14ac:dyDescent="0.25">
      <c r="B1166" s="33" t="s">
        <v>1842</v>
      </c>
      <c r="C1166" s="343"/>
      <c r="D1166" s="330" t="s">
        <v>131</v>
      </c>
      <c r="E1166" s="330" t="s">
        <v>131</v>
      </c>
      <c r="F1166" s="330" t="s">
        <v>131</v>
      </c>
      <c r="G1166" s="330" t="s">
        <v>131</v>
      </c>
      <c r="H1166" s="330" t="s">
        <v>131</v>
      </c>
      <c r="I1166" s="334">
        <f>SUM(I1167:I1168)</f>
        <v>1532.1</v>
      </c>
      <c r="J1166" s="334">
        <f>SUM(J1167:J1168)</f>
        <v>1325.8000000000002</v>
      </c>
      <c r="K1166" s="334">
        <f>SUM(K1167:K1168)</f>
        <v>1325.8000000000002</v>
      </c>
      <c r="L1166" s="332">
        <f>SUM(L1167:L1168)</f>
        <v>39</v>
      </c>
      <c r="M1166" s="330" t="s">
        <v>131</v>
      </c>
      <c r="N1166" s="330" t="s">
        <v>131</v>
      </c>
      <c r="O1166" s="333" t="s">
        <v>131</v>
      </c>
      <c r="P1166" s="38">
        <v>3916350</v>
      </c>
      <c r="Q1166" s="38">
        <f>SUM(Q1167:Q1168)</f>
        <v>0</v>
      </c>
      <c r="R1166" s="38">
        <f>SUM(R1167:R1168)</f>
        <v>0</v>
      </c>
      <c r="S1166" s="38">
        <f>SUM(S1167:S1168)</f>
        <v>3916350</v>
      </c>
      <c r="T1166" s="38">
        <f t="shared" si="240"/>
        <v>2556.1973761503818</v>
      </c>
      <c r="U1166" s="38">
        <f>MAX(U1167:U1168)</f>
        <v>5032.080775716694</v>
      </c>
      <c r="V1166" s="458">
        <f t="shared" si="238"/>
        <v>2475.8833995663122</v>
      </c>
      <c r="W1166" s="458"/>
      <c r="X1166" s="458"/>
      <c r="Y1166" s="459"/>
      <c r="Z1166" s="459"/>
      <c r="AA1166" s="459"/>
      <c r="AB1166" s="459"/>
      <c r="AC1166" s="459"/>
      <c r="AD1166" s="459"/>
      <c r="AE1166" s="459"/>
      <c r="AF1166" s="459"/>
      <c r="AG1166" s="459"/>
      <c r="AH1166" s="459"/>
      <c r="AI1166" s="459"/>
      <c r="AJ1166" s="459"/>
      <c r="AK1166" s="459"/>
      <c r="AL1166" s="459"/>
      <c r="AM1166" s="459"/>
      <c r="AN1166" s="459"/>
      <c r="AO1166" s="459"/>
      <c r="AP1166" s="460"/>
      <c r="AQ1166" s="460"/>
      <c r="AR1166" s="460"/>
      <c r="AS1166" s="460"/>
      <c r="AT1166" s="460"/>
      <c r="AU1166" s="460"/>
      <c r="AV1166" s="460"/>
      <c r="AW1166" s="460"/>
      <c r="AX1166" s="460"/>
      <c r="AY1166" s="460"/>
      <c r="AZ1166" s="460"/>
      <c r="BA1166" s="460"/>
      <c r="BB1166" s="460"/>
      <c r="BC1166" s="460"/>
      <c r="BD1166" s="460"/>
      <c r="BE1166" s="460"/>
      <c r="BF1166" s="460"/>
      <c r="BG1166" s="460"/>
      <c r="BH1166" s="460"/>
      <c r="BI1166" s="460"/>
      <c r="BJ1166" s="460"/>
      <c r="BK1166" s="460"/>
      <c r="BL1166" s="460"/>
      <c r="BM1166" s="460"/>
      <c r="BN1166" s="460"/>
      <c r="BO1166" s="460"/>
      <c r="BP1166" s="460"/>
      <c r="BQ1166" s="460"/>
      <c r="BR1166" s="460"/>
      <c r="BS1166" s="460"/>
      <c r="BT1166" s="460"/>
      <c r="BU1166" s="460"/>
      <c r="BV1166" s="460"/>
      <c r="BW1166" s="460"/>
      <c r="BX1166" s="460"/>
      <c r="BY1166" s="460"/>
      <c r="BZ1166" s="460"/>
      <c r="CA1166" s="460"/>
      <c r="CB1166" s="460"/>
      <c r="CC1166" s="460"/>
      <c r="CD1166" s="460"/>
      <c r="CE1166" s="460"/>
      <c r="CF1166" s="460"/>
      <c r="CG1166" s="460"/>
      <c r="CH1166" s="460"/>
      <c r="CI1166" s="460"/>
      <c r="CJ1166" s="460"/>
      <c r="CK1166" s="460"/>
    </row>
    <row r="1167" spans="1:191" s="266" customFormat="1" ht="36" customHeight="1" x14ac:dyDescent="0.25">
      <c r="A1167" s="329">
        <v>1</v>
      </c>
      <c r="B1167" s="39">
        <f>SUBTOTAL(103,$A$1000:A1167)</f>
        <v>149</v>
      </c>
      <c r="C1167" s="336" t="s">
        <v>1843</v>
      </c>
      <c r="D1167" s="330">
        <v>1984</v>
      </c>
      <c r="E1167" s="330"/>
      <c r="F1167" s="337" t="s">
        <v>60</v>
      </c>
      <c r="G1167" s="330">
        <v>2</v>
      </c>
      <c r="H1167" s="330" t="s">
        <v>56</v>
      </c>
      <c r="I1167" s="334">
        <v>998.4</v>
      </c>
      <c r="J1167" s="334">
        <v>805.1</v>
      </c>
      <c r="K1167" s="334">
        <v>805.1</v>
      </c>
      <c r="L1167" s="338">
        <v>19</v>
      </c>
      <c r="M1167" s="330" t="s">
        <v>46</v>
      </c>
      <c r="N1167" s="330" t="s">
        <v>47</v>
      </c>
      <c r="O1167" s="330" t="s">
        <v>49</v>
      </c>
      <c r="P1167" s="334">
        <v>2035617.4</v>
      </c>
      <c r="Q1167" s="334">
        <v>0</v>
      </c>
      <c r="R1167" s="334">
        <v>0</v>
      </c>
      <c r="S1167" s="334">
        <f>P1167-Q1167-R1167</f>
        <v>2035617.4</v>
      </c>
      <c r="T1167" s="38">
        <f t="shared" si="240"/>
        <v>2038.8796073717949</v>
      </c>
      <c r="U1167" s="38">
        <v>2934.4640625000002</v>
      </c>
      <c r="V1167" s="458">
        <f t="shared" si="238"/>
        <v>895.58445512820526</v>
      </c>
      <c r="W1167" s="458">
        <f t="shared" ref="W1167:W1168" si="253">X1167+Y1167+Z1167+AA1167+AB1167+AD1167+AF1167+AH1167+AJ1167+AL1167+AN1167+AO1167</f>
        <v>2924.4890624999998</v>
      </c>
      <c r="X1167" s="458">
        <v>0</v>
      </c>
      <c r="Y1167" s="459">
        <v>0</v>
      </c>
      <c r="Z1167" s="459">
        <v>0</v>
      </c>
      <c r="AA1167" s="459">
        <v>0</v>
      </c>
      <c r="AB1167" s="459">
        <v>0</v>
      </c>
      <c r="AC1167" s="459">
        <v>0</v>
      </c>
      <c r="AD1167" s="459">
        <v>0</v>
      </c>
      <c r="AE1167" s="459">
        <v>468</v>
      </c>
      <c r="AF1167" s="458">
        <f>6238.91*AE1167/I1167</f>
        <v>2924.4890624999998</v>
      </c>
      <c r="AG1167" s="459">
        <v>0</v>
      </c>
      <c r="AH1167" s="458">
        <v>0</v>
      </c>
      <c r="AI1167" s="459">
        <v>0</v>
      </c>
      <c r="AJ1167" s="458">
        <v>0</v>
      </c>
      <c r="AK1167" s="459">
        <v>0</v>
      </c>
      <c r="AL1167" s="459">
        <v>0</v>
      </c>
      <c r="AM1167" s="459">
        <v>0</v>
      </c>
      <c r="AN1167" s="459"/>
      <c r="AO1167" s="459">
        <v>0</v>
      </c>
      <c r="AP1167" s="460"/>
      <c r="AQ1167" s="250"/>
      <c r="AR1167" s="250"/>
      <c r="AS1167" s="250"/>
      <c r="AT1167" s="250"/>
      <c r="AU1167" s="250"/>
      <c r="AV1167" s="250"/>
      <c r="AW1167" s="250"/>
      <c r="AX1167" s="250"/>
      <c r="AY1167" s="250"/>
      <c r="AZ1167" s="250"/>
      <c r="BA1167" s="250"/>
      <c r="BB1167" s="250"/>
      <c r="BC1167" s="250"/>
      <c r="BD1167" s="250"/>
      <c r="BE1167" s="250"/>
      <c r="BF1167" s="250"/>
      <c r="BG1167" s="250"/>
      <c r="BH1167" s="250"/>
      <c r="BI1167" s="250"/>
      <c r="BJ1167" s="250"/>
      <c r="BK1167" s="250"/>
      <c r="BL1167" s="250"/>
      <c r="BM1167" s="250"/>
      <c r="BN1167" s="250"/>
      <c r="BO1167" s="250"/>
      <c r="BP1167" s="250"/>
      <c r="BQ1167" s="250"/>
      <c r="BR1167" s="250"/>
      <c r="BS1167" s="250"/>
      <c r="BT1167" s="250"/>
      <c r="BU1167" s="250"/>
      <c r="BV1167" s="250"/>
      <c r="BW1167" s="250"/>
      <c r="BX1167" s="250"/>
      <c r="BY1167" s="250"/>
      <c r="BZ1167" s="250"/>
      <c r="CA1167" s="250"/>
      <c r="CB1167" s="250"/>
      <c r="CC1167" s="250"/>
      <c r="CD1167" s="250"/>
      <c r="CE1167" s="250"/>
      <c r="CF1167" s="250"/>
      <c r="CG1167" s="250"/>
      <c r="CH1167" s="250"/>
      <c r="CI1167" s="250"/>
      <c r="CJ1167" s="250"/>
      <c r="CK1167" s="250"/>
      <c r="DQ1167" s="339"/>
      <c r="DR1167" s="339"/>
      <c r="DS1167" s="339"/>
      <c r="EP1167" s="340"/>
      <c r="FS1167" s="341"/>
      <c r="GI1167" s="342"/>
    </row>
    <row r="1168" spans="1:191" s="266" customFormat="1" ht="36" customHeight="1" x14ac:dyDescent="0.25">
      <c r="A1168" s="329">
        <v>1</v>
      </c>
      <c r="B1168" s="39">
        <f>SUBTOTAL(103,$A$1000:A1168)</f>
        <v>150</v>
      </c>
      <c r="C1168" s="336" t="s">
        <v>1844</v>
      </c>
      <c r="D1168" s="330">
        <v>1982</v>
      </c>
      <c r="E1168" s="330"/>
      <c r="F1168" s="337" t="s">
        <v>48</v>
      </c>
      <c r="G1168" s="330">
        <v>2</v>
      </c>
      <c r="H1168" s="330" t="s">
        <v>56</v>
      </c>
      <c r="I1168" s="334">
        <v>533.70000000000005</v>
      </c>
      <c r="J1168" s="334">
        <v>520.70000000000005</v>
      </c>
      <c r="K1168" s="334">
        <v>520.70000000000005</v>
      </c>
      <c r="L1168" s="338">
        <v>20</v>
      </c>
      <c r="M1168" s="330" t="s">
        <v>46</v>
      </c>
      <c r="N1168" s="330" t="s">
        <v>47</v>
      </c>
      <c r="O1168" s="330" t="s">
        <v>49</v>
      </c>
      <c r="P1168" s="334">
        <v>1880732.6</v>
      </c>
      <c r="Q1168" s="334">
        <v>0</v>
      </c>
      <c r="R1168" s="334">
        <v>0</v>
      </c>
      <c r="S1168" s="334">
        <f>P1168-Q1168-R1168</f>
        <v>1880732.6</v>
      </c>
      <c r="T1168" s="38">
        <f t="shared" si="240"/>
        <v>3523.9509087502342</v>
      </c>
      <c r="U1168" s="38">
        <v>5032.080775716694</v>
      </c>
      <c r="V1168" s="458">
        <f t="shared" si="238"/>
        <v>1508.1298669664598</v>
      </c>
      <c r="W1168" s="458">
        <f t="shared" si="253"/>
        <v>5014.975435637999</v>
      </c>
      <c r="X1168" s="458">
        <v>0</v>
      </c>
      <c r="Y1168" s="459">
        <v>0</v>
      </c>
      <c r="Z1168" s="459">
        <v>0</v>
      </c>
      <c r="AA1168" s="459">
        <v>0</v>
      </c>
      <c r="AB1168" s="459">
        <v>0</v>
      </c>
      <c r="AC1168" s="459">
        <v>0</v>
      </c>
      <c r="AD1168" s="459">
        <v>0</v>
      </c>
      <c r="AE1168" s="459">
        <v>429</v>
      </c>
      <c r="AF1168" s="458">
        <f>6238.91*AE1168/I1168</f>
        <v>5014.975435637999</v>
      </c>
      <c r="AG1168" s="459">
        <v>0</v>
      </c>
      <c r="AH1168" s="458">
        <v>0</v>
      </c>
      <c r="AI1168" s="459">
        <v>0</v>
      </c>
      <c r="AJ1168" s="458">
        <v>0</v>
      </c>
      <c r="AK1168" s="459">
        <v>0</v>
      </c>
      <c r="AL1168" s="459">
        <v>0</v>
      </c>
      <c r="AM1168" s="459">
        <v>0</v>
      </c>
      <c r="AN1168" s="459"/>
      <c r="AO1168" s="459">
        <v>0</v>
      </c>
      <c r="AP1168" s="460"/>
      <c r="AQ1168" s="250"/>
      <c r="AR1168" s="250"/>
      <c r="AS1168" s="250"/>
      <c r="AT1168" s="250"/>
      <c r="AU1168" s="250"/>
      <c r="AV1168" s="250"/>
      <c r="AW1168" s="250"/>
      <c r="AX1168" s="250"/>
      <c r="AY1168" s="250"/>
      <c r="AZ1168" s="250"/>
      <c r="BA1168" s="250"/>
      <c r="BB1168" s="250"/>
      <c r="BC1168" s="250"/>
      <c r="BD1168" s="250"/>
      <c r="BE1168" s="250"/>
      <c r="BF1168" s="250"/>
      <c r="BG1168" s="250"/>
      <c r="BH1168" s="250"/>
      <c r="BI1168" s="250"/>
      <c r="BJ1168" s="250"/>
      <c r="BK1168" s="250"/>
      <c r="BL1168" s="250"/>
      <c r="BM1168" s="250"/>
      <c r="BN1168" s="250"/>
      <c r="BO1168" s="250"/>
      <c r="BP1168" s="250"/>
      <c r="BQ1168" s="250"/>
      <c r="BR1168" s="250"/>
      <c r="BS1168" s="250"/>
      <c r="BT1168" s="250"/>
      <c r="BU1168" s="250"/>
      <c r="BV1168" s="250"/>
      <c r="BW1168" s="250"/>
      <c r="BX1168" s="250"/>
      <c r="BY1168" s="250"/>
      <c r="BZ1168" s="250"/>
      <c r="CA1168" s="250"/>
      <c r="CB1168" s="250"/>
      <c r="CC1168" s="250"/>
      <c r="CD1168" s="250"/>
      <c r="CE1168" s="250"/>
      <c r="CF1168" s="250"/>
      <c r="CG1168" s="250"/>
      <c r="CH1168" s="250"/>
      <c r="CI1168" s="250"/>
      <c r="CJ1168" s="250"/>
      <c r="CK1168" s="250"/>
      <c r="DQ1168" s="339"/>
      <c r="DR1168" s="339"/>
      <c r="DS1168" s="339"/>
      <c r="EP1168" s="340"/>
      <c r="FS1168" s="341"/>
      <c r="GI1168" s="342"/>
    </row>
    <row r="1169" spans="1:191" s="329" customFormat="1" ht="36" customHeight="1" x14ac:dyDescent="0.25">
      <c r="B1169" s="33" t="s">
        <v>103</v>
      </c>
      <c r="C1169" s="462"/>
      <c r="D1169" s="330" t="s">
        <v>131</v>
      </c>
      <c r="E1169" s="330" t="s">
        <v>131</v>
      </c>
      <c r="F1169" s="330" t="s">
        <v>131</v>
      </c>
      <c r="G1169" s="330" t="s">
        <v>131</v>
      </c>
      <c r="H1169" s="330" t="s">
        <v>131</v>
      </c>
      <c r="I1169" s="334">
        <f>SUM(I1170:I1171)</f>
        <v>2184</v>
      </c>
      <c r="J1169" s="334">
        <f>SUM(J1170:J1171)</f>
        <v>1810.7</v>
      </c>
      <c r="K1169" s="334">
        <f>SUM(K1170:K1171)</f>
        <v>1606.7</v>
      </c>
      <c r="L1169" s="332">
        <f>SUM(L1170:L1171)</f>
        <v>61</v>
      </c>
      <c r="M1169" s="330" t="s">
        <v>131</v>
      </c>
      <c r="N1169" s="330" t="s">
        <v>131</v>
      </c>
      <c r="O1169" s="333" t="s">
        <v>131</v>
      </c>
      <c r="P1169" s="38">
        <v>3516578.96</v>
      </c>
      <c r="Q1169" s="38">
        <f>Q1170+Q1171</f>
        <v>0</v>
      </c>
      <c r="R1169" s="38">
        <f>R1170+R1171</f>
        <v>0</v>
      </c>
      <c r="S1169" s="38">
        <f>S1170+S1171</f>
        <v>3516578.96</v>
      </c>
      <c r="T1169" s="38">
        <f t="shared" si="240"/>
        <v>1610.1552014652013</v>
      </c>
      <c r="U1169" s="38">
        <f>MAX(U1170:U1171)</f>
        <v>4228.3471992206532</v>
      </c>
      <c r="V1169" s="458">
        <f t="shared" ref="V1169:V1231" si="254">U1169-T1169</f>
        <v>2618.1919977554517</v>
      </c>
      <c r="W1169" s="458"/>
      <c r="X1169" s="458"/>
      <c r="Y1169" s="459"/>
      <c r="Z1169" s="459"/>
      <c r="AA1169" s="459"/>
      <c r="AB1169" s="459"/>
      <c r="AC1169" s="459"/>
      <c r="AD1169" s="459"/>
      <c r="AE1169" s="459"/>
      <c r="AF1169" s="459"/>
      <c r="AG1169" s="459"/>
      <c r="AH1169" s="459"/>
      <c r="AI1169" s="459"/>
      <c r="AJ1169" s="459"/>
      <c r="AK1169" s="459"/>
      <c r="AL1169" s="459"/>
      <c r="AM1169" s="459"/>
      <c r="AN1169" s="459"/>
      <c r="AO1169" s="459"/>
      <c r="AP1169" s="460"/>
      <c r="AQ1169" s="460"/>
      <c r="AR1169" s="460"/>
      <c r="AS1169" s="460"/>
      <c r="AT1169" s="460"/>
      <c r="AU1169" s="460"/>
      <c r="AV1169" s="460"/>
      <c r="AW1169" s="460"/>
      <c r="AX1169" s="460"/>
      <c r="AY1169" s="460"/>
      <c r="AZ1169" s="460"/>
      <c r="BA1169" s="460"/>
      <c r="BB1169" s="460"/>
      <c r="BC1169" s="460"/>
      <c r="BD1169" s="460"/>
      <c r="BE1169" s="460"/>
      <c r="BF1169" s="460"/>
      <c r="BG1169" s="460"/>
      <c r="BH1169" s="460"/>
      <c r="BI1169" s="460"/>
      <c r="BJ1169" s="460"/>
      <c r="BK1169" s="460"/>
      <c r="BL1169" s="460"/>
      <c r="BM1169" s="460"/>
      <c r="BN1169" s="460"/>
      <c r="BO1169" s="460"/>
      <c r="BP1169" s="460"/>
      <c r="BQ1169" s="460"/>
      <c r="BR1169" s="460"/>
      <c r="BS1169" s="460"/>
      <c r="BT1169" s="460"/>
      <c r="BU1169" s="460"/>
      <c r="BV1169" s="460"/>
      <c r="BW1169" s="460"/>
      <c r="BX1169" s="460"/>
      <c r="BY1169" s="460"/>
      <c r="BZ1169" s="460"/>
      <c r="CA1169" s="460"/>
      <c r="CB1169" s="460"/>
      <c r="CC1169" s="460"/>
      <c r="CD1169" s="460"/>
      <c r="CE1169" s="460"/>
      <c r="CF1169" s="460"/>
      <c r="CG1169" s="460"/>
      <c r="CH1169" s="460"/>
      <c r="CI1169" s="460"/>
      <c r="CJ1169" s="460"/>
      <c r="CK1169" s="460"/>
    </row>
    <row r="1170" spans="1:191" s="266" customFormat="1" ht="36" customHeight="1" x14ac:dyDescent="0.25">
      <c r="A1170" s="329">
        <v>1</v>
      </c>
      <c r="B1170" s="39">
        <f>SUBTOTAL(103,$A$1000:A1170)</f>
        <v>151</v>
      </c>
      <c r="C1170" s="336" t="s">
        <v>1845</v>
      </c>
      <c r="D1170" s="330">
        <v>1985</v>
      </c>
      <c r="E1170" s="330"/>
      <c r="F1170" s="337" t="s">
        <v>48</v>
      </c>
      <c r="G1170" s="330">
        <v>5</v>
      </c>
      <c r="H1170" s="330" t="s">
        <v>56</v>
      </c>
      <c r="I1170" s="334">
        <v>1568.1</v>
      </c>
      <c r="J1170" s="334">
        <v>1442.7</v>
      </c>
      <c r="K1170" s="334">
        <v>1238.7</v>
      </c>
      <c r="L1170" s="338">
        <v>43</v>
      </c>
      <c r="M1170" s="330" t="s">
        <v>46</v>
      </c>
      <c r="N1170" s="330" t="s">
        <v>50</v>
      </c>
      <c r="O1170" s="330" t="s">
        <v>2158</v>
      </c>
      <c r="P1170" s="334">
        <v>1913529.37</v>
      </c>
      <c r="Q1170" s="334">
        <v>0</v>
      </c>
      <c r="R1170" s="334">
        <v>0</v>
      </c>
      <c r="S1170" s="334">
        <f>P1170-Q1170-R1170</f>
        <v>1913529.37</v>
      </c>
      <c r="T1170" s="38">
        <f t="shared" ref="T1170:T1233" si="255">P1170/I1170</f>
        <v>1220.2852943052103</v>
      </c>
      <c r="U1170" s="38">
        <v>1756.5739429883297</v>
      </c>
      <c r="V1170" s="458">
        <f t="shared" si="254"/>
        <v>536.28864868311939</v>
      </c>
      <c r="W1170" s="458">
        <f t="shared" ref="W1170:W1171" si="256">X1170+Y1170+Z1170+AA1170+AB1170+AD1170+AF1170+AH1170+AJ1170+AL1170+AN1170+AO1170</f>
        <v>1750.602895223519</v>
      </c>
      <c r="X1170" s="458">
        <v>0</v>
      </c>
      <c r="Y1170" s="459">
        <v>0</v>
      </c>
      <c r="Z1170" s="459">
        <v>0</v>
      </c>
      <c r="AA1170" s="459">
        <v>0</v>
      </c>
      <c r="AB1170" s="459">
        <v>0</v>
      </c>
      <c r="AC1170" s="459">
        <v>0</v>
      </c>
      <c r="AD1170" s="459">
        <v>0</v>
      </c>
      <c r="AE1170" s="459">
        <v>440</v>
      </c>
      <c r="AF1170" s="458">
        <f>6238.91*AE1170/I1170</f>
        <v>1750.602895223519</v>
      </c>
      <c r="AG1170" s="459">
        <v>0</v>
      </c>
      <c r="AH1170" s="458">
        <v>0</v>
      </c>
      <c r="AI1170" s="459">
        <v>0</v>
      </c>
      <c r="AJ1170" s="458">
        <v>0</v>
      </c>
      <c r="AK1170" s="459">
        <v>0</v>
      </c>
      <c r="AL1170" s="459">
        <v>0</v>
      </c>
      <c r="AM1170" s="459">
        <v>0</v>
      </c>
      <c r="AN1170" s="459"/>
      <c r="AO1170" s="459">
        <v>0</v>
      </c>
      <c r="AP1170" s="460"/>
      <c r="AQ1170" s="250"/>
      <c r="AR1170" s="250"/>
      <c r="AS1170" s="250"/>
      <c r="AT1170" s="250"/>
      <c r="AU1170" s="250"/>
      <c r="AV1170" s="250"/>
      <c r="AW1170" s="250"/>
      <c r="AX1170" s="250"/>
      <c r="AY1170" s="250"/>
      <c r="AZ1170" s="250"/>
      <c r="BA1170" s="250"/>
      <c r="BB1170" s="250"/>
      <c r="BC1170" s="250"/>
      <c r="BD1170" s="250"/>
      <c r="BE1170" s="250"/>
      <c r="BF1170" s="250"/>
      <c r="BG1170" s="250"/>
      <c r="BH1170" s="250"/>
      <c r="BI1170" s="250"/>
      <c r="BJ1170" s="250"/>
      <c r="BK1170" s="250"/>
      <c r="BL1170" s="250"/>
      <c r="BM1170" s="250"/>
      <c r="BN1170" s="250"/>
      <c r="BO1170" s="250"/>
      <c r="BP1170" s="250"/>
      <c r="BQ1170" s="250"/>
      <c r="BR1170" s="250"/>
      <c r="BS1170" s="250"/>
      <c r="BT1170" s="250"/>
      <c r="BU1170" s="250"/>
      <c r="BV1170" s="250"/>
      <c r="BW1170" s="250"/>
      <c r="BX1170" s="250"/>
      <c r="BY1170" s="250"/>
      <c r="BZ1170" s="250"/>
      <c r="CA1170" s="250"/>
      <c r="CB1170" s="250"/>
      <c r="CC1170" s="250"/>
      <c r="CD1170" s="250"/>
      <c r="CE1170" s="250"/>
      <c r="CF1170" s="250"/>
      <c r="CG1170" s="250"/>
      <c r="CH1170" s="250"/>
      <c r="CI1170" s="250"/>
      <c r="CJ1170" s="250"/>
      <c r="CK1170" s="250"/>
      <c r="DQ1170" s="339"/>
      <c r="DR1170" s="339"/>
      <c r="DS1170" s="339"/>
      <c r="EP1170" s="340"/>
      <c r="FS1170" s="341"/>
      <c r="GI1170" s="342"/>
    </row>
    <row r="1171" spans="1:191" s="266" customFormat="1" ht="36" customHeight="1" x14ac:dyDescent="0.25">
      <c r="A1171" s="329">
        <v>1</v>
      </c>
      <c r="B1171" s="39">
        <f>SUBTOTAL(103,$A$1000:A1171)</f>
        <v>152</v>
      </c>
      <c r="C1171" s="336" t="s">
        <v>1846</v>
      </c>
      <c r="D1171" s="330">
        <v>1988</v>
      </c>
      <c r="E1171" s="330" t="s">
        <v>2193</v>
      </c>
      <c r="F1171" s="337" t="s">
        <v>48</v>
      </c>
      <c r="G1171" s="330">
        <v>2</v>
      </c>
      <c r="H1171" s="330" t="s">
        <v>57</v>
      </c>
      <c r="I1171" s="334">
        <v>615.9</v>
      </c>
      <c r="J1171" s="334">
        <v>368</v>
      </c>
      <c r="K1171" s="334">
        <v>368</v>
      </c>
      <c r="L1171" s="338">
        <v>18</v>
      </c>
      <c r="M1171" s="330" t="s">
        <v>46</v>
      </c>
      <c r="N1171" s="330" t="s">
        <v>50</v>
      </c>
      <c r="O1171" s="330" t="s">
        <v>2158</v>
      </c>
      <c r="P1171" s="334">
        <v>1603049.59</v>
      </c>
      <c r="Q1171" s="334">
        <v>0</v>
      </c>
      <c r="R1171" s="334">
        <v>0</v>
      </c>
      <c r="S1171" s="334">
        <f>P1171-Q1171-R1171</f>
        <v>1603049.59</v>
      </c>
      <c r="T1171" s="38">
        <f t="shared" si="255"/>
        <v>2602.7757590517945</v>
      </c>
      <c r="U1171" s="38">
        <v>4228.3471992206532</v>
      </c>
      <c r="V1171" s="458">
        <f t="shared" si="254"/>
        <v>1625.5714401688588</v>
      </c>
      <c r="W1171" s="458">
        <f t="shared" si="256"/>
        <v>4213.9739568111709</v>
      </c>
      <c r="X1171" s="458">
        <v>0</v>
      </c>
      <c r="Y1171" s="459">
        <v>0</v>
      </c>
      <c r="Z1171" s="459">
        <v>0</v>
      </c>
      <c r="AA1171" s="459">
        <v>0</v>
      </c>
      <c r="AB1171" s="459">
        <v>0</v>
      </c>
      <c r="AC1171" s="459">
        <v>0</v>
      </c>
      <c r="AD1171" s="459">
        <v>0</v>
      </c>
      <c r="AE1171" s="459">
        <v>416</v>
      </c>
      <c r="AF1171" s="458">
        <f>6238.91*AE1171/I1171</f>
        <v>4213.9739568111709</v>
      </c>
      <c r="AG1171" s="459">
        <v>0</v>
      </c>
      <c r="AH1171" s="458">
        <v>0</v>
      </c>
      <c r="AI1171" s="459">
        <v>0</v>
      </c>
      <c r="AJ1171" s="458">
        <v>0</v>
      </c>
      <c r="AK1171" s="459">
        <v>0</v>
      </c>
      <c r="AL1171" s="459">
        <v>0</v>
      </c>
      <c r="AM1171" s="459">
        <v>0</v>
      </c>
      <c r="AN1171" s="459"/>
      <c r="AO1171" s="459">
        <v>0</v>
      </c>
      <c r="AP1171" s="460"/>
      <c r="AQ1171" s="250"/>
      <c r="AR1171" s="250"/>
      <c r="AS1171" s="250"/>
      <c r="AT1171" s="250"/>
      <c r="AU1171" s="250"/>
      <c r="AV1171" s="250"/>
      <c r="AW1171" s="250"/>
      <c r="AX1171" s="250"/>
      <c r="AY1171" s="250"/>
      <c r="AZ1171" s="250"/>
      <c r="BA1171" s="250"/>
      <c r="BB1171" s="250"/>
      <c r="BC1171" s="250"/>
      <c r="BD1171" s="250"/>
      <c r="BE1171" s="250"/>
      <c r="BF1171" s="250"/>
      <c r="BG1171" s="250"/>
      <c r="BH1171" s="250"/>
      <c r="BI1171" s="250"/>
      <c r="BJ1171" s="250"/>
      <c r="BK1171" s="250"/>
      <c r="BL1171" s="250"/>
      <c r="BM1171" s="250"/>
      <c r="BN1171" s="250"/>
      <c r="BO1171" s="250"/>
      <c r="BP1171" s="250"/>
      <c r="BQ1171" s="250"/>
      <c r="BR1171" s="250"/>
      <c r="BS1171" s="250"/>
      <c r="BT1171" s="250"/>
      <c r="BU1171" s="250"/>
      <c r="BV1171" s="250"/>
      <c r="BW1171" s="250"/>
      <c r="BX1171" s="250"/>
      <c r="BY1171" s="250"/>
      <c r="BZ1171" s="250"/>
      <c r="CA1171" s="250"/>
      <c r="CB1171" s="250"/>
      <c r="CC1171" s="250"/>
      <c r="CD1171" s="250"/>
      <c r="CE1171" s="250"/>
      <c r="CF1171" s="250"/>
      <c r="CG1171" s="250"/>
      <c r="CH1171" s="250"/>
      <c r="CI1171" s="250"/>
      <c r="CJ1171" s="250"/>
      <c r="CK1171" s="250"/>
      <c r="DQ1171" s="339"/>
      <c r="DR1171" s="339"/>
      <c r="DS1171" s="339"/>
      <c r="EP1171" s="340"/>
      <c r="FS1171" s="341"/>
      <c r="GI1171" s="342"/>
    </row>
    <row r="1172" spans="1:191" s="329" customFormat="1" ht="36" customHeight="1" x14ac:dyDescent="0.25">
      <c r="B1172" s="33" t="s">
        <v>125</v>
      </c>
      <c r="C1172" s="33"/>
      <c r="D1172" s="330" t="s">
        <v>131</v>
      </c>
      <c r="E1172" s="330" t="s">
        <v>131</v>
      </c>
      <c r="F1172" s="330" t="s">
        <v>131</v>
      </c>
      <c r="G1172" s="330" t="s">
        <v>131</v>
      </c>
      <c r="H1172" s="330" t="s">
        <v>131</v>
      </c>
      <c r="I1172" s="334">
        <f>I1173</f>
        <v>1069.5</v>
      </c>
      <c r="J1172" s="334">
        <f>J1173</f>
        <v>1035.2</v>
      </c>
      <c r="K1172" s="334">
        <f>K1173</f>
        <v>1035.2</v>
      </c>
      <c r="L1172" s="332">
        <f>L1173</f>
        <v>34</v>
      </c>
      <c r="M1172" s="330" t="s">
        <v>131</v>
      </c>
      <c r="N1172" s="330" t="s">
        <v>131</v>
      </c>
      <c r="O1172" s="333" t="s">
        <v>131</v>
      </c>
      <c r="P1172" s="38">
        <v>3598749.4899999998</v>
      </c>
      <c r="Q1172" s="38">
        <f>Q1173</f>
        <v>0</v>
      </c>
      <c r="R1172" s="38">
        <f>R1173</f>
        <v>0</v>
      </c>
      <c r="S1172" s="38">
        <f>S1173</f>
        <v>3598749.4899999998</v>
      </c>
      <c r="T1172" s="38">
        <f t="shared" si="255"/>
        <v>3364.8896587190275</v>
      </c>
      <c r="U1172" s="38">
        <f>U1173</f>
        <v>5711.728286115007</v>
      </c>
      <c r="V1172" s="458">
        <f t="shared" si="254"/>
        <v>2346.8386273959795</v>
      </c>
      <c r="W1172" s="458"/>
      <c r="X1172" s="458"/>
      <c r="Y1172" s="459"/>
      <c r="Z1172" s="459"/>
      <c r="AA1172" s="459"/>
      <c r="AB1172" s="459"/>
      <c r="AC1172" s="459"/>
      <c r="AD1172" s="459"/>
      <c r="AE1172" s="459"/>
      <c r="AF1172" s="459"/>
      <c r="AG1172" s="459"/>
      <c r="AH1172" s="459"/>
      <c r="AI1172" s="459"/>
      <c r="AJ1172" s="459"/>
      <c r="AK1172" s="459"/>
      <c r="AL1172" s="459"/>
      <c r="AM1172" s="459"/>
      <c r="AN1172" s="459"/>
      <c r="AO1172" s="459"/>
      <c r="AP1172" s="460"/>
      <c r="AQ1172" s="460"/>
      <c r="AR1172" s="460"/>
      <c r="AS1172" s="460"/>
      <c r="AT1172" s="460"/>
      <c r="AU1172" s="460"/>
      <c r="AV1172" s="460"/>
      <c r="AW1172" s="460"/>
      <c r="AX1172" s="460"/>
      <c r="AY1172" s="460"/>
      <c r="AZ1172" s="460"/>
      <c r="BA1172" s="460"/>
      <c r="BB1172" s="460"/>
      <c r="BC1172" s="460"/>
      <c r="BD1172" s="460"/>
      <c r="BE1172" s="460"/>
      <c r="BF1172" s="460"/>
      <c r="BG1172" s="460"/>
      <c r="BH1172" s="460"/>
      <c r="BI1172" s="460"/>
      <c r="BJ1172" s="460"/>
      <c r="BK1172" s="460"/>
      <c r="BL1172" s="460"/>
      <c r="BM1172" s="460"/>
      <c r="BN1172" s="460"/>
      <c r="BO1172" s="460"/>
      <c r="BP1172" s="460"/>
      <c r="BQ1172" s="460"/>
      <c r="BR1172" s="460"/>
      <c r="BS1172" s="460"/>
      <c r="BT1172" s="460"/>
      <c r="BU1172" s="460"/>
      <c r="BV1172" s="460"/>
      <c r="BW1172" s="460"/>
      <c r="BX1172" s="460"/>
      <c r="BY1172" s="460"/>
      <c r="BZ1172" s="460"/>
      <c r="CA1172" s="460"/>
      <c r="CB1172" s="460"/>
      <c r="CC1172" s="460"/>
      <c r="CD1172" s="460"/>
      <c r="CE1172" s="460"/>
      <c r="CF1172" s="460"/>
      <c r="CG1172" s="460"/>
      <c r="CH1172" s="460"/>
      <c r="CI1172" s="460"/>
      <c r="CJ1172" s="460"/>
      <c r="CK1172" s="460"/>
    </row>
    <row r="1173" spans="1:191" s="266" customFormat="1" ht="36" customHeight="1" x14ac:dyDescent="0.25">
      <c r="A1173" s="329">
        <v>1</v>
      </c>
      <c r="B1173" s="39">
        <f>SUBTOTAL(103,$A$1000:A1173)</f>
        <v>153</v>
      </c>
      <c r="C1173" s="336" t="s">
        <v>1847</v>
      </c>
      <c r="D1173" s="330">
        <v>1995</v>
      </c>
      <c r="E1173" s="330"/>
      <c r="F1173" s="337" t="s">
        <v>48</v>
      </c>
      <c r="G1173" s="330">
        <v>2</v>
      </c>
      <c r="H1173" s="330" t="s">
        <v>61</v>
      </c>
      <c r="I1173" s="334">
        <v>1069.5</v>
      </c>
      <c r="J1173" s="334">
        <v>1035.2</v>
      </c>
      <c r="K1173" s="334">
        <v>1035.2</v>
      </c>
      <c r="L1173" s="338">
        <v>34</v>
      </c>
      <c r="M1173" s="330" t="s">
        <v>46</v>
      </c>
      <c r="N1173" s="330" t="s">
        <v>47</v>
      </c>
      <c r="O1173" s="330" t="s">
        <v>49</v>
      </c>
      <c r="P1173" s="334">
        <v>3598749.4899999998</v>
      </c>
      <c r="Q1173" s="334">
        <v>0</v>
      </c>
      <c r="R1173" s="334">
        <v>0</v>
      </c>
      <c r="S1173" s="334">
        <f>P1173-Q1173-R1173</f>
        <v>3598749.4899999998</v>
      </c>
      <c r="T1173" s="38">
        <f t="shared" si="255"/>
        <v>3364.8896587190275</v>
      </c>
      <c r="U1173" s="38">
        <v>5711.728286115007</v>
      </c>
      <c r="V1173" s="458">
        <f>U1173-T1173</f>
        <v>2346.8386273959795</v>
      </c>
      <c r="W1173" s="458">
        <f>X1173+Y1173+Z1173+AA1173+AB1173+AD1173+AF1173+AH1173+AJ1173+AL1173+AN1173+AO1173</f>
        <v>5692.3126489013557</v>
      </c>
      <c r="X1173" s="458">
        <v>0</v>
      </c>
      <c r="Y1173" s="459">
        <v>0</v>
      </c>
      <c r="Z1173" s="459">
        <v>0</v>
      </c>
      <c r="AA1173" s="459">
        <v>0</v>
      </c>
      <c r="AB1173" s="459">
        <v>0</v>
      </c>
      <c r="AC1173" s="459">
        <v>0</v>
      </c>
      <c r="AD1173" s="459">
        <v>0</v>
      </c>
      <c r="AE1173" s="459">
        <v>975.8</v>
      </c>
      <c r="AF1173" s="458">
        <f>6238.91*AE1173/I1173</f>
        <v>5692.3126489013557</v>
      </c>
      <c r="AG1173" s="459">
        <v>0</v>
      </c>
      <c r="AH1173" s="458">
        <v>0</v>
      </c>
      <c r="AI1173" s="459">
        <v>0</v>
      </c>
      <c r="AJ1173" s="458">
        <v>0</v>
      </c>
      <c r="AK1173" s="459">
        <v>0</v>
      </c>
      <c r="AL1173" s="459">
        <v>0</v>
      </c>
      <c r="AM1173" s="459">
        <v>0</v>
      </c>
      <c r="AN1173" s="459"/>
      <c r="AO1173" s="459">
        <v>0</v>
      </c>
      <c r="AP1173" s="460"/>
      <c r="AQ1173" s="250"/>
      <c r="AR1173" s="250"/>
      <c r="AS1173" s="250"/>
      <c r="AT1173" s="250"/>
      <c r="AU1173" s="250"/>
      <c r="AV1173" s="250"/>
      <c r="AW1173" s="250"/>
      <c r="AX1173" s="250"/>
      <c r="AY1173" s="250"/>
      <c r="AZ1173" s="250"/>
      <c r="BA1173" s="250"/>
      <c r="BB1173" s="250"/>
      <c r="BC1173" s="250"/>
      <c r="BD1173" s="250"/>
      <c r="BE1173" s="250"/>
      <c r="BF1173" s="250"/>
      <c r="BG1173" s="250"/>
      <c r="BH1173" s="250"/>
      <c r="BI1173" s="250"/>
      <c r="BJ1173" s="250"/>
      <c r="BK1173" s="250"/>
      <c r="BL1173" s="250"/>
      <c r="BM1173" s="250"/>
      <c r="BN1173" s="250"/>
      <c r="BO1173" s="250"/>
      <c r="BP1173" s="250"/>
      <c r="BQ1173" s="250"/>
      <c r="BR1173" s="250"/>
      <c r="BS1173" s="250"/>
      <c r="BT1173" s="250"/>
      <c r="BU1173" s="250"/>
      <c r="BV1173" s="250"/>
      <c r="BW1173" s="250"/>
      <c r="BX1173" s="250"/>
      <c r="BY1173" s="250"/>
      <c r="BZ1173" s="250"/>
      <c r="CA1173" s="250"/>
      <c r="CB1173" s="250"/>
      <c r="CC1173" s="250"/>
      <c r="CD1173" s="250"/>
      <c r="CE1173" s="250"/>
      <c r="CF1173" s="250"/>
      <c r="CG1173" s="250"/>
      <c r="CH1173" s="250"/>
      <c r="CI1173" s="250"/>
      <c r="CJ1173" s="250"/>
      <c r="CK1173" s="250"/>
      <c r="DQ1173" s="339"/>
      <c r="DR1173" s="339"/>
      <c r="DS1173" s="339"/>
      <c r="EP1173" s="340"/>
      <c r="FS1173" s="341"/>
      <c r="GI1173" s="342"/>
    </row>
    <row r="1174" spans="1:191" s="329" customFormat="1" ht="36" customHeight="1" x14ac:dyDescent="0.25">
      <c r="B1174" s="33" t="s">
        <v>1310</v>
      </c>
      <c r="C1174" s="33"/>
      <c r="D1174" s="330" t="s">
        <v>90</v>
      </c>
      <c r="E1174" s="330" t="s">
        <v>90</v>
      </c>
      <c r="F1174" s="330" t="s">
        <v>90</v>
      </c>
      <c r="G1174" s="330" t="s">
        <v>90</v>
      </c>
      <c r="H1174" s="330" t="s">
        <v>90</v>
      </c>
      <c r="I1174" s="334">
        <f>I1175</f>
        <v>667.4</v>
      </c>
      <c r="J1174" s="334">
        <f>J1175</f>
        <v>576.1</v>
      </c>
      <c r="K1174" s="334">
        <f>K1175</f>
        <v>424.8</v>
      </c>
      <c r="L1174" s="332">
        <f>L1175</f>
        <v>32</v>
      </c>
      <c r="M1174" s="330" t="s">
        <v>131</v>
      </c>
      <c r="N1174" s="330" t="s">
        <v>131</v>
      </c>
      <c r="O1174" s="333" t="s">
        <v>131</v>
      </c>
      <c r="P1174" s="38">
        <v>1925593.0499999998</v>
      </c>
      <c r="Q1174" s="38">
        <f>Q1175</f>
        <v>0</v>
      </c>
      <c r="R1174" s="38">
        <f>R1175</f>
        <v>0</v>
      </c>
      <c r="S1174" s="38">
        <f>S1175</f>
        <v>1925593.0499999998</v>
      </c>
      <c r="T1174" s="38">
        <f t="shared" si="255"/>
        <v>2885.2158375786635</v>
      </c>
      <c r="U1174" s="38">
        <f>U1175</f>
        <v>8864.0688492658082</v>
      </c>
      <c r="V1174" s="458">
        <f t="shared" si="254"/>
        <v>5978.8530116871443</v>
      </c>
      <c r="W1174" s="458"/>
      <c r="X1174" s="458"/>
      <c r="Y1174" s="459"/>
      <c r="Z1174" s="459"/>
      <c r="AA1174" s="459"/>
      <c r="AB1174" s="459"/>
      <c r="AC1174" s="459"/>
      <c r="AD1174" s="459"/>
      <c r="AE1174" s="459"/>
      <c r="AF1174" s="459"/>
      <c r="AG1174" s="459"/>
      <c r="AH1174" s="459"/>
      <c r="AI1174" s="459"/>
      <c r="AJ1174" s="459"/>
      <c r="AK1174" s="459"/>
      <c r="AL1174" s="459"/>
      <c r="AM1174" s="459"/>
      <c r="AN1174" s="459"/>
      <c r="AO1174" s="459"/>
      <c r="AP1174" s="460"/>
      <c r="AQ1174" s="460"/>
      <c r="AR1174" s="460"/>
      <c r="AS1174" s="460"/>
      <c r="AT1174" s="460"/>
      <c r="AU1174" s="460"/>
      <c r="AV1174" s="460"/>
      <c r="AW1174" s="460"/>
      <c r="AX1174" s="460"/>
      <c r="AY1174" s="460"/>
      <c r="AZ1174" s="460"/>
      <c r="BA1174" s="460"/>
      <c r="BB1174" s="460"/>
      <c r="BC1174" s="460"/>
      <c r="BD1174" s="460"/>
      <c r="BE1174" s="460"/>
      <c r="BF1174" s="460"/>
      <c r="BG1174" s="460"/>
      <c r="BH1174" s="460"/>
      <c r="BI1174" s="460"/>
      <c r="BJ1174" s="460"/>
      <c r="BK1174" s="460"/>
      <c r="BL1174" s="460"/>
      <c r="BM1174" s="460"/>
      <c r="BN1174" s="460"/>
      <c r="BO1174" s="460"/>
      <c r="BP1174" s="460"/>
      <c r="BQ1174" s="460"/>
      <c r="BR1174" s="460"/>
      <c r="BS1174" s="460"/>
      <c r="BT1174" s="460"/>
      <c r="BU1174" s="460"/>
      <c r="BV1174" s="460"/>
      <c r="BW1174" s="460"/>
      <c r="BX1174" s="460"/>
      <c r="BY1174" s="460"/>
      <c r="BZ1174" s="460"/>
      <c r="CA1174" s="460"/>
      <c r="CB1174" s="460"/>
      <c r="CC1174" s="460"/>
      <c r="CD1174" s="460"/>
      <c r="CE1174" s="460"/>
      <c r="CF1174" s="460"/>
      <c r="CG1174" s="460"/>
      <c r="CH1174" s="460"/>
      <c r="CI1174" s="460"/>
      <c r="CJ1174" s="460"/>
      <c r="CK1174" s="460"/>
    </row>
    <row r="1175" spans="1:191" s="266" customFormat="1" ht="36" customHeight="1" x14ac:dyDescent="0.25">
      <c r="A1175" s="329">
        <v>1</v>
      </c>
      <c r="B1175" s="39">
        <f>SUBTOTAL(103,$A$1000:A1175)</f>
        <v>154</v>
      </c>
      <c r="C1175" s="336" t="s">
        <v>1848</v>
      </c>
      <c r="D1175" s="330">
        <v>1987</v>
      </c>
      <c r="E1175" s="330"/>
      <c r="F1175" s="337" t="s">
        <v>48</v>
      </c>
      <c r="G1175" s="330">
        <v>2</v>
      </c>
      <c r="H1175" s="330" t="s">
        <v>56</v>
      </c>
      <c r="I1175" s="334">
        <v>667.4</v>
      </c>
      <c r="J1175" s="334">
        <v>576.1</v>
      </c>
      <c r="K1175" s="334">
        <v>424.8</v>
      </c>
      <c r="L1175" s="338">
        <v>32</v>
      </c>
      <c r="M1175" s="330" t="s">
        <v>46</v>
      </c>
      <c r="N1175" s="330" t="s">
        <v>47</v>
      </c>
      <c r="O1175" s="330" t="s">
        <v>49</v>
      </c>
      <c r="P1175" s="334">
        <v>1925593.0499999998</v>
      </c>
      <c r="Q1175" s="334">
        <v>0</v>
      </c>
      <c r="R1175" s="334">
        <v>0</v>
      </c>
      <c r="S1175" s="334">
        <f>P1175-Q1175-R1175</f>
        <v>1925593.0499999998</v>
      </c>
      <c r="T1175" s="38">
        <f t="shared" si="255"/>
        <v>2885.2158375786635</v>
      </c>
      <c r="U1175" s="38">
        <v>8864.0688492658082</v>
      </c>
      <c r="V1175" s="458">
        <f>U1175-T1175</f>
        <v>5978.8530116871443</v>
      </c>
      <c r="W1175" s="458">
        <f>X1175+Y1175+Z1175+AA1175+AB1175+AD1175+AF1175+AH1175+AJ1175+AL1175+AN1175+AO1175</f>
        <v>8833.9375936469896</v>
      </c>
      <c r="X1175" s="458">
        <v>0</v>
      </c>
      <c r="Y1175" s="459">
        <v>0</v>
      </c>
      <c r="Z1175" s="459">
        <v>0</v>
      </c>
      <c r="AA1175" s="459">
        <v>0</v>
      </c>
      <c r="AB1175" s="459">
        <v>0</v>
      </c>
      <c r="AC1175" s="459">
        <v>0</v>
      </c>
      <c r="AD1175" s="459">
        <v>0</v>
      </c>
      <c r="AE1175" s="459">
        <v>945</v>
      </c>
      <c r="AF1175" s="458">
        <f>6238.91*AE1175/I1175</f>
        <v>8833.9375936469896</v>
      </c>
      <c r="AG1175" s="459">
        <v>0</v>
      </c>
      <c r="AH1175" s="458">
        <v>0</v>
      </c>
      <c r="AI1175" s="459">
        <v>0</v>
      </c>
      <c r="AJ1175" s="458">
        <v>0</v>
      </c>
      <c r="AK1175" s="459">
        <v>0</v>
      </c>
      <c r="AL1175" s="459">
        <v>0</v>
      </c>
      <c r="AM1175" s="459">
        <v>0</v>
      </c>
      <c r="AN1175" s="459"/>
      <c r="AO1175" s="459">
        <v>0</v>
      </c>
      <c r="AP1175" s="460"/>
      <c r="AQ1175" s="250"/>
      <c r="AR1175" s="250"/>
      <c r="AS1175" s="250"/>
      <c r="AT1175" s="250"/>
      <c r="AU1175" s="250"/>
      <c r="AV1175" s="250"/>
      <c r="AW1175" s="250"/>
      <c r="AX1175" s="250"/>
      <c r="AY1175" s="250"/>
      <c r="AZ1175" s="250"/>
      <c r="BA1175" s="250"/>
      <c r="BB1175" s="250"/>
      <c r="BC1175" s="250"/>
      <c r="BD1175" s="250"/>
      <c r="BE1175" s="250"/>
      <c r="BF1175" s="250"/>
      <c r="BG1175" s="250"/>
      <c r="BH1175" s="250"/>
      <c r="BI1175" s="250"/>
      <c r="BJ1175" s="250"/>
      <c r="BK1175" s="250"/>
      <c r="BL1175" s="250"/>
      <c r="BM1175" s="250"/>
      <c r="BN1175" s="250"/>
      <c r="BO1175" s="250"/>
      <c r="BP1175" s="250"/>
      <c r="BQ1175" s="250"/>
      <c r="BR1175" s="250"/>
      <c r="BS1175" s="250"/>
      <c r="BT1175" s="250"/>
      <c r="BU1175" s="250"/>
      <c r="BV1175" s="250"/>
      <c r="BW1175" s="250"/>
      <c r="BX1175" s="250"/>
      <c r="BY1175" s="250"/>
      <c r="BZ1175" s="250"/>
      <c r="CA1175" s="250"/>
      <c r="CB1175" s="250"/>
      <c r="CC1175" s="250"/>
      <c r="CD1175" s="250"/>
      <c r="CE1175" s="250"/>
      <c r="CF1175" s="250"/>
      <c r="CG1175" s="250"/>
      <c r="CH1175" s="250"/>
      <c r="CI1175" s="250"/>
      <c r="CJ1175" s="250"/>
      <c r="CK1175" s="250"/>
      <c r="DQ1175" s="339"/>
      <c r="DR1175" s="339"/>
      <c r="DS1175" s="339"/>
      <c r="EP1175" s="340"/>
      <c r="FS1175" s="341"/>
      <c r="GI1175" s="342"/>
    </row>
    <row r="1176" spans="1:191" s="329" customFormat="1" ht="36" customHeight="1" x14ac:dyDescent="0.25">
      <c r="B1176" s="33" t="s">
        <v>1849</v>
      </c>
      <c r="C1176" s="33"/>
      <c r="D1176" s="330" t="s">
        <v>90</v>
      </c>
      <c r="E1176" s="330" t="s">
        <v>90</v>
      </c>
      <c r="F1176" s="330" t="s">
        <v>90</v>
      </c>
      <c r="G1176" s="330" t="s">
        <v>90</v>
      </c>
      <c r="H1176" s="330" t="s">
        <v>90</v>
      </c>
      <c r="I1176" s="334">
        <f>I1177</f>
        <v>569.20000000000005</v>
      </c>
      <c r="J1176" s="334">
        <f>J1177</f>
        <v>569.20000000000005</v>
      </c>
      <c r="K1176" s="334">
        <f>K1177</f>
        <v>569.20000000000005</v>
      </c>
      <c r="L1176" s="332">
        <f>L1177</f>
        <v>29</v>
      </c>
      <c r="M1176" s="330" t="s">
        <v>131</v>
      </c>
      <c r="N1176" s="330" t="s">
        <v>131</v>
      </c>
      <c r="O1176" s="333" t="s">
        <v>131</v>
      </c>
      <c r="P1176" s="38">
        <v>1538879.17</v>
      </c>
      <c r="Q1176" s="38">
        <f>Q1177</f>
        <v>0</v>
      </c>
      <c r="R1176" s="38">
        <f>R1177</f>
        <v>0</v>
      </c>
      <c r="S1176" s="38">
        <f>S1177</f>
        <v>1538879.17</v>
      </c>
      <c r="T1176" s="38">
        <f t="shared" si="255"/>
        <v>2703.5825193253686</v>
      </c>
      <c r="U1176" s="38">
        <f>U1177</f>
        <v>4377.2937807449043</v>
      </c>
      <c r="V1176" s="458">
        <f t="shared" si="254"/>
        <v>1673.7112614195357</v>
      </c>
      <c r="W1176" s="458"/>
      <c r="X1176" s="458"/>
      <c r="Y1176" s="459"/>
      <c r="Z1176" s="459"/>
      <c r="AA1176" s="459"/>
      <c r="AB1176" s="459"/>
      <c r="AC1176" s="459"/>
      <c r="AD1176" s="459"/>
      <c r="AE1176" s="459"/>
      <c r="AF1176" s="459"/>
      <c r="AG1176" s="459"/>
      <c r="AH1176" s="459"/>
      <c r="AI1176" s="459"/>
      <c r="AJ1176" s="459"/>
      <c r="AK1176" s="459"/>
      <c r="AL1176" s="459"/>
      <c r="AM1176" s="459"/>
      <c r="AN1176" s="459"/>
      <c r="AO1176" s="459"/>
      <c r="AP1176" s="460"/>
      <c r="AQ1176" s="460"/>
      <c r="AR1176" s="460"/>
      <c r="AS1176" s="460"/>
      <c r="AT1176" s="460"/>
      <c r="AU1176" s="460"/>
      <c r="AV1176" s="460"/>
      <c r="AW1176" s="460"/>
      <c r="AX1176" s="460"/>
      <c r="AY1176" s="460"/>
      <c r="AZ1176" s="460"/>
      <c r="BA1176" s="460"/>
      <c r="BB1176" s="460"/>
      <c r="BC1176" s="460"/>
      <c r="BD1176" s="460"/>
      <c r="BE1176" s="460"/>
      <c r="BF1176" s="460"/>
      <c r="BG1176" s="460"/>
      <c r="BH1176" s="460"/>
      <c r="BI1176" s="460"/>
      <c r="BJ1176" s="460"/>
      <c r="BK1176" s="460"/>
      <c r="BL1176" s="460"/>
      <c r="BM1176" s="460"/>
      <c r="BN1176" s="460"/>
      <c r="BO1176" s="460"/>
      <c r="BP1176" s="460"/>
      <c r="BQ1176" s="460"/>
      <c r="BR1176" s="460"/>
      <c r="BS1176" s="460"/>
      <c r="BT1176" s="460"/>
      <c r="BU1176" s="460"/>
      <c r="BV1176" s="460"/>
      <c r="BW1176" s="460"/>
      <c r="BX1176" s="460"/>
      <c r="BY1176" s="460"/>
      <c r="BZ1176" s="460"/>
      <c r="CA1176" s="460"/>
      <c r="CB1176" s="460"/>
      <c r="CC1176" s="460"/>
      <c r="CD1176" s="460"/>
      <c r="CE1176" s="460"/>
      <c r="CF1176" s="460"/>
      <c r="CG1176" s="460"/>
      <c r="CH1176" s="460"/>
      <c r="CI1176" s="460"/>
      <c r="CJ1176" s="460"/>
      <c r="CK1176" s="460"/>
    </row>
    <row r="1177" spans="1:191" s="266" customFormat="1" ht="36" customHeight="1" x14ac:dyDescent="0.25">
      <c r="A1177" s="329">
        <v>1</v>
      </c>
      <c r="B1177" s="39">
        <f>SUBTOTAL(103,$A$1000:A1177)</f>
        <v>155</v>
      </c>
      <c r="C1177" s="336" t="s">
        <v>1850</v>
      </c>
      <c r="D1177" s="330">
        <v>1978</v>
      </c>
      <c r="E1177" s="330"/>
      <c r="F1177" s="337" t="s">
        <v>48</v>
      </c>
      <c r="G1177" s="330">
        <v>2</v>
      </c>
      <c r="H1177" s="330" t="s">
        <v>56</v>
      </c>
      <c r="I1177" s="334">
        <v>569.20000000000005</v>
      </c>
      <c r="J1177" s="334">
        <v>569.20000000000005</v>
      </c>
      <c r="K1177" s="334">
        <v>569.20000000000005</v>
      </c>
      <c r="L1177" s="338">
        <v>29</v>
      </c>
      <c r="M1177" s="330" t="s">
        <v>46</v>
      </c>
      <c r="N1177" s="330" t="s">
        <v>47</v>
      </c>
      <c r="O1177" s="330" t="s">
        <v>49</v>
      </c>
      <c r="P1177" s="334">
        <v>1538879.17</v>
      </c>
      <c r="Q1177" s="334">
        <v>0</v>
      </c>
      <c r="R1177" s="334">
        <v>0</v>
      </c>
      <c r="S1177" s="334">
        <f>P1177-Q1177-R1177</f>
        <v>1538879.17</v>
      </c>
      <c r="T1177" s="38">
        <f t="shared" si="255"/>
        <v>2703.5825193253686</v>
      </c>
      <c r="U1177" s="38">
        <v>4377.2937807449043</v>
      </c>
      <c r="V1177" s="458">
        <f>U1177-T1177</f>
        <v>1673.7112614195357</v>
      </c>
      <c r="W1177" s="458">
        <f>X1177+Y1177+Z1177+AA1177+AB1177+AD1177+AF1177+AH1177+AJ1177+AL1177+AN1177+AO1177</f>
        <v>4362.4142304989455</v>
      </c>
      <c r="X1177" s="458">
        <v>0</v>
      </c>
      <c r="Y1177" s="459">
        <v>0</v>
      </c>
      <c r="Z1177" s="459">
        <v>0</v>
      </c>
      <c r="AA1177" s="459">
        <v>0</v>
      </c>
      <c r="AB1177" s="459">
        <v>0</v>
      </c>
      <c r="AC1177" s="459">
        <v>0</v>
      </c>
      <c r="AD1177" s="459">
        <v>0</v>
      </c>
      <c r="AE1177" s="459">
        <v>398</v>
      </c>
      <c r="AF1177" s="458">
        <f>6238.91*AE1177/I1177</f>
        <v>4362.4142304989455</v>
      </c>
      <c r="AG1177" s="459">
        <v>0</v>
      </c>
      <c r="AH1177" s="458">
        <v>0</v>
      </c>
      <c r="AI1177" s="459">
        <v>0</v>
      </c>
      <c r="AJ1177" s="458">
        <v>0</v>
      </c>
      <c r="AK1177" s="459">
        <v>0</v>
      </c>
      <c r="AL1177" s="459">
        <v>0</v>
      </c>
      <c r="AM1177" s="459">
        <v>0</v>
      </c>
      <c r="AN1177" s="459"/>
      <c r="AO1177" s="459">
        <v>0</v>
      </c>
      <c r="AP1177" s="460"/>
      <c r="AQ1177" s="250"/>
      <c r="AR1177" s="250"/>
      <c r="AS1177" s="250"/>
      <c r="AT1177" s="250"/>
      <c r="AU1177" s="250"/>
      <c r="AV1177" s="250"/>
      <c r="AW1177" s="250"/>
      <c r="AX1177" s="250"/>
      <c r="AY1177" s="250"/>
      <c r="AZ1177" s="250"/>
      <c r="BA1177" s="250"/>
      <c r="BB1177" s="250"/>
      <c r="BC1177" s="250"/>
      <c r="BD1177" s="250"/>
      <c r="BE1177" s="250"/>
      <c r="BF1177" s="250"/>
      <c r="BG1177" s="250"/>
      <c r="BH1177" s="250"/>
      <c r="BI1177" s="250"/>
      <c r="BJ1177" s="250"/>
      <c r="BK1177" s="250"/>
      <c r="BL1177" s="250"/>
      <c r="BM1177" s="250"/>
      <c r="BN1177" s="250"/>
      <c r="BO1177" s="250"/>
      <c r="BP1177" s="250"/>
      <c r="BQ1177" s="250"/>
      <c r="BR1177" s="250"/>
      <c r="BS1177" s="250"/>
      <c r="BT1177" s="250"/>
      <c r="BU1177" s="250"/>
      <c r="BV1177" s="250"/>
      <c r="BW1177" s="250"/>
      <c r="BX1177" s="250"/>
      <c r="BY1177" s="250"/>
      <c r="BZ1177" s="250"/>
      <c r="CA1177" s="250"/>
      <c r="CB1177" s="250"/>
      <c r="CC1177" s="250"/>
      <c r="CD1177" s="250"/>
      <c r="CE1177" s="250"/>
      <c r="CF1177" s="250"/>
      <c r="CG1177" s="250"/>
      <c r="CH1177" s="250"/>
      <c r="CI1177" s="250"/>
      <c r="CJ1177" s="250"/>
      <c r="CK1177" s="250"/>
      <c r="DQ1177" s="339"/>
      <c r="DR1177" s="339"/>
      <c r="DS1177" s="339"/>
      <c r="EP1177" s="340"/>
      <c r="FS1177" s="341"/>
      <c r="GI1177" s="342"/>
    </row>
    <row r="1178" spans="1:191" s="329" customFormat="1" ht="36" customHeight="1" x14ac:dyDescent="0.25">
      <c r="B1178" s="33" t="s">
        <v>105</v>
      </c>
      <c r="C1178" s="462"/>
      <c r="D1178" s="330" t="s">
        <v>131</v>
      </c>
      <c r="E1178" s="330" t="s">
        <v>131</v>
      </c>
      <c r="F1178" s="330" t="s">
        <v>131</v>
      </c>
      <c r="G1178" s="330" t="s">
        <v>131</v>
      </c>
      <c r="H1178" s="330" t="s">
        <v>131</v>
      </c>
      <c r="I1178" s="334">
        <f>SUM(I1179:I1184)</f>
        <v>14681.960000000001</v>
      </c>
      <c r="J1178" s="334">
        <f>SUM(J1179:J1184)</f>
        <v>12768.960000000001</v>
      </c>
      <c r="K1178" s="334">
        <f>SUM(K1179:K1184)</f>
        <v>10622.69</v>
      </c>
      <c r="L1178" s="332">
        <f>SUM(L1179:L1184)</f>
        <v>474</v>
      </c>
      <c r="M1178" s="330" t="s">
        <v>131</v>
      </c>
      <c r="N1178" s="330" t="s">
        <v>131</v>
      </c>
      <c r="O1178" s="333" t="s">
        <v>131</v>
      </c>
      <c r="P1178" s="334">
        <v>29368928.999999996</v>
      </c>
      <c r="Q1178" s="334">
        <f>SUM(Q1179:Q1184)</f>
        <v>0</v>
      </c>
      <c r="R1178" s="334">
        <f>SUM(R1179:R1184)</f>
        <v>0</v>
      </c>
      <c r="S1178" s="334">
        <f>SUM(S1179:S1184)</f>
        <v>29368928.999999996</v>
      </c>
      <c r="T1178" s="38">
        <f t="shared" si="255"/>
        <v>2000.3411669831544</v>
      </c>
      <c r="U1178" s="38">
        <f>MAX(U1179:U1184)</f>
        <v>5590.0603420283578</v>
      </c>
      <c r="V1178" s="458">
        <f t="shared" si="254"/>
        <v>3589.7191750452034</v>
      </c>
      <c r="W1178" s="458"/>
      <c r="X1178" s="458"/>
      <c r="Y1178" s="459"/>
      <c r="Z1178" s="459"/>
      <c r="AA1178" s="459"/>
      <c r="AB1178" s="459"/>
      <c r="AC1178" s="459"/>
      <c r="AD1178" s="459"/>
      <c r="AE1178" s="459"/>
      <c r="AF1178" s="459"/>
      <c r="AG1178" s="459"/>
      <c r="AH1178" s="459"/>
      <c r="AI1178" s="459"/>
      <c r="AJ1178" s="459"/>
      <c r="AK1178" s="459"/>
      <c r="AL1178" s="459"/>
      <c r="AM1178" s="459"/>
      <c r="AN1178" s="459"/>
      <c r="AO1178" s="459"/>
      <c r="AP1178" s="460"/>
      <c r="AQ1178" s="460"/>
      <c r="AR1178" s="460"/>
      <c r="AS1178" s="460"/>
      <c r="AT1178" s="460"/>
      <c r="AU1178" s="460"/>
      <c r="AV1178" s="460"/>
      <c r="AW1178" s="460"/>
      <c r="AX1178" s="460"/>
      <c r="AY1178" s="460"/>
      <c r="AZ1178" s="460"/>
      <c r="BA1178" s="460"/>
      <c r="BB1178" s="460"/>
      <c r="BC1178" s="460"/>
      <c r="BD1178" s="460"/>
      <c r="BE1178" s="460"/>
      <c r="BF1178" s="460"/>
      <c r="BG1178" s="460"/>
      <c r="BH1178" s="460"/>
      <c r="BI1178" s="460"/>
      <c r="BJ1178" s="460"/>
      <c r="BK1178" s="460"/>
      <c r="BL1178" s="460"/>
      <c r="BM1178" s="460"/>
      <c r="BN1178" s="460"/>
      <c r="BO1178" s="460"/>
      <c r="BP1178" s="460"/>
      <c r="BQ1178" s="460"/>
      <c r="BR1178" s="460"/>
      <c r="BS1178" s="460"/>
      <c r="BT1178" s="460"/>
      <c r="BU1178" s="460"/>
      <c r="BV1178" s="460"/>
      <c r="BW1178" s="460"/>
      <c r="BX1178" s="460"/>
      <c r="BY1178" s="460"/>
      <c r="BZ1178" s="460"/>
      <c r="CA1178" s="460"/>
      <c r="CB1178" s="460"/>
      <c r="CC1178" s="460"/>
      <c r="CD1178" s="460"/>
      <c r="CE1178" s="460"/>
      <c r="CF1178" s="460"/>
      <c r="CG1178" s="460"/>
      <c r="CH1178" s="460"/>
      <c r="CI1178" s="460"/>
      <c r="CJ1178" s="460"/>
      <c r="CK1178" s="460"/>
    </row>
    <row r="1179" spans="1:191" s="266" customFormat="1" ht="36" customHeight="1" x14ac:dyDescent="0.25">
      <c r="A1179" s="329">
        <v>1</v>
      </c>
      <c r="B1179" s="39">
        <f>SUBTOTAL(103,$A$1000:A1179)</f>
        <v>156</v>
      </c>
      <c r="C1179" s="336" t="s">
        <v>1851</v>
      </c>
      <c r="D1179" s="330">
        <v>1994</v>
      </c>
      <c r="E1179" s="330"/>
      <c r="F1179" s="337" t="s">
        <v>48</v>
      </c>
      <c r="G1179" s="330">
        <v>4</v>
      </c>
      <c r="H1179" s="330" t="s">
        <v>61</v>
      </c>
      <c r="I1179" s="334">
        <v>3731.88</v>
      </c>
      <c r="J1179" s="334">
        <v>2769.88</v>
      </c>
      <c r="K1179" s="334">
        <v>2769.88</v>
      </c>
      <c r="L1179" s="338">
        <v>111</v>
      </c>
      <c r="M1179" s="330" t="s">
        <v>46</v>
      </c>
      <c r="N1179" s="330" t="s">
        <v>50</v>
      </c>
      <c r="O1179" s="330" t="s">
        <v>2065</v>
      </c>
      <c r="P1179" s="334">
        <v>6533531.75</v>
      </c>
      <c r="Q1179" s="334">
        <v>0</v>
      </c>
      <c r="R1179" s="334">
        <v>0</v>
      </c>
      <c r="S1179" s="334">
        <f t="shared" ref="S1179:S1184" si="257">P1179-Q1179-R1179</f>
        <v>6533531.75</v>
      </c>
      <c r="T1179" s="38">
        <f t="shared" si="255"/>
        <v>1750.7346833231506</v>
      </c>
      <c r="U1179" s="38">
        <v>1971.0503151226724</v>
      </c>
      <c r="V1179" s="458">
        <f t="shared" si="254"/>
        <v>220.31563179952173</v>
      </c>
      <c r="W1179" s="458">
        <f t="shared" ref="W1179:W1184" si="258">X1179+Y1179+Z1179+AA1179+AB1179+AD1179+AF1179+AH1179+AJ1179+AL1179+AN1179+AO1179</f>
        <v>1964.3502068662442</v>
      </c>
      <c r="X1179" s="458">
        <v>0</v>
      </c>
      <c r="Y1179" s="459">
        <v>0</v>
      </c>
      <c r="Z1179" s="459">
        <v>0</v>
      </c>
      <c r="AA1179" s="459">
        <v>0</v>
      </c>
      <c r="AB1179" s="459">
        <v>0</v>
      </c>
      <c r="AC1179" s="459">
        <v>0</v>
      </c>
      <c r="AD1179" s="459">
        <v>0</v>
      </c>
      <c r="AE1179" s="459">
        <v>1175</v>
      </c>
      <c r="AF1179" s="458">
        <f>6238.91*AE1179/I1179</f>
        <v>1964.3502068662442</v>
      </c>
      <c r="AG1179" s="459">
        <v>0</v>
      </c>
      <c r="AH1179" s="458">
        <v>0</v>
      </c>
      <c r="AI1179" s="459">
        <v>0</v>
      </c>
      <c r="AJ1179" s="458">
        <v>0</v>
      </c>
      <c r="AK1179" s="459">
        <v>0</v>
      </c>
      <c r="AL1179" s="459">
        <v>0</v>
      </c>
      <c r="AM1179" s="459">
        <v>0</v>
      </c>
      <c r="AN1179" s="459"/>
      <c r="AO1179" s="459">
        <v>0</v>
      </c>
      <c r="AP1179" s="460"/>
      <c r="AQ1179" s="250"/>
      <c r="AR1179" s="250"/>
      <c r="AS1179" s="250"/>
      <c r="AT1179" s="250"/>
      <c r="AU1179" s="250"/>
      <c r="AV1179" s="250"/>
      <c r="AW1179" s="250"/>
      <c r="AX1179" s="250"/>
      <c r="AY1179" s="250"/>
      <c r="AZ1179" s="250"/>
      <c r="BA1179" s="250"/>
      <c r="BB1179" s="250"/>
      <c r="BC1179" s="250"/>
      <c r="BD1179" s="250"/>
      <c r="BE1179" s="250"/>
      <c r="BF1179" s="250"/>
      <c r="BG1179" s="250"/>
      <c r="BH1179" s="250"/>
      <c r="BI1179" s="250"/>
      <c r="BJ1179" s="250"/>
      <c r="BK1179" s="250"/>
      <c r="BL1179" s="250"/>
      <c r="BM1179" s="250"/>
      <c r="BN1179" s="250"/>
      <c r="BO1179" s="250"/>
      <c r="BP1179" s="250"/>
      <c r="BQ1179" s="250"/>
      <c r="BR1179" s="250"/>
      <c r="BS1179" s="250"/>
      <c r="BT1179" s="250"/>
      <c r="BU1179" s="250"/>
      <c r="BV1179" s="250"/>
      <c r="BW1179" s="250"/>
      <c r="BX1179" s="250"/>
      <c r="BY1179" s="250"/>
      <c r="BZ1179" s="250"/>
      <c r="CA1179" s="250"/>
      <c r="CB1179" s="250"/>
      <c r="CC1179" s="250"/>
      <c r="CD1179" s="250"/>
      <c r="CE1179" s="250"/>
      <c r="CF1179" s="250"/>
      <c r="CG1179" s="250"/>
      <c r="CH1179" s="250"/>
      <c r="CI1179" s="250"/>
      <c r="CJ1179" s="250"/>
      <c r="CK1179" s="250"/>
      <c r="DQ1179" s="339"/>
      <c r="DR1179" s="339"/>
      <c r="DS1179" s="339"/>
      <c r="EP1179" s="340"/>
      <c r="FS1179" s="341"/>
      <c r="GI1179" s="342"/>
    </row>
    <row r="1180" spans="1:191" s="266" customFormat="1" ht="36" customHeight="1" x14ac:dyDescent="0.25">
      <c r="A1180" s="329">
        <v>1</v>
      </c>
      <c r="B1180" s="39">
        <f>SUBTOTAL(103,$A$1000:A1180)</f>
        <v>157</v>
      </c>
      <c r="C1180" s="336" t="s">
        <v>1852</v>
      </c>
      <c r="D1180" s="330">
        <v>1992</v>
      </c>
      <c r="E1180" s="330"/>
      <c r="F1180" s="337" t="s">
        <v>48</v>
      </c>
      <c r="G1180" s="330">
        <v>2</v>
      </c>
      <c r="H1180" s="330" t="s">
        <v>61</v>
      </c>
      <c r="I1180" s="334">
        <v>1621.8</v>
      </c>
      <c r="J1180" s="334">
        <v>965.3</v>
      </c>
      <c r="K1180" s="334">
        <v>915.9</v>
      </c>
      <c r="L1180" s="338">
        <v>39</v>
      </c>
      <c r="M1180" s="330" t="s">
        <v>46</v>
      </c>
      <c r="N1180" s="330" t="s">
        <v>50</v>
      </c>
      <c r="O1180" s="330" t="s">
        <v>2065</v>
      </c>
      <c r="P1180" s="334">
        <v>5163742.3999999994</v>
      </c>
      <c r="Q1180" s="334">
        <v>0</v>
      </c>
      <c r="R1180" s="334">
        <v>0</v>
      </c>
      <c r="S1180" s="334">
        <f t="shared" si="257"/>
        <v>5163742.3999999994</v>
      </c>
      <c r="T1180" s="38">
        <f t="shared" si="255"/>
        <v>3183.9575779997531</v>
      </c>
      <c r="U1180" s="38">
        <v>3221.3719077568135</v>
      </c>
      <c r="V1180" s="458">
        <f t="shared" si="254"/>
        <v>37.414329757060386</v>
      </c>
      <c r="W1180" s="458">
        <f t="shared" si="258"/>
        <v>3221.3719077568135</v>
      </c>
      <c r="X1180" s="458">
        <v>0</v>
      </c>
      <c r="Y1180" s="459">
        <v>0</v>
      </c>
      <c r="Z1180" s="459">
        <v>0</v>
      </c>
      <c r="AA1180" s="459">
        <v>0</v>
      </c>
      <c r="AB1180" s="459">
        <v>0</v>
      </c>
      <c r="AC1180" s="459">
        <v>0</v>
      </c>
      <c r="AD1180" s="459">
        <v>0</v>
      </c>
      <c r="AE1180" s="459">
        <v>0</v>
      </c>
      <c r="AF1180" s="458">
        <v>0</v>
      </c>
      <c r="AG1180" s="459">
        <v>0</v>
      </c>
      <c r="AH1180" s="458">
        <v>0</v>
      </c>
      <c r="AI1180" s="459">
        <v>0</v>
      </c>
      <c r="AJ1180" s="458">
        <v>0</v>
      </c>
      <c r="AK1180" s="459">
        <v>0</v>
      </c>
      <c r="AL1180" s="459">
        <v>0</v>
      </c>
      <c r="AM1180" s="459">
        <v>748</v>
      </c>
      <c r="AN1180" s="459">
        <f>6984.52*AM1180/I1180</f>
        <v>3221.3719077568135</v>
      </c>
      <c r="AO1180" s="459">
        <v>0</v>
      </c>
      <c r="AP1180" s="460"/>
      <c r="AQ1180" s="250"/>
      <c r="AR1180" s="250"/>
      <c r="AS1180" s="250"/>
      <c r="AT1180" s="250"/>
      <c r="AU1180" s="250"/>
      <c r="AV1180" s="250"/>
      <c r="AW1180" s="250"/>
      <c r="AX1180" s="250"/>
      <c r="AY1180" s="250"/>
      <c r="AZ1180" s="250"/>
      <c r="BA1180" s="250"/>
      <c r="BB1180" s="250"/>
      <c r="BC1180" s="250"/>
      <c r="BD1180" s="250"/>
      <c r="BE1180" s="250"/>
      <c r="BF1180" s="250"/>
      <c r="BG1180" s="250"/>
      <c r="BH1180" s="250"/>
      <c r="BI1180" s="250"/>
      <c r="BJ1180" s="250"/>
      <c r="BK1180" s="250"/>
      <c r="BL1180" s="250"/>
      <c r="BM1180" s="250"/>
      <c r="BN1180" s="250"/>
      <c r="BO1180" s="250"/>
      <c r="BP1180" s="250"/>
      <c r="BQ1180" s="250"/>
      <c r="BR1180" s="250"/>
      <c r="BS1180" s="250"/>
      <c r="BT1180" s="250"/>
      <c r="BU1180" s="250"/>
      <c r="BV1180" s="250"/>
      <c r="BW1180" s="250"/>
      <c r="BX1180" s="250"/>
      <c r="BY1180" s="250"/>
      <c r="BZ1180" s="250"/>
      <c r="CA1180" s="250"/>
      <c r="CB1180" s="250"/>
      <c r="CC1180" s="250"/>
      <c r="CD1180" s="250"/>
      <c r="CE1180" s="250"/>
      <c r="CF1180" s="250"/>
      <c r="CG1180" s="250"/>
      <c r="CH1180" s="250"/>
      <c r="CI1180" s="250"/>
      <c r="CJ1180" s="250"/>
      <c r="CK1180" s="250"/>
      <c r="DQ1180" s="339"/>
      <c r="DR1180" s="339"/>
      <c r="DS1180" s="339"/>
      <c r="EP1180" s="340"/>
      <c r="FS1180" s="341"/>
      <c r="GI1180" s="342"/>
    </row>
    <row r="1181" spans="1:191" s="266" customFormat="1" ht="36" customHeight="1" x14ac:dyDescent="0.25">
      <c r="A1181" s="329">
        <v>1</v>
      </c>
      <c r="B1181" s="39">
        <f>SUBTOTAL(103,$A$1000:A1181)</f>
        <v>158</v>
      </c>
      <c r="C1181" s="336" t="s">
        <v>1853</v>
      </c>
      <c r="D1181" s="330">
        <v>1986</v>
      </c>
      <c r="E1181" s="330"/>
      <c r="F1181" s="337" t="s">
        <v>48</v>
      </c>
      <c r="G1181" s="330">
        <v>2</v>
      </c>
      <c r="H1181" s="330" t="s">
        <v>61</v>
      </c>
      <c r="I1181" s="334">
        <v>923.9</v>
      </c>
      <c r="J1181" s="334">
        <v>841.9</v>
      </c>
      <c r="K1181" s="334">
        <v>646.1</v>
      </c>
      <c r="L1181" s="338">
        <v>45</v>
      </c>
      <c r="M1181" s="330" t="s">
        <v>46</v>
      </c>
      <c r="N1181" s="330" t="s">
        <v>50</v>
      </c>
      <c r="O1181" s="330" t="s">
        <v>2065</v>
      </c>
      <c r="P1181" s="334">
        <v>4587373.3600000003</v>
      </c>
      <c r="Q1181" s="334">
        <v>0</v>
      </c>
      <c r="R1181" s="334">
        <v>0</v>
      </c>
      <c r="S1181" s="334">
        <f t="shared" si="257"/>
        <v>4587373.3600000003</v>
      </c>
      <c r="T1181" s="38">
        <f t="shared" si="255"/>
        <v>4965.2271457950001</v>
      </c>
      <c r="U1181" s="38">
        <v>5590.0603420283578</v>
      </c>
      <c r="V1181" s="458">
        <f t="shared" si="254"/>
        <v>624.83319623335774</v>
      </c>
      <c r="W1181" s="458">
        <f t="shared" si="258"/>
        <v>5571.0582855287366</v>
      </c>
      <c r="X1181" s="458">
        <v>0</v>
      </c>
      <c r="Y1181" s="459">
        <v>0</v>
      </c>
      <c r="Z1181" s="459">
        <v>0</v>
      </c>
      <c r="AA1181" s="459">
        <v>0</v>
      </c>
      <c r="AB1181" s="459">
        <v>0</v>
      </c>
      <c r="AC1181" s="459">
        <v>0</v>
      </c>
      <c r="AD1181" s="459">
        <v>0</v>
      </c>
      <c r="AE1181" s="459">
        <v>825</v>
      </c>
      <c r="AF1181" s="458">
        <f>6238.91*AE1181/I1181</f>
        <v>5571.0582855287366</v>
      </c>
      <c r="AG1181" s="459">
        <v>0</v>
      </c>
      <c r="AH1181" s="458">
        <v>0</v>
      </c>
      <c r="AI1181" s="459">
        <v>0</v>
      </c>
      <c r="AJ1181" s="458">
        <v>0</v>
      </c>
      <c r="AK1181" s="459">
        <v>0</v>
      </c>
      <c r="AL1181" s="459">
        <v>0</v>
      </c>
      <c r="AM1181" s="459">
        <v>0</v>
      </c>
      <c r="AN1181" s="459"/>
      <c r="AO1181" s="459">
        <v>0</v>
      </c>
      <c r="AP1181" s="460"/>
      <c r="AQ1181" s="250"/>
      <c r="AR1181" s="250"/>
      <c r="AS1181" s="250"/>
      <c r="AT1181" s="250"/>
      <c r="AU1181" s="250"/>
      <c r="AV1181" s="250"/>
      <c r="AW1181" s="250"/>
      <c r="AX1181" s="250"/>
      <c r="AY1181" s="250"/>
      <c r="AZ1181" s="250"/>
      <c r="BA1181" s="250"/>
      <c r="BB1181" s="250"/>
      <c r="BC1181" s="250"/>
      <c r="BD1181" s="250"/>
      <c r="BE1181" s="250"/>
      <c r="BF1181" s="250"/>
      <c r="BG1181" s="250"/>
      <c r="BH1181" s="250"/>
      <c r="BI1181" s="250"/>
      <c r="BJ1181" s="250"/>
      <c r="BK1181" s="250"/>
      <c r="BL1181" s="250"/>
      <c r="BM1181" s="250"/>
      <c r="BN1181" s="250"/>
      <c r="BO1181" s="250"/>
      <c r="BP1181" s="250"/>
      <c r="BQ1181" s="250"/>
      <c r="BR1181" s="250"/>
      <c r="BS1181" s="250"/>
      <c r="BT1181" s="250"/>
      <c r="BU1181" s="250"/>
      <c r="BV1181" s="250"/>
      <c r="BW1181" s="250"/>
      <c r="BX1181" s="250"/>
      <c r="BY1181" s="250"/>
      <c r="BZ1181" s="250"/>
      <c r="CA1181" s="250"/>
      <c r="CB1181" s="250"/>
      <c r="CC1181" s="250"/>
      <c r="CD1181" s="250"/>
      <c r="CE1181" s="250"/>
      <c r="CF1181" s="250"/>
      <c r="CG1181" s="250"/>
      <c r="CH1181" s="250"/>
      <c r="CI1181" s="250"/>
      <c r="CJ1181" s="250"/>
      <c r="CK1181" s="250"/>
      <c r="DQ1181" s="339"/>
      <c r="DR1181" s="339"/>
      <c r="DS1181" s="339"/>
      <c r="EP1181" s="340"/>
      <c r="FS1181" s="341"/>
      <c r="GI1181" s="342"/>
    </row>
    <row r="1182" spans="1:191" s="266" customFormat="1" ht="36" customHeight="1" x14ac:dyDescent="0.25">
      <c r="A1182" s="329">
        <v>1</v>
      </c>
      <c r="B1182" s="39">
        <f>SUBTOTAL(103,$A$1000:A1182)</f>
        <v>159</v>
      </c>
      <c r="C1182" s="336" t="s">
        <v>1854</v>
      </c>
      <c r="D1182" s="330">
        <v>1972</v>
      </c>
      <c r="E1182" s="330"/>
      <c r="F1182" s="337" t="s">
        <v>48</v>
      </c>
      <c r="G1182" s="330">
        <v>5</v>
      </c>
      <c r="H1182" s="330" t="s">
        <v>59</v>
      </c>
      <c r="I1182" s="334">
        <v>3740.78</v>
      </c>
      <c r="J1182" s="334">
        <v>3740.78</v>
      </c>
      <c r="K1182" s="334">
        <v>2819.7</v>
      </c>
      <c r="L1182" s="338">
        <v>124</v>
      </c>
      <c r="M1182" s="330" t="s">
        <v>46</v>
      </c>
      <c r="N1182" s="330" t="s">
        <v>50</v>
      </c>
      <c r="O1182" s="330" t="s">
        <v>53</v>
      </c>
      <c r="P1182" s="334">
        <v>5599375.7199999997</v>
      </c>
      <c r="Q1182" s="334">
        <v>0</v>
      </c>
      <c r="R1182" s="334">
        <v>0</v>
      </c>
      <c r="S1182" s="334">
        <f t="shared" si="257"/>
        <v>5599375.7199999997</v>
      </c>
      <c r="T1182" s="38">
        <f t="shared" si="255"/>
        <v>1496.8471067531368</v>
      </c>
      <c r="U1182" s="38">
        <v>1685.2130651896125</v>
      </c>
      <c r="V1182" s="458">
        <f t="shared" si="254"/>
        <v>188.36595843647569</v>
      </c>
      <c r="W1182" s="458">
        <f t="shared" si="258"/>
        <v>1679.4845914488421</v>
      </c>
      <c r="X1182" s="458">
        <v>0</v>
      </c>
      <c r="Y1182" s="459">
        <v>0</v>
      </c>
      <c r="Z1182" s="459">
        <v>0</v>
      </c>
      <c r="AA1182" s="459">
        <v>0</v>
      </c>
      <c r="AB1182" s="459">
        <v>0</v>
      </c>
      <c r="AC1182" s="459">
        <v>0</v>
      </c>
      <c r="AD1182" s="459">
        <v>0</v>
      </c>
      <c r="AE1182" s="459">
        <v>1007</v>
      </c>
      <c r="AF1182" s="458">
        <f>6238.91*AE1182/I1182</f>
        <v>1679.4845914488421</v>
      </c>
      <c r="AG1182" s="459">
        <v>0</v>
      </c>
      <c r="AH1182" s="458">
        <v>0</v>
      </c>
      <c r="AI1182" s="459">
        <v>0</v>
      </c>
      <c r="AJ1182" s="458">
        <v>0</v>
      </c>
      <c r="AK1182" s="459">
        <v>0</v>
      </c>
      <c r="AL1182" s="459">
        <v>0</v>
      </c>
      <c r="AM1182" s="459">
        <v>0</v>
      </c>
      <c r="AN1182" s="459"/>
      <c r="AO1182" s="459">
        <v>0</v>
      </c>
      <c r="AP1182" s="460"/>
      <c r="AQ1182" s="250"/>
      <c r="AR1182" s="250"/>
      <c r="AS1182" s="250"/>
      <c r="AT1182" s="250"/>
      <c r="AU1182" s="250"/>
      <c r="AV1182" s="250"/>
      <c r="AW1182" s="250"/>
      <c r="AX1182" s="250"/>
      <c r="AY1182" s="250"/>
      <c r="AZ1182" s="250"/>
      <c r="BA1182" s="250"/>
      <c r="BB1182" s="250"/>
      <c r="BC1182" s="250"/>
      <c r="BD1182" s="250"/>
      <c r="BE1182" s="250"/>
      <c r="BF1182" s="250"/>
      <c r="BG1182" s="250"/>
      <c r="BH1182" s="250"/>
      <c r="BI1182" s="250"/>
      <c r="BJ1182" s="250"/>
      <c r="BK1182" s="250"/>
      <c r="BL1182" s="250"/>
      <c r="BM1182" s="250"/>
      <c r="BN1182" s="250"/>
      <c r="BO1182" s="250"/>
      <c r="BP1182" s="250"/>
      <c r="BQ1182" s="250"/>
      <c r="BR1182" s="250"/>
      <c r="BS1182" s="250"/>
      <c r="BT1182" s="250"/>
      <c r="BU1182" s="250"/>
      <c r="BV1182" s="250"/>
      <c r="BW1182" s="250"/>
      <c r="BX1182" s="250"/>
      <c r="BY1182" s="250"/>
      <c r="BZ1182" s="250"/>
      <c r="CA1182" s="250"/>
      <c r="CB1182" s="250"/>
      <c r="CC1182" s="250"/>
      <c r="CD1182" s="250"/>
      <c r="CE1182" s="250"/>
      <c r="CF1182" s="250"/>
      <c r="CG1182" s="250"/>
      <c r="CH1182" s="250"/>
      <c r="CI1182" s="250"/>
      <c r="CJ1182" s="250"/>
      <c r="CK1182" s="250"/>
      <c r="DQ1182" s="339"/>
      <c r="DR1182" s="339"/>
      <c r="DS1182" s="339"/>
      <c r="EP1182" s="340"/>
      <c r="FS1182" s="341"/>
      <c r="GI1182" s="342"/>
    </row>
    <row r="1183" spans="1:191" s="266" customFormat="1" ht="36" customHeight="1" x14ac:dyDescent="0.25">
      <c r="A1183" s="329">
        <v>1</v>
      </c>
      <c r="B1183" s="39">
        <f>SUBTOTAL(103,$A$1000:A1183)</f>
        <v>160</v>
      </c>
      <c r="C1183" s="336" t="s">
        <v>1855</v>
      </c>
      <c r="D1183" s="330">
        <v>1979</v>
      </c>
      <c r="E1183" s="330"/>
      <c r="F1183" s="337" t="s">
        <v>48</v>
      </c>
      <c r="G1183" s="330">
        <v>5</v>
      </c>
      <c r="H1183" s="330" t="s">
        <v>59</v>
      </c>
      <c r="I1183" s="334">
        <v>4025.6</v>
      </c>
      <c r="J1183" s="334">
        <v>4025.6</v>
      </c>
      <c r="K1183" s="334">
        <v>3076</v>
      </c>
      <c r="L1183" s="338">
        <v>133</v>
      </c>
      <c r="M1183" s="330" t="s">
        <v>46</v>
      </c>
      <c r="N1183" s="330" t="s">
        <v>50</v>
      </c>
      <c r="O1183" s="330" t="s">
        <v>53</v>
      </c>
      <c r="P1183" s="334">
        <v>4480243.62</v>
      </c>
      <c r="Q1183" s="334">
        <v>0</v>
      </c>
      <c r="R1183" s="334">
        <v>0</v>
      </c>
      <c r="S1183" s="334">
        <f t="shared" si="257"/>
        <v>4480243.62</v>
      </c>
      <c r="T1183" s="38">
        <f t="shared" si="255"/>
        <v>1112.9381011526232</v>
      </c>
      <c r="U1183" s="38">
        <v>1201.4663140898251</v>
      </c>
      <c r="V1183" s="458">
        <f t="shared" si="254"/>
        <v>88.528212937201943</v>
      </c>
      <c r="W1183" s="458">
        <f t="shared" si="258"/>
        <v>1197.3822202901431</v>
      </c>
      <c r="X1183" s="458">
        <v>0</v>
      </c>
      <c r="Y1183" s="459">
        <v>0</v>
      </c>
      <c r="Z1183" s="459">
        <v>0</v>
      </c>
      <c r="AA1183" s="459">
        <v>0</v>
      </c>
      <c r="AB1183" s="459">
        <v>0</v>
      </c>
      <c r="AC1183" s="459">
        <v>0</v>
      </c>
      <c r="AD1183" s="459">
        <v>0</v>
      </c>
      <c r="AE1183" s="459">
        <v>772.6</v>
      </c>
      <c r="AF1183" s="458">
        <f>6238.91*AE1183/I1183</f>
        <v>1197.3822202901431</v>
      </c>
      <c r="AG1183" s="459">
        <v>0</v>
      </c>
      <c r="AH1183" s="458">
        <v>0</v>
      </c>
      <c r="AI1183" s="459">
        <v>0</v>
      </c>
      <c r="AJ1183" s="458">
        <v>0</v>
      </c>
      <c r="AK1183" s="459">
        <v>0</v>
      </c>
      <c r="AL1183" s="459">
        <v>0</v>
      </c>
      <c r="AM1183" s="459">
        <v>0</v>
      </c>
      <c r="AN1183" s="459"/>
      <c r="AO1183" s="459">
        <v>0</v>
      </c>
      <c r="AP1183" s="460"/>
      <c r="AQ1183" s="250"/>
      <c r="AR1183" s="250"/>
      <c r="AS1183" s="250"/>
      <c r="AT1183" s="250"/>
      <c r="AU1183" s="250"/>
      <c r="AV1183" s="250"/>
      <c r="AW1183" s="250"/>
      <c r="AX1183" s="250"/>
      <c r="AY1183" s="250"/>
      <c r="AZ1183" s="250"/>
      <c r="BA1183" s="250"/>
      <c r="BB1183" s="250"/>
      <c r="BC1183" s="250"/>
      <c r="BD1183" s="250"/>
      <c r="BE1183" s="250"/>
      <c r="BF1183" s="250"/>
      <c r="BG1183" s="250"/>
      <c r="BH1183" s="250"/>
      <c r="BI1183" s="250"/>
      <c r="BJ1183" s="250"/>
      <c r="BK1183" s="250"/>
      <c r="BL1183" s="250"/>
      <c r="BM1183" s="250"/>
      <c r="BN1183" s="250"/>
      <c r="BO1183" s="250"/>
      <c r="BP1183" s="250"/>
      <c r="BQ1183" s="250"/>
      <c r="BR1183" s="250"/>
      <c r="BS1183" s="250"/>
      <c r="BT1183" s="250"/>
      <c r="BU1183" s="250"/>
      <c r="BV1183" s="250"/>
      <c r="BW1183" s="250"/>
      <c r="BX1183" s="250"/>
      <c r="BY1183" s="250"/>
      <c r="BZ1183" s="250"/>
      <c r="CA1183" s="250"/>
      <c r="CB1183" s="250"/>
      <c r="CC1183" s="250"/>
      <c r="CD1183" s="250"/>
      <c r="CE1183" s="250"/>
      <c r="CF1183" s="250"/>
      <c r="CG1183" s="250"/>
      <c r="CH1183" s="250"/>
      <c r="CI1183" s="250"/>
      <c r="CJ1183" s="250"/>
      <c r="CK1183" s="250"/>
      <c r="DQ1183" s="339"/>
      <c r="DR1183" s="339"/>
      <c r="DS1183" s="339"/>
      <c r="EP1183" s="340"/>
      <c r="FS1183" s="341"/>
      <c r="GI1183" s="342"/>
    </row>
    <row r="1184" spans="1:191" s="266" customFormat="1" ht="36" customHeight="1" x14ac:dyDescent="0.25">
      <c r="A1184" s="329">
        <v>1</v>
      </c>
      <c r="B1184" s="39">
        <f>SUBTOTAL(103,$A$1000:A1184)</f>
        <v>161</v>
      </c>
      <c r="C1184" s="336" t="s">
        <v>1856</v>
      </c>
      <c r="D1184" s="330">
        <v>1967</v>
      </c>
      <c r="E1184" s="330"/>
      <c r="F1184" s="337" t="s">
        <v>63</v>
      </c>
      <c r="G1184" s="330">
        <v>2</v>
      </c>
      <c r="H1184" s="330" t="s">
        <v>56</v>
      </c>
      <c r="I1184" s="334">
        <v>638</v>
      </c>
      <c r="J1184" s="334">
        <v>425.5</v>
      </c>
      <c r="K1184" s="334">
        <v>395.11</v>
      </c>
      <c r="L1184" s="338">
        <v>22</v>
      </c>
      <c r="M1184" s="330" t="s">
        <v>46</v>
      </c>
      <c r="N1184" s="330" t="s">
        <v>50</v>
      </c>
      <c r="O1184" s="330" t="s">
        <v>2069</v>
      </c>
      <c r="P1184" s="334">
        <v>3004662.15</v>
      </c>
      <c r="Q1184" s="334">
        <v>0</v>
      </c>
      <c r="R1184" s="334">
        <v>0</v>
      </c>
      <c r="S1184" s="334">
        <f t="shared" si="257"/>
        <v>3004662.15</v>
      </c>
      <c r="T1184" s="38">
        <f t="shared" si="255"/>
        <v>4709.5018025078371</v>
      </c>
      <c r="U1184" s="38">
        <v>4987.6917115987471</v>
      </c>
      <c r="V1184" s="458">
        <f t="shared" si="254"/>
        <v>278.18990909091008</v>
      </c>
      <c r="W1184" s="458">
        <f t="shared" si="258"/>
        <v>4987.6917115987471</v>
      </c>
      <c r="X1184" s="458">
        <v>0</v>
      </c>
      <c r="Y1184" s="459">
        <v>0</v>
      </c>
      <c r="Z1184" s="459">
        <v>0</v>
      </c>
      <c r="AA1184" s="459">
        <v>0</v>
      </c>
      <c r="AB1184" s="459">
        <v>0</v>
      </c>
      <c r="AC1184" s="459">
        <v>0</v>
      </c>
      <c r="AD1184" s="459">
        <v>0</v>
      </c>
      <c r="AE1184" s="459">
        <v>0</v>
      </c>
      <c r="AF1184" s="458">
        <v>0</v>
      </c>
      <c r="AG1184" s="459">
        <v>0</v>
      </c>
      <c r="AH1184" s="458">
        <v>0</v>
      </c>
      <c r="AI1184" s="459">
        <v>0</v>
      </c>
      <c r="AJ1184" s="458">
        <v>0</v>
      </c>
      <c r="AK1184" s="459">
        <v>0</v>
      </c>
      <c r="AL1184" s="459">
        <v>0</v>
      </c>
      <c r="AM1184" s="459">
        <v>455.6</v>
      </c>
      <c r="AN1184" s="459">
        <f>6984.52*AM1184/I1184</f>
        <v>4987.6917115987471</v>
      </c>
      <c r="AO1184" s="459">
        <v>0</v>
      </c>
      <c r="AP1184" s="460"/>
      <c r="AQ1184" s="250"/>
      <c r="AR1184" s="250"/>
      <c r="AS1184" s="250"/>
      <c r="AT1184" s="250"/>
      <c r="AU1184" s="250"/>
      <c r="AV1184" s="250"/>
      <c r="AW1184" s="250"/>
      <c r="AX1184" s="250"/>
      <c r="AY1184" s="250"/>
      <c r="AZ1184" s="250"/>
      <c r="BA1184" s="250"/>
      <c r="BB1184" s="250"/>
      <c r="BC1184" s="250"/>
      <c r="BD1184" s="250"/>
      <c r="BE1184" s="250"/>
      <c r="BF1184" s="250"/>
      <c r="BG1184" s="250"/>
      <c r="BH1184" s="250"/>
      <c r="BI1184" s="250"/>
      <c r="BJ1184" s="250"/>
      <c r="BK1184" s="250"/>
      <c r="BL1184" s="250"/>
      <c r="BM1184" s="250"/>
      <c r="BN1184" s="250"/>
      <c r="BO1184" s="250"/>
      <c r="BP1184" s="250"/>
      <c r="BQ1184" s="250"/>
      <c r="BR1184" s="250"/>
      <c r="BS1184" s="250"/>
      <c r="BT1184" s="250"/>
      <c r="BU1184" s="250"/>
      <c r="BV1184" s="250"/>
      <c r="BW1184" s="250"/>
      <c r="BX1184" s="250"/>
      <c r="BY1184" s="250"/>
      <c r="BZ1184" s="250"/>
      <c r="CA1184" s="250"/>
      <c r="CB1184" s="250"/>
      <c r="CC1184" s="250"/>
      <c r="CD1184" s="250"/>
      <c r="CE1184" s="250"/>
      <c r="CF1184" s="250"/>
      <c r="CG1184" s="250"/>
      <c r="CH1184" s="250"/>
      <c r="CI1184" s="250"/>
      <c r="CJ1184" s="250"/>
      <c r="CK1184" s="250"/>
      <c r="DQ1184" s="344"/>
      <c r="DR1184" s="344"/>
      <c r="DS1184" s="344"/>
      <c r="EP1184" s="340"/>
      <c r="FS1184" s="341"/>
      <c r="GI1184" s="342"/>
    </row>
    <row r="1185" spans="1:191" s="329" customFormat="1" ht="36" customHeight="1" x14ac:dyDescent="0.25">
      <c r="B1185" s="33" t="s">
        <v>1329</v>
      </c>
      <c r="C1185" s="462"/>
      <c r="D1185" s="330" t="s">
        <v>131</v>
      </c>
      <c r="E1185" s="330" t="s">
        <v>131</v>
      </c>
      <c r="F1185" s="330" t="s">
        <v>131</v>
      </c>
      <c r="G1185" s="330" t="s">
        <v>131</v>
      </c>
      <c r="H1185" s="330" t="s">
        <v>131</v>
      </c>
      <c r="I1185" s="334">
        <f>SUM(I1186:I1187)</f>
        <v>1573</v>
      </c>
      <c r="J1185" s="334">
        <f>SUM(J1186:J1187)</f>
        <v>1423.2</v>
      </c>
      <c r="K1185" s="334">
        <f>SUM(K1186:K1187)</f>
        <v>1423.2</v>
      </c>
      <c r="L1185" s="332">
        <f>SUM(L1186:L1187)</f>
        <v>86</v>
      </c>
      <c r="M1185" s="330" t="s">
        <v>131</v>
      </c>
      <c r="N1185" s="330" t="s">
        <v>131</v>
      </c>
      <c r="O1185" s="333" t="s">
        <v>131</v>
      </c>
      <c r="P1185" s="38">
        <v>5777967.8699999992</v>
      </c>
      <c r="Q1185" s="38">
        <f>Q1186+Q1187</f>
        <v>0</v>
      </c>
      <c r="R1185" s="38">
        <f>R1186+R1187</f>
        <v>0</v>
      </c>
      <c r="S1185" s="38">
        <f>S1186+S1187</f>
        <v>5777967.8699999992</v>
      </c>
      <c r="T1185" s="38">
        <f t="shared" si="255"/>
        <v>3673.2154291163379</v>
      </c>
      <c r="U1185" s="38">
        <f>MAX(U1186:U1187)</f>
        <v>5289.4349170191999</v>
      </c>
      <c r="V1185" s="458">
        <f t="shared" si="254"/>
        <v>1616.2194879028621</v>
      </c>
      <c r="W1185" s="458"/>
      <c r="X1185" s="458"/>
      <c r="Y1185" s="459"/>
      <c r="Z1185" s="459"/>
      <c r="AA1185" s="459"/>
      <c r="AB1185" s="459"/>
      <c r="AC1185" s="459"/>
      <c r="AD1185" s="459"/>
      <c r="AE1185" s="459"/>
      <c r="AF1185" s="459"/>
      <c r="AG1185" s="459"/>
      <c r="AH1185" s="459"/>
      <c r="AI1185" s="459"/>
      <c r="AJ1185" s="459"/>
      <c r="AK1185" s="459"/>
      <c r="AL1185" s="459"/>
      <c r="AM1185" s="459"/>
      <c r="AN1185" s="459"/>
      <c r="AO1185" s="459"/>
      <c r="AP1185" s="460"/>
      <c r="AQ1185" s="460"/>
      <c r="AR1185" s="460"/>
      <c r="AS1185" s="460"/>
      <c r="AT1185" s="460"/>
      <c r="AU1185" s="460"/>
      <c r="AV1185" s="460"/>
      <c r="AW1185" s="460"/>
      <c r="AX1185" s="460"/>
      <c r="AY1185" s="460"/>
      <c r="AZ1185" s="460"/>
      <c r="BA1185" s="460"/>
      <c r="BB1185" s="460"/>
      <c r="BC1185" s="460"/>
      <c r="BD1185" s="460"/>
      <c r="BE1185" s="460"/>
      <c r="BF1185" s="460"/>
      <c r="BG1185" s="460"/>
      <c r="BH1185" s="460"/>
      <c r="BI1185" s="460"/>
      <c r="BJ1185" s="460"/>
      <c r="BK1185" s="460"/>
      <c r="BL1185" s="460"/>
      <c r="BM1185" s="460"/>
      <c r="BN1185" s="460"/>
      <c r="BO1185" s="460"/>
      <c r="BP1185" s="460"/>
      <c r="BQ1185" s="460"/>
      <c r="BR1185" s="460"/>
      <c r="BS1185" s="460"/>
      <c r="BT1185" s="460"/>
      <c r="BU1185" s="460"/>
      <c r="BV1185" s="460"/>
      <c r="BW1185" s="460"/>
      <c r="BX1185" s="460"/>
      <c r="BY1185" s="460"/>
      <c r="BZ1185" s="460"/>
      <c r="CA1185" s="460"/>
      <c r="CB1185" s="460"/>
      <c r="CC1185" s="460"/>
      <c r="CD1185" s="460"/>
      <c r="CE1185" s="460"/>
      <c r="CF1185" s="460"/>
      <c r="CG1185" s="460"/>
      <c r="CH1185" s="460"/>
      <c r="CI1185" s="460"/>
      <c r="CJ1185" s="460"/>
      <c r="CK1185" s="460"/>
    </row>
    <row r="1186" spans="1:191" s="266" customFormat="1" ht="36" customHeight="1" x14ac:dyDescent="0.25">
      <c r="A1186" s="329">
        <v>1</v>
      </c>
      <c r="B1186" s="39">
        <f>SUBTOTAL(103,$A$1000:A1186)</f>
        <v>162</v>
      </c>
      <c r="C1186" s="336" t="s">
        <v>1857</v>
      </c>
      <c r="D1186" s="330">
        <v>1985</v>
      </c>
      <c r="E1186" s="330">
        <v>2009</v>
      </c>
      <c r="F1186" s="337" t="s">
        <v>48</v>
      </c>
      <c r="G1186" s="330">
        <v>2</v>
      </c>
      <c r="H1186" s="330" t="s">
        <v>56</v>
      </c>
      <c r="I1186" s="334">
        <v>958.4</v>
      </c>
      <c r="J1186" s="334">
        <v>858.1</v>
      </c>
      <c r="K1186" s="334">
        <v>858.1</v>
      </c>
      <c r="L1186" s="338">
        <v>63</v>
      </c>
      <c r="M1186" s="330" t="s">
        <v>46</v>
      </c>
      <c r="N1186" s="330" t="s">
        <v>47</v>
      </c>
      <c r="O1186" s="330" t="s">
        <v>49</v>
      </c>
      <c r="P1186" s="334">
        <v>3457143.9</v>
      </c>
      <c r="Q1186" s="334">
        <v>0</v>
      </c>
      <c r="R1186" s="334">
        <v>0</v>
      </c>
      <c r="S1186" s="334">
        <f>P1186-Q1186-R1186</f>
        <v>3457143.9</v>
      </c>
      <c r="T1186" s="38">
        <f t="shared" si="255"/>
        <v>3607.2035684474122</v>
      </c>
      <c r="U1186" s="38">
        <v>4115.108201168614</v>
      </c>
      <c r="V1186" s="458">
        <f t="shared" si="254"/>
        <v>507.90463272120178</v>
      </c>
      <c r="W1186" s="458">
        <f t="shared" ref="W1186:W1187" si="259">X1186+Y1186+Z1186+AA1186+AB1186+AD1186+AF1186+AH1186+AJ1186+AL1186+AN1186+AO1186</f>
        <v>4101.1198873121866</v>
      </c>
      <c r="X1186" s="458">
        <v>0</v>
      </c>
      <c r="Y1186" s="459">
        <v>0</v>
      </c>
      <c r="Z1186" s="459">
        <v>0</v>
      </c>
      <c r="AA1186" s="459">
        <v>0</v>
      </c>
      <c r="AB1186" s="459">
        <v>0</v>
      </c>
      <c r="AC1186" s="459">
        <v>0</v>
      </c>
      <c r="AD1186" s="459">
        <v>0</v>
      </c>
      <c r="AE1186" s="459">
        <v>630</v>
      </c>
      <c r="AF1186" s="458">
        <f>6238.91*AE1186/I1186</f>
        <v>4101.1198873121866</v>
      </c>
      <c r="AG1186" s="459">
        <v>0</v>
      </c>
      <c r="AH1186" s="458">
        <v>0</v>
      </c>
      <c r="AI1186" s="459">
        <v>0</v>
      </c>
      <c r="AJ1186" s="458">
        <v>0</v>
      </c>
      <c r="AK1186" s="459">
        <v>0</v>
      </c>
      <c r="AL1186" s="459">
        <v>0</v>
      </c>
      <c r="AM1186" s="459">
        <v>0</v>
      </c>
      <c r="AN1186" s="459"/>
      <c r="AO1186" s="459">
        <v>0</v>
      </c>
      <c r="AP1186" s="460"/>
      <c r="AQ1186" s="250"/>
      <c r="AR1186" s="250"/>
      <c r="AS1186" s="250"/>
      <c r="AT1186" s="250"/>
      <c r="AU1186" s="250"/>
      <c r="AV1186" s="250"/>
      <c r="AW1186" s="250"/>
      <c r="AX1186" s="250"/>
      <c r="AY1186" s="250"/>
      <c r="AZ1186" s="250"/>
      <c r="BA1186" s="250"/>
      <c r="BB1186" s="250"/>
      <c r="BC1186" s="250"/>
      <c r="BD1186" s="250"/>
      <c r="BE1186" s="250"/>
      <c r="BF1186" s="250"/>
      <c r="BG1186" s="250"/>
      <c r="BH1186" s="250"/>
      <c r="BI1186" s="250"/>
      <c r="BJ1186" s="250"/>
      <c r="BK1186" s="250"/>
      <c r="BL1186" s="250"/>
      <c r="BM1186" s="250"/>
      <c r="BN1186" s="250"/>
      <c r="BO1186" s="250"/>
      <c r="BP1186" s="250"/>
      <c r="BQ1186" s="250"/>
      <c r="BR1186" s="250"/>
      <c r="BS1186" s="250"/>
      <c r="BT1186" s="250"/>
      <c r="BU1186" s="250"/>
      <c r="BV1186" s="250"/>
      <c r="BW1186" s="250"/>
      <c r="BX1186" s="250"/>
      <c r="BY1186" s="250"/>
      <c r="BZ1186" s="250"/>
      <c r="CA1186" s="250"/>
      <c r="CB1186" s="250"/>
      <c r="CC1186" s="250"/>
      <c r="CD1186" s="250"/>
      <c r="CE1186" s="250"/>
      <c r="CF1186" s="250"/>
      <c r="CG1186" s="250"/>
      <c r="CH1186" s="250"/>
      <c r="CI1186" s="250"/>
      <c r="CJ1186" s="250"/>
      <c r="CK1186" s="250"/>
      <c r="DQ1186" s="339"/>
      <c r="DR1186" s="339"/>
      <c r="DS1186" s="339"/>
      <c r="EP1186" s="340"/>
      <c r="FS1186" s="341"/>
      <c r="GI1186" s="342"/>
    </row>
    <row r="1187" spans="1:191" s="266" customFormat="1" ht="36" customHeight="1" x14ac:dyDescent="0.25">
      <c r="A1187" s="329">
        <v>1</v>
      </c>
      <c r="B1187" s="39">
        <f>SUBTOTAL(103,$A$1000:A1187)</f>
        <v>163</v>
      </c>
      <c r="C1187" s="336" t="s">
        <v>1858</v>
      </c>
      <c r="D1187" s="330">
        <v>1961</v>
      </c>
      <c r="E1187" s="330">
        <v>2009</v>
      </c>
      <c r="F1187" s="337" t="s">
        <v>48</v>
      </c>
      <c r="G1187" s="330">
        <v>2</v>
      </c>
      <c r="H1187" s="330" t="s">
        <v>56</v>
      </c>
      <c r="I1187" s="334">
        <v>614.6</v>
      </c>
      <c r="J1187" s="334">
        <v>565.1</v>
      </c>
      <c r="K1187" s="334">
        <v>565.1</v>
      </c>
      <c r="L1187" s="338">
        <v>23</v>
      </c>
      <c r="M1187" s="330" t="s">
        <v>46</v>
      </c>
      <c r="N1187" s="330" t="s">
        <v>47</v>
      </c>
      <c r="O1187" s="330" t="s">
        <v>49</v>
      </c>
      <c r="P1187" s="334">
        <v>2320823.9699999997</v>
      </c>
      <c r="Q1187" s="334">
        <v>0</v>
      </c>
      <c r="R1187" s="334">
        <v>0</v>
      </c>
      <c r="S1187" s="334">
        <f>P1187-Q1187-R1187</f>
        <v>2320823.9699999997</v>
      </c>
      <c r="T1187" s="38">
        <f t="shared" si="255"/>
        <v>3776.153547022453</v>
      </c>
      <c r="U1187" s="38">
        <v>5289.4349170191999</v>
      </c>
      <c r="V1187" s="458">
        <f t="shared" si="254"/>
        <v>1513.2813699967469</v>
      </c>
      <c r="W1187" s="458">
        <f t="shared" si="259"/>
        <v>5289.4349170191999</v>
      </c>
      <c r="X1187" s="458">
        <v>0</v>
      </c>
      <c r="Y1187" s="459">
        <v>0</v>
      </c>
      <c r="Z1187" s="459">
        <v>0</v>
      </c>
      <c r="AA1187" s="459">
        <v>0</v>
      </c>
      <c r="AB1187" s="459">
        <v>0</v>
      </c>
      <c r="AC1187" s="459">
        <v>0</v>
      </c>
      <c r="AD1187" s="459">
        <v>0</v>
      </c>
      <c r="AE1187" s="459">
        <v>0</v>
      </c>
      <c r="AF1187" s="458">
        <v>0</v>
      </c>
      <c r="AG1187" s="459">
        <v>0</v>
      </c>
      <c r="AH1187" s="458">
        <v>0</v>
      </c>
      <c r="AI1187" s="459">
        <v>437</v>
      </c>
      <c r="AJ1187" s="458">
        <f>7439.1*AI1187/I1187</f>
        <v>5289.4349170191999</v>
      </c>
      <c r="AK1187" s="459">
        <v>0</v>
      </c>
      <c r="AL1187" s="459">
        <v>0</v>
      </c>
      <c r="AM1187" s="459">
        <v>0</v>
      </c>
      <c r="AN1187" s="459"/>
      <c r="AO1187" s="459">
        <v>0</v>
      </c>
      <c r="AP1187" s="460"/>
      <c r="AQ1187" s="250"/>
      <c r="AR1187" s="250"/>
      <c r="AS1187" s="250"/>
      <c r="AT1187" s="250"/>
      <c r="AU1187" s="250"/>
      <c r="AV1187" s="250"/>
      <c r="AW1187" s="250"/>
      <c r="AX1187" s="250"/>
      <c r="AY1187" s="250"/>
      <c r="AZ1187" s="250"/>
      <c r="BA1187" s="250"/>
      <c r="BB1187" s="250"/>
      <c r="BC1187" s="250"/>
      <c r="BD1187" s="250"/>
      <c r="BE1187" s="250"/>
      <c r="BF1187" s="250"/>
      <c r="BG1187" s="250"/>
      <c r="BH1187" s="250"/>
      <c r="BI1187" s="250"/>
      <c r="BJ1187" s="250"/>
      <c r="BK1187" s="250"/>
      <c r="BL1187" s="250"/>
      <c r="BM1187" s="250"/>
      <c r="BN1187" s="250"/>
      <c r="BO1187" s="250"/>
      <c r="BP1187" s="250"/>
      <c r="BQ1187" s="250"/>
      <c r="BR1187" s="250"/>
      <c r="BS1187" s="250"/>
      <c r="BT1187" s="250"/>
      <c r="BU1187" s="250"/>
      <c r="BV1187" s="250"/>
      <c r="BW1187" s="250"/>
      <c r="BX1187" s="250"/>
      <c r="BY1187" s="250"/>
      <c r="BZ1187" s="250"/>
      <c r="CA1187" s="250"/>
      <c r="CB1187" s="250"/>
      <c r="CC1187" s="250"/>
      <c r="CD1187" s="250"/>
      <c r="CE1187" s="250"/>
      <c r="CF1187" s="250"/>
      <c r="CG1187" s="250"/>
      <c r="CH1187" s="250"/>
      <c r="CI1187" s="250"/>
      <c r="CJ1187" s="250"/>
      <c r="CK1187" s="250"/>
      <c r="DQ1187" s="339"/>
      <c r="DR1187" s="339"/>
      <c r="DS1187" s="339"/>
      <c r="EP1187" s="340"/>
      <c r="FS1187" s="341"/>
      <c r="GI1187" s="342"/>
    </row>
    <row r="1188" spans="1:191" s="329" customFormat="1" ht="36" customHeight="1" x14ac:dyDescent="0.25">
      <c r="B1188" s="33" t="s">
        <v>106</v>
      </c>
      <c r="C1188" s="33"/>
      <c r="D1188" s="330" t="s">
        <v>131</v>
      </c>
      <c r="E1188" s="330" t="s">
        <v>131</v>
      </c>
      <c r="F1188" s="330" t="s">
        <v>131</v>
      </c>
      <c r="G1188" s="330" t="s">
        <v>131</v>
      </c>
      <c r="H1188" s="330" t="s">
        <v>131</v>
      </c>
      <c r="I1188" s="334">
        <f>SUM(I1189:I1191)</f>
        <v>1266.2</v>
      </c>
      <c r="J1188" s="334">
        <f>SUM(J1189:J1191)</f>
        <v>1144.9000000000001</v>
      </c>
      <c r="K1188" s="334">
        <f>SUM(K1189:K1191)</f>
        <v>922.5</v>
      </c>
      <c r="L1188" s="332">
        <f>SUM(L1189:L1191)</f>
        <v>63</v>
      </c>
      <c r="M1188" s="330" t="s">
        <v>131</v>
      </c>
      <c r="N1188" s="330" t="s">
        <v>131</v>
      </c>
      <c r="O1188" s="333" t="s">
        <v>131</v>
      </c>
      <c r="P1188" s="38">
        <v>4715781.71</v>
      </c>
      <c r="Q1188" s="38">
        <f>Q1189+Q1190+Q1191</f>
        <v>0</v>
      </c>
      <c r="R1188" s="38">
        <f>R1189+R1190+R1191</f>
        <v>0</v>
      </c>
      <c r="S1188" s="38">
        <f>S1189+S1190+S1191</f>
        <v>4715781.71</v>
      </c>
      <c r="T1188" s="38">
        <f t="shared" si="255"/>
        <v>3724.3576923076921</v>
      </c>
      <c r="U1188" s="38">
        <f>MAX(U1189:U1191)</f>
        <v>5409.6436314363145</v>
      </c>
      <c r="V1188" s="458">
        <f t="shared" si="254"/>
        <v>1685.2859391286224</v>
      </c>
      <c r="W1188" s="458"/>
      <c r="X1188" s="458"/>
      <c r="Y1188" s="459"/>
      <c r="Z1188" s="459"/>
      <c r="AA1188" s="459"/>
      <c r="AB1188" s="459"/>
      <c r="AC1188" s="459"/>
      <c r="AD1188" s="459"/>
      <c r="AE1188" s="459"/>
      <c r="AF1188" s="459"/>
      <c r="AG1188" s="459"/>
      <c r="AH1188" s="459"/>
      <c r="AI1188" s="459"/>
      <c r="AJ1188" s="459"/>
      <c r="AK1188" s="459"/>
      <c r="AL1188" s="459"/>
      <c r="AM1188" s="459"/>
      <c r="AN1188" s="459"/>
      <c r="AO1188" s="459"/>
      <c r="AP1188" s="460"/>
      <c r="AQ1188" s="460"/>
      <c r="AR1188" s="460"/>
      <c r="AS1188" s="460"/>
      <c r="AT1188" s="460"/>
      <c r="AU1188" s="460"/>
      <c r="AV1188" s="460"/>
      <c r="AW1188" s="460"/>
      <c r="AX1188" s="460"/>
      <c r="AY1188" s="460"/>
      <c r="AZ1188" s="460"/>
      <c r="BA1188" s="460"/>
      <c r="BB1188" s="460"/>
      <c r="BC1188" s="460"/>
      <c r="BD1188" s="460"/>
      <c r="BE1188" s="460"/>
      <c r="BF1188" s="460"/>
      <c r="BG1188" s="460"/>
      <c r="BH1188" s="460"/>
      <c r="BI1188" s="460"/>
      <c r="BJ1188" s="460"/>
      <c r="BK1188" s="460"/>
      <c r="BL1188" s="460"/>
      <c r="BM1188" s="460"/>
      <c r="BN1188" s="460"/>
      <c r="BO1188" s="460"/>
      <c r="BP1188" s="460"/>
      <c r="BQ1188" s="460"/>
      <c r="BR1188" s="460"/>
      <c r="BS1188" s="460"/>
      <c r="BT1188" s="460"/>
      <c r="BU1188" s="460"/>
      <c r="BV1188" s="460"/>
      <c r="BW1188" s="460"/>
      <c r="BX1188" s="460"/>
      <c r="BY1188" s="460"/>
      <c r="BZ1188" s="460"/>
      <c r="CA1188" s="460"/>
      <c r="CB1188" s="460"/>
      <c r="CC1188" s="460"/>
      <c r="CD1188" s="460"/>
      <c r="CE1188" s="460"/>
      <c r="CF1188" s="460"/>
      <c r="CG1188" s="460"/>
      <c r="CH1188" s="460"/>
      <c r="CI1188" s="460"/>
      <c r="CJ1188" s="460"/>
      <c r="CK1188" s="460"/>
    </row>
    <row r="1189" spans="1:191" s="266" customFormat="1" ht="36" customHeight="1" x14ac:dyDescent="0.25">
      <c r="A1189" s="329">
        <v>1</v>
      </c>
      <c r="B1189" s="39">
        <f>SUBTOTAL(103,$A$1000:A1189)</f>
        <v>164</v>
      </c>
      <c r="C1189" s="336" t="s">
        <v>1859</v>
      </c>
      <c r="D1189" s="330">
        <v>1961</v>
      </c>
      <c r="E1189" s="330"/>
      <c r="F1189" s="337" t="s">
        <v>48</v>
      </c>
      <c r="G1189" s="330">
        <v>2</v>
      </c>
      <c r="H1189" s="330" t="s">
        <v>57</v>
      </c>
      <c r="I1189" s="334">
        <v>442.8</v>
      </c>
      <c r="J1189" s="334">
        <v>393.5</v>
      </c>
      <c r="K1189" s="334">
        <v>240.4</v>
      </c>
      <c r="L1189" s="338">
        <v>21</v>
      </c>
      <c r="M1189" s="330" t="s">
        <v>46</v>
      </c>
      <c r="N1189" s="330" t="s">
        <v>2071</v>
      </c>
      <c r="O1189" s="330" t="s">
        <v>2163</v>
      </c>
      <c r="P1189" s="334">
        <v>1710080.82</v>
      </c>
      <c r="Q1189" s="334">
        <v>0</v>
      </c>
      <c r="R1189" s="334">
        <v>0</v>
      </c>
      <c r="S1189" s="334">
        <f>P1189-Q1189-R1189</f>
        <v>1710080.82</v>
      </c>
      <c r="T1189" s="38">
        <f t="shared" si="255"/>
        <v>3861.9711382113824</v>
      </c>
      <c r="U1189" s="38">
        <v>5409.6436314363145</v>
      </c>
      <c r="V1189" s="458">
        <f t="shared" si="254"/>
        <v>1547.6724932249322</v>
      </c>
      <c r="W1189" s="458">
        <f t="shared" ref="W1189:W1191" si="260">X1189+Y1189+Z1189+AA1189+AB1189+AD1189+AF1189+AH1189+AJ1189+AL1189+AN1189+AO1189</f>
        <v>5409.6436314363145</v>
      </c>
      <c r="X1189" s="458">
        <v>0</v>
      </c>
      <c r="Y1189" s="459">
        <v>0</v>
      </c>
      <c r="Z1189" s="459">
        <v>0</v>
      </c>
      <c r="AA1189" s="459">
        <v>0</v>
      </c>
      <c r="AB1189" s="459">
        <v>0</v>
      </c>
      <c r="AC1189" s="459">
        <v>0</v>
      </c>
      <c r="AD1189" s="459">
        <v>0</v>
      </c>
      <c r="AE1189" s="459">
        <v>0</v>
      </c>
      <c r="AF1189" s="458">
        <v>0</v>
      </c>
      <c r="AG1189" s="459">
        <v>0</v>
      </c>
      <c r="AH1189" s="458">
        <v>0</v>
      </c>
      <c r="AI1189" s="459">
        <v>322</v>
      </c>
      <c r="AJ1189" s="458">
        <f>7439.1*AI1189/I1189</f>
        <v>5409.6436314363145</v>
      </c>
      <c r="AK1189" s="459">
        <v>0</v>
      </c>
      <c r="AL1189" s="459">
        <v>0</v>
      </c>
      <c r="AM1189" s="459">
        <v>0</v>
      </c>
      <c r="AN1189" s="459"/>
      <c r="AO1189" s="459">
        <v>0</v>
      </c>
      <c r="AP1189" s="460"/>
      <c r="AQ1189" s="250"/>
      <c r="AR1189" s="250"/>
      <c r="AS1189" s="250"/>
      <c r="AT1189" s="250"/>
      <c r="AU1189" s="250"/>
      <c r="AV1189" s="250"/>
      <c r="AW1189" s="250"/>
      <c r="AX1189" s="250"/>
      <c r="AY1189" s="250"/>
      <c r="AZ1189" s="250"/>
      <c r="BA1189" s="250"/>
      <c r="BB1189" s="250"/>
      <c r="BC1189" s="250"/>
      <c r="BD1189" s="250"/>
      <c r="BE1189" s="250"/>
      <c r="BF1189" s="250"/>
      <c r="BG1189" s="250"/>
      <c r="BH1189" s="250"/>
      <c r="BI1189" s="250"/>
      <c r="BJ1189" s="250"/>
      <c r="BK1189" s="250"/>
      <c r="BL1189" s="250"/>
      <c r="BM1189" s="250"/>
      <c r="BN1189" s="250"/>
      <c r="BO1189" s="250"/>
      <c r="BP1189" s="250"/>
      <c r="BQ1189" s="250"/>
      <c r="BR1189" s="250"/>
      <c r="BS1189" s="250"/>
      <c r="BT1189" s="250"/>
      <c r="BU1189" s="250"/>
      <c r="BV1189" s="250"/>
      <c r="BW1189" s="250"/>
      <c r="BX1189" s="250"/>
      <c r="BY1189" s="250"/>
      <c r="BZ1189" s="250"/>
      <c r="CA1189" s="250"/>
      <c r="CB1189" s="250"/>
      <c r="CC1189" s="250"/>
      <c r="CD1189" s="250"/>
      <c r="CE1189" s="250"/>
      <c r="CF1189" s="250"/>
      <c r="CG1189" s="250"/>
      <c r="CH1189" s="250"/>
      <c r="CI1189" s="250"/>
      <c r="CJ1189" s="250"/>
      <c r="CK1189" s="250"/>
      <c r="DQ1189" s="339"/>
      <c r="DR1189" s="339"/>
      <c r="DS1189" s="339"/>
      <c r="EP1189" s="340"/>
      <c r="FS1189" s="341"/>
      <c r="GI1189" s="342"/>
    </row>
    <row r="1190" spans="1:191" s="266" customFormat="1" ht="36" customHeight="1" x14ac:dyDescent="0.25">
      <c r="A1190" s="329">
        <v>1</v>
      </c>
      <c r="B1190" s="39">
        <f>SUBTOTAL(103,$A$1000:A1190)</f>
        <v>165</v>
      </c>
      <c r="C1190" s="336" t="s">
        <v>1860</v>
      </c>
      <c r="D1190" s="330">
        <v>1960</v>
      </c>
      <c r="E1190" s="330"/>
      <c r="F1190" s="337" t="s">
        <v>48</v>
      </c>
      <c r="G1190" s="330">
        <v>2</v>
      </c>
      <c r="H1190" s="330" t="s">
        <v>57</v>
      </c>
      <c r="I1190" s="334">
        <v>442.6</v>
      </c>
      <c r="J1190" s="334">
        <v>400.2</v>
      </c>
      <c r="K1190" s="334">
        <v>353.8</v>
      </c>
      <c r="L1190" s="338">
        <v>21</v>
      </c>
      <c r="M1190" s="330" t="s">
        <v>46</v>
      </c>
      <c r="N1190" s="330" t="s">
        <v>2071</v>
      </c>
      <c r="O1190" s="330" t="s">
        <v>2163</v>
      </c>
      <c r="P1190" s="334">
        <v>1452729.9</v>
      </c>
      <c r="Q1190" s="334">
        <v>0</v>
      </c>
      <c r="R1190" s="334">
        <v>0</v>
      </c>
      <c r="S1190" s="334">
        <f>P1190-Q1190-R1190</f>
        <v>1452729.9</v>
      </c>
      <c r="T1190" s="38">
        <f t="shared" si="255"/>
        <v>3282.2636692272927</v>
      </c>
      <c r="U1190" s="38">
        <v>3677.4726615454128</v>
      </c>
      <c r="V1190" s="458">
        <f t="shared" si="254"/>
        <v>395.20899231812018</v>
      </c>
      <c r="W1190" s="458">
        <f t="shared" si="260"/>
        <v>3664.9719837324892</v>
      </c>
      <c r="X1190" s="458">
        <v>0</v>
      </c>
      <c r="Y1190" s="459">
        <v>0</v>
      </c>
      <c r="Z1190" s="459">
        <v>0</v>
      </c>
      <c r="AA1190" s="459">
        <v>0</v>
      </c>
      <c r="AB1190" s="459">
        <v>0</v>
      </c>
      <c r="AC1190" s="459">
        <v>0</v>
      </c>
      <c r="AD1190" s="459">
        <v>0</v>
      </c>
      <c r="AE1190" s="459">
        <v>260</v>
      </c>
      <c r="AF1190" s="458">
        <f>6238.91*AE1190/I1190</f>
        <v>3664.9719837324892</v>
      </c>
      <c r="AG1190" s="459">
        <v>0</v>
      </c>
      <c r="AH1190" s="458">
        <v>0</v>
      </c>
      <c r="AI1190" s="459">
        <v>0</v>
      </c>
      <c r="AJ1190" s="458">
        <v>0</v>
      </c>
      <c r="AK1190" s="459">
        <v>0</v>
      </c>
      <c r="AL1190" s="459">
        <v>0</v>
      </c>
      <c r="AM1190" s="459">
        <v>0</v>
      </c>
      <c r="AN1190" s="459"/>
      <c r="AO1190" s="459">
        <v>0</v>
      </c>
      <c r="AP1190" s="460"/>
      <c r="AQ1190" s="250"/>
      <c r="AR1190" s="250"/>
      <c r="AS1190" s="250"/>
      <c r="AT1190" s="250"/>
      <c r="AU1190" s="250"/>
      <c r="AV1190" s="250"/>
      <c r="AW1190" s="250"/>
      <c r="AX1190" s="250"/>
      <c r="AY1190" s="250"/>
      <c r="AZ1190" s="250"/>
      <c r="BA1190" s="250"/>
      <c r="BB1190" s="250"/>
      <c r="BC1190" s="250"/>
      <c r="BD1190" s="250"/>
      <c r="BE1190" s="250"/>
      <c r="BF1190" s="250"/>
      <c r="BG1190" s="250"/>
      <c r="BH1190" s="250"/>
      <c r="BI1190" s="250"/>
      <c r="BJ1190" s="250"/>
      <c r="BK1190" s="250"/>
      <c r="BL1190" s="250"/>
      <c r="BM1190" s="250"/>
      <c r="BN1190" s="250"/>
      <c r="BO1190" s="250"/>
      <c r="BP1190" s="250"/>
      <c r="BQ1190" s="250"/>
      <c r="BR1190" s="250"/>
      <c r="BS1190" s="250"/>
      <c r="BT1190" s="250"/>
      <c r="BU1190" s="250"/>
      <c r="BV1190" s="250"/>
      <c r="BW1190" s="250"/>
      <c r="BX1190" s="250"/>
      <c r="BY1190" s="250"/>
      <c r="BZ1190" s="250"/>
      <c r="CA1190" s="250"/>
      <c r="CB1190" s="250"/>
      <c r="CC1190" s="250"/>
      <c r="CD1190" s="250"/>
      <c r="CE1190" s="250"/>
      <c r="CF1190" s="250"/>
      <c r="CG1190" s="250"/>
      <c r="CH1190" s="250"/>
      <c r="CI1190" s="250"/>
      <c r="CJ1190" s="250"/>
      <c r="CK1190" s="250"/>
      <c r="DQ1190" s="339"/>
      <c r="DR1190" s="339"/>
      <c r="DS1190" s="339"/>
      <c r="EP1190" s="340"/>
      <c r="FS1190" s="341"/>
      <c r="GI1190" s="342"/>
    </row>
    <row r="1191" spans="1:191" s="266" customFormat="1" ht="36" customHeight="1" x14ac:dyDescent="0.25">
      <c r="A1191" s="329">
        <v>1</v>
      </c>
      <c r="B1191" s="39">
        <f>SUBTOTAL(103,$A$1000:A1191)</f>
        <v>166</v>
      </c>
      <c r="C1191" s="336" t="s">
        <v>1861</v>
      </c>
      <c r="D1191" s="330">
        <v>1968</v>
      </c>
      <c r="E1191" s="330"/>
      <c r="F1191" s="337" t="s">
        <v>48</v>
      </c>
      <c r="G1191" s="330">
        <v>2</v>
      </c>
      <c r="H1191" s="330" t="s">
        <v>57</v>
      </c>
      <c r="I1191" s="334">
        <v>380.8</v>
      </c>
      <c r="J1191" s="334">
        <v>351.2</v>
      </c>
      <c r="K1191" s="334">
        <v>328.3</v>
      </c>
      <c r="L1191" s="338">
        <v>21</v>
      </c>
      <c r="M1191" s="330" t="s">
        <v>46</v>
      </c>
      <c r="N1191" s="330" t="s">
        <v>2071</v>
      </c>
      <c r="O1191" s="330" t="s">
        <v>2163</v>
      </c>
      <c r="P1191" s="334">
        <v>1552970.99</v>
      </c>
      <c r="Q1191" s="334">
        <v>0</v>
      </c>
      <c r="R1191" s="334">
        <v>0</v>
      </c>
      <c r="S1191" s="334">
        <f>P1191-Q1191-R1191</f>
        <v>1552970.99</v>
      </c>
      <c r="T1191" s="38">
        <f t="shared" si="255"/>
        <v>4078.180120798319</v>
      </c>
      <c r="U1191" s="38">
        <v>4652.3996060924364</v>
      </c>
      <c r="V1191" s="458">
        <f t="shared" si="254"/>
        <v>574.21948529411748</v>
      </c>
      <c r="W1191" s="458">
        <f t="shared" si="260"/>
        <v>4636.584900210084</v>
      </c>
      <c r="X1191" s="458">
        <v>0</v>
      </c>
      <c r="Y1191" s="459">
        <v>0</v>
      </c>
      <c r="Z1191" s="459">
        <v>0</v>
      </c>
      <c r="AA1191" s="459">
        <v>0</v>
      </c>
      <c r="AB1191" s="459">
        <v>0</v>
      </c>
      <c r="AC1191" s="459">
        <v>0</v>
      </c>
      <c r="AD1191" s="459">
        <v>0</v>
      </c>
      <c r="AE1191" s="459">
        <v>283</v>
      </c>
      <c r="AF1191" s="458">
        <f>6238.91*AE1191/I1191</f>
        <v>4636.584900210084</v>
      </c>
      <c r="AG1191" s="459">
        <v>0</v>
      </c>
      <c r="AH1191" s="458">
        <v>0</v>
      </c>
      <c r="AI1191" s="459">
        <v>0</v>
      </c>
      <c r="AJ1191" s="458">
        <v>0</v>
      </c>
      <c r="AK1191" s="459">
        <v>0</v>
      </c>
      <c r="AL1191" s="459">
        <v>0</v>
      </c>
      <c r="AM1191" s="459">
        <v>0</v>
      </c>
      <c r="AN1191" s="459"/>
      <c r="AO1191" s="459">
        <v>0</v>
      </c>
      <c r="AP1191" s="460"/>
      <c r="AQ1191" s="250"/>
      <c r="AR1191" s="250"/>
      <c r="AS1191" s="250"/>
      <c r="AT1191" s="250"/>
      <c r="AU1191" s="250"/>
      <c r="AV1191" s="250"/>
      <c r="AW1191" s="250"/>
      <c r="AX1191" s="250"/>
      <c r="AY1191" s="250"/>
      <c r="AZ1191" s="250"/>
      <c r="BA1191" s="250"/>
      <c r="BB1191" s="250"/>
      <c r="BC1191" s="250"/>
      <c r="BD1191" s="250"/>
      <c r="BE1191" s="250"/>
      <c r="BF1191" s="250"/>
      <c r="BG1191" s="250"/>
      <c r="BH1191" s="250"/>
      <c r="BI1191" s="250"/>
      <c r="BJ1191" s="250"/>
      <c r="BK1191" s="250"/>
      <c r="BL1191" s="250"/>
      <c r="BM1191" s="250"/>
      <c r="BN1191" s="250"/>
      <c r="BO1191" s="250"/>
      <c r="BP1191" s="250"/>
      <c r="BQ1191" s="250"/>
      <c r="BR1191" s="250"/>
      <c r="BS1191" s="250"/>
      <c r="BT1191" s="250"/>
      <c r="BU1191" s="250"/>
      <c r="BV1191" s="250"/>
      <c r="BW1191" s="250"/>
      <c r="BX1191" s="250"/>
      <c r="BY1191" s="250"/>
      <c r="BZ1191" s="250"/>
      <c r="CA1191" s="250"/>
      <c r="CB1191" s="250"/>
      <c r="CC1191" s="250"/>
      <c r="CD1191" s="250"/>
      <c r="CE1191" s="250"/>
      <c r="CF1191" s="250"/>
      <c r="CG1191" s="250"/>
      <c r="CH1191" s="250"/>
      <c r="CI1191" s="250"/>
      <c r="CJ1191" s="250"/>
      <c r="CK1191" s="250"/>
      <c r="DQ1191" s="339"/>
      <c r="DR1191" s="339"/>
      <c r="DS1191" s="339"/>
      <c r="EP1191" s="340"/>
      <c r="FS1191" s="341"/>
      <c r="GI1191" s="342"/>
    </row>
    <row r="1192" spans="1:191" s="329" customFormat="1" ht="36" customHeight="1" x14ac:dyDescent="0.25">
      <c r="B1192" s="33" t="s">
        <v>1326</v>
      </c>
      <c r="C1192" s="33"/>
      <c r="D1192" s="330" t="s">
        <v>131</v>
      </c>
      <c r="E1192" s="330" t="s">
        <v>131</v>
      </c>
      <c r="F1192" s="330" t="s">
        <v>131</v>
      </c>
      <c r="G1192" s="330" t="s">
        <v>131</v>
      </c>
      <c r="H1192" s="330" t="s">
        <v>131</v>
      </c>
      <c r="I1192" s="334">
        <f>SUM(I1193:I1194)</f>
        <v>666.5</v>
      </c>
      <c r="J1192" s="334">
        <f>SUM(J1193:J1194)</f>
        <v>608.5</v>
      </c>
      <c r="K1192" s="334">
        <f>SUM(K1193:K1194)</f>
        <v>430.2</v>
      </c>
      <c r="L1192" s="332">
        <f>SUM(L1193:L1194)</f>
        <v>37</v>
      </c>
      <c r="M1192" s="330" t="s">
        <v>131</v>
      </c>
      <c r="N1192" s="330" t="s">
        <v>131</v>
      </c>
      <c r="O1192" s="333" t="s">
        <v>131</v>
      </c>
      <c r="P1192" s="38">
        <v>2590114.16</v>
      </c>
      <c r="Q1192" s="38">
        <f>Q1193+Q1194</f>
        <v>0</v>
      </c>
      <c r="R1192" s="38">
        <f>R1193+R1194</f>
        <v>0</v>
      </c>
      <c r="S1192" s="38">
        <f>S1193+S1194</f>
        <v>2590114.16</v>
      </c>
      <c r="T1192" s="38">
        <f t="shared" si="255"/>
        <v>3886.1427756939238</v>
      </c>
      <c r="U1192" s="38">
        <f>MAX(U1193:U1194)</f>
        <v>4457.7204334365324</v>
      </c>
      <c r="V1192" s="458">
        <f t="shared" si="254"/>
        <v>571.57765774260861</v>
      </c>
      <c r="W1192" s="458"/>
      <c r="X1192" s="458"/>
      <c r="Y1192" s="459"/>
      <c r="Z1192" s="459"/>
      <c r="AA1192" s="459"/>
      <c r="AB1192" s="459"/>
      <c r="AC1192" s="459"/>
      <c r="AD1192" s="459"/>
      <c r="AE1192" s="459"/>
      <c r="AF1192" s="459"/>
      <c r="AG1192" s="459"/>
      <c r="AH1192" s="459"/>
      <c r="AI1192" s="459"/>
      <c r="AJ1192" s="459"/>
      <c r="AK1192" s="459"/>
      <c r="AL1192" s="459"/>
      <c r="AM1192" s="459"/>
      <c r="AN1192" s="459"/>
      <c r="AO1192" s="459"/>
      <c r="AP1192" s="460"/>
      <c r="AQ1192" s="460"/>
      <c r="AR1192" s="460"/>
      <c r="AS1192" s="460"/>
      <c r="AT1192" s="460"/>
      <c r="AU1192" s="460"/>
      <c r="AV1192" s="460"/>
      <c r="AW1192" s="460"/>
      <c r="AX1192" s="460"/>
      <c r="AY1192" s="460"/>
      <c r="AZ1192" s="460"/>
      <c r="BA1192" s="460"/>
      <c r="BB1192" s="460"/>
      <c r="BC1192" s="460"/>
      <c r="BD1192" s="460"/>
      <c r="BE1192" s="460"/>
      <c r="BF1192" s="460"/>
      <c r="BG1192" s="460"/>
      <c r="BH1192" s="460"/>
      <c r="BI1192" s="460"/>
      <c r="BJ1192" s="460"/>
      <c r="BK1192" s="460"/>
      <c r="BL1192" s="460"/>
      <c r="BM1192" s="460"/>
      <c r="BN1192" s="460"/>
      <c r="BO1192" s="460"/>
      <c r="BP1192" s="460"/>
      <c r="BQ1192" s="460"/>
      <c r="BR1192" s="460"/>
      <c r="BS1192" s="460"/>
      <c r="BT1192" s="460"/>
      <c r="BU1192" s="460"/>
      <c r="BV1192" s="460"/>
      <c r="BW1192" s="460"/>
      <c r="BX1192" s="460"/>
      <c r="BY1192" s="460"/>
      <c r="BZ1192" s="460"/>
      <c r="CA1192" s="460"/>
      <c r="CB1192" s="460"/>
      <c r="CC1192" s="460"/>
      <c r="CD1192" s="460"/>
      <c r="CE1192" s="460"/>
      <c r="CF1192" s="460"/>
      <c r="CG1192" s="460"/>
      <c r="CH1192" s="460"/>
      <c r="CI1192" s="460"/>
      <c r="CJ1192" s="460"/>
      <c r="CK1192" s="460"/>
    </row>
    <row r="1193" spans="1:191" s="266" customFormat="1" ht="36" customHeight="1" x14ac:dyDescent="0.25">
      <c r="A1193" s="329">
        <v>1</v>
      </c>
      <c r="B1193" s="39">
        <f>SUBTOTAL(103,$A$1000:A1193)</f>
        <v>167</v>
      </c>
      <c r="C1193" s="336" t="s">
        <v>1862</v>
      </c>
      <c r="D1193" s="330">
        <v>1968</v>
      </c>
      <c r="E1193" s="330"/>
      <c r="F1193" s="337" t="s">
        <v>48</v>
      </c>
      <c r="G1193" s="330">
        <v>2</v>
      </c>
      <c r="H1193" s="330" t="s">
        <v>57</v>
      </c>
      <c r="I1193" s="334">
        <v>323</v>
      </c>
      <c r="J1193" s="334">
        <v>293</v>
      </c>
      <c r="K1193" s="334">
        <v>114.7</v>
      </c>
      <c r="L1193" s="338">
        <v>17</v>
      </c>
      <c r="M1193" s="330" t="s">
        <v>46</v>
      </c>
      <c r="N1193" s="330" t="s">
        <v>2071</v>
      </c>
      <c r="O1193" s="330" t="s">
        <v>2162</v>
      </c>
      <c r="P1193" s="334">
        <v>1262131.9000000001</v>
      </c>
      <c r="Q1193" s="334">
        <v>0</v>
      </c>
      <c r="R1193" s="334">
        <v>0</v>
      </c>
      <c r="S1193" s="334">
        <f>P1193-Q1193-R1193</f>
        <v>1262131.9000000001</v>
      </c>
      <c r="T1193" s="38">
        <f t="shared" si="255"/>
        <v>3907.5291021671833</v>
      </c>
      <c r="U1193" s="38">
        <v>4457.7204334365324</v>
      </c>
      <c r="V1193" s="458">
        <f t="shared" si="254"/>
        <v>550.19133126934912</v>
      </c>
      <c r="W1193" s="458">
        <f t="shared" ref="W1193:W1194" si="261">X1193+Y1193+Z1193+AA1193+AB1193+AD1193+AF1193+AH1193+AJ1193+AL1193+AN1193+AO1193</f>
        <v>4442.567492260062</v>
      </c>
      <c r="X1193" s="458">
        <v>0</v>
      </c>
      <c r="Y1193" s="459">
        <v>0</v>
      </c>
      <c r="Z1193" s="459">
        <v>0</v>
      </c>
      <c r="AA1193" s="459">
        <v>0</v>
      </c>
      <c r="AB1193" s="459">
        <v>0</v>
      </c>
      <c r="AC1193" s="459">
        <v>0</v>
      </c>
      <c r="AD1193" s="459">
        <v>0</v>
      </c>
      <c r="AE1193" s="459">
        <v>230</v>
      </c>
      <c r="AF1193" s="458">
        <f>6238.91*AE1193/I1193</f>
        <v>4442.567492260062</v>
      </c>
      <c r="AG1193" s="459">
        <v>0</v>
      </c>
      <c r="AH1193" s="458">
        <v>0</v>
      </c>
      <c r="AI1193" s="459">
        <v>0</v>
      </c>
      <c r="AJ1193" s="458">
        <v>0</v>
      </c>
      <c r="AK1193" s="459">
        <v>0</v>
      </c>
      <c r="AL1193" s="459">
        <v>0</v>
      </c>
      <c r="AM1193" s="459">
        <v>0</v>
      </c>
      <c r="AN1193" s="459"/>
      <c r="AO1193" s="459">
        <v>0</v>
      </c>
      <c r="AP1193" s="460"/>
      <c r="AQ1193" s="250"/>
      <c r="AR1193" s="250"/>
      <c r="AS1193" s="250"/>
      <c r="AT1193" s="250"/>
      <c r="AU1193" s="250"/>
      <c r="AV1193" s="250"/>
      <c r="AW1193" s="250"/>
      <c r="AX1193" s="250"/>
      <c r="AY1193" s="250"/>
      <c r="AZ1193" s="250"/>
      <c r="BA1193" s="250"/>
      <c r="BB1193" s="250"/>
      <c r="BC1193" s="250"/>
      <c r="BD1193" s="250"/>
      <c r="BE1193" s="250"/>
      <c r="BF1193" s="250"/>
      <c r="BG1193" s="250"/>
      <c r="BH1193" s="250"/>
      <c r="BI1193" s="250"/>
      <c r="BJ1193" s="250"/>
      <c r="BK1193" s="250"/>
      <c r="BL1193" s="250"/>
      <c r="BM1193" s="250"/>
      <c r="BN1193" s="250"/>
      <c r="BO1193" s="250"/>
      <c r="BP1193" s="250"/>
      <c r="BQ1193" s="250"/>
      <c r="BR1193" s="250"/>
      <c r="BS1193" s="250"/>
      <c r="BT1193" s="250"/>
      <c r="BU1193" s="250"/>
      <c r="BV1193" s="250"/>
      <c r="BW1193" s="250"/>
      <c r="BX1193" s="250"/>
      <c r="BY1193" s="250"/>
      <c r="BZ1193" s="250"/>
      <c r="CA1193" s="250"/>
      <c r="CB1193" s="250"/>
      <c r="CC1193" s="250"/>
      <c r="CD1193" s="250"/>
      <c r="CE1193" s="250"/>
      <c r="CF1193" s="250"/>
      <c r="CG1193" s="250"/>
      <c r="CH1193" s="250"/>
      <c r="CI1193" s="250"/>
      <c r="CJ1193" s="250"/>
      <c r="CK1193" s="250"/>
      <c r="DQ1193" s="339"/>
      <c r="DR1193" s="339"/>
      <c r="DS1193" s="339"/>
      <c r="EP1193" s="340"/>
      <c r="FS1193" s="341"/>
      <c r="GI1193" s="342"/>
    </row>
    <row r="1194" spans="1:191" s="266" customFormat="1" ht="36" customHeight="1" x14ac:dyDescent="0.25">
      <c r="A1194" s="329">
        <v>1</v>
      </c>
      <c r="B1194" s="39">
        <f>SUBTOTAL(103,$A$1000:A1194)</f>
        <v>168</v>
      </c>
      <c r="C1194" s="336" t="s">
        <v>1863</v>
      </c>
      <c r="D1194" s="330">
        <v>1970</v>
      </c>
      <c r="E1194" s="330"/>
      <c r="F1194" s="337" t="s">
        <v>48</v>
      </c>
      <c r="G1194" s="330">
        <v>2</v>
      </c>
      <c r="H1194" s="330" t="s">
        <v>57</v>
      </c>
      <c r="I1194" s="334">
        <v>343.5</v>
      </c>
      <c r="J1194" s="334">
        <v>315.5</v>
      </c>
      <c r="K1194" s="334">
        <v>315.5</v>
      </c>
      <c r="L1194" s="338">
        <v>20</v>
      </c>
      <c r="M1194" s="330" t="s">
        <v>46</v>
      </c>
      <c r="N1194" s="330" t="s">
        <v>2071</v>
      </c>
      <c r="O1194" s="330" t="s">
        <v>2162</v>
      </c>
      <c r="P1194" s="334">
        <v>1327982.26</v>
      </c>
      <c r="Q1194" s="334">
        <v>0</v>
      </c>
      <c r="R1194" s="334">
        <v>0</v>
      </c>
      <c r="S1194" s="334">
        <f>P1194-Q1194-R1194</f>
        <v>1327982.26</v>
      </c>
      <c r="T1194" s="38">
        <f t="shared" si="255"/>
        <v>3866.0327802037846</v>
      </c>
      <c r="U1194" s="38">
        <v>4410.3813100436682</v>
      </c>
      <c r="V1194" s="458">
        <f t="shared" si="254"/>
        <v>544.34852983988367</v>
      </c>
      <c r="W1194" s="458">
        <f t="shared" si="261"/>
        <v>4395.3892867540026</v>
      </c>
      <c r="X1194" s="458">
        <v>0</v>
      </c>
      <c r="Y1194" s="459">
        <v>0</v>
      </c>
      <c r="Z1194" s="459">
        <v>0</v>
      </c>
      <c r="AA1194" s="459">
        <v>0</v>
      </c>
      <c r="AB1194" s="459">
        <v>0</v>
      </c>
      <c r="AC1194" s="459">
        <v>0</v>
      </c>
      <c r="AD1194" s="459">
        <v>0</v>
      </c>
      <c r="AE1194" s="459">
        <v>242</v>
      </c>
      <c r="AF1194" s="458">
        <f>6238.91*AE1194/I1194</f>
        <v>4395.3892867540026</v>
      </c>
      <c r="AG1194" s="459">
        <v>0</v>
      </c>
      <c r="AH1194" s="458">
        <v>0</v>
      </c>
      <c r="AI1194" s="459">
        <v>0</v>
      </c>
      <c r="AJ1194" s="458">
        <v>0</v>
      </c>
      <c r="AK1194" s="459">
        <v>0</v>
      </c>
      <c r="AL1194" s="459">
        <v>0</v>
      </c>
      <c r="AM1194" s="459">
        <v>0</v>
      </c>
      <c r="AN1194" s="459"/>
      <c r="AO1194" s="459">
        <v>0</v>
      </c>
      <c r="AP1194" s="460"/>
      <c r="AQ1194" s="250"/>
      <c r="AR1194" s="250"/>
      <c r="AS1194" s="250"/>
      <c r="AT1194" s="250"/>
      <c r="AU1194" s="250"/>
      <c r="AV1194" s="250"/>
      <c r="AW1194" s="250"/>
      <c r="AX1194" s="250"/>
      <c r="AY1194" s="250"/>
      <c r="AZ1194" s="250"/>
      <c r="BA1194" s="250"/>
      <c r="BB1194" s="250"/>
      <c r="BC1194" s="250"/>
      <c r="BD1194" s="250"/>
      <c r="BE1194" s="250"/>
      <c r="BF1194" s="250"/>
      <c r="BG1194" s="250"/>
      <c r="BH1194" s="250"/>
      <c r="BI1194" s="250"/>
      <c r="BJ1194" s="250"/>
      <c r="BK1194" s="250"/>
      <c r="BL1194" s="250"/>
      <c r="BM1194" s="250"/>
      <c r="BN1194" s="250"/>
      <c r="BO1194" s="250"/>
      <c r="BP1194" s="250"/>
      <c r="BQ1194" s="250"/>
      <c r="BR1194" s="250"/>
      <c r="BS1194" s="250"/>
      <c r="BT1194" s="250"/>
      <c r="BU1194" s="250"/>
      <c r="BV1194" s="250"/>
      <c r="BW1194" s="250"/>
      <c r="BX1194" s="250"/>
      <c r="BY1194" s="250"/>
      <c r="BZ1194" s="250"/>
      <c r="CA1194" s="250"/>
      <c r="CB1194" s="250"/>
      <c r="CC1194" s="250"/>
      <c r="CD1194" s="250"/>
      <c r="CE1194" s="250"/>
      <c r="CF1194" s="250"/>
      <c r="CG1194" s="250"/>
      <c r="CH1194" s="250"/>
      <c r="CI1194" s="250"/>
      <c r="CJ1194" s="250"/>
      <c r="CK1194" s="250"/>
      <c r="DQ1194" s="339"/>
      <c r="DR1194" s="339"/>
      <c r="DS1194" s="339"/>
      <c r="EP1194" s="340"/>
      <c r="FS1194" s="341"/>
      <c r="GI1194" s="342"/>
    </row>
    <row r="1195" spans="1:191" s="329" customFormat="1" ht="36" customHeight="1" x14ac:dyDescent="0.25">
      <c r="B1195" s="33" t="s">
        <v>107</v>
      </c>
      <c r="C1195" s="33"/>
      <c r="D1195" s="330" t="s">
        <v>131</v>
      </c>
      <c r="E1195" s="330" t="s">
        <v>131</v>
      </c>
      <c r="F1195" s="330" t="s">
        <v>131</v>
      </c>
      <c r="G1195" s="330" t="s">
        <v>131</v>
      </c>
      <c r="H1195" s="330" t="s">
        <v>131</v>
      </c>
      <c r="I1195" s="334">
        <f>I1196</f>
        <v>1217.2</v>
      </c>
      <c r="J1195" s="334">
        <f>J1196</f>
        <v>862.2</v>
      </c>
      <c r="K1195" s="334">
        <f>K1196</f>
        <v>862.2</v>
      </c>
      <c r="L1195" s="332">
        <f>L1196</f>
        <v>47</v>
      </c>
      <c r="M1195" s="330" t="s">
        <v>131</v>
      </c>
      <c r="N1195" s="330" t="s">
        <v>131</v>
      </c>
      <c r="O1195" s="333" t="s">
        <v>131</v>
      </c>
      <c r="P1195" s="38">
        <v>1456533.11</v>
      </c>
      <c r="Q1195" s="38">
        <f>Q1196</f>
        <v>0</v>
      </c>
      <c r="R1195" s="38">
        <f>R1196</f>
        <v>0</v>
      </c>
      <c r="S1195" s="38">
        <f>S1196</f>
        <v>1456533.11</v>
      </c>
      <c r="T1195" s="38">
        <f t="shared" si="255"/>
        <v>1196.6259530069012</v>
      </c>
      <c r="U1195" s="38">
        <f>U1196</f>
        <v>1440.0699967137691</v>
      </c>
      <c r="V1195" s="458">
        <f t="shared" si="254"/>
        <v>243.44404370686789</v>
      </c>
      <c r="W1195" s="458"/>
      <c r="X1195" s="458"/>
      <c r="Y1195" s="459"/>
      <c r="Z1195" s="459"/>
      <c r="AA1195" s="459"/>
      <c r="AB1195" s="459"/>
      <c r="AC1195" s="459"/>
      <c r="AD1195" s="459"/>
      <c r="AE1195" s="459"/>
      <c r="AF1195" s="459"/>
      <c r="AG1195" s="459"/>
      <c r="AH1195" s="459"/>
      <c r="AI1195" s="459"/>
      <c r="AJ1195" s="459"/>
      <c r="AK1195" s="459"/>
      <c r="AL1195" s="459"/>
      <c r="AM1195" s="459"/>
      <c r="AN1195" s="459"/>
      <c r="AO1195" s="459"/>
      <c r="AP1195" s="460"/>
      <c r="AQ1195" s="460"/>
      <c r="AR1195" s="460"/>
      <c r="AS1195" s="460"/>
      <c r="AT1195" s="460"/>
      <c r="AU1195" s="460"/>
      <c r="AV1195" s="460"/>
      <c r="AW1195" s="460"/>
      <c r="AX1195" s="460"/>
      <c r="AY1195" s="460"/>
      <c r="AZ1195" s="460"/>
      <c r="BA1195" s="460"/>
      <c r="BB1195" s="460"/>
      <c r="BC1195" s="460"/>
      <c r="BD1195" s="460"/>
      <c r="BE1195" s="460"/>
      <c r="BF1195" s="460"/>
      <c r="BG1195" s="460"/>
      <c r="BH1195" s="460"/>
      <c r="BI1195" s="460"/>
      <c r="BJ1195" s="460"/>
      <c r="BK1195" s="460"/>
      <c r="BL1195" s="460"/>
      <c r="BM1195" s="460"/>
      <c r="BN1195" s="460"/>
      <c r="BO1195" s="460"/>
      <c r="BP1195" s="460"/>
      <c r="BQ1195" s="460"/>
      <c r="BR1195" s="460"/>
      <c r="BS1195" s="460"/>
      <c r="BT1195" s="460"/>
      <c r="BU1195" s="460"/>
      <c r="BV1195" s="460"/>
      <c r="BW1195" s="460"/>
      <c r="BX1195" s="460"/>
      <c r="BY1195" s="460"/>
      <c r="BZ1195" s="460"/>
      <c r="CA1195" s="460"/>
      <c r="CB1195" s="460"/>
      <c r="CC1195" s="460"/>
      <c r="CD1195" s="460"/>
      <c r="CE1195" s="460"/>
      <c r="CF1195" s="460"/>
      <c r="CG1195" s="460"/>
      <c r="CH1195" s="460"/>
      <c r="CI1195" s="460"/>
      <c r="CJ1195" s="460"/>
      <c r="CK1195" s="460"/>
    </row>
    <row r="1196" spans="1:191" s="266" customFormat="1" ht="36" customHeight="1" x14ac:dyDescent="0.25">
      <c r="A1196" s="329">
        <v>1</v>
      </c>
      <c r="B1196" s="39">
        <f>SUBTOTAL(103,$A$1000:A1196)</f>
        <v>169</v>
      </c>
      <c r="C1196" s="336" t="s">
        <v>1864</v>
      </c>
      <c r="D1196" s="330">
        <v>1980</v>
      </c>
      <c r="E1196" s="330"/>
      <c r="F1196" s="337" t="s">
        <v>48</v>
      </c>
      <c r="G1196" s="330">
        <v>2</v>
      </c>
      <c r="H1196" s="330" t="s">
        <v>61</v>
      </c>
      <c r="I1196" s="334">
        <v>1217.2</v>
      </c>
      <c r="J1196" s="334">
        <v>862.2</v>
      </c>
      <c r="K1196" s="334">
        <v>862.2</v>
      </c>
      <c r="L1196" s="338">
        <v>47</v>
      </c>
      <c r="M1196" s="330" t="s">
        <v>46</v>
      </c>
      <c r="N1196" s="330" t="s">
        <v>71</v>
      </c>
      <c r="O1196" s="330" t="s">
        <v>2194</v>
      </c>
      <c r="P1196" s="334">
        <v>1456533.11</v>
      </c>
      <c r="Q1196" s="334">
        <v>0</v>
      </c>
      <c r="R1196" s="334">
        <v>0</v>
      </c>
      <c r="S1196" s="334">
        <f>P1196-Q1196-R1196</f>
        <v>1456533.11</v>
      </c>
      <c r="T1196" s="38">
        <f t="shared" si="255"/>
        <v>1196.6259530069012</v>
      </c>
      <c r="U1196" s="38">
        <v>1440.0699967137691</v>
      </c>
      <c r="V1196" s="458">
        <f>U1196-T1196</f>
        <v>243.44404370686789</v>
      </c>
      <c r="W1196" s="458">
        <f>X1196+Y1196+Z1196+AA1196+AB1196+AD1196+AF1196+AH1196+AJ1196+AL1196+AN1196+AO1196</f>
        <v>1435.1748274728886</v>
      </c>
      <c r="X1196" s="458">
        <v>0</v>
      </c>
      <c r="Y1196" s="459">
        <v>0</v>
      </c>
      <c r="Z1196" s="459">
        <v>0</v>
      </c>
      <c r="AA1196" s="459">
        <v>0</v>
      </c>
      <c r="AB1196" s="459">
        <v>0</v>
      </c>
      <c r="AC1196" s="459">
        <v>0</v>
      </c>
      <c r="AD1196" s="459">
        <v>0</v>
      </c>
      <c r="AE1196" s="459">
        <v>280</v>
      </c>
      <c r="AF1196" s="458">
        <f>6238.91*AE1196/I1196</f>
        <v>1435.1748274728886</v>
      </c>
      <c r="AG1196" s="459">
        <v>0</v>
      </c>
      <c r="AH1196" s="458">
        <v>0</v>
      </c>
      <c r="AI1196" s="459">
        <v>0</v>
      </c>
      <c r="AJ1196" s="458">
        <v>0</v>
      </c>
      <c r="AK1196" s="459">
        <v>0</v>
      </c>
      <c r="AL1196" s="459">
        <v>0</v>
      </c>
      <c r="AM1196" s="459">
        <v>0</v>
      </c>
      <c r="AN1196" s="459"/>
      <c r="AO1196" s="459">
        <v>0</v>
      </c>
      <c r="AP1196" s="460"/>
      <c r="AQ1196" s="250"/>
      <c r="AR1196" s="250"/>
      <c r="AS1196" s="250"/>
      <c r="AT1196" s="250"/>
      <c r="AU1196" s="250"/>
      <c r="AV1196" s="250"/>
      <c r="AW1196" s="250"/>
      <c r="AX1196" s="250"/>
      <c r="AY1196" s="250"/>
      <c r="AZ1196" s="250"/>
      <c r="BA1196" s="250"/>
      <c r="BB1196" s="250"/>
      <c r="BC1196" s="250"/>
      <c r="BD1196" s="250"/>
      <c r="BE1196" s="250"/>
      <c r="BF1196" s="250"/>
      <c r="BG1196" s="250"/>
      <c r="BH1196" s="250"/>
      <c r="BI1196" s="250"/>
      <c r="BJ1196" s="250"/>
      <c r="BK1196" s="250"/>
      <c r="BL1196" s="250"/>
      <c r="BM1196" s="250"/>
      <c r="BN1196" s="250"/>
      <c r="BO1196" s="250"/>
      <c r="BP1196" s="250"/>
      <c r="BQ1196" s="250"/>
      <c r="BR1196" s="250"/>
      <c r="BS1196" s="250"/>
      <c r="BT1196" s="250"/>
      <c r="BU1196" s="250"/>
      <c r="BV1196" s="250"/>
      <c r="BW1196" s="250"/>
      <c r="BX1196" s="250"/>
      <c r="BY1196" s="250"/>
      <c r="BZ1196" s="250"/>
      <c r="CA1196" s="250"/>
      <c r="CB1196" s="250"/>
      <c r="CC1196" s="250"/>
      <c r="CD1196" s="250"/>
      <c r="CE1196" s="250"/>
      <c r="CF1196" s="250"/>
      <c r="CG1196" s="250"/>
      <c r="CH1196" s="250"/>
      <c r="CI1196" s="250"/>
      <c r="CJ1196" s="250"/>
      <c r="CK1196" s="250"/>
      <c r="DQ1196" s="339"/>
      <c r="DR1196" s="339"/>
      <c r="DS1196" s="339"/>
      <c r="EP1196" s="340"/>
      <c r="FS1196" s="341"/>
      <c r="GI1196" s="342"/>
    </row>
    <row r="1197" spans="1:191" s="329" customFormat="1" ht="36" customHeight="1" x14ac:dyDescent="0.25">
      <c r="B1197" s="33" t="s">
        <v>108</v>
      </c>
      <c r="C1197" s="462"/>
      <c r="D1197" s="330" t="s">
        <v>131</v>
      </c>
      <c r="E1197" s="330" t="s">
        <v>131</v>
      </c>
      <c r="F1197" s="330" t="s">
        <v>131</v>
      </c>
      <c r="G1197" s="330" t="s">
        <v>131</v>
      </c>
      <c r="H1197" s="330" t="s">
        <v>131</v>
      </c>
      <c r="I1197" s="334">
        <f>SUM(I1198:I1200)</f>
        <v>1774</v>
      </c>
      <c r="J1197" s="334">
        <f>SUM(J1198:J1200)</f>
        <v>1612.3</v>
      </c>
      <c r="K1197" s="334">
        <f>SUM(K1198:K1200)</f>
        <v>1526.7</v>
      </c>
      <c r="L1197" s="332">
        <f>SUM(L1198:L1200)</f>
        <v>80</v>
      </c>
      <c r="M1197" s="330" t="s">
        <v>131</v>
      </c>
      <c r="N1197" s="330" t="s">
        <v>131</v>
      </c>
      <c r="O1197" s="333" t="s">
        <v>131</v>
      </c>
      <c r="P1197" s="38">
        <v>10290828.25</v>
      </c>
      <c r="Q1197" s="38">
        <f>Q1198+Q1199+Q1200</f>
        <v>0</v>
      </c>
      <c r="R1197" s="38">
        <f>R1198+R1199+R1200</f>
        <v>0</v>
      </c>
      <c r="S1197" s="38">
        <f>S1198+S1199+S1200</f>
        <v>10290828.25</v>
      </c>
      <c r="T1197" s="38">
        <f t="shared" si="255"/>
        <v>5800.9178410372042</v>
      </c>
      <c r="U1197" s="38">
        <f>MAX(U1198:U1200)</f>
        <v>9447.5900544285014</v>
      </c>
      <c r="V1197" s="458">
        <f t="shared" si="254"/>
        <v>3646.6722133912972</v>
      </c>
      <c r="W1197" s="458"/>
      <c r="X1197" s="458"/>
      <c r="Y1197" s="459"/>
      <c r="Z1197" s="459"/>
      <c r="AA1197" s="459"/>
      <c r="AB1197" s="459"/>
      <c r="AC1197" s="459"/>
      <c r="AD1197" s="459"/>
      <c r="AE1197" s="459"/>
      <c r="AF1197" s="459"/>
      <c r="AG1197" s="459"/>
      <c r="AH1197" s="459"/>
      <c r="AI1197" s="459"/>
      <c r="AJ1197" s="459"/>
      <c r="AK1197" s="459"/>
      <c r="AL1197" s="459"/>
      <c r="AM1197" s="459"/>
      <c r="AN1197" s="459"/>
      <c r="AO1197" s="459"/>
      <c r="AP1197" s="460"/>
      <c r="AQ1197" s="460"/>
      <c r="AR1197" s="460"/>
      <c r="AS1197" s="460"/>
      <c r="AT1197" s="460"/>
      <c r="AU1197" s="460"/>
      <c r="AV1197" s="460"/>
      <c r="AW1197" s="460"/>
      <c r="AX1197" s="460"/>
      <c r="AY1197" s="460"/>
      <c r="AZ1197" s="460"/>
      <c r="BA1197" s="460"/>
      <c r="BB1197" s="460"/>
      <c r="BC1197" s="460"/>
      <c r="BD1197" s="460"/>
      <c r="BE1197" s="460"/>
      <c r="BF1197" s="460"/>
      <c r="BG1197" s="460"/>
      <c r="BH1197" s="460"/>
      <c r="BI1197" s="460"/>
      <c r="BJ1197" s="460"/>
      <c r="BK1197" s="460"/>
      <c r="BL1197" s="460"/>
      <c r="BM1197" s="460"/>
      <c r="BN1197" s="460"/>
      <c r="BO1197" s="460"/>
      <c r="BP1197" s="460"/>
      <c r="BQ1197" s="460"/>
      <c r="BR1197" s="460"/>
      <c r="BS1197" s="460"/>
      <c r="BT1197" s="460"/>
      <c r="BU1197" s="460"/>
      <c r="BV1197" s="460"/>
      <c r="BW1197" s="460"/>
      <c r="BX1197" s="460"/>
      <c r="BY1197" s="460"/>
      <c r="BZ1197" s="460"/>
      <c r="CA1197" s="460"/>
      <c r="CB1197" s="460"/>
      <c r="CC1197" s="460"/>
      <c r="CD1197" s="460"/>
      <c r="CE1197" s="460"/>
      <c r="CF1197" s="460"/>
      <c r="CG1197" s="460"/>
      <c r="CH1197" s="460"/>
      <c r="CI1197" s="460"/>
      <c r="CJ1197" s="460"/>
      <c r="CK1197" s="460"/>
    </row>
    <row r="1198" spans="1:191" s="266" customFormat="1" ht="36" customHeight="1" x14ac:dyDescent="0.25">
      <c r="A1198" s="329">
        <v>1</v>
      </c>
      <c r="B1198" s="39">
        <f>SUBTOTAL(103,$A$1000:A1198)</f>
        <v>170</v>
      </c>
      <c r="C1198" s="336" t="s">
        <v>1865</v>
      </c>
      <c r="D1198" s="330">
        <v>1952</v>
      </c>
      <c r="E1198" s="330"/>
      <c r="F1198" s="337" t="s">
        <v>48</v>
      </c>
      <c r="G1198" s="330">
        <v>2</v>
      </c>
      <c r="H1198" s="330" t="s">
        <v>56</v>
      </c>
      <c r="I1198" s="334">
        <v>744</v>
      </c>
      <c r="J1198" s="334">
        <v>669.9</v>
      </c>
      <c r="K1198" s="334">
        <v>617</v>
      </c>
      <c r="L1198" s="338">
        <v>23</v>
      </c>
      <c r="M1198" s="330" t="s">
        <v>46</v>
      </c>
      <c r="N1198" s="330" t="s">
        <v>47</v>
      </c>
      <c r="O1198" s="330" t="s">
        <v>49</v>
      </c>
      <c r="P1198" s="334">
        <v>3665226.5</v>
      </c>
      <c r="Q1198" s="334">
        <v>0</v>
      </c>
      <c r="R1198" s="334">
        <v>0</v>
      </c>
      <c r="S1198" s="334">
        <f>P1198-Q1198-R1198</f>
        <v>3665226.5</v>
      </c>
      <c r="T1198" s="38">
        <f t="shared" si="255"/>
        <v>4926.3797043010754</v>
      </c>
      <c r="U1198" s="38">
        <v>5469.2520161290313</v>
      </c>
      <c r="V1198" s="458">
        <f t="shared" si="254"/>
        <v>542.87231182795585</v>
      </c>
      <c r="W1198" s="458">
        <f t="shared" ref="W1198:W1200" si="262">X1198+Y1198+Z1198+AA1198+AB1198+AD1198+AF1198+AH1198+AJ1198+AL1198+AN1198+AO1198</f>
        <v>5450.6606182795695</v>
      </c>
      <c r="X1198" s="458">
        <v>0</v>
      </c>
      <c r="Y1198" s="459">
        <v>0</v>
      </c>
      <c r="Z1198" s="459">
        <v>0</v>
      </c>
      <c r="AA1198" s="459">
        <v>0</v>
      </c>
      <c r="AB1198" s="459">
        <v>0</v>
      </c>
      <c r="AC1198" s="459">
        <v>0</v>
      </c>
      <c r="AD1198" s="459">
        <v>0</v>
      </c>
      <c r="AE1198" s="459">
        <v>650</v>
      </c>
      <c r="AF1198" s="458">
        <f>6238.91*AE1198/I1198</f>
        <v>5450.6606182795695</v>
      </c>
      <c r="AG1198" s="459">
        <v>0</v>
      </c>
      <c r="AH1198" s="458">
        <v>0</v>
      </c>
      <c r="AI1198" s="459">
        <v>0</v>
      </c>
      <c r="AJ1198" s="458">
        <v>0</v>
      </c>
      <c r="AK1198" s="459">
        <v>0</v>
      </c>
      <c r="AL1198" s="459">
        <v>0</v>
      </c>
      <c r="AM1198" s="459">
        <v>0</v>
      </c>
      <c r="AN1198" s="459"/>
      <c r="AO1198" s="459">
        <v>0</v>
      </c>
      <c r="AP1198" s="460"/>
      <c r="AQ1198" s="250"/>
      <c r="AR1198" s="250"/>
      <c r="AS1198" s="250"/>
      <c r="AT1198" s="250"/>
      <c r="AU1198" s="250"/>
      <c r="AV1198" s="250"/>
      <c r="AW1198" s="250"/>
      <c r="AX1198" s="250"/>
      <c r="AY1198" s="250"/>
      <c r="AZ1198" s="250"/>
      <c r="BA1198" s="250"/>
      <c r="BB1198" s="250"/>
      <c r="BC1198" s="250"/>
      <c r="BD1198" s="250"/>
      <c r="BE1198" s="250"/>
      <c r="BF1198" s="250"/>
      <c r="BG1198" s="250"/>
      <c r="BH1198" s="250"/>
      <c r="BI1198" s="250"/>
      <c r="BJ1198" s="250"/>
      <c r="BK1198" s="250"/>
      <c r="BL1198" s="250"/>
      <c r="BM1198" s="250"/>
      <c r="BN1198" s="250"/>
      <c r="BO1198" s="250"/>
      <c r="BP1198" s="250"/>
      <c r="BQ1198" s="250"/>
      <c r="BR1198" s="250"/>
      <c r="BS1198" s="250"/>
      <c r="BT1198" s="250"/>
      <c r="BU1198" s="250"/>
      <c r="BV1198" s="250"/>
      <c r="BW1198" s="250"/>
      <c r="BX1198" s="250"/>
      <c r="BY1198" s="250"/>
      <c r="BZ1198" s="250"/>
      <c r="CA1198" s="250"/>
      <c r="CB1198" s="250"/>
      <c r="CC1198" s="250"/>
      <c r="CD1198" s="250"/>
      <c r="CE1198" s="250"/>
      <c r="CF1198" s="250"/>
      <c r="CG1198" s="250"/>
      <c r="CH1198" s="250"/>
      <c r="CI1198" s="250"/>
      <c r="CJ1198" s="250"/>
      <c r="CK1198" s="250"/>
      <c r="DQ1198" s="339"/>
      <c r="DR1198" s="339"/>
      <c r="DS1198" s="339"/>
      <c r="EP1198" s="340"/>
      <c r="FS1198" s="341"/>
      <c r="GI1198" s="342"/>
    </row>
    <row r="1199" spans="1:191" s="266" customFormat="1" ht="36" customHeight="1" x14ac:dyDescent="0.25">
      <c r="A1199" s="329">
        <v>1</v>
      </c>
      <c r="B1199" s="39">
        <f>SUBTOTAL(103,$A$1000:A1199)</f>
        <v>171</v>
      </c>
      <c r="C1199" s="336" t="s">
        <v>1866</v>
      </c>
      <c r="D1199" s="330">
        <v>1951</v>
      </c>
      <c r="E1199" s="330"/>
      <c r="F1199" s="337" t="s">
        <v>48</v>
      </c>
      <c r="G1199" s="330">
        <v>2</v>
      </c>
      <c r="H1199" s="330" t="s">
        <v>56</v>
      </c>
      <c r="I1199" s="334">
        <v>625.79999999999995</v>
      </c>
      <c r="J1199" s="334">
        <v>578.70000000000005</v>
      </c>
      <c r="K1199" s="334">
        <v>546</v>
      </c>
      <c r="L1199" s="338">
        <v>42</v>
      </c>
      <c r="M1199" s="330" t="s">
        <v>46</v>
      </c>
      <c r="N1199" s="330" t="s">
        <v>47</v>
      </c>
      <c r="O1199" s="330" t="s">
        <v>49</v>
      </c>
      <c r="P1199" s="334">
        <v>3185927.6500000004</v>
      </c>
      <c r="Q1199" s="334">
        <v>0</v>
      </c>
      <c r="R1199" s="334">
        <v>0</v>
      </c>
      <c r="S1199" s="334">
        <f>P1199-Q1199-R1199</f>
        <v>3185927.6500000004</v>
      </c>
      <c r="T1199" s="38">
        <f t="shared" si="255"/>
        <v>5090.9678012144468</v>
      </c>
      <c r="U1199" s="38">
        <v>5651.9772291466925</v>
      </c>
      <c r="V1199" s="458">
        <f t="shared" si="254"/>
        <v>561.00942793224567</v>
      </c>
      <c r="W1199" s="458">
        <f t="shared" si="262"/>
        <v>5632.7647011824865</v>
      </c>
      <c r="X1199" s="458">
        <v>0</v>
      </c>
      <c r="Y1199" s="459">
        <v>0</v>
      </c>
      <c r="Z1199" s="459">
        <v>0</v>
      </c>
      <c r="AA1199" s="459">
        <v>0</v>
      </c>
      <c r="AB1199" s="459">
        <v>0</v>
      </c>
      <c r="AC1199" s="459">
        <v>0</v>
      </c>
      <c r="AD1199" s="459">
        <v>0</v>
      </c>
      <c r="AE1199" s="459">
        <v>565</v>
      </c>
      <c r="AF1199" s="458">
        <f>6238.91*AE1199/I1199</f>
        <v>5632.7647011824865</v>
      </c>
      <c r="AG1199" s="459">
        <v>0</v>
      </c>
      <c r="AH1199" s="458">
        <v>0</v>
      </c>
      <c r="AI1199" s="459">
        <v>0</v>
      </c>
      <c r="AJ1199" s="458">
        <v>0</v>
      </c>
      <c r="AK1199" s="459">
        <v>0</v>
      </c>
      <c r="AL1199" s="459">
        <v>0</v>
      </c>
      <c r="AM1199" s="459">
        <v>0</v>
      </c>
      <c r="AN1199" s="459"/>
      <c r="AO1199" s="459">
        <v>0</v>
      </c>
      <c r="AP1199" s="460"/>
      <c r="AQ1199" s="250"/>
      <c r="AR1199" s="250"/>
      <c r="AS1199" s="250"/>
      <c r="AT1199" s="250"/>
      <c r="AU1199" s="250"/>
      <c r="AV1199" s="250"/>
      <c r="AW1199" s="250"/>
      <c r="AX1199" s="250"/>
      <c r="AY1199" s="250"/>
      <c r="AZ1199" s="250"/>
      <c r="BA1199" s="250"/>
      <c r="BB1199" s="250"/>
      <c r="BC1199" s="250"/>
      <c r="BD1199" s="250"/>
      <c r="BE1199" s="250"/>
      <c r="BF1199" s="250"/>
      <c r="BG1199" s="250"/>
      <c r="BH1199" s="250"/>
      <c r="BI1199" s="250"/>
      <c r="BJ1199" s="250"/>
      <c r="BK1199" s="250"/>
      <c r="BL1199" s="250"/>
      <c r="BM1199" s="250"/>
      <c r="BN1199" s="250"/>
      <c r="BO1199" s="250"/>
      <c r="BP1199" s="250"/>
      <c r="BQ1199" s="250"/>
      <c r="BR1199" s="250"/>
      <c r="BS1199" s="250"/>
      <c r="BT1199" s="250"/>
      <c r="BU1199" s="250"/>
      <c r="BV1199" s="250"/>
      <c r="BW1199" s="250"/>
      <c r="BX1199" s="250"/>
      <c r="BY1199" s="250"/>
      <c r="BZ1199" s="250"/>
      <c r="CA1199" s="250"/>
      <c r="CB1199" s="250"/>
      <c r="CC1199" s="250"/>
      <c r="CD1199" s="250"/>
      <c r="CE1199" s="250"/>
      <c r="CF1199" s="250"/>
      <c r="CG1199" s="250"/>
      <c r="CH1199" s="250"/>
      <c r="CI1199" s="250"/>
      <c r="CJ1199" s="250"/>
      <c r="CK1199" s="250"/>
      <c r="DQ1199" s="339"/>
      <c r="DR1199" s="339"/>
      <c r="DS1199" s="339"/>
      <c r="EP1199" s="340"/>
      <c r="FS1199" s="341"/>
      <c r="GI1199" s="342"/>
    </row>
    <row r="1200" spans="1:191" s="266" customFormat="1" ht="36" customHeight="1" x14ac:dyDescent="0.25">
      <c r="A1200" s="329">
        <v>1</v>
      </c>
      <c r="B1200" s="39">
        <f>SUBTOTAL(103,$A$1000:A1200)</f>
        <v>172</v>
      </c>
      <c r="C1200" s="336" t="s">
        <v>1867</v>
      </c>
      <c r="D1200" s="330">
        <v>1951</v>
      </c>
      <c r="E1200" s="330"/>
      <c r="F1200" s="337" t="s">
        <v>48</v>
      </c>
      <c r="G1200" s="330">
        <v>2</v>
      </c>
      <c r="H1200" s="330" t="s">
        <v>56</v>
      </c>
      <c r="I1200" s="334">
        <v>404.2</v>
      </c>
      <c r="J1200" s="334">
        <v>363.7</v>
      </c>
      <c r="K1200" s="334">
        <v>363.7</v>
      </c>
      <c r="L1200" s="338">
        <v>15</v>
      </c>
      <c r="M1200" s="330" t="s">
        <v>46</v>
      </c>
      <c r="N1200" s="330" t="s">
        <v>47</v>
      </c>
      <c r="O1200" s="330" t="s">
        <v>49</v>
      </c>
      <c r="P1200" s="334">
        <v>3439674.1</v>
      </c>
      <c r="Q1200" s="334">
        <v>0</v>
      </c>
      <c r="R1200" s="334">
        <v>0</v>
      </c>
      <c r="S1200" s="334">
        <f>P1200-Q1200-R1200</f>
        <v>3439674.1</v>
      </c>
      <c r="T1200" s="38">
        <f t="shared" si="255"/>
        <v>8509.8320138545278</v>
      </c>
      <c r="U1200" s="38">
        <v>9447.5900544285014</v>
      </c>
      <c r="V1200" s="458">
        <f t="shared" si="254"/>
        <v>937.75804057397363</v>
      </c>
      <c r="W1200" s="458">
        <f t="shared" si="262"/>
        <v>9415.4752597723909</v>
      </c>
      <c r="X1200" s="458">
        <v>0</v>
      </c>
      <c r="Y1200" s="459">
        <v>0</v>
      </c>
      <c r="Z1200" s="459">
        <v>0</v>
      </c>
      <c r="AA1200" s="459">
        <v>0</v>
      </c>
      <c r="AB1200" s="459">
        <v>0</v>
      </c>
      <c r="AC1200" s="459">
        <v>0</v>
      </c>
      <c r="AD1200" s="459">
        <v>0</v>
      </c>
      <c r="AE1200" s="459">
        <v>610</v>
      </c>
      <c r="AF1200" s="458">
        <f>6238.91*AE1200/I1200</f>
        <v>9415.4752597723909</v>
      </c>
      <c r="AG1200" s="459">
        <v>0</v>
      </c>
      <c r="AH1200" s="458">
        <v>0</v>
      </c>
      <c r="AI1200" s="459">
        <v>0</v>
      </c>
      <c r="AJ1200" s="458">
        <v>0</v>
      </c>
      <c r="AK1200" s="459">
        <v>0</v>
      </c>
      <c r="AL1200" s="459">
        <v>0</v>
      </c>
      <c r="AM1200" s="459">
        <v>0</v>
      </c>
      <c r="AN1200" s="459"/>
      <c r="AO1200" s="459">
        <v>0</v>
      </c>
      <c r="AP1200" s="460"/>
      <c r="AQ1200" s="250"/>
      <c r="AR1200" s="250"/>
      <c r="AS1200" s="250"/>
      <c r="AT1200" s="250"/>
      <c r="AU1200" s="250"/>
      <c r="AV1200" s="250"/>
      <c r="AW1200" s="250"/>
      <c r="AX1200" s="250"/>
      <c r="AY1200" s="250"/>
      <c r="AZ1200" s="250"/>
      <c r="BA1200" s="250"/>
      <c r="BB1200" s="250"/>
      <c r="BC1200" s="250"/>
      <c r="BD1200" s="250"/>
      <c r="BE1200" s="250"/>
      <c r="BF1200" s="250"/>
      <c r="BG1200" s="250"/>
      <c r="BH1200" s="250"/>
      <c r="BI1200" s="250"/>
      <c r="BJ1200" s="250"/>
      <c r="BK1200" s="250"/>
      <c r="BL1200" s="250"/>
      <c r="BM1200" s="250"/>
      <c r="BN1200" s="250"/>
      <c r="BO1200" s="250"/>
      <c r="BP1200" s="250"/>
      <c r="BQ1200" s="250"/>
      <c r="BR1200" s="250"/>
      <c r="BS1200" s="250"/>
      <c r="BT1200" s="250"/>
      <c r="BU1200" s="250"/>
      <c r="BV1200" s="250"/>
      <c r="BW1200" s="250"/>
      <c r="BX1200" s="250"/>
      <c r="BY1200" s="250"/>
      <c r="BZ1200" s="250"/>
      <c r="CA1200" s="250"/>
      <c r="CB1200" s="250"/>
      <c r="CC1200" s="250"/>
      <c r="CD1200" s="250"/>
      <c r="CE1200" s="250"/>
      <c r="CF1200" s="250"/>
      <c r="CG1200" s="250"/>
      <c r="CH1200" s="250"/>
      <c r="CI1200" s="250"/>
      <c r="CJ1200" s="250"/>
      <c r="CK1200" s="250"/>
      <c r="DQ1200" s="339"/>
      <c r="DR1200" s="339"/>
      <c r="DS1200" s="339"/>
      <c r="EP1200" s="340"/>
      <c r="FS1200" s="341"/>
      <c r="GI1200" s="342"/>
    </row>
    <row r="1201" spans="1:191" s="329" customFormat="1" ht="36" customHeight="1" x14ac:dyDescent="0.25">
      <c r="B1201" s="33" t="s">
        <v>109</v>
      </c>
      <c r="C1201" s="33"/>
      <c r="D1201" s="330" t="s">
        <v>131</v>
      </c>
      <c r="E1201" s="330" t="s">
        <v>131</v>
      </c>
      <c r="F1201" s="330" t="s">
        <v>131</v>
      </c>
      <c r="G1201" s="330" t="s">
        <v>131</v>
      </c>
      <c r="H1201" s="330" t="s">
        <v>131</v>
      </c>
      <c r="I1201" s="334">
        <f>I1202</f>
        <v>609</v>
      </c>
      <c r="J1201" s="334">
        <f>J1202</f>
        <v>579</v>
      </c>
      <c r="K1201" s="334">
        <f>K1202</f>
        <v>387.6</v>
      </c>
      <c r="L1201" s="332">
        <f>L1202</f>
        <v>32</v>
      </c>
      <c r="M1201" s="330" t="s">
        <v>131</v>
      </c>
      <c r="N1201" s="330" t="s">
        <v>131</v>
      </c>
      <c r="O1201" s="333" t="s">
        <v>131</v>
      </c>
      <c r="P1201" s="38">
        <v>3013803.8600000003</v>
      </c>
      <c r="Q1201" s="38">
        <f>Q1202</f>
        <v>0</v>
      </c>
      <c r="R1201" s="38">
        <f>R1202</f>
        <v>0</v>
      </c>
      <c r="S1201" s="38">
        <f>S1202</f>
        <v>3013803.8600000003</v>
      </c>
      <c r="T1201" s="38">
        <f t="shared" si="255"/>
        <v>4948.7748111658466</v>
      </c>
      <c r="U1201" s="38">
        <f>U1202</f>
        <v>6023.7624630541868</v>
      </c>
      <c r="V1201" s="458">
        <f t="shared" si="254"/>
        <v>1074.9876518883402</v>
      </c>
      <c r="W1201" s="458"/>
      <c r="X1201" s="458"/>
      <c r="Y1201" s="459"/>
      <c r="Z1201" s="459"/>
      <c r="AA1201" s="459"/>
      <c r="AB1201" s="459"/>
      <c r="AC1201" s="459"/>
      <c r="AD1201" s="459"/>
      <c r="AE1201" s="459"/>
      <c r="AF1201" s="459"/>
      <c r="AG1201" s="459"/>
      <c r="AH1201" s="459"/>
      <c r="AI1201" s="459"/>
      <c r="AJ1201" s="459"/>
      <c r="AK1201" s="459"/>
      <c r="AL1201" s="459"/>
      <c r="AM1201" s="459"/>
      <c r="AN1201" s="459"/>
      <c r="AO1201" s="459"/>
      <c r="AP1201" s="460"/>
      <c r="AQ1201" s="460"/>
      <c r="AR1201" s="460"/>
      <c r="AS1201" s="460"/>
      <c r="AT1201" s="460"/>
      <c r="AU1201" s="460"/>
      <c r="AV1201" s="460"/>
      <c r="AW1201" s="460"/>
      <c r="AX1201" s="460"/>
      <c r="AY1201" s="460"/>
      <c r="AZ1201" s="460"/>
      <c r="BA1201" s="460"/>
      <c r="BB1201" s="460"/>
      <c r="BC1201" s="460"/>
      <c r="BD1201" s="460"/>
      <c r="BE1201" s="460"/>
      <c r="BF1201" s="460"/>
      <c r="BG1201" s="460"/>
      <c r="BH1201" s="460"/>
      <c r="BI1201" s="460"/>
      <c r="BJ1201" s="460"/>
      <c r="BK1201" s="460"/>
      <c r="BL1201" s="460"/>
      <c r="BM1201" s="460"/>
      <c r="BN1201" s="460"/>
      <c r="BO1201" s="460"/>
      <c r="BP1201" s="460"/>
      <c r="BQ1201" s="460"/>
      <c r="BR1201" s="460"/>
      <c r="BS1201" s="460"/>
      <c r="BT1201" s="460"/>
      <c r="BU1201" s="460"/>
      <c r="BV1201" s="460"/>
      <c r="BW1201" s="460"/>
      <c r="BX1201" s="460"/>
      <c r="BY1201" s="460"/>
      <c r="BZ1201" s="460"/>
      <c r="CA1201" s="460"/>
      <c r="CB1201" s="460"/>
      <c r="CC1201" s="460"/>
      <c r="CD1201" s="460"/>
      <c r="CE1201" s="460"/>
      <c r="CF1201" s="460"/>
      <c r="CG1201" s="460"/>
      <c r="CH1201" s="460"/>
      <c r="CI1201" s="460"/>
      <c r="CJ1201" s="460"/>
      <c r="CK1201" s="460"/>
    </row>
    <row r="1202" spans="1:191" s="266" customFormat="1" ht="36" customHeight="1" x14ac:dyDescent="0.25">
      <c r="A1202" s="329">
        <v>1</v>
      </c>
      <c r="B1202" s="39">
        <f>SUBTOTAL(103,$A$1000:A1202)</f>
        <v>173</v>
      </c>
      <c r="C1202" s="336" t="s">
        <v>1868</v>
      </c>
      <c r="D1202" s="330">
        <v>1967</v>
      </c>
      <c r="E1202" s="330"/>
      <c r="F1202" s="337" t="s">
        <v>48</v>
      </c>
      <c r="G1202" s="330">
        <v>2</v>
      </c>
      <c r="H1202" s="330" t="s">
        <v>56</v>
      </c>
      <c r="I1202" s="334">
        <v>609</v>
      </c>
      <c r="J1202" s="334">
        <v>579</v>
      </c>
      <c r="K1202" s="334">
        <v>387.6</v>
      </c>
      <c r="L1202" s="338">
        <v>32</v>
      </c>
      <c r="M1202" s="330" t="s">
        <v>46</v>
      </c>
      <c r="N1202" s="330" t="s">
        <v>47</v>
      </c>
      <c r="O1202" s="330" t="s">
        <v>49</v>
      </c>
      <c r="P1202" s="334">
        <v>3013803.8600000003</v>
      </c>
      <c r="Q1202" s="334">
        <v>0</v>
      </c>
      <c r="R1202" s="334">
        <v>0</v>
      </c>
      <c r="S1202" s="334">
        <f>P1202-Q1202-R1202</f>
        <v>3013803.8600000003</v>
      </c>
      <c r="T1202" s="38">
        <f t="shared" si="255"/>
        <v>4948.7748111658466</v>
      </c>
      <c r="U1202" s="38">
        <v>6023.7624630541868</v>
      </c>
      <c r="V1202" s="458">
        <f>U1202-T1202</f>
        <v>1074.9876518883402</v>
      </c>
      <c r="W1202" s="458">
        <f>X1202+Y1202+Z1202+AA1202+AB1202+AD1202+AF1202+AH1202+AJ1202+AL1202+AN1202+AO1202</f>
        <v>6003.286141215106</v>
      </c>
      <c r="X1202" s="458">
        <v>0</v>
      </c>
      <c r="Y1202" s="459">
        <v>0</v>
      </c>
      <c r="Z1202" s="459">
        <v>0</v>
      </c>
      <c r="AA1202" s="459">
        <v>0</v>
      </c>
      <c r="AB1202" s="459">
        <v>0</v>
      </c>
      <c r="AC1202" s="459">
        <v>0</v>
      </c>
      <c r="AD1202" s="459">
        <v>0</v>
      </c>
      <c r="AE1202" s="459">
        <v>586</v>
      </c>
      <c r="AF1202" s="458">
        <f>6238.91*AE1202/I1202</f>
        <v>6003.286141215106</v>
      </c>
      <c r="AG1202" s="459">
        <v>0</v>
      </c>
      <c r="AH1202" s="458">
        <v>0</v>
      </c>
      <c r="AI1202" s="459">
        <v>0</v>
      </c>
      <c r="AJ1202" s="458">
        <v>0</v>
      </c>
      <c r="AK1202" s="459">
        <v>0</v>
      </c>
      <c r="AL1202" s="459">
        <v>0</v>
      </c>
      <c r="AM1202" s="459">
        <v>0</v>
      </c>
      <c r="AN1202" s="459"/>
      <c r="AO1202" s="459">
        <v>0</v>
      </c>
      <c r="AP1202" s="460"/>
      <c r="AQ1202" s="250"/>
      <c r="AR1202" s="250"/>
      <c r="AS1202" s="250"/>
      <c r="AT1202" s="250"/>
      <c r="AU1202" s="250"/>
      <c r="AV1202" s="250"/>
      <c r="AW1202" s="250"/>
      <c r="AX1202" s="250"/>
      <c r="AY1202" s="250"/>
      <c r="AZ1202" s="250"/>
      <c r="BA1202" s="250"/>
      <c r="BB1202" s="250"/>
      <c r="BC1202" s="250"/>
      <c r="BD1202" s="250"/>
      <c r="BE1202" s="250"/>
      <c r="BF1202" s="250"/>
      <c r="BG1202" s="250"/>
      <c r="BH1202" s="250"/>
      <c r="BI1202" s="250"/>
      <c r="BJ1202" s="250"/>
      <c r="BK1202" s="250"/>
      <c r="BL1202" s="250"/>
      <c r="BM1202" s="250"/>
      <c r="BN1202" s="250"/>
      <c r="BO1202" s="250"/>
      <c r="BP1202" s="250"/>
      <c r="BQ1202" s="250"/>
      <c r="BR1202" s="250"/>
      <c r="BS1202" s="250"/>
      <c r="BT1202" s="250"/>
      <c r="BU1202" s="250"/>
      <c r="BV1202" s="250"/>
      <c r="BW1202" s="250"/>
      <c r="BX1202" s="250"/>
      <c r="BY1202" s="250"/>
      <c r="BZ1202" s="250"/>
      <c r="CA1202" s="250"/>
      <c r="CB1202" s="250"/>
      <c r="CC1202" s="250"/>
      <c r="CD1202" s="250"/>
      <c r="CE1202" s="250"/>
      <c r="CF1202" s="250"/>
      <c r="CG1202" s="250"/>
      <c r="CH1202" s="250"/>
      <c r="CI1202" s="250"/>
      <c r="CJ1202" s="250"/>
      <c r="CK1202" s="250"/>
      <c r="DQ1202" s="339"/>
      <c r="DR1202" s="339"/>
      <c r="DS1202" s="339"/>
      <c r="EP1202" s="340"/>
      <c r="FS1202" s="341"/>
      <c r="GI1202" s="342"/>
    </row>
    <row r="1203" spans="1:191" s="329" customFormat="1" ht="36" customHeight="1" x14ac:dyDescent="0.25">
      <c r="B1203" s="33" t="s">
        <v>1869</v>
      </c>
      <c r="C1203" s="33"/>
      <c r="D1203" s="330" t="s">
        <v>131</v>
      </c>
      <c r="E1203" s="330" t="s">
        <v>131</v>
      </c>
      <c r="F1203" s="330" t="s">
        <v>131</v>
      </c>
      <c r="G1203" s="330" t="s">
        <v>131</v>
      </c>
      <c r="H1203" s="330" t="s">
        <v>131</v>
      </c>
      <c r="I1203" s="334">
        <f>I1204</f>
        <v>616.20000000000005</v>
      </c>
      <c r="J1203" s="334">
        <f>J1204</f>
        <v>540.1</v>
      </c>
      <c r="K1203" s="334">
        <f>K1204</f>
        <v>315</v>
      </c>
      <c r="L1203" s="332">
        <f>L1204</f>
        <v>21</v>
      </c>
      <c r="M1203" s="330" t="s">
        <v>131</v>
      </c>
      <c r="N1203" s="330" t="s">
        <v>131</v>
      </c>
      <c r="O1203" s="333" t="s">
        <v>131</v>
      </c>
      <c r="P1203" s="38">
        <v>2036502</v>
      </c>
      <c r="Q1203" s="38">
        <f>Q1204</f>
        <v>0</v>
      </c>
      <c r="R1203" s="38">
        <f>R1204</f>
        <v>0</v>
      </c>
      <c r="S1203" s="38">
        <f>S1204</f>
        <v>2036502</v>
      </c>
      <c r="T1203" s="38">
        <f t="shared" si="255"/>
        <v>3304.9367088607592</v>
      </c>
      <c r="U1203" s="38">
        <f>U1204</f>
        <v>3962.1455696202524</v>
      </c>
      <c r="V1203" s="458">
        <f t="shared" si="254"/>
        <v>657.20886075949329</v>
      </c>
      <c r="W1203" s="458"/>
      <c r="X1203" s="458"/>
      <c r="Y1203" s="459"/>
      <c r="Z1203" s="459"/>
      <c r="AA1203" s="459"/>
      <c r="AB1203" s="459"/>
      <c r="AC1203" s="459"/>
      <c r="AD1203" s="459"/>
      <c r="AE1203" s="459"/>
      <c r="AF1203" s="459"/>
      <c r="AG1203" s="459"/>
      <c r="AH1203" s="459"/>
      <c r="AI1203" s="459"/>
      <c r="AJ1203" s="459"/>
      <c r="AK1203" s="459"/>
      <c r="AL1203" s="459"/>
      <c r="AM1203" s="459"/>
      <c r="AN1203" s="459"/>
      <c r="AO1203" s="459"/>
      <c r="AP1203" s="460"/>
      <c r="AQ1203" s="460"/>
      <c r="AR1203" s="460"/>
      <c r="AS1203" s="460"/>
      <c r="AT1203" s="460"/>
      <c r="AU1203" s="460"/>
      <c r="AV1203" s="460"/>
      <c r="AW1203" s="460"/>
      <c r="AX1203" s="460"/>
      <c r="AY1203" s="460"/>
      <c r="AZ1203" s="460"/>
      <c r="BA1203" s="460"/>
      <c r="BB1203" s="460"/>
      <c r="BC1203" s="460"/>
      <c r="BD1203" s="460"/>
      <c r="BE1203" s="460"/>
      <c r="BF1203" s="460"/>
      <c r="BG1203" s="460"/>
      <c r="BH1203" s="460"/>
      <c r="BI1203" s="460"/>
      <c r="BJ1203" s="460"/>
      <c r="BK1203" s="460"/>
      <c r="BL1203" s="460"/>
      <c r="BM1203" s="460"/>
      <c r="BN1203" s="460"/>
      <c r="BO1203" s="460"/>
      <c r="BP1203" s="460"/>
      <c r="BQ1203" s="460"/>
      <c r="BR1203" s="460"/>
      <c r="BS1203" s="460"/>
      <c r="BT1203" s="460"/>
      <c r="BU1203" s="460"/>
      <c r="BV1203" s="460"/>
      <c r="BW1203" s="460"/>
      <c r="BX1203" s="460"/>
      <c r="BY1203" s="460"/>
      <c r="BZ1203" s="460"/>
      <c r="CA1203" s="460"/>
      <c r="CB1203" s="460"/>
      <c r="CC1203" s="460"/>
      <c r="CD1203" s="460"/>
      <c r="CE1203" s="460"/>
      <c r="CF1203" s="460"/>
      <c r="CG1203" s="460"/>
      <c r="CH1203" s="460"/>
      <c r="CI1203" s="460"/>
      <c r="CJ1203" s="460"/>
      <c r="CK1203" s="460"/>
    </row>
    <row r="1204" spans="1:191" s="266" customFormat="1" ht="36" customHeight="1" x14ac:dyDescent="0.25">
      <c r="A1204" s="329">
        <v>1</v>
      </c>
      <c r="B1204" s="39">
        <f>SUBTOTAL(103,$A$1000:A1204)</f>
        <v>174</v>
      </c>
      <c r="C1204" s="336" t="s">
        <v>1870</v>
      </c>
      <c r="D1204" s="330">
        <v>1982</v>
      </c>
      <c r="E1204" s="330"/>
      <c r="F1204" s="337" t="s">
        <v>48</v>
      </c>
      <c r="G1204" s="330">
        <v>2</v>
      </c>
      <c r="H1204" s="330" t="s">
        <v>56</v>
      </c>
      <c r="I1204" s="334">
        <v>616.20000000000005</v>
      </c>
      <c r="J1204" s="334">
        <v>540.1</v>
      </c>
      <c r="K1204" s="334">
        <v>315</v>
      </c>
      <c r="L1204" s="338">
        <v>21</v>
      </c>
      <c r="M1204" s="330" t="s">
        <v>46</v>
      </c>
      <c r="N1204" s="330" t="s">
        <v>47</v>
      </c>
      <c r="O1204" s="330" t="s">
        <v>49</v>
      </c>
      <c r="P1204" s="334">
        <v>2036502</v>
      </c>
      <c r="Q1204" s="334">
        <v>0</v>
      </c>
      <c r="R1204" s="334">
        <v>0</v>
      </c>
      <c r="S1204" s="334">
        <f>P1204-Q1204-R1204</f>
        <v>2036502</v>
      </c>
      <c r="T1204" s="38">
        <f t="shared" si="255"/>
        <v>3304.9367088607592</v>
      </c>
      <c r="U1204" s="38">
        <v>3962.1455696202524</v>
      </c>
      <c r="V1204" s="458">
        <f>U1204-T1204</f>
        <v>657.20886075949329</v>
      </c>
      <c r="W1204" s="458">
        <f>X1204+Y1204+Z1204+AA1204+AB1204+AD1204+AF1204+AH1204+AJ1204+AL1204+AN1204+AO1204</f>
        <v>3948.6772151898731</v>
      </c>
      <c r="X1204" s="458">
        <v>0</v>
      </c>
      <c r="Y1204" s="459">
        <v>0</v>
      </c>
      <c r="Z1204" s="459">
        <v>0</v>
      </c>
      <c r="AA1204" s="459">
        <v>0</v>
      </c>
      <c r="AB1204" s="459">
        <v>0</v>
      </c>
      <c r="AC1204" s="459">
        <v>0</v>
      </c>
      <c r="AD1204" s="459">
        <v>0</v>
      </c>
      <c r="AE1204" s="459">
        <v>390</v>
      </c>
      <c r="AF1204" s="458">
        <f>6238.91*AE1204/I1204</f>
        <v>3948.6772151898731</v>
      </c>
      <c r="AG1204" s="459">
        <v>0</v>
      </c>
      <c r="AH1204" s="458">
        <v>0</v>
      </c>
      <c r="AI1204" s="459">
        <v>0</v>
      </c>
      <c r="AJ1204" s="458">
        <v>0</v>
      </c>
      <c r="AK1204" s="459">
        <v>0</v>
      </c>
      <c r="AL1204" s="459">
        <v>0</v>
      </c>
      <c r="AM1204" s="459">
        <v>0</v>
      </c>
      <c r="AN1204" s="459"/>
      <c r="AO1204" s="459">
        <v>0</v>
      </c>
      <c r="AP1204" s="460"/>
      <c r="AQ1204" s="250"/>
      <c r="AR1204" s="250"/>
      <c r="AS1204" s="250"/>
      <c r="AT1204" s="250"/>
      <c r="AU1204" s="250"/>
      <c r="AV1204" s="250"/>
      <c r="AW1204" s="250"/>
      <c r="AX1204" s="250"/>
      <c r="AY1204" s="250"/>
      <c r="AZ1204" s="250"/>
      <c r="BA1204" s="250"/>
      <c r="BB1204" s="250"/>
      <c r="BC1204" s="250"/>
      <c r="BD1204" s="250"/>
      <c r="BE1204" s="250"/>
      <c r="BF1204" s="250"/>
      <c r="BG1204" s="250"/>
      <c r="BH1204" s="250"/>
      <c r="BI1204" s="250"/>
      <c r="BJ1204" s="250"/>
      <c r="BK1204" s="250"/>
      <c r="BL1204" s="250"/>
      <c r="BM1204" s="250"/>
      <c r="BN1204" s="250"/>
      <c r="BO1204" s="250"/>
      <c r="BP1204" s="250"/>
      <c r="BQ1204" s="250"/>
      <c r="BR1204" s="250"/>
      <c r="BS1204" s="250"/>
      <c r="BT1204" s="250"/>
      <c r="BU1204" s="250"/>
      <c r="BV1204" s="250"/>
      <c r="BW1204" s="250"/>
      <c r="BX1204" s="250"/>
      <c r="BY1204" s="250"/>
      <c r="BZ1204" s="250"/>
      <c r="CA1204" s="250"/>
      <c r="CB1204" s="250"/>
      <c r="CC1204" s="250"/>
      <c r="CD1204" s="250"/>
      <c r="CE1204" s="250"/>
      <c r="CF1204" s="250"/>
      <c r="CG1204" s="250"/>
      <c r="CH1204" s="250"/>
      <c r="CI1204" s="250"/>
      <c r="CJ1204" s="250"/>
      <c r="CK1204" s="250"/>
      <c r="DQ1204" s="339"/>
      <c r="DR1204" s="339"/>
      <c r="DS1204" s="339"/>
      <c r="EP1204" s="340"/>
      <c r="FS1204" s="341"/>
      <c r="GI1204" s="342"/>
    </row>
    <row r="1205" spans="1:191" s="329" customFormat="1" ht="36" customHeight="1" x14ac:dyDescent="0.25">
      <c r="B1205" s="33" t="s">
        <v>110</v>
      </c>
      <c r="C1205" s="462"/>
      <c r="D1205" s="330" t="s">
        <v>131</v>
      </c>
      <c r="E1205" s="330" t="s">
        <v>131</v>
      </c>
      <c r="F1205" s="330" t="s">
        <v>131</v>
      </c>
      <c r="G1205" s="330" t="s">
        <v>131</v>
      </c>
      <c r="H1205" s="330" t="s">
        <v>131</v>
      </c>
      <c r="I1205" s="334">
        <f>I1206</f>
        <v>772.9</v>
      </c>
      <c r="J1205" s="334">
        <f>J1206</f>
        <v>728.9</v>
      </c>
      <c r="K1205" s="334">
        <f>K1206</f>
        <v>650.20000000000005</v>
      </c>
      <c r="L1205" s="332">
        <f>L1206</f>
        <v>30</v>
      </c>
      <c r="M1205" s="330" t="s">
        <v>131</v>
      </c>
      <c r="N1205" s="330" t="s">
        <v>131</v>
      </c>
      <c r="O1205" s="333" t="s">
        <v>131</v>
      </c>
      <c r="P1205" s="38">
        <v>3592598.4</v>
      </c>
      <c r="Q1205" s="38">
        <f>Q1206</f>
        <v>0</v>
      </c>
      <c r="R1205" s="38">
        <f>R1206</f>
        <v>0</v>
      </c>
      <c r="S1205" s="38">
        <f>S1206</f>
        <v>3592598.4</v>
      </c>
      <c r="T1205" s="38">
        <f t="shared" si="255"/>
        <v>4648.2059774873851</v>
      </c>
      <c r="U1205" s="38">
        <f>U1206</f>
        <v>5572.5329538103242</v>
      </c>
      <c r="V1205" s="458">
        <f t="shared" si="254"/>
        <v>924.32697632293912</v>
      </c>
      <c r="W1205" s="458"/>
      <c r="X1205" s="458"/>
      <c r="Y1205" s="459"/>
      <c r="Z1205" s="459"/>
      <c r="AA1205" s="459"/>
      <c r="AB1205" s="459"/>
      <c r="AC1205" s="459"/>
      <c r="AD1205" s="459"/>
      <c r="AE1205" s="459"/>
      <c r="AF1205" s="459"/>
      <c r="AG1205" s="459"/>
      <c r="AH1205" s="459"/>
      <c r="AI1205" s="459"/>
      <c r="AJ1205" s="459"/>
      <c r="AK1205" s="459"/>
      <c r="AL1205" s="459"/>
      <c r="AM1205" s="459"/>
      <c r="AN1205" s="459"/>
      <c r="AO1205" s="459"/>
      <c r="AP1205" s="460"/>
      <c r="AQ1205" s="460"/>
      <c r="AR1205" s="460"/>
      <c r="AS1205" s="460"/>
      <c r="AT1205" s="460"/>
      <c r="AU1205" s="460"/>
      <c r="AV1205" s="460"/>
      <c r="AW1205" s="460"/>
      <c r="AX1205" s="460"/>
      <c r="AY1205" s="460"/>
      <c r="AZ1205" s="460"/>
      <c r="BA1205" s="460"/>
      <c r="BB1205" s="460"/>
      <c r="BC1205" s="460"/>
      <c r="BD1205" s="460"/>
      <c r="BE1205" s="460"/>
      <c r="BF1205" s="460"/>
      <c r="BG1205" s="460"/>
      <c r="BH1205" s="460"/>
      <c r="BI1205" s="460"/>
      <c r="BJ1205" s="460"/>
      <c r="BK1205" s="460"/>
      <c r="BL1205" s="460"/>
      <c r="BM1205" s="460"/>
      <c r="BN1205" s="460"/>
      <c r="BO1205" s="460"/>
      <c r="BP1205" s="460"/>
      <c r="BQ1205" s="460"/>
      <c r="BR1205" s="460"/>
      <c r="BS1205" s="460"/>
      <c r="BT1205" s="460"/>
      <c r="BU1205" s="460"/>
      <c r="BV1205" s="460"/>
      <c r="BW1205" s="460"/>
      <c r="BX1205" s="460"/>
      <c r="BY1205" s="460"/>
      <c r="BZ1205" s="460"/>
      <c r="CA1205" s="460"/>
      <c r="CB1205" s="460"/>
      <c r="CC1205" s="460"/>
      <c r="CD1205" s="460"/>
      <c r="CE1205" s="460"/>
      <c r="CF1205" s="460"/>
      <c r="CG1205" s="460"/>
      <c r="CH1205" s="460"/>
      <c r="CI1205" s="460"/>
      <c r="CJ1205" s="460"/>
      <c r="CK1205" s="460"/>
    </row>
    <row r="1206" spans="1:191" s="266" customFormat="1" ht="36" customHeight="1" x14ac:dyDescent="0.25">
      <c r="A1206" s="329">
        <v>1</v>
      </c>
      <c r="B1206" s="39">
        <f>SUBTOTAL(103,$A$1000:A1206)</f>
        <v>175</v>
      </c>
      <c r="C1206" s="336" t="s">
        <v>1871</v>
      </c>
      <c r="D1206" s="330">
        <v>1971</v>
      </c>
      <c r="E1206" s="330"/>
      <c r="F1206" s="337" t="s">
        <v>48</v>
      </c>
      <c r="G1206" s="330">
        <v>2</v>
      </c>
      <c r="H1206" s="330" t="s">
        <v>57</v>
      </c>
      <c r="I1206" s="334">
        <v>772.9</v>
      </c>
      <c r="J1206" s="334">
        <v>728.9</v>
      </c>
      <c r="K1206" s="334">
        <v>650.20000000000005</v>
      </c>
      <c r="L1206" s="338">
        <v>30</v>
      </c>
      <c r="M1206" s="330" t="s">
        <v>46</v>
      </c>
      <c r="N1206" s="330" t="s">
        <v>47</v>
      </c>
      <c r="O1206" s="330" t="s">
        <v>49</v>
      </c>
      <c r="P1206" s="334">
        <v>3592598.4</v>
      </c>
      <c r="Q1206" s="334">
        <v>0</v>
      </c>
      <c r="R1206" s="334">
        <v>0</v>
      </c>
      <c r="S1206" s="334">
        <f>P1206-Q1206-R1206</f>
        <v>3592598.4</v>
      </c>
      <c r="T1206" s="38">
        <f t="shared" si="255"/>
        <v>4648.2059774873851</v>
      </c>
      <c r="U1206" s="38">
        <v>5572.5329538103242</v>
      </c>
      <c r="V1206" s="458">
        <f>U1206-T1206</f>
        <v>924.32697632293912</v>
      </c>
      <c r="W1206" s="458">
        <f>X1206+Y1206+Z1206+AA1206+AB1206+AD1206+AF1206+AH1206+AJ1206+AL1206+AN1206+AO1206</f>
        <v>5553.5904774226938</v>
      </c>
      <c r="X1206" s="458">
        <v>0</v>
      </c>
      <c r="Y1206" s="459">
        <v>0</v>
      </c>
      <c r="Z1206" s="459">
        <v>0</v>
      </c>
      <c r="AA1206" s="459">
        <v>0</v>
      </c>
      <c r="AB1206" s="459">
        <v>0</v>
      </c>
      <c r="AC1206" s="459">
        <v>0</v>
      </c>
      <c r="AD1206" s="459">
        <v>0</v>
      </c>
      <c r="AE1206" s="459">
        <v>688</v>
      </c>
      <c r="AF1206" s="458">
        <f>6238.91*AE1206/I1206</f>
        <v>5553.5904774226938</v>
      </c>
      <c r="AG1206" s="459">
        <v>0</v>
      </c>
      <c r="AH1206" s="458">
        <v>0</v>
      </c>
      <c r="AI1206" s="459">
        <v>0</v>
      </c>
      <c r="AJ1206" s="458">
        <v>0</v>
      </c>
      <c r="AK1206" s="459">
        <v>0</v>
      </c>
      <c r="AL1206" s="459">
        <v>0</v>
      </c>
      <c r="AM1206" s="459">
        <v>0</v>
      </c>
      <c r="AN1206" s="459"/>
      <c r="AO1206" s="459">
        <v>0</v>
      </c>
      <c r="AP1206" s="460"/>
      <c r="AQ1206" s="250"/>
      <c r="AR1206" s="250"/>
      <c r="AS1206" s="250"/>
      <c r="AT1206" s="250"/>
      <c r="AU1206" s="250"/>
      <c r="AV1206" s="250"/>
      <c r="AW1206" s="250"/>
      <c r="AX1206" s="250"/>
      <c r="AY1206" s="250"/>
      <c r="AZ1206" s="250"/>
      <c r="BA1206" s="250"/>
      <c r="BB1206" s="250"/>
      <c r="BC1206" s="250"/>
      <c r="BD1206" s="250"/>
      <c r="BE1206" s="250"/>
      <c r="BF1206" s="250"/>
      <c r="BG1206" s="250"/>
      <c r="BH1206" s="250"/>
      <c r="BI1206" s="250"/>
      <c r="BJ1206" s="250"/>
      <c r="BK1206" s="250"/>
      <c r="BL1206" s="250"/>
      <c r="BM1206" s="250"/>
      <c r="BN1206" s="250"/>
      <c r="BO1206" s="250"/>
      <c r="BP1206" s="250"/>
      <c r="BQ1206" s="250"/>
      <c r="BR1206" s="250"/>
      <c r="BS1206" s="250"/>
      <c r="BT1206" s="250"/>
      <c r="BU1206" s="250"/>
      <c r="BV1206" s="250"/>
      <c r="BW1206" s="250"/>
      <c r="BX1206" s="250"/>
      <c r="BY1206" s="250"/>
      <c r="BZ1206" s="250"/>
      <c r="CA1206" s="250"/>
      <c r="CB1206" s="250"/>
      <c r="CC1206" s="250"/>
      <c r="CD1206" s="250"/>
      <c r="CE1206" s="250"/>
      <c r="CF1206" s="250"/>
      <c r="CG1206" s="250"/>
      <c r="CH1206" s="250"/>
      <c r="CI1206" s="250"/>
      <c r="CJ1206" s="250"/>
      <c r="CK1206" s="250"/>
      <c r="DQ1206" s="339"/>
      <c r="DR1206" s="339"/>
      <c r="DS1206" s="339"/>
      <c r="EP1206" s="340"/>
      <c r="FS1206" s="341"/>
      <c r="GI1206" s="342"/>
    </row>
    <row r="1207" spans="1:191" s="329" customFormat="1" ht="36" customHeight="1" x14ac:dyDescent="0.25">
      <c r="B1207" s="33" t="s">
        <v>1651</v>
      </c>
      <c r="C1207" s="33"/>
      <c r="D1207" s="330" t="s">
        <v>90</v>
      </c>
      <c r="E1207" s="330" t="s">
        <v>90</v>
      </c>
      <c r="F1207" s="330" t="s">
        <v>90</v>
      </c>
      <c r="G1207" s="330" t="s">
        <v>90</v>
      </c>
      <c r="H1207" s="330" t="s">
        <v>90</v>
      </c>
      <c r="I1207" s="334">
        <f>I1208</f>
        <v>976.3</v>
      </c>
      <c r="J1207" s="334">
        <f>J1208</f>
        <v>976.3</v>
      </c>
      <c r="K1207" s="334">
        <f>K1208</f>
        <v>880.1</v>
      </c>
      <c r="L1207" s="332">
        <f>L1208</f>
        <v>36</v>
      </c>
      <c r="M1207" s="330" t="s">
        <v>131</v>
      </c>
      <c r="N1207" s="330" t="s">
        <v>131</v>
      </c>
      <c r="O1207" s="333" t="s">
        <v>131</v>
      </c>
      <c r="P1207" s="38">
        <v>4454195.3999999994</v>
      </c>
      <c r="Q1207" s="38">
        <f>Q1208</f>
        <v>0</v>
      </c>
      <c r="R1207" s="38">
        <f>R1208</f>
        <v>0</v>
      </c>
      <c r="S1207" s="38">
        <f>S1208</f>
        <v>4454195.3999999994</v>
      </c>
      <c r="T1207" s="38">
        <f t="shared" si="255"/>
        <v>4562.3224418723748</v>
      </c>
      <c r="U1207" s="38">
        <f>U1208</f>
        <v>5469.5709003380107</v>
      </c>
      <c r="V1207" s="458">
        <f t="shared" si="254"/>
        <v>907.24845846563585</v>
      </c>
      <c r="W1207" s="458"/>
      <c r="X1207" s="458"/>
      <c r="Y1207" s="459"/>
      <c r="Z1207" s="459"/>
      <c r="AA1207" s="459"/>
      <c r="AB1207" s="459"/>
      <c r="AC1207" s="459"/>
      <c r="AD1207" s="459"/>
      <c r="AE1207" s="459"/>
      <c r="AF1207" s="459"/>
      <c r="AG1207" s="459"/>
      <c r="AH1207" s="459"/>
      <c r="AI1207" s="459"/>
      <c r="AJ1207" s="459"/>
      <c r="AK1207" s="459"/>
      <c r="AL1207" s="459"/>
      <c r="AM1207" s="459"/>
      <c r="AN1207" s="459"/>
      <c r="AO1207" s="459"/>
      <c r="AP1207" s="460"/>
      <c r="AQ1207" s="460"/>
      <c r="AR1207" s="460"/>
      <c r="AS1207" s="460"/>
      <c r="AT1207" s="460"/>
      <c r="AU1207" s="460"/>
      <c r="AV1207" s="460"/>
      <c r="AW1207" s="460"/>
      <c r="AX1207" s="460"/>
      <c r="AY1207" s="460"/>
      <c r="AZ1207" s="460"/>
      <c r="BA1207" s="460"/>
      <c r="BB1207" s="460"/>
      <c r="BC1207" s="460"/>
      <c r="BD1207" s="460"/>
      <c r="BE1207" s="460"/>
      <c r="BF1207" s="460"/>
      <c r="BG1207" s="460"/>
      <c r="BH1207" s="460"/>
      <c r="BI1207" s="460"/>
      <c r="BJ1207" s="460"/>
      <c r="BK1207" s="460"/>
      <c r="BL1207" s="460"/>
      <c r="BM1207" s="460"/>
      <c r="BN1207" s="460"/>
      <c r="BO1207" s="460"/>
      <c r="BP1207" s="460"/>
      <c r="BQ1207" s="460"/>
      <c r="BR1207" s="460"/>
      <c r="BS1207" s="460"/>
      <c r="BT1207" s="460"/>
      <c r="BU1207" s="460"/>
      <c r="BV1207" s="460"/>
      <c r="BW1207" s="460"/>
      <c r="BX1207" s="460"/>
      <c r="BY1207" s="460"/>
      <c r="BZ1207" s="460"/>
      <c r="CA1207" s="460"/>
      <c r="CB1207" s="460"/>
      <c r="CC1207" s="460"/>
      <c r="CD1207" s="460"/>
      <c r="CE1207" s="460"/>
      <c r="CF1207" s="460"/>
      <c r="CG1207" s="460"/>
      <c r="CH1207" s="460"/>
      <c r="CI1207" s="460"/>
      <c r="CJ1207" s="460"/>
      <c r="CK1207" s="460"/>
    </row>
    <row r="1208" spans="1:191" s="266" customFormat="1" ht="36" customHeight="1" x14ac:dyDescent="0.25">
      <c r="A1208" s="329">
        <v>1</v>
      </c>
      <c r="B1208" s="39">
        <f>SUBTOTAL(103,$A$1000:A1208)</f>
        <v>176</v>
      </c>
      <c r="C1208" s="336" t="s">
        <v>1872</v>
      </c>
      <c r="D1208" s="330">
        <v>1987</v>
      </c>
      <c r="E1208" s="330"/>
      <c r="F1208" s="337" t="s">
        <v>48</v>
      </c>
      <c r="G1208" s="330">
        <v>2</v>
      </c>
      <c r="H1208" s="330" t="s">
        <v>61</v>
      </c>
      <c r="I1208" s="334">
        <v>976.3</v>
      </c>
      <c r="J1208" s="334">
        <v>976.3</v>
      </c>
      <c r="K1208" s="334">
        <v>880.1</v>
      </c>
      <c r="L1208" s="338">
        <v>36</v>
      </c>
      <c r="M1208" s="330" t="s">
        <v>46</v>
      </c>
      <c r="N1208" s="330" t="s">
        <v>47</v>
      </c>
      <c r="O1208" s="330" t="s">
        <v>49</v>
      </c>
      <c r="P1208" s="334">
        <v>4454195.3999999994</v>
      </c>
      <c r="Q1208" s="334">
        <v>0</v>
      </c>
      <c r="R1208" s="334">
        <v>0</v>
      </c>
      <c r="S1208" s="334">
        <f>P1208-Q1208-R1208</f>
        <v>4454195.3999999994</v>
      </c>
      <c r="T1208" s="38">
        <f t="shared" si="255"/>
        <v>4562.3224418723748</v>
      </c>
      <c r="U1208" s="38">
        <v>5469.5709003380107</v>
      </c>
      <c r="V1208" s="458">
        <f>U1208-T1208</f>
        <v>907.24845846563585</v>
      </c>
      <c r="W1208" s="458">
        <f>X1208+Y1208+Z1208+AA1208+AB1208+AD1208+AF1208+AH1208+AJ1208+AL1208+AN1208+AO1208</f>
        <v>5450.9784185188973</v>
      </c>
      <c r="X1208" s="458">
        <v>0</v>
      </c>
      <c r="Y1208" s="459">
        <v>0</v>
      </c>
      <c r="Z1208" s="459">
        <v>0</v>
      </c>
      <c r="AA1208" s="459">
        <v>0</v>
      </c>
      <c r="AB1208" s="459">
        <v>0</v>
      </c>
      <c r="AC1208" s="459">
        <v>0</v>
      </c>
      <c r="AD1208" s="459">
        <v>0</v>
      </c>
      <c r="AE1208" s="459">
        <v>853</v>
      </c>
      <c r="AF1208" s="458">
        <f>6238.91*AE1208/I1208</f>
        <v>5450.9784185188973</v>
      </c>
      <c r="AG1208" s="459">
        <v>0</v>
      </c>
      <c r="AH1208" s="458">
        <v>0</v>
      </c>
      <c r="AI1208" s="459">
        <v>0</v>
      </c>
      <c r="AJ1208" s="458">
        <v>0</v>
      </c>
      <c r="AK1208" s="459">
        <v>0</v>
      </c>
      <c r="AL1208" s="459">
        <v>0</v>
      </c>
      <c r="AM1208" s="459">
        <v>0</v>
      </c>
      <c r="AN1208" s="459"/>
      <c r="AO1208" s="459">
        <v>0</v>
      </c>
      <c r="AP1208" s="460"/>
      <c r="AQ1208" s="250"/>
      <c r="AR1208" s="250"/>
      <c r="AS1208" s="250"/>
      <c r="AT1208" s="250"/>
      <c r="AU1208" s="250"/>
      <c r="AV1208" s="250"/>
      <c r="AW1208" s="250"/>
      <c r="AX1208" s="250"/>
      <c r="AY1208" s="250"/>
      <c r="AZ1208" s="250"/>
      <c r="BA1208" s="250"/>
      <c r="BB1208" s="250"/>
      <c r="BC1208" s="250"/>
      <c r="BD1208" s="250"/>
      <c r="BE1208" s="250"/>
      <c r="BF1208" s="250"/>
      <c r="BG1208" s="250"/>
      <c r="BH1208" s="250"/>
      <c r="BI1208" s="250"/>
      <c r="BJ1208" s="250"/>
      <c r="BK1208" s="250"/>
      <c r="BL1208" s="250"/>
      <c r="BM1208" s="250"/>
      <c r="BN1208" s="250"/>
      <c r="BO1208" s="250"/>
      <c r="BP1208" s="250"/>
      <c r="BQ1208" s="250"/>
      <c r="BR1208" s="250"/>
      <c r="BS1208" s="250"/>
      <c r="BT1208" s="250"/>
      <c r="BU1208" s="250"/>
      <c r="BV1208" s="250"/>
      <c r="BW1208" s="250"/>
      <c r="BX1208" s="250"/>
      <c r="BY1208" s="250"/>
      <c r="BZ1208" s="250"/>
      <c r="CA1208" s="250"/>
      <c r="CB1208" s="250"/>
      <c r="CC1208" s="250"/>
      <c r="CD1208" s="250"/>
      <c r="CE1208" s="250"/>
      <c r="CF1208" s="250"/>
      <c r="CG1208" s="250"/>
      <c r="CH1208" s="250"/>
      <c r="CI1208" s="250"/>
      <c r="CJ1208" s="250"/>
      <c r="CK1208" s="250"/>
      <c r="DQ1208" s="339"/>
      <c r="DR1208" s="339"/>
      <c r="DS1208" s="339"/>
      <c r="EP1208" s="340"/>
      <c r="FS1208" s="341"/>
      <c r="GI1208" s="342"/>
    </row>
    <row r="1209" spans="1:191" s="329" customFormat="1" ht="36" customHeight="1" x14ac:dyDescent="0.25">
      <c r="B1209" s="33" t="s">
        <v>1873</v>
      </c>
      <c r="C1209" s="462"/>
      <c r="D1209" s="330" t="s">
        <v>90</v>
      </c>
      <c r="E1209" s="330" t="s">
        <v>90</v>
      </c>
      <c r="F1209" s="330" t="s">
        <v>90</v>
      </c>
      <c r="G1209" s="330" t="s">
        <v>90</v>
      </c>
      <c r="H1209" s="330" t="s">
        <v>90</v>
      </c>
      <c r="I1209" s="334">
        <f>I1210</f>
        <v>781.7</v>
      </c>
      <c r="J1209" s="334">
        <f>J1210</f>
        <v>781.7</v>
      </c>
      <c r="K1209" s="334">
        <f>K1210</f>
        <v>505.6</v>
      </c>
      <c r="L1209" s="332">
        <f>L1210</f>
        <v>40</v>
      </c>
      <c r="M1209" s="330" t="s">
        <v>131</v>
      </c>
      <c r="N1209" s="330" t="s">
        <v>131</v>
      </c>
      <c r="O1209" s="333" t="s">
        <v>131</v>
      </c>
      <c r="P1209" s="38">
        <v>5304624.57</v>
      </c>
      <c r="Q1209" s="38">
        <f>Q1210</f>
        <v>0</v>
      </c>
      <c r="R1209" s="38">
        <f>R1210</f>
        <v>0</v>
      </c>
      <c r="S1209" s="38">
        <f>S1210</f>
        <v>5304624.57</v>
      </c>
      <c r="T1209" s="38">
        <f t="shared" si="255"/>
        <v>6786.0107074325188</v>
      </c>
      <c r="U1209" s="38">
        <f>U1210</f>
        <v>7422.4534958423937</v>
      </c>
      <c r="V1209" s="458">
        <f t="shared" si="254"/>
        <v>636.44278840987499</v>
      </c>
      <c r="W1209" s="458"/>
      <c r="X1209" s="458"/>
      <c r="Y1209" s="459"/>
      <c r="Z1209" s="459"/>
      <c r="AA1209" s="459"/>
      <c r="AB1209" s="459"/>
      <c r="AC1209" s="459"/>
      <c r="AD1209" s="459"/>
      <c r="AE1209" s="459"/>
      <c r="AF1209" s="459"/>
      <c r="AG1209" s="459"/>
      <c r="AH1209" s="459"/>
      <c r="AI1209" s="459"/>
      <c r="AJ1209" s="459"/>
      <c r="AK1209" s="459"/>
      <c r="AL1209" s="459"/>
      <c r="AM1209" s="459"/>
      <c r="AN1209" s="459"/>
      <c r="AO1209" s="459"/>
      <c r="AP1209" s="460"/>
      <c r="AQ1209" s="460"/>
      <c r="AR1209" s="460"/>
      <c r="AS1209" s="460"/>
      <c r="AT1209" s="460"/>
      <c r="AU1209" s="460"/>
      <c r="AV1209" s="460"/>
      <c r="AW1209" s="460"/>
      <c r="AX1209" s="460"/>
      <c r="AY1209" s="460"/>
      <c r="AZ1209" s="460"/>
      <c r="BA1209" s="460"/>
      <c r="BB1209" s="460"/>
      <c r="BC1209" s="460"/>
      <c r="BD1209" s="460"/>
      <c r="BE1209" s="460"/>
      <c r="BF1209" s="460"/>
      <c r="BG1209" s="460"/>
      <c r="BH1209" s="460"/>
      <c r="BI1209" s="460"/>
      <c r="BJ1209" s="460"/>
      <c r="BK1209" s="460"/>
      <c r="BL1209" s="460"/>
      <c r="BM1209" s="460"/>
      <c r="BN1209" s="460"/>
      <c r="BO1209" s="460"/>
      <c r="BP1209" s="460"/>
      <c r="BQ1209" s="460"/>
      <c r="BR1209" s="460"/>
      <c r="BS1209" s="460"/>
      <c r="BT1209" s="460"/>
      <c r="BU1209" s="460"/>
      <c r="BV1209" s="460"/>
      <c r="BW1209" s="460"/>
      <c r="BX1209" s="460"/>
      <c r="BY1209" s="460"/>
      <c r="BZ1209" s="460"/>
      <c r="CA1209" s="460"/>
      <c r="CB1209" s="460"/>
      <c r="CC1209" s="460"/>
      <c r="CD1209" s="460"/>
      <c r="CE1209" s="460"/>
      <c r="CF1209" s="460"/>
      <c r="CG1209" s="460"/>
      <c r="CH1209" s="460"/>
      <c r="CI1209" s="460"/>
      <c r="CJ1209" s="460"/>
      <c r="CK1209" s="460"/>
    </row>
    <row r="1210" spans="1:191" s="266" customFormat="1" ht="36" customHeight="1" x14ac:dyDescent="0.25">
      <c r="A1210" s="329">
        <v>1</v>
      </c>
      <c r="B1210" s="39">
        <f>SUBTOTAL(103,$A$1000:A1210)</f>
        <v>177</v>
      </c>
      <c r="C1210" s="336" t="s">
        <v>1874</v>
      </c>
      <c r="D1210" s="330">
        <v>1968</v>
      </c>
      <c r="E1210" s="330"/>
      <c r="F1210" s="337" t="s">
        <v>48</v>
      </c>
      <c r="G1210" s="330">
        <v>2</v>
      </c>
      <c r="H1210" s="330" t="s">
        <v>56</v>
      </c>
      <c r="I1210" s="334">
        <v>781.7</v>
      </c>
      <c r="J1210" s="334">
        <v>781.7</v>
      </c>
      <c r="K1210" s="334">
        <v>505.6</v>
      </c>
      <c r="L1210" s="338">
        <v>40</v>
      </c>
      <c r="M1210" s="330" t="s">
        <v>46</v>
      </c>
      <c r="N1210" s="330" t="s">
        <v>50</v>
      </c>
      <c r="O1210" s="330" t="s">
        <v>2195</v>
      </c>
      <c r="P1210" s="334">
        <v>5304624.57</v>
      </c>
      <c r="Q1210" s="334">
        <v>0</v>
      </c>
      <c r="R1210" s="334">
        <v>0</v>
      </c>
      <c r="S1210" s="334">
        <f>P1210-Q1210-R1210</f>
        <v>5304624.57</v>
      </c>
      <c r="T1210" s="38">
        <f t="shared" si="255"/>
        <v>6786.0107074325188</v>
      </c>
      <c r="U1210" s="38">
        <v>7422.4534958423937</v>
      </c>
      <c r="V1210" s="458">
        <f>U1210-T1210</f>
        <v>636.44278840987499</v>
      </c>
      <c r="W1210" s="458">
        <f>X1210+Y1210+Z1210+AA1210+AB1210+AD1210+AF1210+AH1210+AJ1210+AL1210+AN1210+AO1210</f>
        <v>7397.2226625303829</v>
      </c>
      <c r="X1210" s="458">
        <v>0</v>
      </c>
      <c r="Y1210" s="459">
        <v>0</v>
      </c>
      <c r="Z1210" s="459">
        <v>0</v>
      </c>
      <c r="AA1210" s="459">
        <v>0</v>
      </c>
      <c r="AB1210" s="459">
        <v>0</v>
      </c>
      <c r="AC1210" s="459">
        <v>0</v>
      </c>
      <c r="AD1210" s="459">
        <v>0</v>
      </c>
      <c r="AE1210" s="459">
        <v>926.83</v>
      </c>
      <c r="AF1210" s="458">
        <f>6238.91*AE1210/I1210</f>
        <v>7397.2226625303829</v>
      </c>
      <c r="AG1210" s="459">
        <v>0</v>
      </c>
      <c r="AH1210" s="458">
        <v>0</v>
      </c>
      <c r="AI1210" s="459">
        <v>0</v>
      </c>
      <c r="AJ1210" s="458">
        <v>0</v>
      </c>
      <c r="AK1210" s="459">
        <v>0</v>
      </c>
      <c r="AL1210" s="459">
        <v>0</v>
      </c>
      <c r="AM1210" s="459">
        <v>0</v>
      </c>
      <c r="AN1210" s="459"/>
      <c r="AO1210" s="459">
        <v>0</v>
      </c>
      <c r="AP1210" s="460"/>
      <c r="AQ1210" s="250"/>
      <c r="AR1210" s="250"/>
      <c r="AS1210" s="250"/>
      <c r="AT1210" s="250"/>
      <c r="AU1210" s="250"/>
      <c r="AV1210" s="250"/>
      <c r="AW1210" s="250"/>
      <c r="AX1210" s="250"/>
      <c r="AY1210" s="250"/>
      <c r="AZ1210" s="250"/>
      <c r="BA1210" s="250"/>
      <c r="BB1210" s="250"/>
      <c r="BC1210" s="250"/>
      <c r="BD1210" s="250"/>
      <c r="BE1210" s="250"/>
      <c r="BF1210" s="250"/>
      <c r="BG1210" s="250"/>
      <c r="BH1210" s="250"/>
      <c r="BI1210" s="250"/>
      <c r="BJ1210" s="250"/>
      <c r="BK1210" s="250"/>
      <c r="BL1210" s="250"/>
      <c r="BM1210" s="250"/>
      <c r="BN1210" s="250"/>
      <c r="BO1210" s="250"/>
      <c r="BP1210" s="250"/>
      <c r="BQ1210" s="250"/>
      <c r="BR1210" s="250"/>
      <c r="BS1210" s="250"/>
      <c r="BT1210" s="250"/>
      <c r="BU1210" s="250"/>
      <c r="BV1210" s="250"/>
      <c r="BW1210" s="250"/>
      <c r="BX1210" s="250"/>
      <c r="BY1210" s="250"/>
      <c r="BZ1210" s="250"/>
      <c r="CA1210" s="250"/>
      <c r="CB1210" s="250"/>
      <c r="CC1210" s="250"/>
      <c r="CD1210" s="250"/>
      <c r="CE1210" s="250"/>
      <c r="CF1210" s="250"/>
      <c r="CG1210" s="250"/>
      <c r="CH1210" s="250"/>
      <c r="CI1210" s="250"/>
      <c r="CJ1210" s="250"/>
      <c r="CK1210" s="250"/>
      <c r="DQ1210" s="339"/>
      <c r="DR1210" s="339"/>
      <c r="DS1210" s="339"/>
      <c r="EP1210" s="340"/>
      <c r="FS1210" s="341"/>
      <c r="GI1210" s="342"/>
    </row>
    <row r="1211" spans="1:191" s="329" customFormat="1" ht="36" customHeight="1" x14ac:dyDescent="0.25">
      <c r="B1211" s="33" t="s">
        <v>111</v>
      </c>
      <c r="C1211" s="462"/>
      <c r="D1211" s="330" t="s">
        <v>90</v>
      </c>
      <c r="E1211" s="330" t="s">
        <v>90</v>
      </c>
      <c r="F1211" s="330" t="s">
        <v>90</v>
      </c>
      <c r="G1211" s="330" t="s">
        <v>90</v>
      </c>
      <c r="H1211" s="330" t="s">
        <v>90</v>
      </c>
      <c r="I1211" s="334">
        <f>I1212</f>
        <v>736.7</v>
      </c>
      <c r="J1211" s="334">
        <f>J1212</f>
        <v>450.8</v>
      </c>
      <c r="K1211" s="334">
        <f>K1212</f>
        <v>447.6</v>
      </c>
      <c r="L1211" s="332">
        <f>L1212</f>
        <v>41</v>
      </c>
      <c r="M1211" s="330" t="s">
        <v>131</v>
      </c>
      <c r="N1211" s="330" t="s">
        <v>131</v>
      </c>
      <c r="O1211" s="333" t="s">
        <v>131</v>
      </c>
      <c r="P1211" s="38">
        <v>3231458.3</v>
      </c>
      <c r="Q1211" s="38">
        <f>Q1212</f>
        <v>0</v>
      </c>
      <c r="R1211" s="38">
        <f>R1212</f>
        <v>1851570.68</v>
      </c>
      <c r="S1211" s="38">
        <f>S1212</f>
        <v>1379887.6199999999</v>
      </c>
      <c r="T1211" s="38">
        <f t="shared" si="255"/>
        <v>4386.3964978960221</v>
      </c>
      <c r="U1211" s="38">
        <f>U1212</f>
        <v>6773.6504411565084</v>
      </c>
      <c r="V1211" s="458">
        <f t="shared" si="254"/>
        <v>2387.2539432604863</v>
      </c>
      <c r="W1211" s="458"/>
      <c r="X1211" s="458"/>
      <c r="Y1211" s="459"/>
      <c r="Z1211" s="459"/>
      <c r="AA1211" s="459"/>
      <c r="AB1211" s="459"/>
      <c r="AC1211" s="459"/>
      <c r="AD1211" s="459"/>
      <c r="AE1211" s="459"/>
      <c r="AF1211" s="459"/>
      <c r="AG1211" s="459"/>
      <c r="AH1211" s="459"/>
      <c r="AI1211" s="459"/>
      <c r="AJ1211" s="459"/>
      <c r="AK1211" s="459"/>
      <c r="AL1211" s="459"/>
      <c r="AM1211" s="459"/>
      <c r="AN1211" s="459"/>
      <c r="AO1211" s="459"/>
      <c r="AP1211" s="460"/>
      <c r="AQ1211" s="460"/>
      <c r="AR1211" s="460"/>
      <c r="AS1211" s="460"/>
      <c r="AT1211" s="460"/>
      <c r="AU1211" s="460"/>
      <c r="AV1211" s="460"/>
      <c r="AW1211" s="460"/>
      <c r="AX1211" s="460"/>
      <c r="AY1211" s="460"/>
      <c r="AZ1211" s="460"/>
      <c r="BA1211" s="460"/>
      <c r="BB1211" s="460"/>
      <c r="BC1211" s="460"/>
      <c r="BD1211" s="460"/>
      <c r="BE1211" s="460"/>
      <c r="BF1211" s="460"/>
      <c r="BG1211" s="460"/>
      <c r="BH1211" s="460"/>
      <c r="BI1211" s="460"/>
      <c r="BJ1211" s="460"/>
      <c r="BK1211" s="460"/>
      <c r="BL1211" s="460"/>
      <c r="BM1211" s="460"/>
      <c r="BN1211" s="460"/>
      <c r="BO1211" s="460"/>
      <c r="BP1211" s="460"/>
      <c r="BQ1211" s="460"/>
      <c r="BR1211" s="460"/>
      <c r="BS1211" s="460"/>
      <c r="BT1211" s="460"/>
      <c r="BU1211" s="460"/>
      <c r="BV1211" s="460"/>
      <c r="BW1211" s="460"/>
      <c r="BX1211" s="460"/>
      <c r="BY1211" s="460"/>
      <c r="BZ1211" s="460"/>
      <c r="CA1211" s="460"/>
      <c r="CB1211" s="460"/>
      <c r="CC1211" s="460"/>
      <c r="CD1211" s="460"/>
      <c r="CE1211" s="460"/>
      <c r="CF1211" s="460"/>
      <c r="CG1211" s="460"/>
      <c r="CH1211" s="460"/>
      <c r="CI1211" s="460"/>
      <c r="CJ1211" s="460"/>
      <c r="CK1211" s="460"/>
    </row>
    <row r="1212" spans="1:191" s="266" customFormat="1" ht="36" customHeight="1" x14ac:dyDescent="0.25">
      <c r="A1212" s="329">
        <v>1</v>
      </c>
      <c r="B1212" s="39">
        <f>SUBTOTAL(103,$A$1000:A1212)</f>
        <v>178</v>
      </c>
      <c r="C1212" s="336" t="s">
        <v>1875</v>
      </c>
      <c r="D1212" s="330">
        <v>1978</v>
      </c>
      <c r="E1212" s="330"/>
      <c r="F1212" s="337" t="s">
        <v>48</v>
      </c>
      <c r="G1212" s="330">
        <v>2</v>
      </c>
      <c r="H1212" s="330" t="s">
        <v>56</v>
      </c>
      <c r="I1212" s="334">
        <v>736.7</v>
      </c>
      <c r="J1212" s="334">
        <v>450.8</v>
      </c>
      <c r="K1212" s="334">
        <v>447.6</v>
      </c>
      <c r="L1212" s="338">
        <v>41</v>
      </c>
      <c r="M1212" s="330" t="s">
        <v>46</v>
      </c>
      <c r="N1212" s="330" t="s">
        <v>47</v>
      </c>
      <c r="O1212" s="330" t="s">
        <v>49</v>
      </c>
      <c r="P1212" s="334">
        <v>3231458.3</v>
      </c>
      <c r="Q1212" s="334">
        <v>0</v>
      </c>
      <c r="R1212" s="334">
        <v>1851570.68</v>
      </c>
      <c r="S1212" s="334">
        <f>P1212-Q1212-R1212</f>
        <v>1379887.6199999999</v>
      </c>
      <c r="T1212" s="38">
        <f t="shared" si="255"/>
        <v>4386.3964978960221</v>
      </c>
      <c r="U1212" s="38">
        <v>6773.6504411565084</v>
      </c>
      <c r="V1212" s="458">
        <f>U1212-T1212</f>
        <v>2387.2539432604863</v>
      </c>
      <c r="W1212" s="458">
        <f>X1212+Y1212+Z1212+AA1212+AB1212+AD1212+AF1212+AH1212+AJ1212+AL1212+AN1212+AO1212</f>
        <v>6773.6504411565084</v>
      </c>
      <c r="X1212" s="458">
        <v>0</v>
      </c>
      <c r="Y1212" s="459">
        <v>0</v>
      </c>
      <c r="Z1212" s="459">
        <v>0</v>
      </c>
      <c r="AA1212" s="459">
        <v>0</v>
      </c>
      <c r="AB1212" s="459">
        <v>0</v>
      </c>
      <c r="AC1212" s="459">
        <v>0</v>
      </c>
      <c r="AD1212" s="459">
        <v>0</v>
      </c>
      <c r="AE1212" s="459">
        <v>0</v>
      </c>
      <c r="AF1212" s="458">
        <v>0</v>
      </c>
      <c r="AG1212" s="459">
        <v>0</v>
      </c>
      <c r="AH1212" s="458">
        <v>0</v>
      </c>
      <c r="AI1212" s="459">
        <v>670.8</v>
      </c>
      <c r="AJ1212" s="458">
        <f>7439.1*AI1212/I1212</f>
        <v>6773.6504411565084</v>
      </c>
      <c r="AK1212" s="459">
        <v>0</v>
      </c>
      <c r="AL1212" s="459">
        <v>0</v>
      </c>
      <c r="AM1212" s="459">
        <v>0</v>
      </c>
      <c r="AN1212" s="459"/>
      <c r="AO1212" s="459">
        <v>0</v>
      </c>
      <c r="AP1212" s="460"/>
      <c r="AQ1212" s="250"/>
      <c r="AR1212" s="250"/>
      <c r="AS1212" s="250"/>
      <c r="AT1212" s="250"/>
      <c r="AU1212" s="250"/>
      <c r="AV1212" s="250"/>
      <c r="AW1212" s="250"/>
      <c r="AX1212" s="250"/>
      <c r="AY1212" s="250"/>
      <c r="AZ1212" s="250"/>
      <c r="BA1212" s="250"/>
      <c r="BB1212" s="250"/>
      <c r="BC1212" s="250"/>
      <c r="BD1212" s="250"/>
      <c r="BE1212" s="250"/>
      <c r="BF1212" s="250"/>
      <c r="BG1212" s="250"/>
      <c r="BH1212" s="250"/>
      <c r="BI1212" s="250"/>
      <c r="BJ1212" s="250"/>
      <c r="BK1212" s="250"/>
      <c r="BL1212" s="250"/>
      <c r="BM1212" s="250"/>
      <c r="BN1212" s="250"/>
      <c r="BO1212" s="250"/>
      <c r="BP1212" s="250"/>
      <c r="BQ1212" s="250"/>
      <c r="BR1212" s="250"/>
      <c r="BS1212" s="250"/>
      <c r="BT1212" s="250"/>
      <c r="BU1212" s="250"/>
      <c r="BV1212" s="250"/>
      <c r="BW1212" s="250"/>
      <c r="BX1212" s="250"/>
      <c r="BY1212" s="250"/>
      <c r="BZ1212" s="250"/>
      <c r="CA1212" s="250"/>
      <c r="CB1212" s="250"/>
      <c r="CC1212" s="250"/>
      <c r="CD1212" s="250"/>
      <c r="CE1212" s="250"/>
      <c r="CF1212" s="250"/>
      <c r="CG1212" s="250"/>
      <c r="CH1212" s="250"/>
      <c r="CI1212" s="250"/>
      <c r="CJ1212" s="250"/>
      <c r="CK1212" s="250"/>
      <c r="DQ1212" s="339"/>
      <c r="DR1212" s="339"/>
      <c r="DS1212" s="339"/>
      <c r="EP1212" s="340"/>
      <c r="FS1212" s="341"/>
      <c r="GI1212" s="342"/>
    </row>
    <row r="1213" spans="1:191" s="329" customFormat="1" ht="36" customHeight="1" x14ac:dyDescent="0.25">
      <c r="B1213" s="33" t="s">
        <v>112</v>
      </c>
      <c r="C1213" s="33"/>
      <c r="D1213" s="330" t="s">
        <v>131</v>
      </c>
      <c r="E1213" s="330" t="s">
        <v>131</v>
      </c>
      <c r="F1213" s="330" t="s">
        <v>131</v>
      </c>
      <c r="G1213" s="330" t="s">
        <v>131</v>
      </c>
      <c r="H1213" s="330" t="s">
        <v>131</v>
      </c>
      <c r="I1213" s="334">
        <f>SUM(I1214:I1216)</f>
        <v>9352.4</v>
      </c>
      <c r="J1213" s="334">
        <f>SUM(J1214:J1216)</f>
        <v>9002.2999999999993</v>
      </c>
      <c r="K1213" s="334">
        <f>SUM(K1214:K1216)</f>
        <v>8355.619999999999</v>
      </c>
      <c r="L1213" s="332">
        <f>SUM(L1214:L1216)</f>
        <v>384</v>
      </c>
      <c r="M1213" s="330" t="s">
        <v>131</v>
      </c>
      <c r="N1213" s="330" t="s">
        <v>131</v>
      </c>
      <c r="O1213" s="333" t="s">
        <v>131</v>
      </c>
      <c r="P1213" s="38">
        <v>16849360.93</v>
      </c>
      <c r="Q1213" s="38">
        <f>Q1214+Q1215+Q1216</f>
        <v>0</v>
      </c>
      <c r="R1213" s="38">
        <f>R1214+R1215+R1216</f>
        <v>0</v>
      </c>
      <c r="S1213" s="38">
        <f>S1214+S1215+S1216</f>
        <v>16849360.93</v>
      </c>
      <c r="T1213" s="38">
        <f t="shared" si="255"/>
        <v>1801.6082428039863</v>
      </c>
      <c r="U1213" s="38">
        <f>MAX(U1214:U1216)</f>
        <v>3721.67</v>
      </c>
      <c r="V1213" s="458">
        <f t="shared" si="254"/>
        <v>1920.0617571960138</v>
      </c>
      <c r="W1213" s="458"/>
      <c r="X1213" s="458"/>
      <c r="Y1213" s="459"/>
      <c r="Z1213" s="459"/>
      <c r="AA1213" s="459"/>
      <c r="AB1213" s="459"/>
      <c r="AC1213" s="459"/>
      <c r="AD1213" s="459"/>
      <c r="AE1213" s="459"/>
      <c r="AF1213" s="459"/>
      <c r="AG1213" s="459"/>
      <c r="AH1213" s="459"/>
      <c r="AI1213" s="459"/>
      <c r="AJ1213" s="459"/>
      <c r="AK1213" s="459"/>
      <c r="AL1213" s="459"/>
      <c r="AM1213" s="459"/>
      <c r="AN1213" s="459"/>
      <c r="AO1213" s="459"/>
      <c r="AP1213" s="460"/>
      <c r="AQ1213" s="460"/>
      <c r="AR1213" s="460"/>
      <c r="AS1213" s="460"/>
      <c r="AT1213" s="460"/>
      <c r="AU1213" s="460"/>
      <c r="AV1213" s="460"/>
      <c r="AW1213" s="460"/>
      <c r="AX1213" s="460"/>
      <c r="AY1213" s="460"/>
      <c r="AZ1213" s="460"/>
      <c r="BA1213" s="460"/>
      <c r="BB1213" s="460"/>
      <c r="BC1213" s="460"/>
      <c r="BD1213" s="460"/>
      <c r="BE1213" s="460"/>
      <c r="BF1213" s="460"/>
      <c r="BG1213" s="460"/>
      <c r="BH1213" s="460"/>
      <c r="BI1213" s="460"/>
      <c r="BJ1213" s="460"/>
      <c r="BK1213" s="460"/>
      <c r="BL1213" s="460"/>
      <c r="BM1213" s="460"/>
      <c r="BN1213" s="460"/>
      <c r="BO1213" s="460"/>
      <c r="BP1213" s="460"/>
      <c r="BQ1213" s="460"/>
      <c r="BR1213" s="460"/>
      <c r="BS1213" s="460"/>
      <c r="BT1213" s="460"/>
      <c r="BU1213" s="460"/>
      <c r="BV1213" s="460"/>
      <c r="BW1213" s="460"/>
      <c r="BX1213" s="460"/>
      <c r="BY1213" s="460"/>
      <c r="BZ1213" s="460"/>
      <c r="CA1213" s="460"/>
      <c r="CB1213" s="460"/>
      <c r="CC1213" s="460"/>
      <c r="CD1213" s="460"/>
      <c r="CE1213" s="460"/>
      <c r="CF1213" s="460"/>
      <c r="CG1213" s="460"/>
      <c r="CH1213" s="460"/>
      <c r="CI1213" s="460"/>
      <c r="CJ1213" s="460"/>
      <c r="CK1213" s="460"/>
    </row>
    <row r="1214" spans="1:191" s="266" customFormat="1" ht="36" customHeight="1" x14ac:dyDescent="0.25">
      <c r="A1214" s="329">
        <v>1</v>
      </c>
      <c r="B1214" s="39">
        <f>SUBTOTAL(103,$A$1000:A1214)</f>
        <v>179</v>
      </c>
      <c r="C1214" s="336" t="s">
        <v>1876</v>
      </c>
      <c r="D1214" s="330">
        <v>1977</v>
      </c>
      <c r="E1214" s="330"/>
      <c r="F1214" s="337" t="s">
        <v>48</v>
      </c>
      <c r="G1214" s="330">
        <v>5</v>
      </c>
      <c r="H1214" s="330" t="s">
        <v>1969</v>
      </c>
      <c r="I1214" s="334">
        <v>4338.6000000000004</v>
      </c>
      <c r="J1214" s="334">
        <v>4154.6000000000004</v>
      </c>
      <c r="K1214" s="334">
        <v>3916.52</v>
      </c>
      <c r="L1214" s="338">
        <v>177</v>
      </c>
      <c r="M1214" s="330" t="s">
        <v>46</v>
      </c>
      <c r="N1214" s="330" t="s">
        <v>50</v>
      </c>
      <c r="O1214" s="330" t="s">
        <v>2084</v>
      </c>
      <c r="P1214" s="334">
        <v>5782944.25</v>
      </c>
      <c r="Q1214" s="334">
        <v>0</v>
      </c>
      <c r="R1214" s="334">
        <v>0</v>
      </c>
      <c r="S1214" s="334">
        <f>P1214-Q1214-R1214</f>
        <v>5782944.25</v>
      </c>
      <c r="T1214" s="38">
        <f t="shared" si="255"/>
        <v>1332.905603189969</v>
      </c>
      <c r="U1214" s="38">
        <v>1511.5878495367165</v>
      </c>
      <c r="V1214" s="458">
        <f t="shared" si="254"/>
        <v>178.68224634674743</v>
      </c>
      <c r="W1214" s="458">
        <f t="shared" ref="W1214:W1216" si="263">X1214+Y1214+Z1214+AA1214+AB1214+AD1214+AF1214+AH1214+AJ1214+AL1214+AN1214+AO1214</f>
        <v>1506.4495726732123</v>
      </c>
      <c r="X1214" s="458">
        <v>0</v>
      </c>
      <c r="Y1214" s="459">
        <v>0</v>
      </c>
      <c r="Z1214" s="459">
        <v>0</v>
      </c>
      <c r="AA1214" s="459">
        <v>0</v>
      </c>
      <c r="AB1214" s="459">
        <v>0</v>
      </c>
      <c r="AC1214" s="459">
        <v>0</v>
      </c>
      <c r="AD1214" s="459">
        <v>0</v>
      </c>
      <c r="AE1214" s="459">
        <v>1047.5999999999999</v>
      </c>
      <c r="AF1214" s="458">
        <f>6238.91*AE1214/I1214</f>
        <v>1506.4495726732123</v>
      </c>
      <c r="AG1214" s="459">
        <v>0</v>
      </c>
      <c r="AH1214" s="458">
        <v>0</v>
      </c>
      <c r="AI1214" s="459">
        <v>0</v>
      </c>
      <c r="AJ1214" s="458">
        <v>0</v>
      </c>
      <c r="AK1214" s="459">
        <v>0</v>
      </c>
      <c r="AL1214" s="459">
        <v>0</v>
      </c>
      <c r="AM1214" s="459">
        <v>0</v>
      </c>
      <c r="AN1214" s="459"/>
      <c r="AO1214" s="459">
        <v>0</v>
      </c>
      <c r="AP1214" s="460"/>
      <c r="AQ1214" s="250"/>
      <c r="AR1214" s="250"/>
      <c r="AS1214" s="250"/>
      <c r="AT1214" s="250"/>
      <c r="AU1214" s="250"/>
      <c r="AV1214" s="250"/>
      <c r="AW1214" s="250"/>
      <c r="AX1214" s="250"/>
      <c r="AY1214" s="250"/>
      <c r="AZ1214" s="250"/>
      <c r="BA1214" s="250"/>
      <c r="BB1214" s="250"/>
      <c r="BC1214" s="250"/>
      <c r="BD1214" s="250"/>
      <c r="BE1214" s="250"/>
      <c r="BF1214" s="250"/>
      <c r="BG1214" s="250"/>
      <c r="BH1214" s="250"/>
      <c r="BI1214" s="250"/>
      <c r="BJ1214" s="250"/>
      <c r="BK1214" s="250"/>
      <c r="BL1214" s="250"/>
      <c r="BM1214" s="250"/>
      <c r="BN1214" s="250"/>
      <c r="BO1214" s="250"/>
      <c r="BP1214" s="250"/>
      <c r="BQ1214" s="250"/>
      <c r="BR1214" s="250"/>
      <c r="BS1214" s="250"/>
      <c r="BT1214" s="250"/>
      <c r="BU1214" s="250"/>
      <c r="BV1214" s="250"/>
      <c r="BW1214" s="250"/>
      <c r="BX1214" s="250"/>
      <c r="BY1214" s="250"/>
      <c r="BZ1214" s="250"/>
      <c r="CA1214" s="250"/>
      <c r="CB1214" s="250"/>
      <c r="CC1214" s="250"/>
      <c r="CD1214" s="250"/>
      <c r="CE1214" s="250"/>
      <c r="CF1214" s="250"/>
      <c r="CG1214" s="250"/>
      <c r="CH1214" s="250"/>
      <c r="CI1214" s="250"/>
      <c r="CJ1214" s="250"/>
      <c r="CK1214" s="250"/>
      <c r="DQ1214" s="339"/>
      <c r="DR1214" s="339"/>
      <c r="DS1214" s="339"/>
      <c r="EP1214" s="340"/>
      <c r="FS1214" s="341"/>
      <c r="GI1214" s="342"/>
    </row>
    <row r="1215" spans="1:191" s="266" customFormat="1" ht="36" customHeight="1" x14ac:dyDescent="0.25">
      <c r="A1215" s="329">
        <v>1</v>
      </c>
      <c r="B1215" s="39">
        <f>SUBTOTAL(103,$A$1000:A1215)</f>
        <v>180</v>
      </c>
      <c r="C1215" s="336" t="s">
        <v>1877</v>
      </c>
      <c r="D1215" s="330">
        <v>1965</v>
      </c>
      <c r="E1215" s="330"/>
      <c r="F1215" s="337" t="s">
        <v>48</v>
      </c>
      <c r="G1215" s="330">
        <v>4</v>
      </c>
      <c r="H1215" s="330" t="s">
        <v>59</v>
      </c>
      <c r="I1215" s="334">
        <v>2512.9</v>
      </c>
      <c r="J1215" s="334">
        <v>2431.4</v>
      </c>
      <c r="K1215" s="334">
        <v>2131.1999999999998</v>
      </c>
      <c r="L1215" s="338">
        <v>90</v>
      </c>
      <c r="M1215" s="330" t="s">
        <v>46</v>
      </c>
      <c r="N1215" s="330" t="s">
        <v>50</v>
      </c>
      <c r="O1215" s="330" t="s">
        <v>2084</v>
      </c>
      <c r="P1215" s="334">
        <v>6823737.3099999996</v>
      </c>
      <c r="Q1215" s="334">
        <v>0</v>
      </c>
      <c r="R1215" s="334">
        <v>0</v>
      </c>
      <c r="S1215" s="334">
        <f>P1215-Q1215-R1215</f>
        <v>6823737.3099999996</v>
      </c>
      <c r="T1215" s="38">
        <f t="shared" si="255"/>
        <v>2715.4830315571648</v>
      </c>
      <c r="U1215" s="38">
        <v>3086.3740662183131</v>
      </c>
      <c r="V1215" s="458">
        <f t="shared" si="254"/>
        <v>370.8910346611483</v>
      </c>
      <c r="W1215" s="458">
        <f t="shared" si="263"/>
        <v>3075.8826849456805</v>
      </c>
      <c r="X1215" s="458">
        <v>0</v>
      </c>
      <c r="Y1215" s="459">
        <v>0</v>
      </c>
      <c r="Z1215" s="459">
        <v>0</v>
      </c>
      <c r="AA1215" s="459">
        <v>0</v>
      </c>
      <c r="AB1215" s="459">
        <v>0</v>
      </c>
      <c r="AC1215" s="459">
        <v>0</v>
      </c>
      <c r="AD1215" s="459">
        <v>0</v>
      </c>
      <c r="AE1215" s="459">
        <v>1238.9000000000001</v>
      </c>
      <c r="AF1215" s="458">
        <f>6238.91*AE1215/I1215</f>
        <v>3075.8826849456805</v>
      </c>
      <c r="AG1215" s="459">
        <v>0</v>
      </c>
      <c r="AH1215" s="458">
        <v>0</v>
      </c>
      <c r="AI1215" s="459">
        <v>0</v>
      </c>
      <c r="AJ1215" s="458">
        <v>0</v>
      </c>
      <c r="AK1215" s="459">
        <v>0</v>
      </c>
      <c r="AL1215" s="459">
        <v>0</v>
      </c>
      <c r="AM1215" s="459">
        <v>0</v>
      </c>
      <c r="AN1215" s="459"/>
      <c r="AO1215" s="459">
        <v>0</v>
      </c>
      <c r="AP1215" s="460"/>
      <c r="AQ1215" s="250"/>
      <c r="AR1215" s="250"/>
      <c r="AS1215" s="250"/>
      <c r="AT1215" s="250"/>
      <c r="AU1215" s="250"/>
      <c r="AV1215" s="250"/>
      <c r="AW1215" s="250"/>
      <c r="AX1215" s="250"/>
      <c r="AY1215" s="250"/>
      <c r="AZ1215" s="250"/>
      <c r="BA1215" s="250"/>
      <c r="BB1215" s="250"/>
      <c r="BC1215" s="250"/>
      <c r="BD1215" s="250"/>
      <c r="BE1215" s="250"/>
      <c r="BF1215" s="250"/>
      <c r="BG1215" s="250"/>
      <c r="BH1215" s="250"/>
      <c r="BI1215" s="250"/>
      <c r="BJ1215" s="250"/>
      <c r="BK1215" s="250"/>
      <c r="BL1215" s="250"/>
      <c r="BM1215" s="250"/>
      <c r="BN1215" s="250"/>
      <c r="BO1215" s="250"/>
      <c r="BP1215" s="250"/>
      <c r="BQ1215" s="250"/>
      <c r="BR1215" s="250"/>
      <c r="BS1215" s="250"/>
      <c r="BT1215" s="250"/>
      <c r="BU1215" s="250"/>
      <c r="BV1215" s="250"/>
      <c r="BW1215" s="250"/>
      <c r="BX1215" s="250"/>
      <c r="BY1215" s="250"/>
      <c r="BZ1215" s="250"/>
      <c r="CA1215" s="250"/>
      <c r="CB1215" s="250"/>
      <c r="CC1215" s="250"/>
      <c r="CD1215" s="250"/>
      <c r="CE1215" s="250"/>
      <c r="CF1215" s="250"/>
      <c r="CG1215" s="250"/>
      <c r="CH1215" s="250"/>
      <c r="CI1215" s="250"/>
      <c r="CJ1215" s="250"/>
      <c r="CK1215" s="250"/>
      <c r="DQ1215" s="339"/>
      <c r="DR1215" s="339"/>
      <c r="DS1215" s="339"/>
      <c r="EP1215" s="340"/>
      <c r="FS1215" s="341"/>
      <c r="GI1215" s="342"/>
    </row>
    <row r="1216" spans="1:191" s="266" customFormat="1" ht="36" customHeight="1" x14ac:dyDescent="0.25">
      <c r="A1216" s="329">
        <v>1</v>
      </c>
      <c r="B1216" s="39">
        <f>SUBTOTAL(103,$A$1000:A1216)</f>
        <v>181</v>
      </c>
      <c r="C1216" s="336" t="s">
        <v>1878</v>
      </c>
      <c r="D1216" s="330">
        <v>1967</v>
      </c>
      <c r="E1216" s="330"/>
      <c r="F1216" s="337" t="s">
        <v>48</v>
      </c>
      <c r="G1216" s="330">
        <v>4</v>
      </c>
      <c r="H1216" s="330" t="s">
        <v>59</v>
      </c>
      <c r="I1216" s="334">
        <v>2500.9</v>
      </c>
      <c r="J1216" s="334">
        <v>2416.3000000000002</v>
      </c>
      <c r="K1216" s="334">
        <v>2307.9</v>
      </c>
      <c r="L1216" s="338">
        <v>117</v>
      </c>
      <c r="M1216" s="330" t="s">
        <v>46</v>
      </c>
      <c r="N1216" s="330" t="s">
        <v>50</v>
      </c>
      <c r="O1216" s="330" t="s">
        <v>2084</v>
      </c>
      <c r="P1216" s="334">
        <v>4242679.37</v>
      </c>
      <c r="Q1216" s="334">
        <v>0</v>
      </c>
      <c r="R1216" s="334">
        <v>0</v>
      </c>
      <c r="S1216" s="334">
        <f>P1216-Q1216-R1216</f>
        <v>4242679.37</v>
      </c>
      <c r="T1216" s="38">
        <f t="shared" si="255"/>
        <v>1696.4610220320685</v>
      </c>
      <c r="U1216" s="38">
        <v>3721.67</v>
      </c>
      <c r="V1216" s="458">
        <f t="shared" si="254"/>
        <v>2025.2089779679316</v>
      </c>
      <c r="W1216" s="458">
        <f t="shared" si="263"/>
        <v>3791.6299999999997</v>
      </c>
      <c r="X1216" s="458">
        <v>101.55</v>
      </c>
      <c r="Y1216" s="459">
        <v>245.44</v>
      </c>
      <c r="Z1216" s="459">
        <v>3259.66</v>
      </c>
      <c r="AA1216" s="459">
        <v>184.98</v>
      </c>
      <c r="AB1216" s="459">
        <v>0</v>
      </c>
      <c r="AC1216" s="459">
        <v>0</v>
      </c>
      <c r="AD1216" s="459">
        <v>0</v>
      </c>
      <c r="AE1216" s="459">
        <v>0</v>
      </c>
      <c r="AF1216" s="458">
        <v>0</v>
      </c>
      <c r="AG1216" s="459">
        <v>0</v>
      </c>
      <c r="AH1216" s="458">
        <v>0</v>
      </c>
      <c r="AI1216" s="459">
        <v>0</v>
      </c>
      <c r="AJ1216" s="458">
        <v>0</v>
      </c>
      <c r="AK1216" s="459">
        <v>0</v>
      </c>
      <c r="AL1216" s="459">
        <v>0</v>
      </c>
      <c r="AM1216" s="459">
        <v>0</v>
      </c>
      <c r="AN1216" s="459"/>
      <c r="AO1216" s="459">
        <v>0</v>
      </c>
      <c r="AP1216" s="460"/>
      <c r="AQ1216" s="250"/>
      <c r="AR1216" s="250"/>
      <c r="AS1216" s="250"/>
      <c r="AT1216" s="250"/>
      <c r="AU1216" s="250"/>
      <c r="AV1216" s="250"/>
      <c r="AW1216" s="250"/>
      <c r="AX1216" s="250"/>
      <c r="AY1216" s="250"/>
      <c r="AZ1216" s="250"/>
      <c r="BA1216" s="250"/>
      <c r="BB1216" s="250"/>
      <c r="BC1216" s="250"/>
      <c r="BD1216" s="250"/>
      <c r="BE1216" s="250"/>
      <c r="BF1216" s="250"/>
      <c r="BG1216" s="250"/>
      <c r="BH1216" s="250"/>
      <c r="BI1216" s="250"/>
      <c r="BJ1216" s="250"/>
      <c r="BK1216" s="250"/>
      <c r="BL1216" s="250"/>
      <c r="BM1216" s="250"/>
      <c r="BN1216" s="250"/>
      <c r="BO1216" s="250"/>
      <c r="BP1216" s="250"/>
      <c r="BQ1216" s="250"/>
      <c r="BR1216" s="250"/>
      <c r="BS1216" s="250"/>
      <c r="BT1216" s="250"/>
      <c r="BU1216" s="250"/>
      <c r="BV1216" s="250"/>
      <c r="BW1216" s="250"/>
      <c r="BX1216" s="250"/>
      <c r="BY1216" s="250"/>
      <c r="BZ1216" s="250"/>
      <c r="CA1216" s="250"/>
      <c r="CB1216" s="250"/>
      <c r="CC1216" s="250"/>
      <c r="CD1216" s="250"/>
      <c r="CE1216" s="250"/>
      <c r="CF1216" s="250"/>
      <c r="CG1216" s="250"/>
      <c r="CH1216" s="250"/>
      <c r="CI1216" s="250"/>
      <c r="CJ1216" s="250"/>
      <c r="CK1216" s="250"/>
      <c r="DQ1216" s="339"/>
      <c r="DR1216" s="339"/>
      <c r="DS1216" s="339"/>
      <c r="EP1216" s="340"/>
      <c r="FS1216" s="341"/>
      <c r="GI1216" s="342"/>
    </row>
    <row r="1217" spans="1:191" s="329" customFormat="1" ht="36" customHeight="1" x14ac:dyDescent="0.25">
      <c r="B1217" s="33" t="s">
        <v>1358</v>
      </c>
      <c r="C1217" s="33"/>
      <c r="D1217" s="330" t="s">
        <v>131</v>
      </c>
      <c r="E1217" s="330" t="s">
        <v>131</v>
      </c>
      <c r="F1217" s="330" t="s">
        <v>131</v>
      </c>
      <c r="G1217" s="330" t="s">
        <v>131</v>
      </c>
      <c r="H1217" s="330" t="s">
        <v>131</v>
      </c>
      <c r="I1217" s="334">
        <f>I1218</f>
        <v>2168.41</v>
      </c>
      <c r="J1217" s="334">
        <f>J1218</f>
        <v>1286.56</v>
      </c>
      <c r="K1217" s="334">
        <f>K1218</f>
        <v>1251.51</v>
      </c>
      <c r="L1217" s="332">
        <f>L1218</f>
        <v>63</v>
      </c>
      <c r="M1217" s="330" t="s">
        <v>131</v>
      </c>
      <c r="N1217" s="330" t="s">
        <v>131</v>
      </c>
      <c r="O1217" s="333" t="s">
        <v>131</v>
      </c>
      <c r="P1217" s="38">
        <v>2872957.67</v>
      </c>
      <c r="Q1217" s="38">
        <f>Q1218</f>
        <v>0</v>
      </c>
      <c r="R1217" s="38">
        <f>R1218</f>
        <v>0</v>
      </c>
      <c r="S1217" s="38">
        <f>S1218</f>
        <v>2872957.67</v>
      </c>
      <c r="T1217" s="38">
        <f t="shared" si="255"/>
        <v>1324.9144165540649</v>
      </c>
      <c r="U1217" s="38">
        <f>U1218</f>
        <v>2576.4374197684019</v>
      </c>
      <c r="V1217" s="458">
        <f t="shared" si="254"/>
        <v>1251.523003214337</v>
      </c>
      <c r="W1217" s="458"/>
      <c r="X1217" s="458"/>
      <c r="Y1217" s="459"/>
      <c r="Z1217" s="459"/>
      <c r="AA1217" s="459"/>
      <c r="AB1217" s="459"/>
      <c r="AC1217" s="459"/>
      <c r="AD1217" s="459"/>
      <c r="AE1217" s="459"/>
      <c r="AF1217" s="459"/>
      <c r="AG1217" s="459"/>
      <c r="AH1217" s="459"/>
      <c r="AI1217" s="459"/>
      <c r="AJ1217" s="459"/>
      <c r="AK1217" s="459"/>
      <c r="AL1217" s="459"/>
      <c r="AM1217" s="459"/>
      <c r="AN1217" s="459"/>
      <c r="AO1217" s="459"/>
      <c r="AP1217" s="460"/>
      <c r="AQ1217" s="460"/>
      <c r="AR1217" s="460"/>
      <c r="AS1217" s="460"/>
      <c r="AT1217" s="460"/>
      <c r="AU1217" s="460"/>
      <c r="AV1217" s="460"/>
      <c r="AW1217" s="460"/>
      <c r="AX1217" s="460"/>
      <c r="AY1217" s="460"/>
      <c r="AZ1217" s="460"/>
      <c r="BA1217" s="460"/>
      <c r="BB1217" s="460"/>
      <c r="BC1217" s="460"/>
      <c r="BD1217" s="460"/>
      <c r="BE1217" s="460"/>
      <c r="BF1217" s="460"/>
      <c r="BG1217" s="460"/>
      <c r="BH1217" s="460"/>
      <c r="BI1217" s="460"/>
      <c r="BJ1217" s="460"/>
      <c r="BK1217" s="460"/>
      <c r="BL1217" s="460"/>
      <c r="BM1217" s="460"/>
      <c r="BN1217" s="460"/>
      <c r="BO1217" s="460"/>
      <c r="BP1217" s="460"/>
      <c r="BQ1217" s="460"/>
      <c r="BR1217" s="460"/>
      <c r="BS1217" s="460"/>
      <c r="BT1217" s="460"/>
      <c r="BU1217" s="460"/>
      <c r="BV1217" s="460"/>
      <c r="BW1217" s="460"/>
      <c r="BX1217" s="460"/>
      <c r="BY1217" s="460"/>
      <c r="BZ1217" s="460"/>
      <c r="CA1217" s="460"/>
      <c r="CB1217" s="460"/>
      <c r="CC1217" s="460"/>
      <c r="CD1217" s="460"/>
      <c r="CE1217" s="460"/>
      <c r="CF1217" s="460"/>
      <c r="CG1217" s="460"/>
      <c r="CH1217" s="460"/>
      <c r="CI1217" s="460"/>
      <c r="CJ1217" s="460"/>
      <c r="CK1217" s="460"/>
    </row>
    <row r="1218" spans="1:191" s="266" customFormat="1" ht="36" customHeight="1" x14ac:dyDescent="0.25">
      <c r="A1218" s="329">
        <v>1</v>
      </c>
      <c r="B1218" s="39">
        <f>SUBTOTAL(103,$A$1000:A1218)</f>
        <v>182</v>
      </c>
      <c r="C1218" s="336" t="s">
        <v>1879</v>
      </c>
      <c r="D1218" s="330">
        <v>1954</v>
      </c>
      <c r="E1218" s="330"/>
      <c r="F1218" s="337" t="s">
        <v>48</v>
      </c>
      <c r="G1218" s="330">
        <v>3</v>
      </c>
      <c r="H1218" s="330" t="s">
        <v>61</v>
      </c>
      <c r="I1218" s="334">
        <v>2168.41</v>
      </c>
      <c r="J1218" s="334">
        <v>1286.56</v>
      </c>
      <c r="K1218" s="334">
        <v>1251.51</v>
      </c>
      <c r="L1218" s="338">
        <v>63</v>
      </c>
      <c r="M1218" s="330" t="s">
        <v>46</v>
      </c>
      <c r="N1218" s="330" t="s">
        <v>50</v>
      </c>
      <c r="O1218" s="330" t="s">
        <v>2086</v>
      </c>
      <c r="P1218" s="334">
        <v>2872957.67</v>
      </c>
      <c r="Q1218" s="334">
        <v>0</v>
      </c>
      <c r="R1218" s="334">
        <v>0</v>
      </c>
      <c r="S1218" s="334">
        <f>P1218-Q1218-R1218</f>
        <v>2872957.67</v>
      </c>
      <c r="T1218" s="38">
        <f t="shared" si="255"/>
        <v>1324.9144165540649</v>
      </c>
      <c r="U1218" s="38">
        <v>2576.4374197684019</v>
      </c>
      <c r="V1218" s="458">
        <f>U1218-T1218</f>
        <v>1251.523003214337</v>
      </c>
      <c r="W1218" s="458">
        <f>X1218+Y1218+Z1218+AA1218+AB1218+AD1218+AF1218+AH1218+AJ1218+AL1218+AN1218+AO1218</f>
        <v>2576.4374197684019</v>
      </c>
      <c r="X1218" s="458">
        <v>0</v>
      </c>
      <c r="Y1218" s="459">
        <v>0</v>
      </c>
      <c r="Z1218" s="459">
        <v>0</v>
      </c>
      <c r="AA1218" s="459">
        <v>0</v>
      </c>
      <c r="AB1218" s="459">
        <v>0</v>
      </c>
      <c r="AC1218" s="459">
        <v>0</v>
      </c>
      <c r="AD1218" s="459">
        <v>0</v>
      </c>
      <c r="AE1218" s="459">
        <v>0</v>
      </c>
      <c r="AF1218" s="458">
        <v>0</v>
      </c>
      <c r="AG1218" s="459">
        <v>0</v>
      </c>
      <c r="AH1218" s="458">
        <v>0</v>
      </c>
      <c r="AI1218" s="459">
        <v>0</v>
      </c>
      <c r="AJ1218" s="458">
        <v>0</v>
      </c>
      <c r="AK1218" s="459">
        <v>72.77</v>
      </c>
      <c r="AL1218" s="458">
        <f>76773.02*AK1218/I1218</f>
        <v>2576.4374197684019</v>
      </c>
      <c r="AM1218" s="459">
        <v>0</v>
      </c>
      <c r="AN1218" s="459"/>
      <c r="AO1218" s="459">
        <v>0</v>
      </c>
      <c r="AP1218" s="460"/>
      <c r="AQ1218" s="250"/>
      <c r="AR1218" s="250"/>
      <c r="AS1218" s="250"/>
      <c r="AT1218" s="250"/>
      <c r="AU1218" s="250"/>
      <c r="AV1218" s="250"/>
      <c r="AW1218" s="250"/>
      <c r="AX1218" s="250"/>
      <c r="AY1218" s="250"/>
      <c r="AZ1218" s="250"/>
      <c r="BA1218" s="250"/>
      <c r="BB1218" s="250"/>
      <c r="BC1218" s="250"/>
      <c r="BD1218" s="250"/>
      <c r="BE1218" s="250"/>
      <c r="BF1218" s="250"/>
      <c r="BG1218" s="250"/>
      <c r="BH1218" s="250"/>
      <c r="BI1218" s="250"/>
      <c r="BJ1218" s="250"/>
      <c r="BK1218" s="250"/>
      <c r="BL1218" s="250"/>
      <c r="BM1218" s="250"/>
      <c r="BN1218" s="250"/>
      <c r="BO1218" s="250"/>
      <c r="BP1218" s="250"/>
      <c r="BQ1218" s="250"/>
      <c r="BR1218" s="250"/>
      <c r="BS1218" s="250"/>
      <c r="BT1218" s="250"/>
      <c r="BU1218" s="250"/>
      <c r="BV1218" s="250"/>
      <c r="BW1218" s="250"/>
      <c r="BX1218" s="250"/>
      <c r="BY1218" s="250"/>
      <c r="BZ1218" s="250"/>
      <c r="CA1218" s="250"/>
      <c r="CB1218" s="250"/>
      <c r="CC1218" s="250"/>
      <c r="CD1218" s="250"/>
      <c r="CE1218" s="250"/>
      <c r="CF1218" s="250"/>
      <c r="CG1218" s="250"/>
      <c r="CH1218" s="250"/>
      <c r="CI1218" s="250"/>
      <c r="CJ1218" s="250"/>
      <c r="CK1218" s="250"/>
      <c r="DQ1218" s="339"/>
      <c r="DR1218" s="339"/>
      <c r="DS1218" s="339"/>
      <c r="EP1218" s="340"/>
      <c r="FS1218" s="341"/>
      <c r="GI1218" s="342"/>
    </row>
    <row r="1219" spans="1:191" s="329" customFormat="1" ht="36" customHeight="1" x14ac:dyDescent="0.25">
      <c r="B1219" s="33" t="s">
        <v>1361</v>
      </c>
      <c r="C1219" s="33"/>
      <c r="D1219" s="330" t="s">
        <v>90</v>
      </c>
      <c r="E1219" s="330" t="s">
        <v>90</v>
      </c>
      <c r="F1219" s="330" t="s">
        <v>90</v>
      </c>
      <c r="G1219" s="330" t="s">
        <v>90</v>
      </c>
      <c r="H1219" s="330" t="s">
        <v>90</v>
      </c>
      <c r="I1219" s="334">
        <f>I1220</f>
        <v>780.3</v>
      </c>
      <c r="J1219" s="334">
        <f>J1220</f>
        <v>720.3</v>
      </c>
      <c r="K1219" s="334">
        <f>K1220</f>
        <v>720.3</v>
      </c>
      <c r="L1219" s="332">
        <f>L1220</f>
        <v>40</v>
      </c>
      <c r="M1219" s="330" t="s">
        <v>131</v>
      </c>
      <c r="N1219" s="330" t="s">
        <v>131</v>
      </c>
      <c r="O1219" s="333" t="s">
        <v>131</v>
      </c>
      <c r="P1219" s="38">
        <v>2311215.4500000002</v>
      </c>
      <c r="Q1219" s="38">
        <f>Q1220</f>
        <v>0</v>
      </c>
      <c r="R1219" s="38">
        <f>R1220</f>
        <v>0</v>
      </c>
      <c r="S1219" s="38">
        <f>S1220</f>
        <v>2311215.4500000002</v>
      </c>
      <c r="T1219" s="38">
        <f t="shared" si="255"/>
        <v>2961.9575163398695</v>
      </c>
      <c r="U1219" s="38">
        <f>U1220</f>
        <v>3770.7154940407536</v>
      </c>
      <c r="V1219" s="458">
        <f t="shared" si="254"/>
        <v>808.75797770088411</v>
      </c>
      <c r="W1219" s="458"/>
      <c r="X1219" s="458"/>
      <c r="Y1219" s="459"/>
      <c r="Z1219" s="459"/>
      <c r="AA1219" s="459"/>
      <c r="AB1219" s="459"/>
      <c r="AC1219" s="459"/>
      <c r="AD1219" s="459"/>
      <c r="AE1219" s="459"/>
      <c r="AF1219" s="459"/>
      <c r="AG1219" s="459"/>
      <c r="AH1219" s="459"/>
      <c r="AI1219" s="459"/>
      <c r="AJ1219" s="459"/>
      <c r="AK1219" s="459"/>
      <c r="AL1219" s="459"/>
      <c r="AM1219" s="459"/>
      <c r="AN1219" s="459"/>
      <c r="AO1219" s="459"/>
      <c r="AP1219" s="460"/>
      <c r="AQ1219" s="460"/>
      <c r="AR1219" s="460"/>
      <c r="AS1219" s="460"/>
      <c r="AT1219" s="460"/>
      <c r="AU1219" s="460"/>
      <c r="AV1219" s="460"/>
      <c r="AW1219" s="460"/>
      <c r="AX1219" s="460"/>
      <c r="AY1219" s="460"/>
      <c r="AZ1219" s="460"/>
      <c r="BA1219" s="460"/>
      <c r="BB1219" s="460"/>
      <c r="BC1219" s="460"/>
      <c r="BD1219" s="460"/>
      <c r="BE1219" s="460"/>
      <c r="BF1219" s="460"/>
      <c r="BG1219" s="460"/>
      <c r="BH1219" s="460"/>
      <c r="BI1219" s="460"/>
      <c r="BJ1219" s="460"/>
      <c r="BK1219" s="460"/>
      <c r="BL1219" s="460"/>
      <c r="BM1219" s="460"/>
      <c r="BN1219" s="460"/>
      <c r="BO1219" s="460"/>
      <c r="BP1219" s="460"/>
      <c r="BQ1219" s="460"/>
      <c r="BR1219" s="460"/>
      <c r="BS1219" s="460"/>
      <c r="BT1219" s="460"/>
      <c r="BU1219" s="460"/>
      <c r="BV1219" s="460"/>
      <c r="BW1219" s="460"/>
      <c r="BX1219" s="460"/>
      <c r="BY1219" s="460"/>
      <c r="BZ1219" s="460"/>
      <c r="CA1219" s="460"/>
      <c r="CB1219" s="460"/>
      <c r="CC1219" s="460"/>
      <c r="CD1219" s="460"/>
      <c r="CE1219" s="460"/>
      <c r="CF1219" s="460"/>
      <c r="CG1219" s="460"/>
      <c r="CH1219" s="460"/>
      <c r="CI1219" s="460"/>
      <c r="CJ1219" s="460"/>
      <c r="CK1219" s="460"/>
    </row>
    <row r="1220" spans="1:191" s="266" customFormat="1" ht="36" customHeight="1" x14ac:dyDescent="0.25">
      <c r="A1220" s="329">
        <v>1</v>
      </c>
      <c r="B1220" s="39">
        <f>SUBTOTAL(103,$A$1000:A1220)</f>
        <v>183</v>
      </c>
      <c r="C1220" s="336" t="s">
        <v>1880</v>
      </c>
      <c r="D1220" s="330">
        <v>1961</v>
      </c>
      <c r="E1220" s="330"/>
      <c r="F1220" s="337" t="s">
        <v>48</v>
      </c>
      <c r="G1220" s="330">
        <v>2</v>
      </c>
      <c r="H1220" s="330" t="s">
        <v>56</v>
      </c>
      <c r="I1220" s="334">
        <v>780.3</v>
      </c>
      <c r="J1220" s="334">
        <v>720.3</v>
      </c>
      <c r="K1220" s="334">
        <v>720.3</v>
      </c>
      <c r="L1220" s="338">
        <v>40</v>
      </c>
      <c r="M1220" s="330" t="s">
        <v>46</v>
      </c>
      <c r="N1220" s="330" t="s">
        <v>50</v>
      </c>
      <c r="O1220" s="330" t="s">
        <v>2087</v>
      </c>
      <c r="P1220" s="334">
        <v>2311215.4500000002</v>
      </c>
      <c r="Q1220" s="334">
        <v>0</v>
      </c>
      <c r="R1220" s="334">
        <v>0</v>
      </c>
      <c r="S1220" s="334">
        <f>P1220-Q1220-R1220</f>
        <v>2311215.4500000002</v>
      </c>
      <c r="T1220" s="38">
        <f t="shared" si="255"/>
        <v>2961.9575163398695</v>
      </c>
      <c r="U1220" s="38">
        <v>3770.7154940407536</v>
      </c>
      <c r="V1220" s="458">
        <f>U1220-T1220</f>
        <v>808.75797770088411</v>
      </c>
      <c r="W1220" s="458">
        <f>X1220+Y1220+Z1220+AA1220+AB1220+AD1220+AF1220+AH1220+AJ1220+AL1220+AN1220+AO1220</f>
        <v>3757.8978597975138</v>
      </c>
      <c r="X1220" s="458">
        <v>0</v>
      </c>
      <c r="Y1220" s="459">
        <v>0</v>
      </c>
      <c r="Z1220" s="459">
        <v>0</v>
      </c>
      <c r="AA1220" s="459">
        <v>0</v>
      </c>
      <c r="AB1220" s="459">
        <v>0</v>
      </c>
      <c r="AC1220" s="459">
        <v>0</v>
      </c>
      <c r="AD1220" s="459">
        <v>0</v>
      </c>
      <c r="AE1220" s="459">
        <v>470</v>
      </c>
      <c r="AF1220" s="458">
        <f>6238.91*AE1220/I1220</f>
        <v>3757.8978597975138</v>
      </c>
      <c r="AG1220" s="459">
        <v>0</v>
      </c>
      <c r="AH1220" s="458">
        <v>0</v>
      </c>
      <c r="AI1220" s="459">
        <v>0</v>
      </c>
      <c r="AJ1220" s="458">
        <v>0</v>
      </c>
      <c r="AK1220" s="459">
        <v>0</v>
      </c>
      <c r="AL1220" s="459">
        <v>0</v>
      </c>
      <c r="AM1220" s="459">
        <v>0</v>
      </c>
      <c r="AN1220" s="459"/>
      <c r="AO1220" s="459">
        <v>0</v>
      </c>
      <c r="AP1220" s="460"/>
      <c r="AQ1220" s="250"/>
      <c r="AR1220" s="250"/>
      <c r="AS1220" s="250"/>
      <c r="AT1220" s="250"/>
      <c r="AU1220" s="250"/>
      <c r="AV1220" s="250"/>
      <c r="AW1220" s="250"/>
      <c r="AX1220" s="250"/>
      <c r="AY1220" s="250"/>
      <c r="AZ1220" s="250"/>
      <c r="BA1220" s="250"/>
      <c r="BB1220" s="250"/>
      <c r="BC1220" s="250"/>
      <c r="BD1220" s="250"/>
      <c r="BE1220" s="250"/>
      <c r="BF1220" s="250"/>
      <c r="BG1220" s="250"/>
      <c r="BH1220" s="250"/>
      <c r="BI1220" s="250"/>
      <c r="BJ1220" s="250"/>
      <c r="BK1220" s="250"/>
      <c r="BL1220" s="250"/>
      <c r="BM1220" s="250"/>
      <c r="BN1220" s="250"/>
      <c r="BO1220" s="250"/>
      <c r="BP1220" s="250"/>
      <c r="BQ1220" s="250"/>
      <c r="BR1220" s="250"/>
      <c r="BS1220" s="250"/>
      <c r="BT1220" s="250"/>
      <c r="BU1220" s="250"/>
      <c r="BV1220" s="250"/>
      <c r="BW1220" s="250"/>
      <c r="BX1220" s="250"/>
      <c r="BY1220" s="250"/>
      <c r="BZ1220" s="250"/>
      <c r="CA1220" s="250"/>
      <c r="CB1220" s="250"/>
      <c r="CC1220" s="250"/>
      <c r="CD1220" s="250"/>
      <c r="CE1220" s="250"/>
      <c r="CF1220" s="250"/>
      <c r="CG1220" s="250"/>
      <c r="CH1220" s="250"/>
      <c r="CI1220" s="250"/>
      <c r="CJ1220" s="250"/>
      <c r="CK1220" s="250"/>
      <c r="DQ1220" s="339"/>
      <c r="DR1220" s="339"/>
      <c r="DS1220" s="339"/>
      <c r="EP1220" s="340"/>
      <c r="FS1220" s="341"/>
      <c r="GI1220" s="342"/>
    </row>
    <row r="1221" spans="1:191" s="329" customFormat="1" ht="36" customHeight="1" x14ac:dyDescent="0.25">
      <c r="B1221" s="33" t="s">
        <v>128</v>
      </c>
      <c r="C1221" s="33"/>
      <c r="D1221" s="330" t="s">
        <v>90</v>
      </c>
      <c r="E1221" s="330" t="s">
        <v>90</v>
      </c>
      <c r="F1221" s="330" t="s">
        <v>90</v>
      </c>
      <c r="G1221" s="330" t="s">
        <v>90</v>
      </c>
      <c r="H1221" s="330" t="s">
        <v>90</v>
      </c>
      <c r="I1221" s="334">
        <f>I1222</f>
        <v>540.79999999999995</v>
      </c>
      <c r="J1221" s="334">
        <f>J1222</f>
        <v>388.59</v>
      </c>
      <c r="K1221" s="334">
        <f>K1222</f>
        <v>251.8</v>
      </c>
      <c r="L1221" s="332">
        <f>L1222</f>
        <v>26</v>
      </c>
      <c r="M1221" s="330" t="s">
        <v>131</v>
      </c>
      <c r="N1221" s="330" t="s">
        <v>131</v>
      </c>
      <c r="O1221" s="333" t="s">
        <v>131</v>
      </c>
      <c r="P1221" s="38">
        <v>3215375.5700000003</v>
      </c>
      <c r="Q1221" s="38">
        <f>Q1222</f>
        <v>0</v>
      </c>
      <c r="R1221" s="38">
        <f>R1222</f>
        <v>0</v>
      </c>
      <c r="S1221" s="38">
        <f>S1222</f>
        <v>3215375.5700000003</v>
      </c>
      <c r="T1221" s="38">
        <f t="shared" si="255"/>
        <v>5945.5909208579897</v>
      </c>
      <c r="U1221" s="38">
        <f>U1222</f>
        <v>7127.9116020710062</v>
      </c>
      <c r="V1221" s="458">
        <f t="shared" si="254"/>
        <v>1182.3206812130165</v>
      </c>
      <c r="W1221" s="458"/>
      <c r="X1221" s="458"/>
      <c r="Y1221" s="459"/>
      <c r="Z1221" s="459"/>
      <c r="AA1221" s="459"/>
      <c r="AB1221" s="459"/>
      <c r="AC1221" s="459"/>
      <c r="AD1221" s="459"/>
      <c r="AE1221" s="459"/>
      <c r="AF1221" s="459"/>
      <c r="AG1221" s="459"/>
      <c r="AH1221" s="459"/>
      <c r="AI1221" s="459"/>
      <c r="AJ1221" s="459"/>
      <c r="AK1221" s="459"/>
      <c r="AL1221" s="459"/>
      <c r="AM1221" s="459"/>
      <c r="AN1221" s="459"/>
      <c r="AO1221" s="459"/>
      <c r="AP1221" s="460"/>
      <c r="AQ1221" s="460"/>
      <c r="AR1221" s="460"/>
      <c r="AS1221" s="460"/>
      <c r="AT1221" s="460"/>
      <c r="AU1221" s="460"/>
      <c r="AV1221" s="460"/>
      <c r="AW1221" s="460"/>
      <c r="AX1221" s="460"/>
      <c r="AY1221" s="460"/>
      <c r="AZ1221" s="460"/>
      <c r="BA1221" s="460"/>
      <c r="BB1221" s="460"/>
      <c r="BC1221" s="460"/>
      <c r="BD1221" s="460"/>
      <c r="BE1221" s="460"/>
      <c r="BF1221" s="460"/>
      <c r="BG1221" s="460"/>
      <c r="BH1221" s="460"/>
      <c r="BI1221" s="460"/>
      <c r="BJ1221" s="460"/>
      <c r="BK1221" s="460"/>
      <c r="BL1221" s="460"/>
      <c r="BM1221" s="460"/>
      <c r="BN1221" s="460"/>
      <c r="BO1221" s="460"/>
      <c r="BP1221" s="460"/>
      <c r="BQ1221" s="460"/>
      <c r="BR1221" s="460"/>
      <c r="BS1221" s="460"/>
      <c r="BT1221" s="460"/>
      <c r="BU1221" s="460"/>
      <c r="BV1221" s="460"/>
      <c r="BW1221" s="460"/>
      <c r="BX1221" s="460"/>
      <c r="BY1221" s="460"/>
      <c r="BZ1221" s="460"/>
      <c r="CA1221" s="460"/>
      <c r="CB1221" s="460"/>
      <c r="CC1221" s="460"/>
      <c r="CD1221" s="460"/>
      <c r="CE1221" s="460"/>
      <c r="CF1221" s="460"/>
      <c r="CG1221" s="460"/>
      <c r="CH1221" s="460"/>
      <c r="CI1221" s="460"/>
      <c r="CJ1221" s="460"/>
      <c r="CK1221" s="460"/>
    </row>
    <row r="1222" spans="1:191" s="266" customFormat="1" ht="36" customHeight="1" x14ac:dyDescent="0.25">
      <c r="A1222" s="329">
        <v>1</v>
      </c>
      <c r="B1222" s="39">
        <f>SUBTOTAL(103,$A$1000:A1222)</f>
        <v>184</v>
      </c>
      <c r="C1222" s="336" t="s">
        <v>1881</v>
      </c>
      <c r="D1222" s="330">
        <v>1958</v>
      </c>
      <c r="E1222" s="330"/>
      <c r="F1222" s="337" t="s">
        <v>48</v>
      </c>
      <c r="G1222" s="330">
        <v>2</v>
      </c>
      <c r="H1222" s="330" t="s">
        <v>56</v>
      </c>
      <c r="I1222" s="334">
        <v>540.79999999999995</v>
      </c>
      <c r="J1222" s="334">
        <v>388.59</v>
      </c>
      <c r="K1222" s="334">
        <v>251.8</v>
      </c>
      <c r="L1222" s="338">
        <v>26</v>
      </c>
      <c r="M1222" s="330" t="s">
        <v>46</v>
      </c>
      <c r="N1222" s="330" t="s">
        <v>47</v>
      </c>
      <c r="O1222" s="330" t="s">
        <v>49</v>
      </c>
      <c r="P1222" s="334">
        <v>3215375.5700000003</v>
      </c>
      <c r="Q1222" s="334">
        <v>0</v>
      </c>
      <c r="R1222" s="334">
        <v>0</v>
      </c>
      <c r="S1222" s="334">
        <f>P1222-Q1222-R1222</f>
        <v>3215375.5700000003</v>
      </c>
      <c r="T1222" s="38">
        <f t="shared" si="255"/>
        <v>5945.5909208579897</v>
      </c>
      <c r="U1222" s="38">
        <v>7127.9116020710062</v>
      </c>
      <c r="V1222" s="458">
        <f>U1222-T1222</f>
        <v>1182.3206812130165</v>
      </c>
      <c r="W1222" s="458">
        <f>X1222+Y1222+Z1222+AA1222+AB1222+AD1222+AF1222+AH1222+AJ1222+AL1222+AN1222+AO1222</f>
        <v>7103.6819926035505</v>
      </c>
      <c r="X1222" s="458">
        <v>0</v>
      </c>
      <c r="Y1222" s="459">
        <v>0</v>
      </c>
      <c r="Z1222" s="459">
        <v>0</v>
      </c>
      <c r="AA1222" s="459">
        <v>0</v>
      </c>
      <c r="AB1222" s="459">
        <v>0</v>
      </c>
      <c r="AC1222" s="459">
        <v>0</v>
      </c>
      <c r="AD1222" s="459">
        <v>0</v>
      </c>
      <c r="AE1222" s="459">
        <v>615.76</v>
      </c>
      <c r="AF1222" s="458">
        <f>6238.91*AE1222/I1222</f>
        <v>7103.6819926035505</v>
      </c>
      <c r="AG1222" s="459">
        <v>0</v>
      </c>
      <c r="AH1222" s="458">
        <v>0</v>
      </c>
      <c r="AI1222" s="459">
        <v>0</v>
      </c>
      <c r="AJ1222" s="458">
        <v>0</v>
      </c>
      <c r="AK1222" s="459">
        <v>0</v>
      </c>
      <c r="AL1222" s="459">
        <v>0</v>
      </c>
      <c r="AM1222" s="459">
        <v>0</v>
      </c>
      <c r="AN1222" s="459"/>
      <c r="AO1222" s="459">
        <v>0</v>
      </c>
      <c r="AP1222" s="460"/>
      <c r="AQ1222" s="250"/>
      <c r="AR1222" s="250"/>
      <c r="AS1222" s="250"/>
      <c r="AT1222" s="250"/>
      <c r="AU1222" s="250"/>
      <c r="AV1222" s="250"/>
      <c r="AW1222" s="250"/>
      <c r="AX1222" s="250"/>
      <c r="AY1222" s="250"/>
      <c r="AZ1222" s="250"/>
      <c r="BA1222" s="250"/>
      <c r="BB1222" s="250"/>
      <c r="BC1222" s="250"/>
      <c r="BD1222" s="250"/>
      <c r="BE1222" s="250"/>
      <c r="BF1222" s="250"/>
      <c r="BG1222" s="250"/>
      <c r="BH1222" s="250"/>
      <c r="BI1222" s="250"/>
      <c r="BJ1222" s="250"/>
      <c r="BK1222" s="250"/>
      <c r="BL1222" s="250"/>
      <c r="BM1222" s="250"/>
      <c r="BN1222" s="250"/>
      <c r="BO1222" s="250"/>
      <c r="BP1222" s="250"/>
      <c r="BQ1222" s="250"/>
      <c r="BR1222" s="250"/>
      <c r="BS1222" s="250"/>
      <c r="BT1222" s="250"/>
      <c r="BU1222" s="250"/>
      <c r="BV1222" s="250"/>
      <c r="BW1222" s="250"/>
      <c r="BX1222" s="250"/>
      <c r="BY1222" s="250"/>
      <c r="BZ1222" s="250"/>
      <c r="CA1222" s="250"/>
      <c r="CB1222" s="250"/>
      <c r="CC1222" s="250"/>
      <c r="CD1222" s="250"/>
      <c r="CE1222" s="250"/>
      <c r="CF1222" s="250"/>
      <c r="CG1222" s="250"/>
      <c r="CH1222" s="250"/>
      <c r="CI1222" s="250"/>
      <c r="CJ1222" s="250"/>
      <c r="CK1222" s="250"/>
      <c r="DQ1222" s="339"/>
      <c r="DR1222" s="339"/>
      <c r="DS1222" s="339"/>
      <c r="EP1222" s="340"/>
      <c r="FS1222" s="341"/>
      <c r="GI1222" s="342"/>
    </row>
    <row r="1223" spans="1:191" s="329" customFormat="1" ht="36" customHeight="1" x14ac:dyDescent="0.25">
      <c r="B1223" s="33" t="s">
        <v>113</v>
      </c>
      <c r="C1223" s="33"/>
      <c r="D1223" s="330" t="s">
        <v>131</v>
      </c>
      <c r="E1223" s="330" t="s">
        <v>131</v>
      </c>
      <c r="F1223" s="330" t="s">
        <v>131</v>
      </c>
      <c r="G1223" s="330" t="s">
        <v>131</v>
      </c>
      <c r="H1223" s="330" t="s">
        <v>131</v>
      </c>
      <c r="I1223" s="334">
        <f>SUM(I1224:I1226)</f>
        <v>2550.6999999999998</v>
      </c>
      <c r="J1223" s="334">
        <f>SUM(J1224:J1226)</f>
        <v>2520.7799999999997</v>
      </c>
      <c r="K1223" s="334">
        <f>SUM(K1224:K1226)</f>
        <v>2068.7200000000003</v>
      </c>
      <c r="L1223" s="332">
        <f>SUM(L1224:L1226)</f>
        <v>140</v>
      </c>
      <c r="M1223" s="330" t="s">
        <v>131</v>
      </c>
      <c r="N1223" s="330" t="s">
        <v>131</v>
      </c>
      <c r="O1223" s="333" t="s">
        <v>131</v>
      </c>
      <c r="P1223" s="38">
        <v>10672314.84</v>
      </c>
      <c r="Q1223" s="38">
        <f>Q1224+Q1225+Q1226</f>
        <v>0</v>
      </c>
      <c r="R1223" s="38">
        <f>R1224+R1225+R1226</f>
        <v>0</v>
      </c>
      <c r="S1223" s="38">
        <f>S1224+S1225+S1226</f>
        <v>10672314.84</v>
      </c>
      <c r="T1223" s="38">
        <f t="shared" si="255"/>
        <v>4184.0729368408674</v>
      </c>
      <c r="U1223" s="38">
        <f>MAX(U1224:U1226)</f>
        <v>6066.5758762886599</v>
      </c>
      <c r="V1223" s="458">
        <f t="shared" si="254"/>
        <v>1882.5029394477924</v>
      </c>
      <c r="W1223" s="458"/>
      <c r="X1223" s="458"/>
      <c r="Y1223" s="459"/>
      <c r="Z1223" s="459"/>
      <c r="AA1223" s="459"/>
      <c r="AB1223" s="459"/>
      <c r="AC1223" s="459"/>
      <c r="AD1223" s="459"/>
      <c r="AE1223" s="459"/>
      <c r="AF1223" s="459"/>
      <c r="AG1223" s="459"/>
      <c r="AH1223" s="459"/>
      <c r="AI1223" s="459"/>
      <c r="AJ1223" s="459"/>
      <c r="AK1223" s="459"/>
      <c r="AL1223" s="459"/>
      <c r="AM1223" s="459"/>
      <c r="AN1223" s="459"/>
      <c r="AO1223" s="459"/>
      <c r="AP1223" s="460"/>
      <c r="AQ1223" s="460"/>
      <c r="AR1223" s="460"/>
      <c r="AS1223" s="460"/>
      <c r="AT1223" s="460"/>
      <c r="AU1223" s="460"/>
      <c r="AV1223" s="460"/>
      <c r="AW1223" s="460"/>
      <c r="AX1223" s="460"/>
      <c r="AY1223" s="460"/>
      <c r="AZ1223" s="460"/>
      <c r="BA1223" s="460"/>
      <c r="BB1223" s="460"/>
      <c r="BC1223" s="460"/>
      <c r="BD1223" s="460"/>
      <c r="BE1223" s="460"/>
      <c r="BF1223" s="460"/>
      <c r="BG1223" s="460"/>
      <c r="BH1223" s="460"/>
      <c r="BI1223" s="460"/>
      <c r="BJ1223" s="460"/>
      <c r="BK1223" s="460"/>
      <c r="BL1223" s="460"/>
      <c r="BM1223" s="460"/>
      <c r="BN1223" s="460"/>
      <c r="BO1223" s="460"/>
      <c r="BP1223" s="460"/>
      <c r="BQ1223" s="460"/>
      <c r="BR1223" s="460"/>
      <c r="BS1223" s="460"/>
      <c r="BT1223" s="460"/>
      <c r="BU1223" s="460"/>
      <c r="BV1223" s="460"/>
      <c r="BW1223" s="460"/>
      <c r="BX1223" s="460"/>
      <c r="BY1223" s="460"/>
      <c r="BZ1223" s="460"/>
      <c r="CA1223" s="460"/>
      <c r="CB1223" s="460"/>
      <c r="CC1223" s="460"/>
      <c r="CD1223" s="460"/>
      <c r="CE1223" s="460"/>
      <c r="CF1223" s="460"/>
      <c r="CG1223" s="460"/>
      <c r="CH1223" s="460"/>
      <c r="CI1223" s="460"/>
      <c r="CJ1223" s="460"/>
      <c r="CK1223" s="460"/>
    </row>
    <row r="1224" spans="1:191" s="266" customFormat="1" ht="36" customHeight="1" x14ac:dyDescent="0.25">
      <c r="A1224" s="329">
        <v>1</v>
      </c>
      <c r="B1224" s="39">
        <f>SUBTOTAL(103,$A$1000:A1224)</f>
        <v>185</v>
      </c>
      <c r="C1224" s="336" t="s">
        <v>1882</v>
      </c>
      <c r="D1224" s="330">
        <v>1977</v>
      </c>
      <c r="E1224" s="330"/>
      <c r="F1224" s="337" t="s">
        <v>48</v>
      </c>
      <c r="G1224" s="330">
        <v>3</v>
      </c>
      <c r="H1224" s="330" t="s">
        <v>56</v>
      </c>
      <c r="I1224" s="334">
        <v>850.1</v>
      </c>
      <c r="J1224" s="334">
        <v>850.1</v>
      </c>
      <c r="K1224" s="334">
        <v>745</v>
      </c>
      <c r="L1224" s="338">
        <v>38</v>
      </c>
      <c r="M1224" s="330" t="s">
        <v>46</v>
      </c>
      <c r="N1224" s="330" t="s">
        <v>47</v>
      </c>
      <c r="O1224" s="330" t="s">
        <v>49</v>
      </c>
      <c r="P1224" s="334">
        <v>2391584.4</v>
      </c>
      <c r="Q1224" s="334">
        <v>0</v>
      </c>
      <c r="R1224" s="334">
        <v>0</v>
      </c>
      <c r="S1224" s="334">
        <f>P1224-Q1224-R1224</f>
        <v>2391584.4</v>
      </c>
      <c r="T1224" s="38">
        <f t="shared" si="255"/>
        <v>2813.2977296788613</v>
      </c>
      <c r="U1224" s="38">
        <v>3372.7408775438184</v>
      </c>
      <c r="V1224" s="458">
        <f t="shared" si="254"/>
        <v>559.44314786495715</v>
      </c>
      <c r="W1224" s="458">
        <f t="shared" ref="W1224:W1226" si="264">X1224+Y1224+Z1224+AA1224+AB1224+AD1224+AF1224+AH1224+AJ1224+AL1224+AN1224+AO1224</f>
        <v>3361.2760616398068</v>
      </c>
      <c r="X1224" s="458">
        <v>0</v>
      </c>
      <c r="Y1224" s="459">
        <v>0</v>
      </c>
      <c r="Z1224" s="459">
        <v>0</v>
      </c>
      <c r="AA1224" s="459">
        <v>0</v>
      </c>
      <c r="AB1224" s="459">
        <v>0</v>
      </c>
      <c r="AC1224" s="459">
        <v>0</v>
      </c>
      <c r="AD1224" s="459">
        <v>0</v>
      </c>
      <c r="AE1224" s="459">
        <v>458</v>
      </c>
      <c r="AF1224" s="458">
        <f>6238.91*AE1224/I1224</f>
        <v>3361.2760616398068</v>
      </c>
      <c r="AG1224" s="459">
        <v>0</v>
      </c>
      <c r="AH1224" s="458">
        <v>0</v>
      </c>
      <c r="AI1224" s="459">
        <v>0</v>
      </c>
      <c r="AJ1224" s="458">
        <v>0</v>
      </c>
      <c r="AK1224" s="459">
        <v>0</v>
      </c>
      <c r="AL1224" s="459">
        <v>0</v>
      </c>
      <c r="AM1224" s="459">
        <v>0</v>
      </c>
      <c r="AN1224" s="459"/>
      <c r="AO1224" s="459">
        <v>0</v>
      </c>
      <c r="AP1224" s="460"/>
      <c r="AQ1224" s="250"/>
      <c r="AR1224" s="250"/>
      <c r="AS1224" s="250"/>
      <c r="AT1224" s="250"/>
      <c r="AU1224" s="250"/>
      <c r="AV1224" s="250"/>
      <c r="AW1224" s="250"/>
      <c r="AX1224" s="250"/>
      <c r="AY1224" s="250"/>
      <c r="AZ1224" s="250"/>
      <c r="BA1224" s="250"/>
      <c r="BB1224" s="250"/>
      <c r="BC1224" s="250"/>
      <c r="BD1224" s="250"/>
      <c r="BE1224" s="250"/>
      <c r="BF1224" s="250"/>
      <c r="BG1224" s="250"/>
      <c r="BH1224" s="250"/>
      <c r="BI1224" s="250"/>
      <c r="BJ1224" s="250"/>
      <c r="BK1224" s="250"/>
      <c r="BL1224" s="250"/>
      <c r="BM1224" s="250"/>
      <c r="BN1224" s="250"/>
      <c r="BO1224" s="250"/>
      <c r="BP1224" s="250"/>
      <c r="BQ1224" s="250"/>
      <c r="BR1224" s="250"/>
      <c r="BS1224" s="250"/>
      <c r="BT1224" s="250"/>
      <c r="BU1224" s="250"/>
      <c r="BV1224" s="250"/>
      <c r="BW1224" s="250"/>
      <c r="BX1224" s="250"/>
      <c r="BY1224" s="250"/>
      <c r="BZ1224" s="250"/>
      <c r="CA1224" s="250"/>
      <c r="CB1224" s="250"/>
      <c r="CC1224" s="250"/>
      <c r="CD1224" s="250"/>
      <c r="CE1224" s="250"/>
      <c r="CF1224" s="250"/>
      <c r="CG1224" s="250"/>
      <c r="CH1224" s="250"/>
      <c r="CI1224" s="250"/>
      <c r="CJ1224" s="250"/>
      <c r="CK1224" s="250"/>
      <c r="DQ1224" s="339"/>
      <c r="DR1224" s="339"/>
      <c r="DS1224" s="339"/>
      <c r="EP1224" s="340"/>
      <c r="FS1224" s="341"/>
      <c r="GI1224" s="342"/>
    </row>
    <row r="1225" spans="1:191" s="266" customFormat="1" ht="36" customHeight="1" x14ac:dyDescent="0.25">
      <c r="A1225" s="329">
        <v>1</v>
      </c>
      <c r="B1225" s="39">
        <f>SUBTOTAL(103,$A$1000:A1225)</f>
        <v>186</v>
      </c>
      <c r="C1225" s="336" t="s">
        <v>1883</v>
      </c>
      <c r="D1225" s="330">
        <v>1980</v>
      </c>
      <c r="E1225" s="330"/>
      <c r="F1225" s="337" t="s">
        <v>48</v>
      </c>
      <c r="G1225" s="330">
        <v>2</v>
      </c>
      <c r="H1225" s="330" t="s">
        <v>61</v>
      </c>
      <c r="I1225" s="334">
        <v>970</v>
      </c>
      <c r="J1225" s="334">
        <v>970</v>
      </c>
      <c r="K1225" s="334">
        <v>826.90000000000009</v>
      </c>
      <c r="L1225" s="338">
        <v>68</v>
      </c>
      <c r="M1225" s="330" t="s">
        <v>46</v>
      </c>
      <c r="N1225" s="330" t="s">
        <v>47</v>
      </c>
      <c r="O1225" s="330" t="s">
        <v>49</v>
      </c>
      <c r="P1225" s="334">
        <v>4908492</v>
      </c>
      <c r="Q1225" s="334">
        <v>0</v>
      </c>
      <c r="R1225" s="334">
        <v>0</v>
      </c>
      <c r="S1225" s="334">
        <f>P1225-Q1225-R1225</f>
        <v>4908492</v>
      </c>
      <c r="T1225" s="38">
        <f t="shared" si="255"/>
        <v>5060.3010309278352</v>
      </c>
      <c r="U1225" s="38">
        <v>6066.5758762886599</v>
      </c>
      <c r="V1225" s="458">
        <f t="shared" si="254"/>
        <v>1006.2748453608247</v>
      </c>
      <c r="W1225" s="458">
        <f t="shared" si="264"/>
        <v>6045.9540206185566</v>
      </c>
      <c r="X1225" s="458">
        <v>0</v>
      </c>
      <c r="Y1225" s="459">
        <v>0</v>
      </c>
      <c r="Z1225" s="459">
        <v>0</v>
      </c>
      <c r="AA1225" s="459">
        <v>0</v>
      </c>
      <c r="AB1225" s="459">
        <v>0</v>
      </c>
      <c r="AC1225" s="459">
        <v>0</v>
      </c>
      <c r="AD1225" s="459">
        <v>0</v>
      </c>
      <c r="AE1225" s="459">
        <v>940</v>
      </c>
      <c r="AF1225" s="458">
        <f>6238.91*AE1225/I1225</f>
        <v>6045.9540206185566</v>
      </c>
      <c r="AG1225" s="459">
        <v>0</v>
      </c>
      <c r="AH1225" s="458">
        <v>0</v>
      </c>
      <c r="AI1225" s="459">
        <v>0</v>
      </c>
      <c r="AJ1225" s="458">
        <v>0</v>
      </c>
      <c r="AK1225" s="459">
        <v>0</v>
      </c>
      <c r="AL1225" s="459">
        <v>0</v>
      </c>
      <c r="AM1225" s="459">
        <v>0</v>
      </c>
      <c r="AN1225" s="459"/>
      <c r="AO1225" s="459">
        <v>0</v>
      </c>
      <c r="AP1225" s="460"/>
      <c r="AQ1225" s="250"/>
      <c r="AR1225" s="250"/>
      <c r="AS1225" s="250"/>
      <c r="AT1225" s="250"/>
      <c r="AU1225" s="250"/>
      <c r="AV1225" s="250"/>
      <c r="AW1225" s="250"/>
      <c r="AX1225" s="250"/>
      <c r="AY1225" s="250"/>
      <c r="AZ1225" s="250"/>
      <c r="BA1225" s="250"/>
      <c r="BB1225" s="250"/>
      <c r="BC1225" s="250"/>
      <c r="BD1225" s="250"/>
      <c r="BE1225" s="250"/>
      <c r="BF1225" s="250"/>
      <c r="BG1225" s="250"/>
      <c r="BH1225" s="250"/>
      <c r="BI1225" s="250"/>
      <c r="BJ1225" s="250"/>
      <c r="BK1225" s="250"/>
      <c r="BL1225" s="250"/>
      <c r="BM1225" s="250"/>
      <c r="BN1225" s="250"/>
      <c r="BO1225" s="250"/>
      <c r="BP1225" s="250"/>
      <c r="BQ1225" s="250"/>
      <c r="BR1225" s="250"/>
      <c r="BS1225" s="250"/>
      <c r="BT1225" s="250"/>
      <c r="BU1225" s="250"/>
      <c r="BV1225" s="250"/>
      <c r="BW1225" s="250"/>
      <c r="BX1225" s="250"/>
      <c r="BY1225" s="250"/>
      <c r="BZ1225" s="250"/>
      <c r="CA1225" s="250"/>
      <c r="CB1225" s="250"/>
      <c r="CC1225" s="250"/>
      <c r="CD1225" s="250"/>
      <c r="CE1225" s="250"/>
      <c r="CF1225" s="250"/>
      <c r="CG1225" s="250"/>
      <c r="CH1225" s="250"/>
      <c r="CI1225" s="250"/>
      <c r="CJ1225" s="250"/>
      <c r="CK1225" s="250"/>
      <c r="DQ1225" s="339"/>
      <c r="DR1225" s="339"/>
      <c r="DS1225" s="339"/>
      <c r="EP1225" s="340"/>
      <c r="FS1225" s="341"/>
      <c r="GI1225" s="342"/>
    </row>
    <row r="1226" spans="1:191" s="266" customFormat="1" ht="36" customHeight="1" x14ac:dyDescent="0.25">
      <c r="A1226" s="329">
        <v>1</v>
      </c>
      <c r="B1226" s="39">
        <f>SUBTOTAL(103,$A$1000:A1226)</f>
        <v>187</v>
      </c>
      <c r="C1226" s="336" t="s">
        <v>1884</v>
      </c>
      <c r="D1226" s="330">
        <v>1969</v>
      </c>
      <c r="E1226" s="330"/>
      <c r="F1226" s="337" t="s">
        <v>48</v>
      </c>
      <c r="G1226" s="330">
        <v>2</v>
      </c>
      <c r="H1226" s="330" t="s">
        <v>56</v>
      </c>
      <c r="I1226" s="334">
        <v>730.6</v>
      </c>
      <c r="J1226" s="334">
        <v>700.68</v>
      </c>
      <c r="K1226" s="334">
        <v>496.82</v>
      </c>
      <c r="L1226" s="338">
        <v>34</v>
      </c>
      <c r="M1226" s="330" t="s">
        <v>46</v>
      </c>
      <c r="N1226" s="330" t="s">
        <v>47</v>
      </c>
      <c r="O1226" s="330" t="s">
        <v>49</v>
      </c>
      <c r="P1226" s="334">
        <v>3372238.44</v>
      </c>
      <c r="Q1226" s="334">
        <v>0</v>
      </c>
      <c r="R1226" s="334">
        <v>0</v>
      </c>
      <c r="S1226" s="334">
        <f>P1226-Q1226-R1226</f>
        <v>3372238.44</v>
      </c>
      <c r="T1226" s="38">
        <f t="shared" si="255"/>
        <v>4615.710977278949</v>
      </c>
      <c r="U1226" s="38">
        <v>5533.5761045715844</v>
      </c>
      <c r="V1226" s="458">
        <f t="shared" si="254"/>
        <v>917.86512729263541</v>
      </c>
      <c r="W1226" s="458">
        <f t="shared" si="264"/>
        <v>5514.7660525595393</v>
      </c>
      <c r="X1226" s="458">
        <v>0</v>
      </c>
      <c r="Y1226" s="459">
        <v>0</v>
      </c>
      <c r="Z1226" s="459">
        <v>0</v>
      </c>
      <c r="AA1226" s="459">
        <v>0</v>
      </c>
      <c r="AB1226" s="459">
        <v>0</v>
      </c>
      <c r="AC1226" s="459">
        <v>0</v>
      </c>
      <c r="AD1226" s="459">
        <v>0</v>
      </c>
      <c r="AE1226" s="459">
        <v>645.79999999999995</v>
      </c>
      <c r="AF1226" s="458">
        <f>6238.91*AE1226/I1226</f>
        <v>5514.7660525595393</v>
      </c>
      <c r="AG1226" s="459">
        <v>0</v>
      </c>
      <c r="AH1226" s="458">
        <v>0</v>
      </c>
      <c r="AI1226" s="459">
        <v>0</v>
      </c>
      <c r="AJ1226" s="458">
        <v>0</v>
      </c>
      <c r="AK1226" s="459">
        <v>0</v>
      </c>
      <c r="AL1226" s="459">
        <v>0</v>
      </c>
      <c r="AM1226" s="459">
        <v>0</v>
      </c>
      <c r="AN1226" s="459"/>
      <c r="AO1226" s="459">
        <v>0</v>
      </c>
      <c r="AP1226" s="460"/>
      <c r="AQ1226" s="250"/>
      <c r="AR1226" s="250"/>
      <c r="AS1226" s="250"/>
      <c r="AT1226" s="250"/>
      <c r="AU1226" s="250"/>
      <c r="AV1226" s="250"/>
      <c r="AW1226" s="250"/>
      <c r="AX1226" s="250"/>
      <c r="AY1226" s="250"/>
      <c r="AZ1226" s="250"/>
      <c r="BA1226" s="250"/>
      <c r="BB1226" s="250"/>
      <c r="BC1226" s="250"/>
      <c r="BD1226" s="250"/>
      <c r="BE1226" s="250"/>
      <c r="BF1226" s="250"/>
      <c r="BG1226" s="250"/>
      <c r="BH1226" s="250"/>
      <c r="BI1226" s="250"/>
      <c r="BJ1226" s="250"/>
      <c r="BK1226" s="250"/>
      <c r="BL1226" s="250"/>
      <c r="BM1226" s="250"/>
      <c r="BN1226" s="250"/>
      <c r="BO1226" s="250"/>
      <c r="BP1226" s="250"/>
      <c r="BQ1226" s="250"/>
      <c r="BR1226" s="250"/>
      <c r="BS1226" s="250"/>
      <c r="BT1226" s="250"/>
      <c r="BU1226" s="250"/>
      <c r="BV1226" s="250"/>
      <c r="BW1226" s="250"/>
      <c r="BX1226" s="250"/>
      <c r="BY1226" s="250"/>
      <c r="BZ1226" s="250"/>
      <c r="CA1226" s="250"/>
      <c r="CB1226" s="250"/>
      <c r="CC1226" s="250"/>
      <c r="CD1226" s="250"/>
      <c r="CE1226" s="250"/>
      <c r="CF1226" s="250"/>
      <c r="CG1226" s="250"/>
      <c r="CH1226" s="250"/>
      <c r="CI1226" s="250"/>
      <c r="CJ1226" s="250"/>
      <c r="CK1226" s="250"/>
      <c r="DQ1226" s="339"/>
      <c r="DR1226" s="339"/>
      <c r="DS1226" s="339"/>
      <c r="EP1226" s="340"/>
      <c r="FS1226" s="341"/>
      <c r="GI1226" s="342"/>
    </row>
    <row r="1227" spans="1:191" s="329" customFormat="1" ht="36" customHeight="1" x14ac:dyDescent="0.25">
      <c r="B1227" s="33" t="s">
        <v>1348</v>
      </c>
      <c r="C1227" s="33"/>
      <c r="D1227" s="330" t="s">
        <v>131</v>
      </c>
      <c r="E1227" s="330" t="s">
        <v>131</v>
      </c>
      <c r="F1227" s="330" t="s">
        <v>131</v>
      </c>
      <c r="G1227" s="330" t="s">
        <v>131</v>
      </c>
      <c r="H1227" s="330" t="s">
        <v>131</v>
      </c>
      <c r="I1227" s="334">
        <f>I1228</f>
        <v>5523</v>
      </c>
      <c r="J1227" s="334">
        <f>J1228</f>
        <v>4570.6000000000004</v>
      </c>
      <c r="K1227" s="334">
        <f>K1228</f>
        <v>2967.3500000000004</v>
      </c>
      <c r="L1227" s="332">
        <f>L1228</f>
        <v>208</v>
      </c>
      <c r="M1227" s="330" t="s">
        <v>131</v>
      </c>
      <c r="N1227" s="330" t="s">
        <v>131</v>
      </c>
      <c r="O1227" s="333" t="s">
        <v>131</v>
      </c>
      <c r="P1227" s="38">
        <v>3912770.8299999996</v>
      </c>
      <c r="Q1227" s="38">
        <f>Q1228</f>
        <v>0</v>
      </c>
      <c r="R1227" s="38">
        <f>R1228</f>
        <v>0</v>
      </c>
      <c r="S1227" s="38">
        <f>S1228</f>
        <v>3912770.8299999996</v>
      </c>
      <c r="T1227" s="38">
        <f t="shared" si="255"/>
        <v>708.45026797030596</v>
      </c>
      <c r="U1227" s="38">
        <f>U1228</f>
        <v>1496.1888104291145</v>
      </c>
      <c r="V1227" s="458">
        <f t="shared" si="254"/>
        <v>787.73854245880852</v>
      </c>
      <c r="W1227" s="458"/>
      <c r="X1227" s="458"/>
      <c r="Y1227" s="459"/>
      <c r="Z1227" s="459"/>
      <c r="AA1227" s="459"/>
      <c r="AB1227" s="459"/>
      <c r="AC1227" s="459"/>
      <c r="AD1227" s="459"/>
      <c r="AE1227" s="459"/>
      <c r="AF1227" s="459"/>
      <c r="AG1227" s="459"/>
      <c r="AH1227" s="459"/>
      <c r="AI1227" s="459"/>
      <c r="AJ1227" s="459"/>
      <c r="AK1227" s="459"/>
      <c r="AL1227" s="459"/>
      <c r="AM1227" s="459"/>
      <c r="AN1227" s="459"/>
      <c r="AO1227" s="459"/>
      <c r="AP1227" s="460"/>
      <c r="AQ1227" s="460"/>
      <c r="AR1227" s="460"/>
      <c r="AS1227" s="460"/>
      <c r="AT1227" s="460"/>
      <c r="AU1227" s="460"/>
      <c r="AV1227" s="460"/>
      <c r="AW1227" s="460"/>
      <c r="AX1227" s="460"/>
      <c r="AY1227" s="460"/>
      <c r="AZ1227" s="460"/>
      <c r="BA1227" s="460"/>
      <c r="BB1227" s="460"/>
      <c r="BC1227" s="460"/>
      <c r="BD1227" s="460"/>
      <c r="BE1227" s="460"/>
      <c r="BF1227" s="460"/>
      <c r="BG1227" s="460"/>
      <c r="BH1227" s="460"/>
      <c r="BI1227" s="460"/>
      <c r="BJ1227" s="460"/>
      <c r="BK1227" s="460"/>
      <c r="BL1227" s="460"/>
      <c r="BM1227" s="460"/>
      <c r="BN1227" s="460"/>
      <c r="BO1227" s="460"/>
      <c r="BP1227" s="460"/>
      <c r="BQ1227" s="460"/>
      <c r="BR1227" s="460"/>
      <c r="BS1227" s="460"/>
      <c r="BT1227" s="460"/>
      <c r="BU1227" s="460"/>
      <c r="BV1227" s="460"/>
      <c r="BW1227" s="460"/>
      <c r="BX1227" s="460"/>
      <c r="BY1227" s="460"/>
      <c r="BZ1227" s="460"/>
      <c r="CA1227" s="460"/>
      <c r="CB1227" s="460"/>
      <c r="CC1227" s="460"/>
      <c r="CD1227" s="460"/>
      <c r="CE1227" s="460"/>
      <c r="CF1227" s="460"/>
      <c r="CG1227" s="460"/>
      <c r="CH1227" s="460"/>
      <c r="CI1227" s="460"/>
      <c r="CJ1227" s="460"/>
      <c r="CK1227" s="460"/>
    </row>
    <row r="1228" spans="1:191" s="266" customFormat="1" ht="36" customHeight="1" x14ac:dyDescent="0.25">
      <c r="A1228" s="329">
        <v>1</v>
      </c>
      <c r="B1228" s="39">
        <f>SUBTOTAL(103,$A$1000:A1228)</f>
        <v>188</v>
      </c>
      <c r="C1228" s="336" t="s">
        <v>1885</v>
      </c>
      <c r="D1228" s="330">
        <v>1979</v>
      </c>
      <c r="E1228" s="330"/>
      <c r="F1228" s="337" t="s">
        <v>1981</v>
      </c>
      <c r="G1228" s="330">
        <v>5</v>
      </c>
      <c r="H1228" s="330" t="s">
        <v>1969</v>
      </c>
      <c r="I1228" s="334">
        <v>5523</v>
      </c>
      <c r="J1228" s="334">
        <v>4570.6000000000004</v>
      </c>
      <c r="K1228" s="334">
        <v>2967.3500000000004</v>
      </c>
      <c r="L1228" s="338">
        <v>208</v>
      </c>
      <c r="M1228" s="330" t="s">
        <v>46</v>
      </c>
      <c r="N1228" s="330" t="s">
        <v>50</v>
      </c>
      <c r="O1228" s="330" t="s">
        <v>377</v>
      </c>
      <c r="P1228" s="334">
        <v>3912770.8299999996</v>
      </c>
      <c r="Q1228" s="334">
        <v>0</v>
      </c>
      <c r="R1228" s="334">
        <v>0</v>
      </c>
      <c r="S1228" s="334">
        <f>P1228-Q1228-R1228</f>
        <v>3912770.8299999996</v>
      </c>
      <c r="T1228" s="38">
        <f t="shared" si="255"/>
        <v>708.45026797030596</v>
      </c>
      <c r="U1228" s="38">
        <v>1496.1888104291145</v>
      </c>
      <c r="V1228" s="458">
        <f>U1228-T1228</f>
        <v>787.73854245880852</v>
      </c>
      <c r="W1228" s="458">
        <f>X1228+Y1228+Z1228+AA1228+AB1228+AD1228+AF1228+AH1228+AJ1228+AL1228+AN1228+AO1228</f>
        <v>1491.1028788701792</v>
      </c>
      <c r="X1228" s="458">
        <v>0</v>
      </c>
      <c r="Y1228" s="459">
        <v>0</v>
      </c>
      <c r="Z1228" s="459">
        <v>0</v>
      </c>
      <c r="AA1228" s="459">
        <v>0</v>
      </c>
      <c r="AB1228" s="459">
        <v>0</v>
      </c>
      <c r="AC1228" s="459">
        <v>0</v>
      </c>
      <c r="AD1228" s="459">
        <v>0</v>
      </c>
      <c r="AE1228" s="459">
        <v>1320</v>
      </c>
      <c r="AF1228" s="458">
        <f>6238.91*AE1228/I1228</f>
        <v>1491.1028788701792</v>
      </c>
      <c r="AG1228" s="459">
        <v>0</v>
      </c>
      <c r="AH1228" s="458">
        <v>0</v>
      </c>
      <c r="AI1228" s="459">
        <v>0</v>
      </c>
      <c r="AJ1228" s="458">
        <v>0</v>
      </c>
      <c r="AK1228" s="459">
        <v>0</v>
      </c>
      <c r="AL1228" s="459">
        <v>0</v>
      </c>
      <c r="AM1228" s="459">
        <v>0</v>
      </c>
      <c r="AN1228" s="459"/>
      <c r="AO1228" s="459">
        <v>0</v>
      </c>
      <c r="AP1228" s="460"/>
      <c r="AQ1228" s="250"/>
      <c r="AR1228" s="250"/>
      <c r="AS1228" s="250"/>
      <c r="AT1228" s="250"/>
      <c r="AU1228" s="250"/>
      <c r="AV1228" s="250"/>
      <c r="AW1228" s="250"/>
      <c r="AX1228" s="250"/>
      <c r="AY1228" s="250"/>
      <c r="AZ1228" s="250"/>
      <c r="BA1228" s="250"/>
      <c r="BB1228" s="250"/>
      <c r="BC1228" s="250"/>
      <c r="BD1228" s="250"/>
      <c r="BE1228" s="250"/>
      <c r="BF1228" s="250"/>
      <c r="BG1228" s="250"/>
      <c r="BH1228" s="250"/>
      <c r="BI1228" s="250"/>
      <c r="BJ1228" s="250"/>
      <c r="BK1228" s="250"/>
      <c r="BL1228" s="250"/>
      <c r="BM1228" s="250"/>
      <c r="BN1228" s="250"/>
      <c r="BO1228" s="250"/>
      <c r="BP1228" s="250"/>
      <c r="BQ1228" s="250"/>
      <c r="BR1228" s="250"/>
      <c r="BS1228" s="250"/>
      <c r="BT1228" s="250"/>
      <c r="BU1228" s="250"/>
      <c r="BV1228" s="250"/>
      <c r="BW1228" s="250"/>
      <c r="BX1228" s="250"/>
      <c r="BY1228" s="250"/>
      <c r="BZ1228" s="250"/>
      <c r="CA1228" s="250"/>
      <c r="CB1228" s="250"/>
      <c r="CC1228" s="250"/>
      <c r="CD1228" s="250"/>
      <c r="CE1228" s="250"/>
      <c r="CF1228" s="250"/>
      <c r="CG1228" s="250"/>
      <c r="CH1228" s="250"/>
      <c r="CI1228" s="250"/>
      <c r="CJ1228" s="250"/>
      <c r="CK1228" s="250"/>
      <c r="DQ1228" s="339"/>
      <c r="DR1228" s="339"/>
      <c r="DS1228" s="339"/>
      <c r="EP1228" s="340"/>
      <c r="FS1228" s="341"/>
      <c r="GI1228" s="342"/>
    </row>
    <row r="1229" spans="1:191" s="329" customFormat="1" ht="36" customHeight="1" x14ac:dyDescent="0.25">
      <c r="B1229" s="33" t="s">
        <v>1369</v>
      </c>
      <c r="C1229" s="462"/>
      <c r="D1229" s="330" t="s">
        <v>131</v>
      </c>
      <c r="E1229" s="330" t="s">
        <v>131</v>
      </c>
      <c r="F1229" s="330" t="s">
        <v>131</v>
      </c>
      <c r="G1229" s="330" t="s">
        <v>131</v>
      </c>
      <c r="H1229" s="330" t="s">
        <v>131</v>
      </c>
      <c r="I1229" s="334">
        <f>I1230</f>
        <v>1046.8</v>
      </c>
      <c r="J1229" s="334">
        <f>J1230</f>
        <v>929.5</v>
      </c>
      <c r="K1229" s="334">
        <f>K1230</f>
        <v>929.5</v>
      </c>
      <c r="L1229" s="332">
        <f>L1230</f>
        <v>44</v>
      </c>
      <c r="M1229" s="330" t="s">
        <v>131</v>
      </c>
      <c r="N1229" s="330" t="s">
        <v>131</v>
      </c>
      <c r="O1229" s="333" t="s">
        <v>131</v>
      </c>
      <c r="P1229" s="38">
        <v>4804056</v>
      </c>
      <c r="Q1229" s="38">
        <f>Q1230</f>
        <v>0</v>
      </c>
      <c r="R1229" s="38">
        <f>R1230</f>
        <v>0</v>
      </c>
      <c r="S1229" s="38">
        <f>S1230</f>
        <v>4804056</v>
      </c>
      <c r="T1229" s="38">
        <f t="shared" si="255"/>
        <v>4589.277799006496</v>
      </c>
      <c r="U1229" s="38">
        <f>U1230</f>
        <v>5531.7880683989306</v>
      </c>
      <c r="V1229" s="458">
        <f t="shared" si="254"/>
        <v>942.51026939243457</v>
      </c>
      <c r="W1229" s="458"/>
      <c r="X1229" s="458"/>
      <c r="Y1229" s="459"/>
      <c r="Z1229" s="459"/>
      <c r="AA1229" s="459"/>
      <c r="AB1229" s="459"/>
      <c r="AC1229" s="459"/>
      <c r="AD1229" s="459"/>
      <c r="AE1229" s="459"/>
      <c r="AF1229" s="459"/>
      <c r="AG1229" s="459"/>
      <c r="AH1229" s="459"/>
      <c r="AI1229" s="459"/>
      <c r="AJ1229" s="459"/>
      <c r="AK1229" s="459"/>
      <c r="AL1229" s="459"/>
      <c r="AM1229" s="459"/>
      <c r="AN1229" s="459"/>
      <c r="AO1229" s="459"/>
      <c r="AP1229" s="460"/>
      <c r="AQ1229" s="460"/>
      <c r="AR1229" s="460"/>
      <c r="AS1229" s="460"/>
      <c r="AT1229" s="460"/>
      <c r="AU1229" s="460"/>
      <c r="AV1229" s="460"/>
      <c r="AW1229" s="460"/>
      <c r="AX1229" s="460"/>
      <c r="AY1229" s="460"/>
      <c r="AZ1229" s="460"/>
      <c r="BA1229" s="460"/>
      <c r="BB1229" s="460"/>
      <c r="BC1229" s="460"/>
      <c r="BD1229" s="460"/>
      <c r="BE1229" s="460"/>
      <c r="BF1229" s="460"/>
      <c r="BG1229" s="460"/>
      <c r="BH1229" s="460"/>
      <c r="BI1229" s="460"/>
      <c r="BJ1229" s="460"/>
      <c r="BK1229" s="460"/>
      <c r="BL1229" s="460"/>
      <c r="BM1229" s="460"/>
      <c r="BN1229" s="460"/>
      <c r="BO1229" s="460"/>
      <c r="BP1229" s="460"/>
      <c r="BQ1229" s="460"/>
      <c r="BR1229" s="460"/>
      <c r="BS1229" s="460"/>
      <c r="BT1229" s="460"/>
      <c r="BU1229" s="460"/>
      <c r="BV1229" s="460"/>
      <c r="BW1229" s="460"/>
      <c r="BX1229" s="460"/>
      <c r="BY1229" s="460"/>
      <c r="BZ1229" s="460"/>
      <c r="CA1229" s="460"/>
      <c r="CB1229" s="460"/>
      <c r="CC1229" s="460"/>
      <c r="CD1229" s="460"/>
      <c r="CE1229" s="460"/>
      <c r="CF1229" s="460"/>
      <c r="CG1229" s="460"/>
      <c r="CH1229" s="460"/>
      <c r="CI1229" s="460"/>
      <c r="CJ1229" s="460"/>
      <c r="CK1229" s="460"/>
    </row>
    <row r="1230" spans="1:191" s="266" customFormat="1" ht="36" customHeight="1" x14ac:dyDescent="0.25">
      <c r="A1230" s="329">
        <v>1</v>
      </c>
      <c r="B1230" s="39">
        <f>SUBTOTAL(103,$A$1000:A1230)</f>
        <v>189</v>
      </c>
      <c r="C1230" s="336" t="s">
        <v>1886</v>
      </c>
      <c r="D1230" s="330">
        <v>1994</v>
      </c>
      <c r="E1230" s="330"/>
      <c r="F1230" s="337" t="s">
        <v>48</v>
      </c>
      <c r="G1230" s="330">
        <v>2</v>
      </c>
      <c r="H1230" s="330" t="s">
        <v>61</v>
      </c>
      <c r="I1230" s="334">
        <v>1046.8</v>
      </c>
      <c r="J1230" s="334">
        <v>929.5</v>
      </c>
      <c r="K1230" s="334">
        <v>929.5</v>
      </c>
      <c r="L1230" s="338">
        <v>44</v>
      </c>
      <c r="M1230" s="330" t="s">
        <v>46</v>
      </c>
      <c r="N1230" s="330" t="s">
        <v>50</v>
      </c>
      <c r="O1230" s="330" t="s">
        <v>2089</v>
      </c>
      <c r="P1230" s="334">
        <v>4804056</v>
      </c>
      <c r="Q1230" s="334">
        <v>0</v>
      </c>
      <c r="R1230" s="334">
        <v>0</v>
      </c>
      <c r="S1230" s="334">
        <f>P1230-Q1230-R1230</f>
        <v>4804056</v>
      </c>
      <c r="T1230" s="38">
        <f t="shared" si="255"/>
        <v>4589.277799006496</v>
      </c>
      <c r="U1230" s="38">
        <v>5531.7880683989306</v>
      </c>
      <c r="V1230" s="458">
        <f>U1230-T1230</f>
        <v>942.51026939243457</v>
      </c>
      <c r="W1230" s="458">
        <f>X1230+Y1230+Z1230+AA1230+AB1230+AD1230+AF1230+AH1230+AJ1230+AL1230+AN1230+AO1230</f>
        <v>5512.9840943828813</v>
      </c>
      <c r="X1230" s="458">
        <v>0</v>
      </c>
      <c r="Y1230" s="459">
        <v>0</v>
      </c>
      <c r="Z1230" s="459">
        <v>0</v>
      </c>
      <c r="AA1230" s="459">
        <v>0</v>
      </c>
      <c r="AB1230" s="459">
        <v>0</v>
      </c>
      <c r="AC1230" s="459">
        <v>0</v>
      </c>
      <c r="AD1230" s="459">
        <v>0</v>
      </c>
      <c r="AE1230" s="459">
        <v>925</v>
      </c>
      <c r="AF1230" s="458">
        <f>6238.91*AE1230/I1230</f>
        <v>5512.9840943828813</v>
      </c>
      <c r="AG1230" s="459">
        <v>0</v>
      </c>
      <c r="AH1230" s="458">
        <v>0</v>
      </c>
      <c r="AI1230" s="459">
        <v>0</v>
      </c>
      <c r="AJ1230" s="458">
        <v>0</v>
      </c>
      <c r="AK1230" s="459">
        <v>0</v>
      </c>
      <c r="AL1230" s="459">
        <v>0</v>
      </c>
      <c r="AM1230" s="459">
        <v>0</v>
      </c>
      <c r="AN1230" s="459"/>
      <c r="AO1230" s="459">
        <v>0</v>
      </c>
      <c r="AP1230" s="460"/>
      <c r="AQ1230" s="250"/>
      <c r="AR1230" s="250"/>
      <c r="AS1230" s="250"/>
      <c r="AT1230" s="250"/>
      <c r="AU1230" s="250"/>
      <c r="AV1230" s="250"/>
      <c r="AW1230" s="250"/>
      <c r="AX1230" s="250"/>
      <c r="AY1230" s="250"/>
      <c r="AZ1230" s="250"/>
      <c r="BA1230" s="250"/>
      <c r="BB1230" s="250"/>
      <c r="BC1230" s="250"/>
      <c r="BD1230" s="250"/>
      <c r="BE1230" s="250"/>
      <c r="BF1230" s="250"/>
      <c r="BG1230" s="250"/>
      <c r="BH1230" s="250"/>
      <c r="BI1230" s="250"/>
      <c r="BJ1230" s="250"/>
      <c r="BK1230" s="250"/>
      <c r="BL1230" s="250"/>
      <c r="BM1230" s="250"/>
      <c r="BN1230" s="250"/>
      <c r="BO1230" s="250"/>
      <c r="BP1230" s="250"/>
      <c r="BQ1230" s="250"/>
      <c r="BR1230" s="250"/>
      <c r="BS1230" s="250"/>
      <c r="BT1230" s="250"/>
      <c r="BU1230" s="250"/>
      <c r="BV1230" s="250"/>
      <c r="BW1230" s="250"/>
      <c r="BX1230" s="250"/>
      <c r="BY1230" s="250"/>
      <c r="BZ1230" s="250"/>
      <c r="CA1230" s="250"/>
      <c r="CB1230" s="250"/>
      <c r="CC1230" s="250"/>
      <c r="CD1230" s="250"/>
      <c r="CE1230" s="250"/>
      <c r="CF1230" s="250"/>
      <c r="CG1230" s="250"/>
      <c r="CH1230" s="250"/>
      <c r="CI1230" s="250"/>
      <c r="CJ1230" s="250"/>
      <c r="CK1230" s="250"/>
      <c r="DQ1230" s="339"/>
      <c r="DR1230" s="339"/>
      <c r="DS1230" s="339"/>
      <c r="EP1230" s="340"/>
      <c r="FS1230" s="341"/>
      <c r="GI1230" s="342"/>
    </row>
    <row r="1231" spans="1:191" s="329" customFormat="1" ht="36" customHeight="1" x14ac:dyDescent="0.25">
      <c r="B1231" s="33" t="s">
        <v>127</v>
      </c>
      <c r="C1231" s="462"/>
      <c r="D1231" s="330" t="s">
        <v>131</v>
      </c>
      <c r="E1231" s="330" t="s">
        <v>131</v>
      </c>
      <c r="F1231" s="330" t="s">
        <v>131</v>
      </c>
      <c r="G1231" s="330" t="s">
        <v>131</v>
      </c>
      <c r="H1231" s="330" t="s">
        <v>131</v>
      </c>
      <c r="I1231" s="334">
        <f>I1232</f>
        <v>3554.5</v>
      </c>
      <c r="J1231" s="334">
        <f>J1232</f>
        <v>3554.5</v>
      </c>
      <c r="K1231" s="334">
        <f>K1232</f>
        <v>3220.4</v>
      </c>
      <c r="L1231" s="332">
        <f>L1232</f>
        <v>158</v>
      </c>
      <c r="M1231" s="330" t="s">
        <v>131</v>
      </c>
      <c r="N1231" s="330" t="s">
        <v>131</v>
      </c>
      <c r="O1231" s="333" t="s">
        <v>131</v>
      </c>
      <c r="P1231" s="38">
        <v>7284801.9000000004</v>
      </c>
      <c r="Q1231" s="38">
        <f>Q1232</f>
        <v>0</v>
      </c>
      <c r="R1231" s="38">
        <f>R1232</f>
        <v>0</v>
      </c>
      <c r="S1231" s="38">
        <f>S1232</f>
        <v>7284801.9000000004</v>
      </c>
      <c r="T1231" s="38">
        <f t="shared" si="255"/>
        <v>2049.4589675059783</v>
      </c>
      <c r="U1231" s="38">
        <f>U1232</f>
        <v>2644.4562343041662</v>
      </c>
      <c r="V1231" s="458">
        <f t="shared" si="254"/>
        <v>594.99726679818787</v>
      </c>
      <c r="W1231" s="458"/>
      <c r="X1231" s="458"/>
      <c r="Y1231" s="459"/>
      <c r="Z1231" s="459"/>
      <c r="AA1231" s="459"/>
      <c r="AB1231" s="459"/>
      <c r="AC1231" s="459"/>
      <c r="AD1231" s="459"/>
      <c r="AE1231" s="459"/>
      <c r="AF1231" s="459"/>
      <c r="AG1231" s="459"/>
      <c r="AH1231" s="459"/>
      <c r="AI1231" s="459"/>
      <c r="AJ1231" s="459"/>
      <c r="AK1231" s="459"/>
      <c r="AL1231" s="459"/>
      <c r="AM1231" s="459"/>
      <c r="AN1231" s="459"/>
      <c r="AO1231" s="459"/>
      <c r="AP1231" s="460"/>
      <c r="AQ1231" s="460"/>
      <c r="AR1231" s="460"/>
      <c r="AS1231" s="460"/>
      <c r="AT1231" s="460"/>
      <c r="AU1231" s="460"/>
      <c r="AV1231" s="460"/>
      <c r="AW1231" s="460"/>
      <c r="AX1231" s="460"/>
      <c r="AY1231" s="460"/>
      <c r="AZ1231" s="460"/>
      <c r="BA1231" s="460"/>
      <c r="BB1231" s="460"/>
      <c r="BC1231" s="460"/>
      <c r="BD1231" s="460"/>
      <c r="BE1231" s="460"/>
      <c r="BF1231" s="460"/>
      <c r="BG1231" s="460"/>
      <c r="BH1231" s="460"/>
      <c r="BI1231" s="460"/>
      <c r="BJ1231" s="460"/>
      <c r="BK1231" s="460"/>
      <c r="BL1231" s="460"/>
      <c r="BM1231" s="460"/>
      <c r="BN1231" s="460"/>
      <c r="BO1231" s="460"/>
      <c r="BP1231" s="460"/>
      <c r="BQ1231" s="460"/>
      <c r="BR1231" s="460"/>
      <c r="BS1231" s="460"/>
      <c r="BT1231" s="460"/>
      <c r="BU1231" s="460"/>
      <c r="BV1231" s="460"/>
      <c r="BW1231" s="460"/>
      <c r="BX1231" s="460"/>
      <c r="BY1231" s="460"/>
      <c r="BZ1231" s="460"/>
      <c r="CA1231" s="460"/>
      <c r="CB1231" s="460"/>
      <c r="CC1231" s="460"/>
      <c r="CD1231" s="460"/>
      <c r="CE1231" s="460"/>
      <c r="CF1231" s="460"/>
      <c r="CG1231" s="460"/>
      <c r="CH1231" s="460"/>
      <c r="CI1231" s="460"/>
      <c r="CJ1231" s="460"/>
      <c r="CK1231" s="460"/>
    </row>
    <row r="1232" spans="1:191" s="266" customFormat="1" ht="36" customHeight="1" x14ac:dyDescent="0.25">
      <c r="A1232" s="329">
        <v>1</v>
      </c>
      <c r="B1232" s="39">
        <f>SUBTOTAL(103,$A$1000:A1232)</f>
        <v>190</v>
      </c>
      <c r="C1232" s="336" t="s">
        <v>1887</v>
      </c>
      <c r="D1232" s="330">
        <v>1987</v>
      </c>
      <c r="E1232" s="330"/>
      <c r="F1232" s="337" t="s">
        <v>1991</v>
      </c>
      <c r="G1232" s="330">
        <v>3</v>
      </c>
      <c r="H1232" s="330" t="s">
        <v>1977</v>
      </c>
      <c r="I1232" s="334">
        <v>3554.5</v>
      </c>
      <c r="J1232" s="334">
        <v>3554.5</v>
      </c>
      <c r="K1232" s="334">
        <v>3220.4</v>
      </c>
      <c r="L1232" s="338">
        <v>158</v>
      </c>
      <c r="M1232" s="330" t="s">
        <v>46</v>
      </c>
      <c r="N1232" s="330" t="s">
        <v>50</v>
      </c>
      <c r="O1232" s="330" t="s">
        <v>2090</v>
      </c>
      <c r="P1232" s="334">
        <v>7284801.9000000004</v>
      </c>
      <c r="Q1232" s="334">
        <v>0</v>
      </c>
      <c r="R1232" s="334">
        <v>0</v>
      </c>
      <c r="S1232" s="334">
        <f>P1232-Q1232-R1232</f>
        <v>7284801.9000000004</v>
      </c>
      <c r="T1232" s="38">
        <f t="shared" si="255"/>
        <v>2049.4589675059783</v>
      </c>
      <c r="U1232" s="38">
        <v>2644.4562343041662</v>
      </c>
      <c r="V1232" s="458">
        <f>U1232-T1232</f>
        <v>594.99726679818787</v>
      </c>
      <c r="W1232" s="458">
        <f>X1232+Y1232+Z1232+AA1232+AB1232+AD1232+AF1232+AH1232+AJ1232+AL1232+AN1232+AO1232</f>
        <v>2635.4670456907224</v>
      </c>
      <c r="X1232" s="458">
        <v>0</v>
      </c>
      <c r="Y1232" s="459">
        <v>0</v>
      </c>
      <c r="Z1232" s="459">
        <v>0</v>
      </c>
      <c r="AA1232" s="459">
        <v>0</v>
      </c>
      <c r="AB1232" s="459">
        <v>0</v>
      </c>
      <c r="AC1232" s="459">
        <v>0</v>
      </c>
      <c r="AD1232" s="459">
        <v>0</v>
      </c>
      <c r="AE1232" s="459">
        <v>1501.50709241</v>
      </c>
      <c r="AF1232" s="458">
        <f>6238.91*AE1232/I1232</f>
        <v>2635.4670456907224</v>
      </c>
      <c r="AG1232" s="459">
        <v>0</v>
      </c>
      <c r="AH1232" s="458">
        <v>0</v>
      </c>
      <c r="AI1232" s="459">
        <v>0</v>
      </c>
      <c r="AJ1232" s="458">
        <v>0</v>
      </c>
      <c r="AK1232" s="459">
        <v>0</v>
      </c>
      <c r="AL1232" s="459">
        <v>0</v>
      </c>
      <c r="AM1232" s="459">
        <v>0</v>
      </c>
      <c r="AN1232" s="459"/>
      <c r="AO1232" s="459">
        <v>0</v>
      </c>
      <c r="AP1232" s="460"/>
      <c r="AQ1232" s="250"/>
      <c r="AR1232" s="250"/>
      <c r="AS1232" s="250"/>
      <c r="AT1232" s="250"/>
      <c r="AU1232" s="250"/>
      <c r="AV1232" s="250"/>
      <c r="AW1232" s="250"/>
      <c r="AX1232" s="250"/>
      <c r="AY1232" s="250"/>
      <c r="AZ1232" s="250"/>
      <c r="BA1232" s="250"/>
      <c r="BB1232" s="250"/>
      <c r="BC1232" s="250"/>
      <c r="BD1232" s="250"/>
      <c r="BE1232" s="250"/>
      <c r="BF1232" s="250"/>
      <c r="BG1232" s="250"/>
      <c r="BH1232" s="250"/>
      <c r="BI1232" s="250"/>
      <c r="BJ1232" s="250"/>
      <c r="BK1232" s="250"/>
      <c r="BL1232" s="250"/>
      <c r="BM1232" s="250"/>
      <c r="BN1232" s="250"/>
      <c r="BO1232" s="250"/>
      <c r="BP1232" s="250"/>
      <c r="BQ1232" s="250"/>
      <c r="BR1232" s="250"/>
      <c r="BS1232" s="250"/>
      <c r="BT1232" s="250"/>
      <c r="BU1232" s="250"/>
      <c r="BV1232" s="250"/>
      <c r="BW1232" s="250"/>
      <c r="BX1232" s="250"/>
      <c r="BY1232" s="250"/>
      <c r="BZ1232" s="250"/>
      <c r="CA1232" s="250"/>
      <c r="CB1232" s="250"/>
      <c r="CC1232" s="250"/>
      <c r="CD1232" s="250"/>
      <c r="CE1232" s="250"/>
      <c r="CF1232" s="250"/>
      <c r="CG1232" s="250"/>
      <c r="CH1232" s="250"/>
      <c r="CI1232" s="250"/>
      <c r="CJ1232" s="250"/>
      <c r="CK1232" s="250"/>
      <c r="DQ1232" s="339"/>
      <c r="DR1232" s="339"/>
      <c r="DS1232" s="339"/>
      <c r="EP1232" s="340"/>
      <c r="FS1232" s="341"/>
      <c r="GI1232" s="342"/>
    </row>
    <row r="1233" spans="1:191" s="329" customFormat="1" ht="36" customHeight="1" x14ac:dyDescent="0.25">
      <c r="B1233" s="33" t="s">
        <v>1676</v>
      </c>
      <c r="C1233" s="33"/>
      <c r="D1233" s="330" t="s">
        <v>131</v>
      </c>
      <c r="E1233" s="330" t="s">
        <v>131</v>
      </c>
      <c r="F1233" s="330" t="s">
        <v>131</v>
      </c>
      <c r="G1233" s="330" t="s">
        <v>131</v>
      </c>
      <c r="H1233" s="330" t="s">
        <v>131</v>
      </c>
      <c r="I1233" s="334">
        <f>SUM(I1234:I1235)</f>
        <v>2640.94</v>
      </c>
      <c r="J1233" s="334">
        <f>SUM(J1234:J1235)</f>
        <v>1584.6</v>
      </c>
      <c r="K1233" s="334">
        <f>SUM(K1234:K1235)</f>
        <v>1443.9</v>
      </c>
      <c r="L1233" s="332">
        <f>SUM(L1234:L1235)</f>
        <v>92</v>
      </c>
      <c r="M1233" s="330" t="s">
        <v>131</v>
      </c>
      <c r="N1233" s="330" t="s">
        <v>131</v>
      </c>
      <c r="O1233" s="333" t="s">
        <v>131</v>
      </c>
      <c r="P1233" s="38">
        <v>4011881.02</v>
      </c>
      <c r="Q1233" s="38">
        <f>Q1234+Q1235</f>
        <v>0</v>
      </c>
      <c r="R1233" s="38">
        <f>R1234+R1235</f>
        <v>0</v>
      </c>
      <c r="S1233" s="38">
        <f>S1234+S1235</f>
        <v>4011881.02</v>
      </c>
      <c r="T1233" s="38">
        <f t="shared" si="255"/>
        <v>1519.1110059297068</v>
      </c>
      <c r="U1233" s="38">
        <f>MAX(U1234:U1235)</f>
        <v>3396.589156346749</v>
      </c>
      <c r="V1233" s="458">
        <f t="shared" ref="V1233:V1295" si="265">U1233-T1233</f>
        <v>1877.4781504170421</v>
      </c>
      <c r="W1233" s="458"/>
      <c r="X1233" s="458"/>
      <c r="Y1233" s="459"/>
      <c r="Z1233" s="459"/>
      <c r="AA1233" s="459"/>
      <c r="AB1233" s="459"/>
      <c r="AC1233" s="459"/>
      <c r="AD1233" s="459"/>
      <c r="AE1233" s="459"/>
      <c r="AF1233" s="459"/>
      <c r="AG1233" s="459"/>
      <c r="AH1233" s="459"/>
      <c r="AI1233" s="459"/>
      <c r="AJ1233" s="459"/>
      <c r="AK1233" s="459"/>
      <c r="AL1233" s="459"/>
      <c r="AM1233" s="459"/>
      <c r="AN1233" s="459"/>
      <c r="AO1233" s="459"/>
      <c r="AP1233" s="460"/>
      <c r="AQ1233" s="460"/>
      <c r="AR1233" s="460"/>
      <c r="AS1233" s="460"/>
      <c r="AT1233" s="460"/>
      <c r="AU1233" s="460"/>
      <c r="AV1233" s="460"/>
      <c r="AW1233" s="460"/>
      <c r="AX1233" s="460"/>
      <c r="AY1233" s="460"/>
      <c r="AZ1233" s="460"/>
      <c r="BA1233" s="460"/>
      <c r="BB1233" s="460"/>
      <c r="BC1233" s="460"/>
      <c r="BD1233" s="460"/>
      <c r="BE1233" s="460"/>
      <c r="BF1233" s="460"/>
      <c r="BG1233" s="460"/>
      <c r="BH1233" s="460"/>
      <c r="BI1233" s="460"/>
      <c r="BJ1233" s="460"/>
      <c r="BK1233" s="460"/>
      <c r="BL1233" s="460"/>
      <c r="BM1233" s="460"/>
      <c r="BN1233" s="460"/>
      <c r="BO1233" s="460"/>
      <c r="BP1233" s="460"/>
      <c r="BQ1233" s="460"/>
      <c r="BR1233" s="460"/>
      <c r="BS1233" s="460"/>
      <c r="BT1233" s="460"/>
      <c r="BU1233" s="460"/>
      <c r="BV1233" s="460"/>
      <c r="BW1233" s="460"/>
      <c r="BX1233" s="460"/>
      <c r="BY1233" s="460"/>
      <c r="BZ1233" s="460"/>
      <c r="CA1233" s="460"/>
      <c r="CB1233" s="460"/>
      <c r="CC1233" s="460"/>
      <c r="CD1233" s="460"/>
      <c r="CE1233" s="460"/>
      <c r="CF1233" s="460"/>
      <c r="CG1233" s="460"/>
      <c r="CH1233" s="460"/>
      <c r="CI1233" s="460"/>
      <c r="CJ1233" s="460"/>
      <c r="CK1233" s="460"/>
    </row>
    <row r="1234" spans="1:191" s="266" customFormat="1" ht="36" customHeight="1" x14ac:dyDescent="0.25">
      <c r="A1234" s="329">
        <v>1</v>
      </c>
      <c r="B1234" s="39">
        <f>SUBTOTAL(103,$A$1000:A1234)</f>
        <v>191</v>
      </c>
      <c r="C1234" s="336" t="s">
        <v>1888</v>
      </c>
      <c r="D1234" s="330">
        <v>1978</v>
      </c>
      <c r="E1234" s="330"/>
      <c r="F1234" s="337" t="s">
        <v>48</v>
      </c>
      <c r="G1234" s="330">
        <v>2</v>
      </c>
      <c r="H1234" s="330" t="s">
        <v>56</v>
      </c>
      <c r="I1234" s="334">
        <v>1219.74</v>
      </c>
      <c r="J1234" s="334">
        <v>712.8</v>
      </c>
      <c r="K1234" s="334">
        <v>712.8</v>
      </c>
      <c r="L1234" s="338">
        <v>45</v>
      </c>
      <c r="M1234" s="330" t="s">
        <v>46</v>
      </c>
      <c r="N1234" s="330" t="s">
        <v>50</v>
      </c>
      <c r="O1234" s="330" t="s">
        <v>2090</v>
      </c>
      <c r="P1234" s="334">
        <v>329863.09999999998</v>
      </c>
      <c r="Q1234" s="334">
        <v>0</v>
      </c>
      <c r="R1234" s="334">
        <v>0</v>
      </c>
      <c r="S1234" s="334">
        <f>P1234-Q1234-R1234</f>
        <v>329863.09999999998</v>
      </c>
      <c r="T1234" s="38">
        <f t="shared" ref="T1234:T1276" si="266">P1234/I1234</f>
        <v>270.43722432649577</v>
      </c>
      <c r="U1234" s="38">
        <v>597.69442668109605</v>
      </c>
      <c r="V1234" s="458">
        <f t="shared" si="265"/>
        <v>327.25720235460028</v>
      </c>
      <c r="W1234" s="458">
        <f t="shared" ref="W1234:W1235" si="267">X1234+Y1234+Z1234+AA1234+AB1234+AD1234+AF1234+AH1234+AJ1234+AL1234+AN1234+AO1234</f>
        <v>597.69442668109605</v>
      </c>
      <c r="X1234" s="458">
        <v>0</v>
      </c>
      <c r="Y1234" s="459">
        <v>0</v>
      </c>
      <c r="Z1234" s="459">
        <v>0</v>
      </c>
      <c r="AA1234" s="459">
        <v>0</v>
      </c>
      <c r="AB1234" s="459">
        <v>0</v>
      </c>
      <c r="AC1234" s="459">
        <v>0</v>
      </c>
      <c r="AD1234" s="459">
        <v>0</v>
      </c>
      <c r="AE1234" s="459">
        <v>0</v>
      </c>
      <c r="AF1234" s="458">
        <v>0</v>
      </c>
      <c r="AG1234" s="459">
        <v>0</v>
      </c>
      <c r="AH1234" s="458">
        <v>0</v>
      </c>
      <c r="AI1234" s="459">
        <v>98</v>
      </c>
      <c r="AJ1234" s="458">
        <f>7439.1*AI1234/I1234</f>
        <v>597.69442668109605</v>
      </c>
      <c r="AK1234" s="459">
        <v>0</v>
      </c>
      <c r="AL1234" s="459">
        <v>0</v>
      </c>
      <c r="AM1234" s="459">
        <v>0</v>
      </c>
      <c r="AN1234" s="459"/>
      <c r="AO1234" s="459">
        <v>0</v>
      </c>
      <c r="AP1234" s="460"/>
      <c r="AQ1234" s="250"/>
      <c r="AR1234" s="250"/>
      <c r="AS1234" s="250"/>
      <c r="AT1234" s="250"/>
      <c r="AU1234" s="250"/>
      <c r="AV1234" s="250"/>
      <c r="AW1234" s="250"/>
      <c r="AX1234" s="250"/>
      <c r="AY1234" s="250"/>
      <c r="AZ1234" s="250"/>
      <c r="BA1234" s="250"/>
      <c r="BB1234" s="250"/>
      <c r="BC1234" s="250"/>
      <c r="BD1234" s="250"/>
      <c r="BE1234" s="250"/>
      <c r="BF1234" s="250"/>
      <c r="BG1234" s="250"/>
      <c r="BH1234" s="250"/>
      <c r="BI1234" s="250"/>
      <c r="BJ1234" s="250"/>
      <c r="BK1234" s="250"/>
      <c r="BL1234" s="250"/>
      <c r="BM1234" s="250"/>
      <c r="BN1234" s="250"/>
      <c r="BO1234" s="250"/>
      <c r="BP1234" s="250"/>
      <c r="BQ1234" s="250"/>
      <c r="BR1234" s="250"/>
      <c r="BS1234" s="250"/>
      <c r="BT1234" s="250"/>
      <c r="BU1234" s="250"/>
      <c r="BV1234" s="250"/>
      <c r="BW1234" s="250"/>
      <c r="BX1234" s="250"/>
      <c r="BY1234" s="250"/>
      <c r="BZ1234" s="250"/>
      <c r="CA1234" s="250"/>
      <c r="CB1234" s="250"/>
      <c r="CC1234" s="250"/>
      <c r="CD1234" s="250"/>
      <c r="CE1234" s="250"/>
      <c r="CF1234" s="250"/>
      <c r="CG1234" s="250"/>
      <c r="CH1234" s="250"/>
      <c r="CI1234" s="250"/>
      <c r="CJ1234" s="250"/>
      <c r="CK1234" s="250"/>
      <c r="DQ1234" s="339"/>
      <c r="DR1234" s="339"/>
      <c r="DS1234" s="339"/>
      <c r="EP1234" s="340"/>
      <c r="FS1234" s="341"/>
      <c r="GI1234" s="342"/>
    </row>
    <row r="1235" spans="1:191" s="266" customFormat="1" ht="36" customHeight="1" x14ac:dyDescent="0.25">
      <c r="A1235" s="329">
        <v>1</v>
      </c>
      <c r="B1235" s="39">
        <f>SUBTOTAL(103,$A$1000:A1235)</f>
        <v>192</v>
      </c>
      <c r="C1235" s="336" t="s">
        <v>1889</v>
      </c>
      <c r="D1235" s="330">
        <v>1989</v>
      </c>
      <c r="E1235" s="330"/>
      <c r="F1235" s="337" t="s">
        <v>48</v>
      </c>
      <c r="G1235" s="330">
        <v>2</v>
      </c>
      <c r="H1235" s="330" t="s">
        <v>61</v>
      </c>
      <c r="I1235" s="334">
        <v>1421.2</v>
      </c>
      <c r="J1235" s="334">
        <v>871.8</v>
      </c>
      <c r="K1235" s="334">
        <v>731.1</v>
      </c>
      <c r="L1235" s="338">
        <v>47</v>
      </c>
      <c r="M1235" s="330" t="s">
        <v>46</v>
      </c>
      <c r="N1235" s="330" t="s">
        <v>50</v>
      </c>
      <c r="O1235" s="330" t="s">
        <v>2090</v>
      </c>
      <c r="P1235" s="334">
        <v>3682017.92</v>
      </c>
      <c r="Q1235" s="334">
        <v>0</v>
      </c>
      <c r="R1235" s="334">
        <v>0</v>
      </c>
      <c r="S1235" s="334">
        <f>P1235-Q1235-R1235</f>
        <v>3682017.92</v>
      </c>
      <c r="T1235" s="38">
        <f t="shared" si="266"/>
        <v>2590.7809738249366</v>
      </c>
      <c r="U1235" s="38">
        <v>3396.589156346749</v>
      </c>
      <c r="V1235" s="458">
        <f t="shared" si="265"/>
        <v>805.80818252181234</v>
      </c>
      <c r="W1235" s="458">
        <f t="shared" si="267"/>
        <v>3385.0432739938083</v>
      </c>
      <c r="X1235" s="458">
        <v>0</v>
      </c>
      <c r="Y1235" s="459">
        <v>0</v>
      </c>
      <c r="Z1235" s="459">
        <v>0</v>
      </c>
      <c r="AA1235" s="459">
        <v>0</v>
      </c>
      <c r="AB1235" s="459">
        <v>0</v>
      </c>
      <c r="AC1235" s="459">
        <v>0</v>
      </c>
      <c r="AD1235" s="459">
        <v>0</v>
      </c>
      <c r="AE1235" s="459">
        <v>771.1</v>
      </c>
      <c r="AF1235" s="458">
        <f>6238.91*AE1235/I1235</f>
        <v>3385.0432739938083</v>
      </c>
      <c r="AG1235" s="459">
        <v>0</v>
      </c>
      <c r="AH1235" s="458">
        <v>0</v>
      </c>
      <c r="AI1235" s="459">
        <v>0</v>
      </c>
      <c r="AJ1235" s="458">
        <v>0</v>
      </c>
      <c r="AK1235" s="459">
        <v>0</v>
      </c>
      <c r="AL1235" s="459">
        <v>0</v>
      </c>
      <c r="AM1235" s="459">
        <v>0</v>
      </c>
      <c r="AN1235" s="459"/>
      <c r="AO1235" s="459">
        <v>0</v>
      </c>
      <c r="AP1235" s="460"/>
      <c r="AQ1235" s="250"/>
      <c r="AR1235" s="250"/>
      <c r="AS1235" s="250"/>
      <c r="AT1235" s="250"/>
      <c r="AU1235" s="250"/>
      <c r="AV1235" s="250"/>
      <c r="AW1235" s="250"/>
      <c r="AX1235" s="250"/>
      <c r="AY1235" s="250"/>
      <c r="AZ1235" s="250"/>
      <c r="BA1235" s="250"/>
      <c r="BB1235" s="250"/>
      <c r="BC1235" s="250"/>
      <c r="BD1235" s="250"/>
      <c r="BE1235" s="250"/>
      <c r="BF1235" s="250"/>
      <c r="BG1235" s="250"/>
      <c r="BH1235" s="250"/>
      <c r="BI1235" s="250"/>
      <c r="BJ1235" s="250"/>
      <c r="BK1235" s="250"/>
      <c r="BL1235" s="250"/>
      <c r="BM1235" s="250"/>
      <c r="BN1235" s="250"/>
      <c r="BO1235" s="250"/>
      <c r="BP1235" s="250"/>
      <c r="BQ1235" s="250"/>
      <c r="BR1235" s="250"/>
      <c r="BS1235" s="250"/>
      <c r="BT1235" s="250"/>
      <c r="BU1235" s="250"/>
      <c r="BV1235" s="250"/>
      <c r="BW1235" s="250"/>
      <c r="BX1235" s="250"/>
      <c r="BY1235" s="250"/>
      <c r="BZ1235" s="250"/>
      <c r="CA1235" s="250"/>
      <c r="CB1235" s="250"/>
      <c r="CC1235" s="250"/>
      <c r="CD1235" s="250"/>
      <c r="CE1235" s="250"/>
      <c r="CF1235" s="250"/>
      <c r="CG1235" s="250"/>
      <c r="CH1235" s="250"/>
      <c r="CI1235" s="250"/>
      <c r="CJ1235" s="250"/>
      <c r="CK1235" s="250"/>
      <c r="DQ1235" s="339"/>
      <c r="DR1235" s="339"/>
      <c r="DS1235" s="339"/>
      <c r="EP1235" s="340"/>
      <c r="FS1235" s="341"/>
      <c r="GI1235" s="342"/>
    </row>
    <row r="1236" spans="1:191" s="329" customFormat="1" ht="36" customHeight="1" x14ac:dyDescent="0.25">
      <c r="B1236" s="33" t="s">
        <v>115</v>
      </c>
      <c r="C1236" s="33"/>
      <c r="D1236" s="330" t="s">
        <v>131</v>
      </c>
      <c r="E1236" s="330" t="s">
        <v>131</v>
      </c>
      <c r="F1236" s="330" t="s">
        <v>131</v>
      </c>
      <c r="G1236" s="330" t="s">
        <v>131</v>
      </c>
      <c r="H1236" s="330" t="s">
        <v>131</v>
      </c>
      <c r="I1236" s="334">
        <f>SUM(I1237:I1239)</f>
        <v>3872.1</v>
      </c>
      <c r="J1236" s="334">
        <f>SUM(J1237:J1239)</f>
        <v>3872.1</v>
      </c>
      <c r="K1236" s="334">
        <f>SUM(K1237:K1239)</f>
        <v>3735</v>
      </c>
      <c r="L1236" s="332">
        <f>SUM(L1237:L1239)</f>
        <v>163</v>
      </c>
      <c r="M1236" s="330" t="s">
        <v>131</v>
      </c>
      <c r="N1236" s="330" t="s">
        <v>131</v>
      </c>
      <c r="O1236" s="333" t="s">
        <v>131</v>
      </c>
      <c r="P1236" s="38">
        <v>6079528.0199999996</v>
      </c>
      <c r="Q1236" s="38">
        <f>Q1237+Q1238+Q1239</f>
        <v>0</v>
      </c>
      <c r="R1236" s="38">
        <f>R1237+R1238+R1239</f>
        <v>0</v>
      </c>
      <c r="S1236" s="38">
        <f>S1237+S1238+S1239</f>
        <v>6079528.0199999996</v>
      </c>
      <c r="T1236" s="38">
        <f t="shared" si="266"/>
        <v>1570.0854884946152</v>
      </c>
      <c r="U1236" s="38">
        <f>MAX(U1237:U1239)</f>
        <v>6442.1936729044965</v>
      </c>
      <c r="V1236" s="458">
        <f t="shared" si="265"/>
        <v>4872.1081844098808</v>
      </c>
      <c r="W1236" s="458"/>
      <c r="X1236" s="458"/>
      <c r="Y1236" s="459"/>
      <c r="Z1236" s="459"/>
      <c r="AA1236" s="459"/>
      <c r="AB1236" s="459"/>
      <c r="AC1236" s="459"/>
      <c r="AD1236" s="459"/>
      <c r="AE1236" s="459"/>
      <c r="AF1236" s="459"/>
      <c r="AG1236" s="459"/>
      <c r="AH1236" s="459"/>
      <c r="AI1236" s="459"/>
      <c r="AJ1236" s="459"/>
      <c r="AK1236" s="459"/>
      <c r="AL1236" s="459"/>
      <c r="AM1236" s="459"/>
      <c r="AN1236" s="459"/>
      <c r="AO1236" s="459"/>
      <c r="AP1236" s="460"/>
      <c r="AQ1236" s="460"/>
      <c r="AR1236" s="460"/>
      <c r="AS1236" s="460"/>
      <c r="AT1236" s="460"/>
      <c r="AU1236" s="460"/>
      <c r="AV1236" s="460"/>
      <c r="AW1236" s="460"/>
      <c r="AX1236" s="460"/>
      <c r="AY1236" s="460"/>
      <c r="AZ1236" s="460"/>
      <c r="BA1236" s="460"/>
      <c r="BB1236" s="460"/>
      <c r="BC1236" s="460"/>
      <c r="BD1236" s="460"/>
      <c r="BE1236" s="460"/>
      <c r="BF1236" s="460"/>
      <c r="BG1236" s="460"/>
      <c r="BH1236" s="460"/>
      <c r="BI1236" s="460"/>
      <c r="BJ1236" s="460"/>
      <c r="BK1236" s="460"/>
      <c r="BL1236" s="460"/>
      <c r="BM1236" s="460"/>
      <c r="BN1236" s="460"/>
      <c r="BO1236" s="460"/>
      <c r="BP1236" s="460"/>
      <c r="BQ1236" s="460"/>
      <c r="BR1236" s="460"/>
      <c r="BS1236" s="460"/>
      <c r="BT1236" s="460"/>
      <c r="BU1236" s="460"/>
      <c r="BV1236" s="460"/>
      <c r="BW1236" s="460"/>
      <c r="BX1236" s="460"/>
      <c r="BY1236" s="460"/>
      <c r="BZ1236" s="460"/>
      <c r="CA1236" s="460"/>
      <c r="CB1236" s="460"/>
      <c r="CC1236" s="460"/>
      <c r="CD1236" s="460"/>
      <c r="CE1236" s="460"/>
      <c r="CF1236" s="460"/>
      <c r="CG1236" s="460"/>
      <c r="CH1236" s="460"/>
      <c r="CI1236" s="460"/>
      <c r="CJ1236" s="460"/>
      <c r="CK1236" s="460"/>
    </row>
    <row r="1237" spans="1:191" s="266" customFormat="1" ht="36" customHeight="1" x14ac:dyDescent="0.25">
      <c r="A1237" s="329">
        <v>1</v>
      </c>
      <c r="B1237" s="39">
        <f>SUBTOTAL(103,$A$1000:A1237)</f>
        <v>193</v>
      </c>
      <c r="C1237" s="336" t="s">
        <v>1890</v>
      </c>
      <c r="D1237" s="330">
        <v>1986</v>
      </c>
      <c r="E1237" s="330"/>
      <c r="F1237" s="337" t="s">
        <v>48</v>
      </c>
      <c r="G1237" s="330">
        <v>5</v>
      </c>
      <c r="H1237" s="330" t="s">
        <v>59</v>
      </c>
      <c r="I1237" s="334">
        <v>2959.8</v>
      </c>
      <c r="J1237" s="334">
        <v>2959.8</v>
      </c>
      <c r="K1237" s="334">
        <f>J1237-113.1</f>
        <v>2846.7000000000003</v>
      </c>
      <c r="L1237" s="338">
        <v>127</v>
      </c>
      <c r="M1237" s="330" t="s">
        <v>46</v>
      </c>
      <c r="N1237" s="330" t="s">
        <v>50</v>
      </c>
      <c r="O1237" s="330" t="s">
        <v>54</v>
      </c>
      <c r="P1237" s="334">
        <v>3274967.59</v>
      </c>
      <c r="Q1237" s="334">
        <v>0</v>
      </c>
      <c r="R1237" s="334">
        <v>0</v>
      </c>
      <c r="S1237" s="334">
        <f>P1237-Q1237-R1237</f>
        <v>3274967.59</v>
      </c>
      <c r="T1237" s="38">
        <f t="shared" si="266"/>
        <v>1106.4827319413473</v>
      </c>
      <c r="U1237" s="38">
        <v>1623.1062254206363</v>
      </c>
      <c r="V1237" s="458">
        <f t="shared" si="265"/>
        <v>516.62349347928898</v>
      </c>
      <c r="W1237" s="458">
        <f t="shared" ref="W1237:W1239" si="268">X1237+Y1237+Z1237+AA1237+AB1237+AD1237+AF1237+AH1237+AJ1237+AL1237+AN1237+AO1237</f>
        <v>1851.5638029596591</v>
      </c>
      <c r="X1237" s="458">
        <v>0</v>
      </c>
      <c r="Y1237" s="459">
        <v>0</v>
      </c>
      <c r="Z1237" s="459">
        <v>0</v>
      </c>
      <c r="AA1237" s="459">
        <v>0</v>
      </c>
      <c r="AB1237" s="459">
        <v>0</v>
      </c>
      <c r="AC1237" s="459">
        <v>0</v>
      </c>
      <c r="AD1237" s="459">
        <v>0</v>
      </c>
      <c r="AE1237" s="459">
        <v>878.4</v>
      </c>
      <c r="AF1237" s="458">
        <f>6238.91*AE1237/I1237</f>
        <v>1851.5638029596591</v>
      </c>
      <c r="AG1237" s="459">
        <v>0</v>
      </c>
      <c r="AH1237" s="458">
        <v>0</v>
      </c>
      <c r="AI1237" s="459">
        <v>0</v>
      </c>
      <c r="AJ1237" s="458">
        <v>0</v>
      </c>
      <c r="AK1237" s="459">
        <v>0</v>
      </c>
      <c r="AL1237" s="459">
        <v>0</v>
      </c>
      <c r="AM1237" s="459">
        <v>0</v>
      </c>
      <c r="AN1237" s="459"/>
      <c r="AO1237" s="459">
        <v>0</v>
      </c>
      <c r="AP1237" s="460"/>
      <c r="AQ1237" s="250"/>
      <c r="AR1237" s="250"/>
      <c r="AS1237" s="250"/>
      <c r="AT1237" s="250"/>
      <c r="AU1237" s="250"/>
      <c r="AV1237" s="250"/>
      <c r="AW1237" s="250"/>
      <c r="AX1237" s="250"/>
      <c r="AY1237" s="250"/>
      <c r="AZ1237" s="250"/>
      <c r="BA1237" s="250"/>
      <c r="BB1237" s="250"/>
      <c r="BC1237" s="250"/>
      <c r="BD1237" s="250"/>
      <c r="BE1237" s="250"/>
      <c r="BF1237" s="250"/>
      <c r="BG1237" s="250"/>
      <c r="BH1237" s="250"/>
      <c r="BI1237" s="250"/>
      <c r="BJ1237" s="250"/>
      <c r="BK1237" s="250"/>
      <c r="BL1237" s="250"/>
      <c r="BM1237" s="250"/>
      <c r="BN1237" s="250"/>
      <c r="BO1237" s="250"/>
      <c r="BP1237" s="250"/>
      <c r="BQ1237" s="250"/>
      <c r="BR1237" s="250"/>
      <c r="BS1237" s="250"/>
      <c r="BT1237" s="250"/>
      <c r="BU1237" s="250"/>
      <c r="BV1237" s="250"/>
      <c r="BW1237" s="250"/>
      <c r="BX1237" s="250"/>
      <c r="BY1237" s="250"/>
      <c r="BZ1237" s="250"/>
      <c r="CA1237" s="250"/>
      <c r="CB1237" s="250"/>
      <c r="CC1237" s="250"/>
      <c r="CD1237" s="250"/>
      <c r="CE1237" s="250"/>
      <c r="CF1237" s="250"/>
      <c r="CG1237" s="250"/>
      <c r="CH1237" s="250"/>
      <c r="CI1237" s="250"/>
      <c r="CJ1237" s="250"/>
      <c r="CK1237" s="250"/>
      <c r="DQ1237" s="339"/>
      <c r="DR1237" s="339"/>
      <c r="DS1237" s="339"/>
      <c r="EP1237" s="340"/>
      <c r="FS1237" s="341"/>
      <c r="GI1237" s="342"/>
    </row>
    <row r="1238" spans="1:191" s="266" customFormat="1" ht="36" customHeight="1" x14ac:dyDescent="0.25">
      <c r="A1238" s="329">
        <v>1</v>
      </c>
      <c r="B1238" s="39">
        <f>SUBTOTAL(103,$A$1000:A1238)</f>
        <v>194</v>
      </c>
      <c r="C1238" s="336" t="s">
        <v>1891</v>
      </c>
      <c r="D1238" s="330">
        <v>1970</v>
      </c>
      <c r="E1238" s="330"/>
      <c r="F1238" s="337" t="s">
        <v>1981</v>
      </c>
      <c r="G1238" s="330" t="s">
        <v>59</v>
      </c>
      <c r="H1238" s="330" t="s">
        <v>57</v>
      </c>
      <c r="I1238" s="334">
        <v>607.6</v>
      </c>
      <c r="J1238" s="334">
        <v>607.6</v>
      </c>
      <c r="K1238" s="334">
        <v>607.6</v>
      </c>
      <c r="L1238" s="338">
        <v>25</v>
      </c>
      <c r="M1238" s="330" t="s">
        <v>46</v>
      </c>
      <c r="N1238" s="330" t="s">
        <v>50</v>
      </c>
      <c r="O1238" s="330" t="s">
        <v>54</v>
      </c>
      <c r="P1238" s="334">
        <v>1167219.1299999999</v>
      </c>
      <c r="Q1238" s="334">
        <v>0</v>
      </c>
      <c r="R1238" s="334">
        <v>0</v>
      </c>
      <c r="S1238" s="334">
        <f>P1238-Q1238-R1238</f>
        <v>1167219.1299999999</v>
      </c>
      <c r="T1238" s="38">
        <f t="shared" si="266"/>
        <v>1921.0321428571426</v>
      </c>
      <c r="U1238" s="38">
        <v>1993.658270243581</v>
      </c>
      <c r="V1238" s="458">
        <f t="shared" si="265"/>
        <v>72.626127386438384</v>
      </c>
      <c r="W1238" s="458">
        <f t="shared" si="268"/>
        <v>3219.657480457538</v>
      </c>
      <c r="X1238" s="458">
        <v>0</v>
      </c>
      <c r="Y1238" s="459">
        <v>0</v>
      </c>
      <c r="Z1238" s="459">
        <v>0</v>
      </c>
      <c r="AA1238" s="459">
        <v>0</v>
      </c>
      <c r="AB1238" s="459">
        <v>0</v>
      </c>
      <c r="AC1238" s="459">
        <v>0</v>
      </c>
      <c r="AD1238" s="459">
        <v>0</v>
      </c>
      <c r="AE1238" s="459">
        <v>313.55860000000001</v>
      </c>
      <c r="AF1238" s="458">
        <f>6238.91*AE1238/I1238</f>
        <v>3219.657480457538</v>
      </c>
      <c r="AG1238" s="459">
        <v>0</v>
      </c>
      <c r="AH1238" s="458">
        <v>0</v>
      </c>
      <c r="AI1238" s="459">
        <v>0</v>
      </c>
      <c r="AJ1238" s="458">
        <v>0</v>
      </c>
      <c r="AK1238" s="459">
        <v>0</v>
      </c>
      <c r="AL1238" s="459">
        <v>0</v>
      </c>
      <c r="AM1238" s="459">
        <v>0</v>
      </c>
      <c r="AN1238" s="459"/>
      <c r="AO1238" s="459">
        <v>0</v>
      </c>
      <c r="AP1238" s="460"/>
      <c r="AQ1238" s="250"/>
      <c r="AR1238" s="250"/>
      <c r="AS1238" s="250"/>
      <c r="AT1238" s="250"/>
      <c r="AU1238" s="250"/>
      <c r="AV1238" s="250"/>
      <c r="AW1238" s="250"/>
      <c r="AX1238" s="250"/>
      <c r="AY1238" s="250"/>
      <c r="AZ1238" s="250"/>
      <c r="BA1238" s="250"/>
      <c r="BB1238" s="250"/>
      <c r="BC1238" s="250"/>
      <c r="BD1238" s="250"/>
      <c r="BE1238" s="250"/>
      <c r="BF1238" s="250"/>
      <c r="BG1238" s="250"/>
      <c r="BH1238" s="250"/>
      <c r="BI1238" s="250"/>
      <c r="BJ1238" s="250"/>
      <c r="BK1238" s="250"/>
      <c r="BL1238" s="250"/>
      <c r="BM1238" s="250"/>
      <c r="BN1238" s="250"/>
      <c r="BO1238" s="250"/>
      <c r="BP1238" s="250"/>
      <c r="BQ1238" s="250"/>
      <c r="BR1238" s="250"/>
      <c r="BS1238" s="250"/>
      <c r="BT1238" s="250"/>
      <c r="BU1238" s="250"/>
      <c r="BV1238" s="250"/>
      <c r="BW1238" s="250"/>
      <c r="BX1238" s="250"/>
      <c r="BY1238" s="250"/>
      <c r="BZ1238" s="250"/>
      <c r="CA1238" s="250"/>
      <c r="CB1238" s="250"/>
      <c r="CC1238" s="250"/>
      <c r="CD1238" s="250"/>
      <c r="CE1238" s="250"/>
      <c r="CF1238" s="250"/>
      <c r="CG1238" s="250"/>
      <c r="CH1238" s="250"/>
      <c r="CI1238" s="250"/>
      <c r="CJ1238" s="250"/>
      <c r="CK1238" s="250"/>
      <c r="DQ1238" s="339"/>
      <c r="DR1238" s="339"/>
      <c r="DS1238" s="339"/>
      <c r="EP1238" s="340"/>
      <c r="FS1238" s="341"/>
      <c r="GI1238" s="342"/>
    </row>
    <row r="1239" spans="1:191" s="266" customFormat="1" ht="36" customHeight="1" x14ac:dyDescent="0.25">
      <c r="A1239" s="329">
        <v>1</v>
      </c>
      <c r="B1239" s="39">
        <f>SUBTOTAL(103,$A$1000:A1239)</f>
        <v>195</v>
      </c>
      <c r="C1239" s="336" t="s">
        <v>1892</v>
      </c>
      <c r="D1239" s="330">
        <v>1973</v>
      </c>
      <c r="E1239" s="330"/>
      <c r="F1239" s="337" t="s">
        <v>48</v>
      </c>
      <c r="G1239" s="330">
        <v>2</v>
      </c>
      <c r="H1239" s="330" t="s">
        <v>57</v>
      </c>
      <c r="I1239" s="334">
        <v>304.7</v>
      </c>
      <c r="J1239" s="334">
        <v>304.7</v>
      </c>
      <c r="K1239" s="334">
        <v>280.7</v>
      </c>
      <c r="L1239" s="338">
        <v>11</v>
      </c>
      <c r="M1239" s="330" t="s">
        <v>46</v>
      </c>
      <c r="N1239" s="330" t="s">
        <v>50</v>
      </c>
      <c r="O1239" s="330" t="s">
        <v>54</v>
      </c>
      <c r="P1239" s="334">
        <v>1637341.3</v>
      </c>
      <c r="Q1239" s="334">
        <v>0</v>
      </c>
      <c r="R1239" s="334">
        <v>0</v>
      </c>
      <c r="S1239" s="334">
        <f>P1239-Q1239-R1239</f>
        <v>1637341.3</v>
      </c>
      <c r="T1239" s="38">
        <f t="shared" si="266"/>
        <v>5373.6176567115199</v>
      </c>
      <c r="U1239" s="38">
        <v>6442.1936729044965</v>
      </c>
      <c r="V1239" s="458">
        <f t="shared" si="265"/>
        <v>1068.5760161929766</v>
      </c>
      <c r="W1239" s="458">
        <f t="shared" si="268"/>
        <v>6420.2949954906471</v>
      </c>
      <c r="X1239" s="458">
        <v>0</v>
      </c>
      <c r="Y1239" s="459">
        <v>0</v>
      </c>
      <c r="Z1239" s="459">
        <v>0</v>
      </c>
      <c r="AA1239" s="459">
        <v>0</v>
      </c>
      <c r="AB1239" s="459">
        <v>0</v>
      </c>
      <c r="AC1239" s="459">
        <v>0</v>
      </c>
      <c r="AD1239" s="459">
        <v>0</v>
      </c>
      <c r="AE1239" s="459">
        <v>313.55860000000001</v>
      </c>
      <c r="AF1239" s="458">
        <f>6238.91*AE1239/I1239</f>
        <v>6420.2949954906471</v>
      </c>
      <c r="AG1239" s="459">
        <v>0</v>
      </c>
      <c r="AH1239" s="458">
        <v>0</v>
      </c>
      <c r="AI1239" s="459">
        <v>0</v>
      </c>
      <c r="AJ1239" s="458">
        <v>0</v>
      </c>
      <c r="AK1239" s="459">
        <v>0</v>
      </c>
      <c r="AL1239" s="459">
        <v>0</v>
      </c>
      <c r="AM1239" s="459">
        <v>0</v>
      </c>
      <c r="AN1239" s="459"/>
      <c r="AO1239" s="459">
        <v>0</v>
      </c>
      <c r="AP1239" s="460"/>
      <c r="AQ1239" s="250"/>
      <c r="AR1239" s="250"/>
      <c r="AS1239" s="250"/>
      <c r="AT1239" s="250"/>
      <c r="AU1239" s="250"/>
      <c r="AV1239" s="250"/>
      <c r="AW1239" s="250"/>
      <c r="AX1239" s="250"/>
      <c r="AY1239" s="250"/>
      <c r="AZ1239" s="250"/>
      <c r="BA1239" s="250"/>
      <c r="BB1239" s="250"/>
      <c r="BC1239" s="250"/>
      <c r="BD1239" s="250"/>
      <c r="BE1239" s="250"/>
      <c r="BF1239" s="250"/>
      <c r="BG1239" s="250"/>
      <c r="BH1239" s="250"/>
      <c r="BI1239" s="250"/>
      <c r="BJ1239" s="250"/>
      <c r="BK1239" s="250"/>
      <c r="BL1239" s="250"/>
      <c r="BM1239" s="250"/>
      <c r="BN1239" s="250"/>
      <c r="BO1239" s="250"/>
      <c r="BP1239" s="250"/>
      <c r="BQ1239" s="250"/>
      <c r="BR1239" s="250"/>
      <c r="BS1239" s="250"/>
      <c r="BT1239" s="250"/>
      <c r="BU1239" s="250"/>
      <c r="BV1239" s="250"/>
      <c r="BW1239" s="250"/>
      <c r="BX1239" s="250"/>
      <c r="BY1239" s="250"/>
      <c r="BZ1239" s="250"/>
      <c r="CA1239" s="250"/>
      <c r="CB1239" s="250"/>
      <c r="CC1239" s="250"/>
      <c r="CD1239" s="250"/>
      <c r="CE1239" s="250"/>
      <c r="CF1239" s="250"/>
      <c r="CG1239" s="250"/>
      <c r="CH1239" s="250"/>
      <c r="CI1239" s="250"/>
      <c r="CJ1239" s="250"/>
      <c r="CK1239" s="250"/>
      <c r="DQ1239" s="339"/>
      <c r="DR1239" s="339"/>
      <c r="DS1239" s="339"/>
      <c r="EP1239" s="340"/>
      <c r="FS1239" s="341"/>
      <c r="GI1239" s="342"/>
    </row>
    <row r="1240" spans="1:191" s="329" customFormat="1" ht="36" customHeight="1" x14ac:dyDescent="0.25">
      <c r="B1240" s="33" t="s">
        <v>116</v>
      </c>
      <c r="C1240" s="33"/>
      <c r="D1240" s="330" t="s">
        <v>131</v>
      </c>
      <c r="E1240" s="330" t="s">
        <v>131</v>
      </c>
      <c r="F1240" s="330" t="s">
        <v>131</v>
      </c>
      <c r="G1240" s="330" t="s">
        <v>131</v>
      </c>
      <c r="H1240" s="330" t="s">
        <v>131</v>
      </c>
      <c r="I1240" s="334">
        <f>I1241+I1242+I1243</f>
        <v>13642.179999999998</v>
      </c>
      <c r="J1240" s="334">
        <f>J1241+J1242+J1243</f>
        <v>8514.9</v>
      </c>
      <c r="K1240" s="334">
        <f>K1241+K1242+K1243</f>
        <v>504.30000000000007</v>
      </c>
      <c r="L1240" s="332">
        <f>L1241+L1242+L1243</f>
        <v>462</v>
      </c>
      <c r="M1240" s="330" t="s">
        <v>131</v>
      </c>
      <c r="N1240" s="330" t="s">
        <v>131</v>
      </c>
      <c r="O1240" s="333" t="s">
        <v>131</v>
      </c>
      <c r="P1240" s="38">
        <v>12459674.15</v>
      </c>
      <c r="Q1240" s="38">
        <f>Q1241+Q1242+Q1243</f>
        <v>0</v>
      </c>
      <c r="R1240" s="38">
        <f>R1241+R1242+R1243</f>
        <v>0</v>
      </c>
      <c r="S1240" s="38">
        <f>S1241+S1242+S1243</f>
        <v>12459674.15</v>
      </c>
      <c r="T1240" s="38">
        <f t="shared" si="266"/>
        <v>913.31987629543096</v>
      </c>
      <c r="U1240" s="38">
        <f>MAX(U1241:U1243)</f>
        <v>1748.1056049861909</v>
      </c>
      <c r="V1240" s="458">
        <f t="shared" si="265"/>
        <v>834.78572869075992</v>
      </c>
      <c r="W1240" s="458"/>
      <c r="X1240" s="458"/>
      <c r="Y1240" s="459"/>
      <c r="Z1240" s="459"/>
      <c r="AA1240" s="459"/>
      <c r="AB1240" s="459"/>
      <c r="AC1240" s="459"/>
      <c r="AD1240" s="459"/>
      <c r="AE1240" s="459"/>
      <c r="AF1240" s="459"/>
      <c r="AG1240" s="459"/>
      <c r="AH1240" s="459"/>
      <c r="AI1240" s="459"/>
      <c r="AJ1240" s="459"/>
      <c r="AK1240" s="459"/>
      <c r="AL1240" s="459"/>
      <c r="AM1240" s="459"/>
      <c r="AN1240" s="459"/>
      <c r="AO1240" s="459"/>
      <c r="AP1240" s="460"/>
      <c r="AQ1240" s="460"/>
      <c r="AR1240" s="460"/>
      <c r="AS1240" s="460"/>
      <c r="AT1240" s="460"/>
      <c r="AU1240" s="460"/>
      <c r="AV1240" s="460"/>
      <c r="AW1240" s="460"/>
      <c r="AX1240" s="460"/>
      <c r="AY1240" s="460"/>
      <c r="AZ1240" s="460"/>
      <c r="BA1240" s="460"/>
      <c r="BB1240" s="460"/>
      <c r="BC1240" s="460"/>
      <c r="BD1240" s="460"/>
      <c r="BE1240" s="460"/>
      <c r="BF1240" s="460"/>
      <c r="BG1240" s="460"/>
      <c r="BH1240" s="460"/>
      <c r="BI1240" s="460"/>
      <c r="BJ1240" s="460"/>
      <c r="BK1240" s="460"/>
      <c r="BL1240" s="460"/>
      <c r="BM1240" s="460"/>
      <c r="BN1240" s="460"/>
      <c r="BO1240" s="460"/>
      <c r="BP1240" s="460"/>
      <c r="BQ1240" s="460"/>
      <c r="BR1240" s="460"/>
      <c r="BS1240" s="460"/>
      <c r="BT1240" s="460"/>
      <c r="BU1240" s="460"/>
      <c r="BV1240" s="460"/>
      <c r="BW1240" s="460"/>
      <c r="BX1240" s="460"/>
      <c r="BY1240" s="460"/>
      <c r="BZ1240" s="460"/>
      <c r="CA1240" s="460"/>
      <c r="CB1240" s="460"/>
      <c r="CC1240" s="460"/>
      <c r="CD1240" s="460"/>
      <c r="CE1240" s="460"/>
      <c r="CF1240" s="460"/>
      <c r="CG1240" s="460"/>
      <c r="CH1240" s="460"/>
      <c r="CI1240" s="460"/>
      <c r="CJ1240" s="460"/>
      <c r="CK1240" s="460"/>
    </row>
    <row r="1241" spans="1:191" s="266" customFormat="1" ht="36" customHeight="1" x14ac:dyDescent="0.25">
      <c r="A1241" s="329">
        <v>1</v>
      </c>
      <c r="B1241" s="39">
        <f>SUBTOTAL(103,$A$1000:A1241)</f>
        <v>196</v>
      </c>
      <c r="C1241" s="336" t="s">
        <v>1893</v>
      </c>
      <c r="D1241" s="330">
        <v>1988</v>
      </c>
      <c r="E1241" s="330"/>
      <c r="F1241" s="337" t="s">
        <v>48</v>
      </c>
      <c r="G1241" s="330">
        <v>5</v>
      </c>
      <c r="H1241" s="330" t="s">
        <v>1969</v>
      </c>
      <c r="I1241" s="334">
        <v>6118.54</v>
      </c>
      <c r="J1241" s="334">
        <v>4395.5</v>
      </c>
      <c r="K1241" s="334">
        <v>202.8</v>
      </c>
      <c r="L1241" s="338">
        <v>234</v>
      </c>
      <c r="M1241" s="330" t="s">
        <v>46</v>
      </c>
      <c r="N1241" s="330" t="s">
        <v>50</v>
      </c>
      <c r="O1241" s="330" t="s">
        <v>2092</v>
      </c>
      <c r="P1241" s="334">
        <v>5095413.53</v>
      </c>
      <c r="Q1241" s="334">
        <v>0</v>
      </c>
      <c r="R1241" s="334">
        <v>0</v>
      </c>
      <c r="S1241" s="334">
        <f>P1241-Q1241-R1241</f>
        <v>5095413.53</v>
      </c>
      <c r="T1241" s="38">
        <f t="shared" si="266"/>
        <v>832.78258048488692</v>
      </c>
      <c r="U1241" s="38">
        <v>1306.3488986097989</v>
      </c>
      <c r="V1241" s="458">
        <f t="shared" si="265"/>
        <v>473.56631812491196</v>
      </c>
      <c r="W1241" s="458">
        <f t="shared" ref="W1241:W1243" si="269">X1241+Y1241+Z1241+AA1241+AB1241+AD1241+AF1241+AH1241+AJ1241+AL1241+AN1241+AO1241</f>
        <v>1301.908281861359</v>
      </c>
      <c r="X1241" s="458">
        <v>0</v>
      </c>
      <c r="Y1241" s="459">
        <v>0</v>
      </c>
      <c r="Z1241" s="459">
        <v>0</v>
      </c>
      <c r="AA1241" s="459">
        <v>0</v>
      </c>
      <c r="AB1241" s="459">
        <v>0</v>
      </c>
      <c r="AC1241" s="459">
        <v>0</v>
      </c>
      <c r="AD1241" s="459">
        <v>0</v>
      </c>
      <c r="AE1241" s="459">
        <v>1276.79</v>
      </c>
      <c r="AF1241" s="458">
        <f>6238.91*AE1241/I1241</f>
        <v>1301.908281861359</v>
      </c>
      <c r="AG1241" s="459">
        <v>0</v>
      </c>
      <c r="AH1241" s="458">
        <v>0</v>
      </c>
      <c r="AI1241" s="459">
        <v>0</v>
      </c>
      <c r="AJ1241" s="458">
        <v>0</v>
      </c>
      <c r="AK1241" s="459">
        <v>0</v>
      </c>
      <c r="AL1241" s="459">
        <v>0</v>
      </c>
      <c r="AM1241" s="459">
        <v>0</v>
      </c>
      <c r="AN1241" s="459"/>
      <c r="AO1241" s="459">
        <v>0</v>
      </c>
      <c r="AP1241" s="460"/>
      <c r="AQ1241" s="250"/>
      <c r="AR1241" s="250"/>
      <c r="AS1241" s="250"/>
      <c r="AT1241" s="250"/>
      <c r="AU1241" s="250"/>
      <c r="AV1241" s="250"/>
      <c r="AW1241" s="250"/>
      <c r="AX1241" s="250"/>
      <c r="AY1241" s="250"/>
      <c r="AZ1241" s="250"/>
      <c r="BA1241" s="250"/>
      <c r="BB1241" s="250"/>
      <c r="BC1241" s="250"/>
      <c r="BD1241" s="250"/>
      <c r="BE1241" s="250"/>
      <c r="BF1241" s="250"/>
      <c r="BG1241" s="250"/>
      <c r="BH1241" s="250"/>
      <c r="BI1241" s="250"/>
      <c r="BJ1241" s="250"/>
      <c r="BK1241" s="250"/>
      <c r="BL1241" s="250"/>
      <c r="BM1241" s="250"/>
      <c r="BN1241" s="250"/>
      <c r="BO1241" s="250"/>
      <c r="BP1241" s="250"/>
      <c r="BQ1241" s="250"/>
      <c r="BR1241" s="250"/>
      <c r="BS1241" s="250"/>
      <c r="BT1241" s="250"/>
      <c r="BU1241" s="250"/>
      <c r="BV1241" s="250"/>
      <c r="BW1241" s="250"/>
      <c r="BX1241" s="250"/>
      <c r="BY1241" s="250"/>
      <c r="BZ1241" s="250"/>
      <c r="CA1241" s="250"/>
      <c r="CB1241" s="250"/>
      <c r="CC1241" s="250"/>
      <c r="CD1241" s="250"/>
      <c r="CE1241" s="250"/>
      <c r="CF1241" s="250"/>
      <c r="CG1241" s="250"/>
      <c r="CH1241" s="250"/>
      <c r="CI1241" s="250"/>
      <c r="CJ1241" s="250"/>
      <c r="CK1241" s="250"/>
      <c r="DQ1241" s="339"/>
      <c r="DR1241" s="339"/>
      <c r="DS1241" s="339"/>
      <c r="EP1241" s="340"/>
      <c r="FS1241" s="341"/>
      <c r="GI1241" s="342"/>
    </row>
    <row r="1242" spans="1:191" s="266" customFormat="1" ht="36" customHeight="1" x14ac:dyDescent="0.25">
      <c r="A1242" s="329">
        <v>1</v>
      </c>
      <c r="B1242" s="39">
        <f>SUBTOTAL(103,$A$1000:A1242)</f>
        <v>197</v>
      </c>
      <c r="C1242" s="336" t="s">
        <v>1894</v>
      </c>
      <c r="D1242" s="330">
        <v>1985</v>
      </c>
      <c r="E1242" s="330"/>
      <c r="F1242" s="337" t="s">
        <v>48</v>
      </c>
      <c r="G1242" s="330">
        <v>5</v>
      </c>
      <c r="H1242" s="330" t="s">
        <v>75</v>
      </c>
      <c r="I1242" s="334">
        <v>4844.24</v>
      </c>
      <c r="J1242" s="334">
        <v>2814.6</v>
      </c>
      <c r="K1242" s="334">
        <v>192.4</v>
      </c>
      <c r="L1242" s="338">
        <v>152</v>
      </c>
      <c r="M1242" s="330" t="s">
        <v>46</v>
      </c>
      <c r="N1242" s="330" t="s">
        <v>50</v>
      </c>
      <c r="O1242" s="330" t="s">
        <v>2092</v>
      </c>
      <c r="P1242" s="334">
        <v>3457309.86</v>
      </c>
      <c r="Q1242" s="334">
        <v>0</v>
      </c>
      <c r="R1242" s="334">
        <v>0</v>
      </c>
      <c r="S1242" s="334">
        <f>P1242-Q1242-R1242</f>
        <v>3457309.86</v>
      </c>
      <c r="T1242" s="38">
        <f t="shared" si="266"/>
        <v>713.69499859627103</v>
      </c>
      <c r="U1242" s="38">
        <v>1119.5415175135834</v>
      </c>
      <c r="V1242" s="458">
        <f t="shared" si="265"/>
        <v>405.84651891731232</v>
      </c>
      <c r="W1242" s="458">
        <f t="shared" si="269"/>
        <v>1115.7359072217728</v>
      </c>
      <c r="X1242" s="458">
        <v>0</v>
      </c>
      <c r="Y1242" s="459">
        <v>0</v>
      </c>
      <c r="Z1242" s="459">
        <v>0</v>
      </c>
      <c r="AA1242" s="459">
        <v>0</v>
      </c>
      <c r="AB1242" s="459">
        <v>0</v>
      </c>
      <c r="AC1242" s="459">
        <v>0</v>
      </c>
      <c r="AD1242" s="459">
        <v>0</v>
      </c>
      <c r="AE1242" s="459">
        <v>866.32</v>
      </c>
      <c r="AF1242" s="458">
        <f>6238.91*AE1242/I1242</f>
        <v>1115.7359072217728</v>
      </c>
      <c r="AG1242" s="459">
        <v>0</v>
      </c>
      <c r="AH1242" s="458">
        <v>0</v>
      </c>
      <c r="AI1242" s="459">
        <v>0</v>
      </c>
      <c r="AJ1242" s="458">
        <v>0</v>
      </c>
      <c r="AK1242" s="459">
        <v>0</v>
      </c>
      <c r="AL1242" s="459">
        <v>0</v>
      </c>
      <c r="AM1242" s="459">
        <v>0</v>
      </c>
      <c r="AN1242" s="459"/>
      <c r="AO1242" s="459">
        <v>0</v>
      </c>
      <c r="AP1242" s="460"/>
      <c r="AQ1242" s="250"/>
      <c r="AR1242" s="250"/>
      <c r="AS1242" s="250"/>
      <c r="AT1242" s="250"/>
      <c r="AU1242" s="250"/>
      <c r="AV1242" s="250"/>
      <c r="AW1242" s="250"/>
      <c r="AX1242" s="250"/>
      <c r="AY1242" s="250"/>
      <c r="AZ1242" s="250"/>
      <c r="BA1242" s="250"/>
      <c r="BB1242" s="250"/>
      <c r="BC1242" s="250"/>
      <c r="BD1242" s="250"/>
      <c r="BE1242" s="250"/>
      <c r="BF1242" s="250"/>
      <c r="BG1242" s="250"/>
      <c r="BH1242" s="250"/>
      <c r="BI1242" s="250"/>
      <c r="BJ1242" s="250"/>
      <c r="BK1242" s="250"/>
      <c r="BL1242" s="250"/>
      <c r="BM1242" s="250"/>
      <c r="BN1242" s="250"/>
      <c r="BO1242" s="250"/>
      <c r="BP1242" s="250"/>
      <c r="BQ1242" s="250"/>
      <c r="BR1242" s="250"/>
      <c r="BS1242" s="250"/>
      <c r="BT1242" s="250"/>
      <c r="BU1242" s="250"/>
      <c r="BV1242" s="250"/>
      <c r="BW1242" s="250"/>
      <c r="BX1242" s="250"/>
      <c r="BY1242" s="250"/>
      <c r="BZ1242" s="250"/>
      <c r="CA1242" s="250"/>
      <c r="CB1242" s="250"/>
      <c r="CC1242" s="250"/>
      <c r="CD1242" s="250"/>
      <c r="CE1242" s="250"/>
      <c r="CF1242" s="250"/>
      <c r="CG1242" s="250"/>
      <c r="CH1242" s="250"/>
      <c r="CI1242" s="250"/>
      <c r="CJ1242" s="250"/>
      <c r="CK1242" s="250"/>
      <c r="DQ1242" s="339"/>
      <c r="DR1242" s="339"/>
      <c r="DS1242" s="339"/>
      <c r="EP1242" s="340"/>
      <c r="FS1242" s="341"/>
      <c r="GI1242" s="342"/>
    </row>
    <row r="1243" spans="1:191" s="266" customFormat="1" ht="36" customHeight="1" x14ac:dyDescent="0.25">
      <c r="A1243" s="329">
        <v>1</v>
      </c>
      <c r="B1243" s="39">
        <f>SUBTOTAL(103,$A$1000:A1243)</f>
        <v>198</v>
      </c>
      <c r="C1243" s="336" t="s">
        <v>1895</v>
      </c>
      <c r="D1243" s="330">
        <v>1979</v>
      </c>
      <c r="E1243" s="330"/>
      <c r="F1243" s="337" t="s">
        <v>48</v>
      </c>
      <c r="G1243" s="330">
        <v>3</v>
      </c>
      <c r="H1243" s="330" t="s">
        <v>61</v>
      </c>
      <c r="I1243" s="334">
        <v>2679.4</v>
      </c>
      <c r="J1243" s="334">
        <v>1304.8</v>
      </c>
      <c r="K1243" s="334">
        <v>109.1</v>
      </c>
      <c r="L1243" s="338">
        <v>76</v>
      </c>
      <c r="M1243" s="330" t="s">
        <v>46</v>
      </c>
      <c r="N1243" s="330" t="s">
        <v>50</v>
      </c>
      <c r="O1243" s="330" t="s">
        <v>55</v>
      </c>
      <c r="P1243" s="334">
        <v>3906950.76</v>
      </c>
      <c r="Q1243" s="334">
        <v>0</v>
      </c>
      <c r="R1243" s="334">
        <v>0</v>
      </c>
      <c r="S1243" s="334">
        <f>P1243-Q1243-R1243</f>
        <v>3906950.76</v>
      </c>
      <c r="T1243" s="38">
        <f t="shared" si="266"/>
        <v>1458.1438978875867</v>
      </c>
      <c r="U1243" s="38">
        <v>1748.1056049861909</v>
      </c>
      <c r="V1243" s="458">
        <f t="shared" si="265"/>
        <v>289.96170709860417</v>
      </c>
      <c r="W1243" s="458">
        <f t="shared" si="269"/>
        <v>1742.1633432858102</v>
      </c>
      <c r="X1243" s="458">
        <v>0</v>
      </c>
      <c r="Y1243" s="459">
        <v>0</v>
      </c>
      <c r="Z1243" s="459">
        <v>0</v>
      </c>
      <c r="AA1243" s="459">
        <v>0</v>
      </c>
      <c r="AB1243" s="459">
        <v>0</v>
      </c>
      <c r="AC1243" s="459">
        <v>0</v>
      </c>
      <c r="AD1243" s="459">
        <v>0</v>
      </c>
      <c r="AE1243" s="459">
        <v>748.2</v>
      </c>
      <c r="AF1243" s="458">
        <f>6238.91*AE1243/I1243</f>
        <v>1742.1633432858102</v>
      </c>
      <c r="AG1243" s="459">
        <v>0</v>
      </c>
      <c r="AH1243" s="458">
        <v>0</v>
      </c>
      <c r="AI1243" s="459">
        <v>0</v>
      </c>
      <c r="AJ1243" s="458">
        <v>0</v>
      </c>
      <c r="AK1243" s="459">
        <v>0</v>
      </c>
      <c r="AL1243" s="459">
        <v>0</v>
      </c>
      <c r="AM1243" s="459">
        <v>0</v>
      </c>
      <c r="AN1243" s="459"/>
      <c r="AO1243" s="459">
        <v>0</v>
      </c>
      <c r="AP1243" s="460"/>
      <c r="AQ1243" s="250"/>
      <c r="AR1243" s="250"/>
      <c r="AS1243" s="250"/>
      <c r="AT1243" s="250"/>
      <c r="AU1243" s="250"/>
      <c r="AV1243" s="250"/>
      <c r="AW1243" s="250"/>
      <c r="AX1243" s="250"/>
      <c r="AY1243" s="250"/>
      <c r="AZ1243" s="250"/>
      <c r="BA1243" s="250"/>
      <c r="BB1243" s="250"/>
      <c r="BC1243" s="250"/>
      <c r="BD1243" s="250"/>
      <c r="BE1243" s="250"/>
      <c r="BF1243" s="250"/>
      <c r="BG1243" s="250"/>
      <c r="BH1243" s="250"/>
      <c r="BI1243" s="250"/>
      <c r="BJ1243" s="250"/>
      <c r="BK1243" s="250"/>
      <c r="BL1243" s="250"/>
      <c r="BM1243" s="250"/>
      <c r="BN1243" s="250"/>
      <c r="BO1243" s="250"/>
      <c r="BP1243" s="250"/>
      <c r="BQ1243" s="250"/>
      <c r="BR1243" s="250"/>
      <c r="BS1243" s="250"/>
      <c r="BT1243" s="250"/>
      <c r="BU1243" s="250"/>
      <c r="BV1243" s="250"/>
      <c r="BW1243" s="250"/>
      <c r="BX1243" s="250"/>
      <c r="BY1243" s="250"/>
      <c r="BZ1243" s="250"/>
      <c r="CA1243" s="250"/>
      <c r="CB1243" s="250"/>
      <c r="CC1243" s="250"/>
      <c r="CD1243" s="250"/>
      <c r="CE1243" s="250"/>
      <c r="CF1243" s="250"/>
      <c r="CG1243" s="250"/>
      <c r="CH1243" s="250"/>
      <c r="CI1243" s="250"/>
      <c r="CJ1243" s="250"/>
      <c r="CK1243" s="250"/>
      <c r="DQ1243" s="339"/>
      <c r="DR1243" s="339"/>
      <c r="DS1243" s="339"/>
      <c r="EP1243" s="340"/>
      <c r="FS1243" s="341"/>
      <c r="GI1243" s="342"/>
    </row>
    <row r="1244" spans="1:191" s="329" customFormat="1" ht="36" customHeight="1" x14ac:dyDescent="0.25">
      <c r="B1244" s="33" t="s">
        <v>117</v>
      </c>
      <c r="C1244" s="33"/>
      <c r="D1244" s="330" t="s">
        <v>131</v>
      </c>
      <c r="E1244" s="330" t="s">
        <v>131</v>
      </c>
      <c r="F1244" s="330" t="s">
        <v>131</v>
      </c>
      <c r="G1244" s="330" t="s">
        <v>131</v>
      </c>
      <c r="H1244" s="330" t="s">
        <v>131</v>
      </c>
      <c r="I1244" s="334">
        <f>SUM(I1245:I1247)</f>
        <v>10207.129999999999</v>
      </c>
      <c r="J1244" s="334">
        <f>SUM(J1245:J1247)</f>
        <v>6996.4</v>
      </c>
      <c r="K1244" s="334">
        <f>SUM(K1245:K1247)</f>
        <v>6184.34</v>
      </c>
      <c r="L1244" s="332">
        <f>SUM(L1245:L1247)</f>
        <v>448</v>
      </c>
      <c r="M1244" s="330" t="s">
        <v>131</v>
      </c>
      <c r="N1244" s="330" t="s">
        <v>131</v>
      </c>
      <c r="O1244" s="333" t="s">
        <v>131</v>
      </c>
      <c r="P1244" s="38">
        <v>12269019.870000001</v>
      </c>
      <c r="Q1244" s="38">
        <f>SUM(Q1245:Q1247)</f>
        <v>0</v>
      </c>
      <c r="R1244" s="38">
        <f>SUM(R1245:R1247)</f>
        <v>0</v>
      </c>
      <c r="S1244" s="38">
        <f>SUM(S1245:S1247)</f>
        <v>12269019.870000001</v>
      </c>
      <c r="T1244" s="38">
        <f t="shared" si="266"/>
        <v>1202.0048603280259</v>
      </c>
      <c r="U1244" s="38">
        <f>MAX(U1245:U1247)</f>
        <v>6123.1343665070153</v>
      </c>
      <c r="V1244" s="458">
        <f t="shared" si="265"/>
        <v>4921.1295061789897</v>
      </c>
      <c r="W1244" s="458"/>
      <c r="X1244" s="458"/>
      <c r="Y1244" s="459"/>
      <c r="Z1244" s="459"/>
      <c r="AA1244" s="459"/>
      <c r="AB1244" s="459"/>
      <c r="AC1244" s="459"/>
      <c r="AD1244" s="459"/>
      <c r="AE1244" s="459"/>
      <c r="AF1244" s="459"/>
      <c r="AG1244" s="459"/>
      <c r="AH1244" s="459"/>
      <c r="AI1244" s="459"/>
      <c r="AJ1244" s="459"/>
      <c r="AK1244" s="459"/>
      <c r="AL1244" s="459"/>
      <c r="AM1244" s="459"/>
      <c r="AN1244" s="459"/>
      <c r="AO1244" s="459"/>
      <c r="AP1244" s="460"/>
      <c r="AQ1244" s="460"/>
      <c r="AR1244" s="460"/>
      <c r="AS1244" s="460"/>
      <c r="AT1244" s="460"/>
      <c r="AU1244" s="460"/>
      <c r="AV1244" s="460"/>
      <c r="AW1244" s="460"/>
      <c r="AX1244" s="460"/>
      <c r="AY1244" s="460"/>
      <c r="AZ1244" s="460"/>
      <c r="BA1244" s="460"/>
      <c r="BB1244" s="460"/>
      <c r="BC1244" s="460"/>
      <c r="BD1244" s="460"/>
      <c r="BE1244" s="460"/>
      <c r="BF1244" s="460"/>
      <c r="BG1244" s="460"/>
      <c r="BH1244" s="460"/>
      <c r="BI1244" s="460"/>
      <c r="BJ1244" s="460"/>
      <c r="BK1244" s="460"/>
      <c r="BL1244" s="460"/>
      <c r="BM1244" s="460"/>
      <c r="BN1244" s="460"/>
      <c r="BO1244" s="460"/>
      <c r="BP1244" s="460"/>
      <c r="BQ1244" s="460"/>
      <c r="BR1244" s="460"/>
      <c r="BS1244" s="460"/>
      <c r="BT1244" s="460"/>
      <c r="BU1244" s="460"/>
      <c r="BV1244" s="460"/>
      <c r="BW1244" s="460"/>
      <c r="BX1244" s="460"/>
      <c r="BY1244" s="460"/>
      <c r="BZ1244" s="460"/>
      <c r="CA1244" s="460"/>
      <c r="CB1244" s="460"/>
      <c r="CC1244" s="460"/>
      <c r="CD1244" s="460"/>
      <c r="CE1244" s="460"/>
      <c r="CF1244" s="460"/>
      <c r="CG1244" s="460"/>
      <c r="CH1244" s="460"/>
      <c r="CI1244" s="460"/>
      <c r="CJ1244" s="460"/>
      <c r="CK1244" s="460"/>
    </row>
    <row r="1245" spans="1:191" s="266" customFormat="1" ht="36" customHeight="1" x14ac:dyDescent="0.25">
      <c r="A1245" s="329">
        <v>1</v>
      </c>
      <c r="B1245" s="39">
        <f>SUBTOTAL(103,$A$1000:A1245)</f>
        <v>199</v>
      </c>
      <c r="C1245" s="336" t="s">
        <v>1896</v>
      </c>
      <c r="D1245" s="330">
        <v>1971</v>
      </c>
      <c r="E1245" s="330"/>
      <c r="F1245" s="337" t="s">
        <v>48</v>
      </c>
      <c r="G1245" s="330">
        <v>5</v>
      </c>
      <c r="H1245" s="330" t="s">
        <v>61</v>
      </c>
      <c r="I1245" s="334">
        <v>3186.9</v>
      </c>
      <c r="J1245" s="334">
        <v>1676</v>
      </c>
      <c r="K1245" s="334">
        <v>1676</v>
      </c>
      <c r="L1245" s="338">
        <v>174</v>
      </c>
      <c r="M1245" s="330" t="s">
        <v>46</v>
      </c>
      <c r="N1245" s="330" t="s">
        <v>2018</v>
      </c>
      <c r="O1245" s="330" t="s">
        <v>2196</v>
      </c>
      <c r="P1245" s="334">
        <v>694428.7</v>
      </c>
      <c r="Q1245" s="334">
        <v>0</v>
      </c>
      <c r="R1245" s="334">
        <v>0</v>
      </c>
      <c r="S1245" s="334">
        <f>P1245-Q1245-R1245</f>
        <v>694428.7</v>
      </c>
      <c r="T1245" s="38">
        <f t="shared" si="266"/>
        <v>217.90100097273211</v>
      </c>
      <c r="U1245" s="38">
        <v>406.3737676111582</v>
      </c>
      <c r="V1245" s="458">
        <f t="shared" si="265"/>
        <v>188.47276663842609</v>
      </c>
      <c r="W1245" s="458">
        <f t="shared" ref="W1245:W1247" si="270">X1245+Y1245+Z1245+AA1245+AB1245+AD1245+AF1245+AH1245+AJ1245+AL1245+AN1245+AO1245</f>
        <v>406.3737676111582</v>
      </c>
      <c r="X1245" s="458">
        <v>0</v>
      </c>
      <c r="Y1245" s="459">
        <v>0</v>
      </c>
      <c r="Z1245" s="459">
        <v>0</v>
      </c>
      <c r="AA1245" s="459">
        <v>0</v>
      </c>
      <c r="AB1245" s="459">
        <v>0</v>
      </c>
      <c r="AC1245" s="459">
        <v>0</v>
      </c>
      <c r="AD1245" s="459">
        <v>0</v>
      </c>
      <c r="AE1245" s="459">
        <v>0</v>
      </c>
      <c r="AF1245" s="458">
        <v>0</v>
      </c>
      <c r="AG1245" s="459">
        <v>146</v>
      </c>
      <c r="AH1245" s="458">
        <f>8870.36*AG1245/I1245</f>
        <v>406.3737676111582</v>
      </c>
      <c r="AI1245" s="459">
        <v>0</v>
      </c>
      <c r="AJ1245" s="458">
        <v>0</v>
      </c>
      <c r="AK1245" s="459">
        <v>0</v>
      </c>
      <c r="AL1245" s="459">
        <v>0</v>
      </c>
      <c r="AM1245" s="459">
        <v>0</v>
      </c>
      <c r="AN1245" s="459"/>
      <c r="AO1245" s="459">
        <v>0</v>
      </c>
      <c r="AP1245" s="460"/>
      <c r="AQ1245" s="250"/>
      <c r="AR1245" s="250"/>
      <c r="AS1245" s="250"/>
      <c r="AT1245" s="250"/>
      <c r="AU1245" s="250"/>
      <c r="AV1245" s="250"/>
      <c r="AW1245" s="250"/>
      <c r="AX1245" s="250"/>
      <c r="AY1245" s="250"/>
      <c r="AZ1245" s="250"/>
      <c r="BA1245" s="250"/>
      <c r="BB1245" s="250"/>
      <c r="BC1245" s="250"/>
      <c r="BD1245" s="250"/>
      <c r="BE1245" s="250"/>
      <c r="BF1245" s="250"/>
      <c r="BG1245" s="250"/>
      <c r="BH1245" s="250"/>
      <c r="BI1245" s="250"/>
      <c r="BJ1245" s="250"/>
      <c r="BK1245" s="250"/>
      <c r="BL1245" s="250"/>
      <c r="BM1245" s="250"/>
      <c r="BN1245" s="250"/>
      <c r="BO1245" s="250"/>
      <c r="BP1245" s="250"/>
      <c r="BQ1245" s="250"/>
      <c r="BR1245" s="250"/>
      <c r="BS1245" s="250"/>
      <c r="BT1245" s="250"/>
      <c r="BU1245" s="250"/>
      <c r="BV1245" s="250"/>
      <c r="BW1245" s="250"/>
      <c r="BX1245" s="250"/>
      <c r="BY1245" s="250"/>
      <c r="BZ1245" s="250"/>
      <c r="CA1245" s="250"/>
      <c r="CB1245" s="250"/>
      <c r="CC1245" s="250"/>
      <c r="CD1245" s="250"/>
      <c r="CE1245" s="250"/>
      <c r="CF1245" s="250"/>
      <c r="CG1245" s="250"/>
      <c r="CH1245" s="250"/>
      <c r="CI1245" s="250"/>
      <c r="CJ1245" s="250"/>
      <c r="CK1245" s="250"/>
      <c r="DQ1245" s="339"/>
      <c r="DR1245" s="339"/>
      <c r="DS1245" s="339"/>
      <c r="EP1245" s="340"/>
      <c r="FS1245" s="341"/>
      <c r="GI1245" s="342"/>
    </row>
    <row r="1246" spans="1:191" s="329" customFormat="1" ht="36" customHeight="1" x14ac:dyDescent="0.25">
      <c r="A1246" s="329">
        <v>1</v>
      </c>
      <c r="B1246" s="39">
        <f>SUBTOTAL(103,$A$1000:A1246)</f>
        <v>200</v>
      </c>
      <c r="C1246" s="33" t="s">
        <v>1897</v>
      </c>
      <c r="D1246" s="330">
        <v>1928</v>
      </c>
      <c r="E1246" s="330"/>
      <c r="F1246" s="331" t="s">
        <v>48</v>
      </c>
      <c r="G1246" s="330">
        <v>3</v>
      </c>
      <c r="H1246" s="330" t="s">
        <v>59</v>
      </c>
      <c r="I1246" s="334">
        <v>1718.33</v>
      </c>
      <c r="J1246" s="334">
        <v>1631.7</v>
      </c>
      <c r="K1246" s="334">
        <v>1224.44</v>
      </c>
      <c r="L1246" s="332">
        <v>85</v>
      </c>
      <c r="M1246" s="330" t="s">
        <v>46</v>
      </c>
      <c r="N1246" s="330" t="s">
        <v>50</v>
      </c>
      <c r="O1246" s="333" t="s">
        <v>2197</v>
      </c>
      <c r="P1246" s="38">
        <v>5246630.67</v>
      </c>
      <c r="Q1246" s="38">
        <v>0</v>
      </c>
      <c r="R1246" s="38">
        <v>0</v>
      </c>
      <c r="S1246" s="38">
        <f>P1246-Q1246-R1246</f>
        <v>5246630.67</v>
      </c>
      <c r="T1246" s="38">
        <f t="shared" si="266"/>
        <v>3053.3312402157908</v>
      </c>
      <c r="U1246" s="38">
        <v>6123.1343665070153</v>
      </c>
      <c r="V1246" s="458">
        <f t="shared" si="265"/>
        <v>3069.8031262912245</v>
      </c>
      <c r="W1246" s="458">
        <f t="shared" si="270"/>
        <v>6123.1343665070153</v>
      </c>
      <c r="X1246" s="458">
        <v>0</v>
      </c>
      <c r="Y1246" s="459">
        <v>0</v>
      </c>
      <c r="Z1246" s="459">
        <v>0</v>
      </c>
      <c r="AA1246" s="459">
        <v>0</v>
      </c>
      <c r="AB1246" s="459">
        <v>0</v>
      </c>
      <c r="AC1246" s="459">
        <v>0</v>
      </c>
      <c r="AD1246" s="459">
        <v>0</v>
      </c>
      <c r="AE1246" s="459">
        <v>0</v>
      </c>
      <c r="AF1246" s="458">
        <v>0</v>
      </c>
      <c r="AG1246" s="459">
        <v>0</v>
      </c>
      <c r="AH1246" s="458">
        <v>0</v>
      </c>
      <c r="AI1246" s="459">
        <v>1414.36</v>
      </c>
      <c r="AJ1246" s="458">
        <f>7439.1*AI1246/I1246</f>
        <v>6123.1343665070153</v>
      </c>
      <c r="AK1246" s="459">
        <v>0</v>
      </c>
      <c r="AL1246" s="459">
        <v>0</v>
      </c>
      <c r="AM1246" s="459">
        <v>0</v>
      </c>
      <c r="AN1246" s="459"/>
      <c r="AO1246" s="459">
        <v>0</v>
      </c>
      <c r="AP1246" s="460"/>
      <c r="AQ1246" s="460"/>
      <c r="AR1246" s="460"/>
      <c r="AS1246" s="460"/>
      <c r="AT1246" s="460"/>
      <c r="AU1246" s="460"/>
      <c r="AV1246" s="460"/>
      <c r="AW1246" s="460"/>
      <c r="AX1246" s="460"/>
      <c r="AY1246" s="460"/>
      <c r="AZ1246" s="460"/>
      <c r="BA1246" s="460"/>
      <c r="BB1246" s="460"/>
      <c r="BC1246" s="460"/>
      <c r="BD1246" s="460"/>
      <c r="BE1246" s="460"/>
      <c r="BF1246" s="460"/>
      <c r="BG1246" s="460"/>
      <c r="BH1246" s="460"/>
      <c r="BI1246" s="460"/>
      <c r="BJ1246" s="460"/>
      <c r="BK1246" s="460"/>
      <c r="BL1246" s="460"/>
      <c r="BM1246" s="460"/>
      <c r="BN1246" s="460"/>
      <c r="BO1246" s="460"/>
      <c r="BP1246" s="460"/>
      <c r="BQ1246" s="460"/>
      <c r="BR1246" s="460"/>
      <c r="BS1246" s="460"/>
      <c r="BT1246" s="460"/>
      <c r="BU1246" s="460"/>
      <c r="BV1246" s="460"/>
      <c r="BW1246" s="460"/>
      <c r="BX1246" s="460"/>
      <c r="BY1246" s="460"/>
      <c r="BZ1246" s="460"/>
      <c r="CA1246" s="460"/>
      <c r="CB1246" s="460"/>
      <c r="CC1246" s="460"/>
      <c r="CD1246" s="460"/>
      <c r="CE1246" s="460"/>
      <c r="CF1246" s="460"/>
      <c r="CG1246" s="460"/>
      <c r="CH1246" s="460"/>
      <c r="CI1246" s="460"/>
      <c r="CJ1246" s="460"/>
      <c r="CK1246" s="460"/>
    </row>
    <row r="1247" spans="1:191" s="266" customFormat="1" ht="36" customHeight="1" x14ac:dyDescent="0.25">
      <c r="A1247" s="329">
        <v>1</v>
      </c>
      <c r="B1247" s="39">
        <f>SUBTOTAL(103,$A$1000:A1247)</f>
        <v>201</v>
      </c>
      <c r="C1247" s="336" t="s">
        <v>1898</v>
      </c>
      <c r="D1247" s="330">
        <v>1989</v>
      </c>
      <c r="E1247" s="330"/>
      <c r="F1247" s="337" t="s">
        <v>48</v>
      </c>
      <c r="G1247" s="330">
        <v>5</v>
      </c>
      <c r="H1247" s="330" t="s">
        <v>75</v>
      </c>
      <c r="I1247" s="334">
        <v>5301.9</v>
      </c>
      <c r="J1247" s="334">
        <v>3688.7</v>
      </c>
      <c r="K1247" s="334">
        <v>3283.9</v>
      </c>
      <c r="L1247" s="338">
        <v>189</v>
      </c>
      <c r="M1247" s="330" t="s">
        <v>46</v>
      </c>
      <c r="N1247" s="330" t="s">
        <v>50</v>
      </c>
      <c r="O1247" s="330" t="s">
        <v>55</v>
      </c>
      <c r="P1247" s="334">
        <v>6327960.5</v>
      </c>
      <c r="Q1247" s="334">
        <v>0</v>
      </c>
      <c r="R1247" s="334">
        <v>0</v>
      </c>
      <c r="S1247" s="334">
        <f>P1247-Q1247-R1247</f>
        <v>6327960.5</v>
      </c>
      <c r="T1247" s="38">
        <f t="shared" si="266"/>
        <v>1193.5269431713161</v>
      </c>
      <c r="U1247" s="38">
        <v>1193.5269431713161</v>
      </c>
      <c r="V1247" s="458">
        <f t="shared" si="265"/>
        <v>0</v>
      </c>
      <c r="W1247" s="458">
        <f t="shared" si="270"/>
        <v>1207.9343914445765</v>
      </c>
      <c r="X1247" s="458">
        <v>0</v>
      </c>
      <c r="Y1247" s="459">
        <v>0</v>
      </c>
      <c r="Z1247" s="459">
        <v>0</v>
      </c>
      <c r="AA1247" s="459">
        <v>0</v>
      </c>
      <c r="AB1247" s="459">
        <v>0</v>
      </c>
      <c r="AC1247" s="459">
        <v>0</v>
      </c>
      <c r="AD1247" s="459">
        <v>0</v>
      </c>
      <c r="AE1247" s="459">
        <v>995</v>
      </c>
      <c r="AF1247" s="458">
        <f>6436.53*AE1247/I1247</f>
        <v>1207.9343914445765</v>
      </c>
      <c r="AG1247" s="459">
        <v>0</v>
      </c>
      <c r="AH1247" s="458">
        <v>0</v>
      </c>
      <c r="AI1247" s="459">
        <v>0</v>
      </c>
      <c r="AJ1247" s="458">
        <v>0</v>
      </c>
      <c r="AK1247" s="459">
        <v>0</v>
      </c>
      <c r="AL1247" s="459">
        <v>0</v>
      </c>
      <c r="AM1247" s="459">
        <v>0</v>
      </c>
      <c r="AN1247" s="459"/>
      <c r="AO1247" s="459">
        <v>0</v>
      </c>
      <c r="AP1247" s="460"/>
      <c r="AQ1247" s="250"/>
      <c r="AR1247" s="250"/>
      <c r="AS1247" s="250"/>
      <c r="AT1247" s="250"/>
      <c r="AU1247" s="250"/>
      <c r="AV1247" s="250"/>
      <c r="AW1247" s="250"/>
      <c r="AX1247" s="250"/>
      <c r="AY1247" s="250"/>
      <c r="AZ1247" s="250"/>
      <c r="BA1247" s="250"/>
      <c r="BB1247" s="250"/>
      <c r="BC1247" s="250"/>
      <c r="BD1247" s="250"/>
      <c r="BE1247" s="250"/>
      <c r="BF1247" s="250"/>
      <c r="BG1247" s="250"/>
      <c r="BH1247" s="250"/>
      <c r="BI1247" s="250"/>
      <c r="BJ1247" s="250"/>
      <c r="BK1247" s="250"/>
      <c r="BL1247" s="250"/>
      <c r="BM1247" s="250"/>
      <c r="BN1247" s="250"/>
      <c r="BO1247" s="250"/>
      <c r="BP1247" s="250"/>
      <c r="BQ1247" s="250"/>
      <c r="BR1247" s="250"/>
      <c r="BS1247" s="250"/>
      <c r="BT1247" s="250"/>
      <c r="BU1247" s="250"/>
      <c r="BV1247" s="250"/>
      <c r="BW1247" s="250"/>
      <c r="BX1247" s="250"/>
      <c r="BY1247" s="250"/>
      <c r="BZ1247" s="250"/>
      <c r="CA1247" s="250"/>
      <c r="CB1247" s="250"/>
      <c r="CC1247" s="250"/>
      <c r="CD1247" s="250"/>
      <c r="CE1247" s="250"/>
      <c r="CF1247" s="250"/>
      <c r="CG1247" s="250"/>
      <c r="CH1247" s="250"/>
      <c r="CI1247" s="250"/>
      <c r="CJ1247" s="250"/>
      <c r="CK1247" s="250"/>
      <c r="DQ1247" s="339"/>
      <c r="DR1247" s="339"/>
      <c r="DS1247" s="339"/>
      <c r="EP1247" s="340"/>
      <c r="FS1247" s="341"/>
      <c r="GI1247" s="342"/>
    </row>
    <row r="1248" spans="1:191" s="329" customFormat="1" ht="36" customHeight="1" x14ac:dyDescent="0.25">
      <c r="B1248" s="33" t="s">
        <v>1392</v>
      </c>
      <c r="C1248" s="462"/>
      <c r="D1248" s="330" t="s">
        <v>131</v>
      </c>
      <c r="E1248" s="330" t="s">
        <v>131</v>
      </c>
      <c r="F1248" s="330" t="s">
        <v>131</v>
      </c>
      <c r="G1248" s="330" t="s">
        <v>131</v>
      </c>
      <c r="H1248" s="330" t="s">
        <v>131</v>
      </c>
      <c r="I1248" s="334">
        <f>SUM(I1249:I1250)</f>
        <v>5101.2</v>
      </c>
      <c r="J1248" s="334">
        <f>SUM(J1249:J1250)</f>
        <v>4028.2</v>
      </c>
      <c r="K1248" s="334">
        <f>SUM(K1249:K1250)</f>
        <v>3874</v>
      </c>
      <c r="L1248" s="332">
        <f>SUM(L1249:L1250)</f>
        <v>130</v>
      </c>
      <c r="M1248" s="330" t="s">
        <v>131</v>
      </c>
      <c r="N1248" s="330" t="s">
        <v>131</v>
      </c>
      <c r="O1248" s="333" t="s">
        <v>131</v>
      </c>
      <c r="P1248" s="38">
        <v>9221698.8000000007</v>
      </c>
      <c r="Q1248" s="38">
        <f>Q1249+Q1250</f>
        <v>0</v>
      </c>
      <c r="R1248" s="38">
        <f>R1249+R1250</f>
        <v>0</v>
      </c>
      <c r="S1248" s="38">
        <f>S1249+S1250</f>
        <v>9221698.8000000007</v>
      </c>
      <c r="T1248" s="38">
        <f t="shared" si="266"/>
        <v>1807.7508821453778</v>
      </c>
      <c r="U1248" s="38">
        <f>MAX(U1249:U1250)</f>
        <v>3031.0185801609878</v>
      </c>
      <c r="V1248" s="458">
        <f t="shared" si="265"/>
        <v>1223.26769801561</v>
      </c>
      <c r="W1248" s="458"/>
      <c r="X1248" s="458"/>
      <c r="Y1248" s="459"/>
      <c r="Z1248" s="459"/>
      <c r="AA1248" s="459"/>
      <c r="AB1248" s="459"/>
      <c r="AC1248" s="459"/>
      <c r="AD1248" s="459"/>
      <c r="AE1248" s="459"/>
      <c r="AF1248" s="459"/>
      <c r="AG1248" s="459"/>
      <c r="AH1248" s="459"/>
      <c r="AI1248" s="459"/>
      <c r="AJ1248" s="459"/>
      <c r="AK1248" s="459"/>
      <c r="AL1248" s="459"/>
      <c r="AM1248" s="459"/>
      <c r="AN1248" s="459"/>
      <c r="AO1248" s="459"/>
      <c r="AP1248" s="460"/>
      <c r="AQ1248" s="460"/>
      <c r="AR1248" s="460"/>
      <c r="AS1248" s="460"/>
      <c r="AT1248" s="460"/>
      <c r="AU1248" s="460"/>
      <c r="AV1248" s="460"/>
      <c r="AW1248" s="460"/>
      <c r="AX1248" s="460"/>
      <c r="AY1248" s="460"/>
      <c r="AZ1248" s="460"/>
      <c r="BA1248" s="460"/>
      <c r="BB1248" s="460"/>
      <c r="BC1248" s="460"/>
      <c r="BD1248" s="460"/>
      <c r="BE1248" s="460"/>
      <c r="BF1248" s="460"/>
      <c r="BG1248" s="460"/>
      <c r="BH1248" s="460"/>
      <c r="BI1248" s="460"/>
      <c r="BJ1248" s="460"/>
      <c r="BK1248" s="460"/>
      <c r="BL1248" s="460"/>
      <c r="BM1248" s="460"/>
      <c r="BN1248" s="460"/>
      <c r="BO1248" s="460"/>
      <c r="BP1248" s="460"/>
      <c r="BQ1248" s="460"/>
      <c r="BR1248" s="460"/>
      <c r="BS1248" s="460"/>
      <c r="BT1248" s="460"/>
      <c r="BU1248" s="460"/>
      <c r="BV1248" s="460"/>
      <c r="BW1248" s="460"/>
      <c r="BX1248" s="460"/>
      <c r="BY1248" s="460"/>
      <c r="BZ1248" s="460"/>
      <c r="CA1248" s="460"/>
      <c r="CB1248" s="460"/>
      <c r="CC1248" s="460"/>
      <c r="CD1248" s="460"/>
      <c r="CE1248" s="460"/>
      <c r="CF1248" s="460"/>
      <c r="CG1248" s="460"/>
      <c r="CH1248" s="460"/>
      <c r="CI1248" s="460"/>
      <c r="CJ1248" s="460"/>
      <c r="CK1248" s="460"/>
    </row>
    <row r="1249" spans="1:191" s="266" customFormat="1" ht="36" customHeight="1" x14ac:dyDescent="0.25">
      <c r="A1249" s="329">
        <v>1</v>
      </c>
      <c r="B1249" s="39">
        <f>SUBTOTAL(103,$A$1000:A1249)</f>
        <v>202</v>
      </c>
      <c r="C1249" s="336" t="s">
        <v>1899</v>
      </c>
      <c r="D1249" s="330">
        <v>1985</v>
      </c>
      <c r="E1249" s="330"/>
      <c r="F1249" s="337" t="s">
        <v>48</v>
      </c>
      <c r="G1249" s="330">
        <v>3</v>
      </c>
      <c r="H1249" s="330" t="s">
        <v>61</v>
      </c>
      <c r="I1249" s="334">
        <v>1652.3</v>
      </c>
      <c r="J1249" s="334">
        <v>1505</v>
      </c>
      <c r="K1249" s="334">
        <v>1350.8</v>
      </c>
      <c r="L1249" s="338">
        <v>25</v>
      </c>
      <c r="M1249" s="330" t="s">
        <v>46</v>
      </c>
      <c r="N1249" s="330" t="s">
        <v>50</v>
      </c>
      <c r="O1249" s="330" t="s">
        <v>52</v>
      </c>
      <c r="P1249" s="334">
        <v>4177440</v>
      </c>
      <c r="Q1249" s="334">
        <v>0</v>
      </c>
      <c r="R1249" s="334">
        <v>0</v>
      </c>
      <c r="S1249" s="334">
        <f>P1249-Q1249-R1249</f>
        <v>4177440</v>
      </c>
      <c r="T1249" s="38">
        <f t="shared" si="266"/>
        <v>2528.257580342553</v>
      </c>
      <c r="U1249" s="38">
        <v>3031.0185801609878</v>
      </c>
      <c r="V1249" s="458">
        <f t="shared" si="265"/>
        <v>502.76099981843481</v>
      </c>
      <c r="W1249" s="458">
        <f t="shared" ref="W1249:W1250" si="271">X1249+Y1249+Z1249+AA1249+AB1249+AD1249+AF1249+AH1249+AJ1249+AL1249+AN1249+AO1249</f>
        <v>3020.7153664588755</v>
      </c>
      <c r="X1249" s="458">
        <v>0</v>
      </c>
      <c r="Y1249" s="459">
        <v>0</v>
      </c>
      <c r="Z1249" s="459">
        <v>0</v>
      </c>
      <c r="AA1249" s="459">
        <v>0</v>
      </c>
      <c r="AB1249" s="459">
        <v>0</v>
      </c>
      <c r="AC1249" s="459">
        <v>0</v>
      </c>
      <c r="AD1249" s="459">
        <v>0</v>
      </c>
      <c r="AE1249" s="459">
        <v>800</v>
      </c>
      <c r="AF1249" s="458">
        <f>6238.91*AE1249/I1249</f>
        <v>3020.7153664588755</v>
      </c>
      <c r="AG1249" s="459">
        <v>0</v>
      </c>
      <c r="AH1249" s="458">
        <v>0</v>
      </c>
      <c r="AI1249" s="459">
        <v>0</v>
      </c>
      <c r="AJ1249" s="458">
        <v>0</v>
      </c>
      <c r="AK1249" s="459">
        <v>0</v>
      </c>
      <c r="AL1249" s="459">
        <v>0</v>
      </c>
      <c r="AM1249" s="459">
        <v>0</v>
      </c>
      <c r="AN1249" s="459"/>
      <c r="AO1249" s="459">
        <v>0</v>
      </c>
      <c r="AP1249" s="460"/>
      <c r="AQ1249" s="250"/>
      <c r="AR1249" s="250"/>
      <c r="AS1249" s="250"/>
      <c r="AT1249" s="250"/>
      <c r="AU1249" s="250"/>
      <c r="AV1249" s="250"/>
      <c r="AW1249" s="250"/>
      <c r="AX1249" s="250"/>
      <c r="AY1249" s="250"/>
      <c r="AZ1249" s="250"/>
      <c r="BA1249" s="250"/>
      <c r="BB1249" s="250"/>
      <c r="BC1249" s="250"/>
      <c r="BD1249" s="250"/>
      <c r="BE1249" s="250"/>
      <c r="BF1249" s="250"/>
      <c r="BG1249" s="250"/>
      <c r="BH1249" s="250"/>
      <c r="BI1249" s="250"/>
      <c r="BJ1249" s="250"/>
      <c r="BK1249" s="250"/>
      <c r="BL1249" s="250"/>
      <c r="BM1249" s="250"/>
      <c r="BN1249" s="250"/>
      <c r="BO1249" s="250"/>
      <c r="BP1249" s="250"/>
      <c r="BQ1249" s="250"/>
      <c r="BR1249" s="250"/>
      <c r="BS1249" s="250"/>
      <c r="BT1249" s="250"/>
      <c r="BU1249" s="250"/>
      <c r="BV1249" s="250"/>
      <c r="BW1249" s="250"/>
      <c r="BX1249" s="250"/>
      <c r="BY1249" s="250"/>
      <c r="BZ1249" s="250"/>
      <c r="CA1249" s="250"/>
      <c r="CB1249" s="250"/>
      <c r="CC1249" s="250"/>
      <c r="CD1249" s="250"/>
      <c r="CE1249" s="250"/>
      <c r="CF1249" s="250"/>
      <c r="CG1249" s="250"/>
      <c r="CH1249" s="250"/>
      <c r="CI1249" s="250"/>
      <c r="CJ1249" s="250"/>
      <c r="CK1249" s="250"/>
      <c r="DQ1249" s="339"/>
      <c r="DR1249" s="339"/>
      <c r="DS1249" s="339"/>
      <c r="EP1249" s="340"/>
      <c r="FS1249" s="341"/>
      <c r="GI1249" s="342"/>
    </row>
    <row r="1250" spans="1:191" s="266" customFormat="1" ht="36" customHeight="1" x14ac:dyDescent="0.25">
      <c r="A1250" s="329">
        <v>1</v>
      </c>
      <c r="B1250" s="39">
        <f>SUBTOTAL(103,$A$1000:A1250)</f>
        <v>203</v>
      </c>
      <c r="C1250" s="336" t="s">
        <v>1900</v>
      </c>
      <c r="D1250" s="330">
        <v>1972</v>
      </c>
      <c r="E1250" s="330"/>
      <c r="F1250" s="337" t="s">
        <v>48</v>
      </c>
      <c r="G1250" s="330">
        <v>5</v>
      </c>
      <c r="H1250" s="330" t="s">
        <v>59</v>
      </c>
      <c r="I1250" s="334">
        <v>3448.9</v>
      </c>
      <c r="J1250" s="334">
        <v>2523.1999999999998</v>
      </c>
      <c r="K1250" s="334">
        <v>2523.1999999999998</v>
      </c>
      <c r="L1250" s="338">
        <v>105</v>
      </c>
      <c r="M1250" s="330" t="s">
        <v>46</v>
      </c>
      <c r="N1250" s="330" t="s">
        <v>50</v>
      </c>
      <c r="O1250" s="330" t="s">
        <v>51</v>
      </c>
      <c r="P1250" s="334">
        <v>5044258.8</v>
      </c>
      <c r="Q1250" s="334">
        <v>0</v>
      </c>
      <c r="R1250" s="334">
        <v>0</v>
      </c>
      <c r="S1250" s="334">
        <f>P1250-Q1250-R1250</f>
        <v>5044258.8</v>
      </c>
      <c r="T1250" s="38">
        <f t="shared" si="266"/>
        <v>1462.5703267708543</v>
      </c>
      <c r="U1250" s="38">
        <v>1753.4122589811243</v>
      </c>
      <c r="V1250" s="458">
        <f t="shared" si="265"/>
        <v>290.84193221026999</v>
      </c>
      <c r="W1250" s="458">
        <f t="shared" si="271"/>
        <v>1747.451958595494</v>
      </c>
      <c r="X1250" s="458">
        <v>0</v>
      </c>
      <c r="Y1250" s="459">
        <v>0</v>
      </c>
      <c r="Z1250" s="459">
        <v>0</v>
      </c>
      <c r="AA1250" s="459">
        <v>0</v>
      </c>
      <c r="AB1250" s="459">
        <v>0</v>
      </c>
      <c r="AC1250" s="459">
        <v>0</v>
      </c>
      <c r="AD1250" s="459">
        <v>0</v>
      </c>
      <c r="AE1250" s="459">
        <v>966</v>
      </c>
      <c r="AF1250" s="458">
        <f>6238.91*AE1250/I1250</f>
        <v>1747.451958595494</v>
      </c>
      <c r="AG1250" s="459">
        <v>0</v>
      </c>
      <c r="AH1250" s="458">
        <v>0</v>
      </c>
      <c r="AI1250" s="459">
        <v>0</v>
      </c>
      <c r="AJ1250" s="458">
        <v>0</v>
      </c>
      <c r="AK1250" s="459">
        <v>0</v>
      </c>
      <c r="AL1250" s="459">
        <v>0</v>
      </c>
      <c r="AM1250" s="459">
        <v>0</v>
      </c>
      <c r="AN1250" s="459"/>
      <c r="AO1250" s="459">
        <v>0</v>
      </c>
      <c r="AP1250" s="460"/>
      <c r="AQ1250" s="250"/>
      <c r="AR1250" s="250"/>
      <c r="AS1250" s="250"/>
      <c r="AT1250" s="250"/>
      <c r="AU1250" s="250"/>
      <c r="AV1250" s="250"/>
      <c r="AW1250" s="250"/>
      <c r="AX1250" s="250"/>
      <c r="AY1250" s="250"/>
      <c r="AZ1250" s="250"/>
      <c r="BA1250" s="250"/>
      <c r="BB1250" s="250"/>
      <c r="BC1250" s="250"/>
      <c r="BD1250" s="250"/>
      <c r="BE1250" s="250"/>
      <c r="BF1250" s="250"/>
      <c r="BG1250" s="250"/>
      <c r="BH1250" s="250"/>
      <c r="BI1250" s="250"/>
      <c r="BJ1250" s="250"/>
      <c r="BK1250" s="250"/>
      <c r="BL1250" s="250"/>
      <c r="BM1250" s="250"/>
      <c r="BN1250" s="250"/>
      <c r="BO1250" s="250"/>
      <c r="BP1250" s="250"/>
      <c r="BQ1250" s="250"/>
      <c r="BR1250" s="250"/>
      <c r="BS1250" s="250"/>
      <c r="BT1250" s="250"/>
      <c r="BU1250" s="250"/>
      <c r="BV1250" s="250"/>
      <c r="BW1250" s="250"/>
      <c r="BX1250" s="250"/>
      <c r="BY1250" s="250"/>
      <c r="BZ1250" s="250"/>
      <c r="CA1250" s="250"/>
      <c r="CB1250" s="250"/>
      <c r="CC1250" s="250"/>
      <c r="CD1250" s="250"/>
      <c r="CE1250" s="250"/>
      <c r="CF1250" s="250"/>
      <c r="CG1250" s="250"/>
      <c r="CH1250" s="250"/>
      <c r="CI1250" s="250"/>
      <c r="CJ1250" s="250"/>
      <c r="CK1250" s="250"/>
      <c r="DQ1250" s="339"/>
      <c r="DR1250" s="339"/>
      <c r="DS1250" s="339"/>
      <c r="EP1250" s="340"/>
      <c r="FS1250" s="341"/>
      <c r="GI1250" s="342"/>
    </row>
    <row r="1251" spans="1:191" s="329" customFormat="1" ht="36" customHeight="1" x14ac:dyDescent="0.25">
      <c r="B1251" s="33" t="s">
        <v>1397</v>
      </c>
      <c r="C1251" s="33"/>
      <c r="D1251" s="330" t="s">
        <v>131</v>
      </c>
      <c r="E1251" s="330" t="s">
        <v>131</v>
      </c>
      <c r="F1251" s="330" t="s">
        <v>131</v>
      </c>
      <c r="G1251" s="330" t="s">
        <v>131</v>
      </c>
      <c r="H1251" s="330" t="s">
        <v>131</v>
      </c>
      <c r="I1251" s="334">
        <f>I1252</f>
        <v>783.81</v>
      </c>
      <c r="J1251" s="334">
        <f>J1252</f>
        <v>726</v>
      </c>
      <c r="K1251" s="334">
        <f>K1252</f>
        <v>668.19</v>
      </c>
      <c r="L1251" s="332">
        <f>L1252</f>
        <v>16</v>
      </c>
      <c r="M1251" s="330" t="s">
        <v>131</v>
      </c>
      <c r="N1251" s="330" t="s">
        <v>131</v>
      </c>
      <c r="O1251" s="333" t="s">
        <v>131</v>
      </c>
      <c r="P1251" s="38">
        <v>3623929.1999999997</v>
      </c>
      <c r="Q1251" s="38">
        <f>Q1252</f>
        <v>0</v>
      </c>
      <c r="R1251" s="38">
        <f>R1252</f>
        <v>0</v>
      </c>
      <c r="S1251" s="38">
        <f>S1252</f>
        <v>3623929.1999999997</v>
      </c>
      <c r="T1251" s="38">
        <f t="shared" si="266"/>
        <v>4623.4791594901826</v>
      </c>
      <c r="U1251" s="38">
        <f>U1252</f>
        <v>5542.8890419872159</v>
      </c>
      <c r="V1251" s="458">
        <f t="shared" si="265"/>
        <v>919.40988249703332</v>
      </c>
      <c r="W1251" s="458"/>
      <c r="X1251" s="458"/>
      <c r="Y1251" s="459"/>
      <c r="Z1251" s="459"/>
      <c r="AA1251" s="459"/>
      <c r="AB1251" s="459"/>
      <c r="AC1251" s="459"/>
      <c r="AD1251" s="459"/>
      <c r="AE1251" s="459"/>
      <c r="AF1251" s="459"/>
      <c r="AG1251" s="459"/>
      <c r="AH1251" s="459"/>
      <c r="AI1251" s="459"/>
      <c r="AJ1251" s="459"/>
      <c r="AK1251" s="459"/>
      <c r="AL1251" s="459"/>
      <c r="AM1251" s="459"/>
      <c r="AN1251" s="459"/>
      <c r="AO1251" s="459"/>
      <c r="AP1251" s="460"/>
      <c r="AQ1251" s="460"/>
      <c r="AR1251" s="460"/>
      <c r="AS1251" s="460"/>
      <c r="AT1251" s="460"/>
      <c r="AU1251" s="460"/>
      <c r="AV1251" s="460"/>
      <c r="AW1251" s="460"/>
      <c r="AX1251" s="460"/>
      <c r="AY1251" s="460"/>
      <c r="AZ1251" s="460"/>
      <c r="BA1251" s="460"/>
      <c r="BB1251" s="460"/>
      <c r="BC1251" s="460"/>
      <c r="BD1251" s="460"/>
      <c r="BE1251" s="460"/>
      <c r="BF1251" s="460"/>
      <c r="BG1251" s="460"/>
      <c r="BH1251" s="460"/>
      <c r="BI1251" s="460"/>
      <c r="BJ1251" s="460"/>
      <c r="BK1251" s="460"/>
      <c r="BL1251" s="460"/>
      <c r="BM1251" s="460"/>
      <c r="BN1251" s="460"/>
      <c r="BO1251" s="460"/>
      <c r="BP1251" s="460"/>
      <c r="BQ1251" s="460"/>
      <c r="BR1251" s="460"/>
      <c r="BS1251" s="460"/>
      <c r="BT1251" s="460"/>
      <c r="BU1251" s="460"/>
      <c r="BV1251" s="460"/>
      <c r="BW1251" s="460"/>
      <c r="BX1251" s="460"/>
      <c r="BY1251" s="460"/>
      <c r="BZ1251" s="460"/>
      <c r="CA1251" s="460"/>
      <c r="CB1251" s="460"/>
      <c r="CC1251" s="460"/>
      <c r="CD1251" s="460"/>
      <c r="CE1251" s="460"/>
      <c r="CF1251" s="460"/>
      <c r="CG1251" s="460"/>
      <c r="CH1251" s="460"/>
      <c r="CI1251" s="460"/>
      <c r="CJ1251" s="460"/>
      <c r="CK1251" s="460"/>
    </row>
    <row r="1252" spans="1:191" s="266" customFormat="1" ht="36" customHeight="1" x14ac:dyDescent="0.25">
      <c r="A1252" s="329">
        <v>1</v>
      </c>
      <c r="B1252" s="39">
        <f>SUBTOTAL(103,$A$1000:A1252)</f>
        <v>204</v>
      </c>
      <c r="C1252" s="336" t="s">
        <v>1901</v>
      </c>
      <c r="D1252" s="330">
        <v>1968</v>
      </c>
      <c r="E1252" s="330"/>
      <c r="F1252" s="337" t="s">
        <v>48</v>
      </c>
      <c r="G1252" s="330">
        <v>2</v>
      </c>
      <c r="H1252" s="330" t="s">
        <v>56</v>
      </c>
      <c r="I1252" s="334">
        <v>783.81</v>
      </c>
      <c r="J1252" s="334">
        <v>726</v>
      </c>
      <c r="K1252" s="334">
        <v>668.19</v>
      </c>
      <c r="L1252" s="338">
        <v>16</v>
      </c>
      <c r="M1252" s="330" t="s">
        <v>46</v>
      </c>
      <c r="N1252" s="330" t="s">
        <v>50</v>
      </c>
      <c r="O1252" s="330" t="s">
        <v>52</v>
      </c>
      <c r="P1252" s="334">
        <v>3623929.1999999997</v>
      </c>
      <c r="Q1252" s="334">
        <v>0</v>
      </c>
      <c r="R1252" s="334">
        <v>0</v>
      </c>
      <c r="S1252" s="334">
        <f>P1252-Q1252-R1252</f>
        <v>3623929.1999999997</v>
      </c>
      <c r="T1252" s="38">
        <f t="shared" si="266"/>
        <v>4623.4791594901826</v>
      </c>
      <c r="U1252" s="38">
        <v>5542.8890419872159</v>
      </c>
      <c r="V1252" s="458">
        <f>U1252-T1252</f>
        <v>919.40988249703332</v>
      </c>
      <c r="W1252" s="458">
        <f>X1252+Y1252+Z1252+AA1252+AB1252+AD1252+AF1252+AH1252+AJ1252+AL1252+AN1252+AO1252</f>
        <v>5524.0473328995549</v>
      </c>
      <c r="X1252" s="458">
        <v>0</v>
      </c>
      <c r="Y1252" s="459">
        <v>0</v>
      </c>
      <c r="Z1252" s="459">
        <v>0</v>
      </c>
      <c r="AA1252" s="459">
        <v>0</v>
      </c>
      <c r="AB1252" s="459">
        <v>0</v>
      </c>
      <c r="AC1252" s="459">
        <v>0</v>
      </c>
      <c r="AD1252" s="459">
        <v>0</v>
      </c>
      <c r="AE1252" s="459">
        <v>694</v>
      </c>
      <c r="AF1252" s="458">
        <f>6238.91*AE1252/I1252</f>
        <v>5524.0473328995549</v>
      </c>
      <c r="AG1252" s="459">
        <v>0</v>
      </c>
      <c r="AH1252" s="458">
        <v>0</v>
      </c>
      <c r="AI1252" s="459">
        <v>0</v>
      </c>
      <c r="AJ1252" s="458">
        <v>0</v>
      </c>
      <c r="AK1252" s="459">
        <v>0</v>
      </c>
      <c r="AL1252" s="459">
        <v>0</v>
      </c>
      <c r="AM1252" s="459">
        <v>0</v>
      </c>
      <c r="AN1252" s="459"/>
      <c r="AO1252" s="459">
        <v>0</v>
      </c>
      <c r="AP1252" s="460"/>
      <c r="AQ1252" s="250"/>
      <c r="AR1252" s="250"/>
      <c r="AS1252" s="250"/>
      <c r="AT1252" s="250"/>
      <c r="AU1252" s="250"/>
      <c r="AV1252" s="250"/>
      <c r="AW1252" s="250"/>
      <c r="AX1252" s="250"/>
      <c r="AY1252" s="250"/>
      <c r="AZ1252" s="250"/>
      <c r="BA1252" s="250"/>
      <c r="BB1252" s="250"/>
      <c r="BC1252" s="250"/>
      <c r="BD1252" s="250"/>
      <c r="BE1252" s="250"/>
      <c r="BF1252" s="250"/>
      <c r="BG1252" s="250"/>
      <c r="BH1252" s="250"/>
      <c r="BI1252" s="250"/>
      <c r="BJ1252" s="250"/>
      <c r="BK1252" s="250"/>
      <c r="BL1252" s="250"/>
      <c r="BM1252" s="250"/>
      <c r="BN1252" s="250"/>
      <c r="BO1252" s="250"/>
      <c r="BP1252" s="250"/>
      <c r="BQ1252" s="250"/>
      <c r="BR1252" s="250"/>
      <c r="BS1252" s="250"/>
      <c r="BT1252" s="250"/>
      <c r="BU1252" s="250"/>
      <c r="BV1252" s="250"/>
      <c r="BW1252" s="250"/>
      <c r="BX1252" s="250"/>
      <c r="BY1252" s="250"/>
      <c r="BZ1252" s="250"/>
      <c r="CA1252" s="250"/>
      <c r="CB1252" s="250"/>
      <c r="CC1252" s="250"/>
      <c r="CD1252" s="250"/>
      <c r="CE1252" s="250"/>
      <c r="CF1252" s="250"/>
      <c r="CG1252" s="250"/>
      <c r="CH1252" s="250"/>
      <c r="CI1252" s="250"/>
      <c r="CJ1252" s="250"/>
      <c r="CK1252" s="250"/>
      <c r="DQ1252" s="339"/>
      <c r="DR1252" s="339"/>
      <c r="DS1252" s="339"/>
      <c r="EP1252" s="340"/>
      <c r="FS1252" s="341"/>
      <c r="GI1252" s="342"/>
    </row>
    <row r="1253" spans="1:191" s="329" customFormat="1" ht="36" customHeight="1" x14ac:dyDescent="0.25">
      <c r="B1253" s="33" t="s">
        <v>1398</v>
      </c>
      <c r="C1253" s="33"/>
      <c r="D1253" s="330" t="s">
        <v>131</v>
      </c>
      <c r="E1253" s="330" t="s">
        <v>131</v>
      </c>
      <c r="F1253" s="330" t="s">
        <v>131</v>
      </c>
      <c r="G1253" s="330" t="s">
        <v>131</v>
      </c>
      <c r="H1253" s="330" t="s">
        <v>131</v>
      </c>
      <c r="I1253" s="334">
        <f>I1254</f>
        <v>680.2</v>
      </c>
      <c r="J1253" s="334">
        <f>J1254</f>
        <v>680.2</v>
      </c>
      <c r="K1253" s="334">
        <f>K1254</f>
        <v>617.70000000000005</v>
      </c>
      <c r="L1253" s="332">
        <f>L1254</f>
        <v>33</v>
      </c>
      <c r="M1253" s="330" t="s">
        <v>131</v>
      </c>
      <c r="N1253" s="330" t="s">
        <v>131</v>
      </c>
      <c r="O1253" s="333" t="s">
        <v>131</v>
      </c>
      <c r="P1253" s="38">
        <v>3080862</v>
      </c>
      <c r="Q1253" s="38">
        <f>Q1254</f>
        <v>0</v>
      </c>
      <c r="R1253" s="38">
        <f>R1254</f>
        <v>0</v>
      </c>
      <c r="S1253" s="38">
        <f>S1254</f>
        <v>3080862</v>
      </c>
      <c r="T1253" s="38">
        <f t="shared" si="266"/>
        <v>4529.3472508085852</v>
      </c>
      <c r="U1253" s="38">
        <f>U1254</f>
        <v>5430.0383710673323</v>
      </c>
      <c r="V1253" s="458">
        <f t="shared" si="265"/>
        <v>900.69112025874711</v>
      </c>
      <c r="W1253" s="458"/>
      <c r="X1253" s="458"/>
      <c r="Y1253" s="459"/>
      <c r="Z1253" s="459"/>
      <c r="AA1253" s="459"/>
      <c r="AB1253" s="459"/>
      <c r="AC1253" s="459"/>
      <c r="AD1253" s="459"/>
      <c r="AE1253" s="459"/>
      <c r="AF1253" s="459"/>
      <c r="AG1253" s="459"/>
      <c r="AH1253" s="459"/>
      <c r="AI1253" s="459"/>
      <c r="AJ1253" s="459"/>
      <c r="AK1253" s="459"/>
      <c r="AL1253" s="459"/>
      <c r="AM1253" s="459"/>
      <c r="AN1253" s="459"/>
      <c r="AO1253" s="459"/>
      <c r="AP1253" s="460"/>
      <c r="AQ1253" s="460"/>
      <c r="AR1253" s="460"/>
      <c r="AS1253" s="460"/>
      <c r="AT1253" s="460"/>
      <c r="AU1253" s="460"/>
      <c r="AV1253" s="460"/>
      <c r="AW1253" s="460"/>
      <c r="AX1253" s="460"/>
      <c r="AY1253" s="460"/>
      <c r="AZ1253" s="460"/>
      <c r="BA1253" s="460"/>
      <c r="BB1253" s="460"/>
      <c r="BC1253" s="460"/>
      <c r="BD1253" s="460"/>
      <c r="BE1253" s="460"/>
      <c r="BF1253" s="460"/>
      <c r="BG1253" s="460"/>
      <c r="BH1253" s="460"/>
      <c r="BI1253" s="460"/>
      <c r="BJ1253" s="460"/>
      <c r="BK1253" s="460"/>
      <c r="BL1253" s="460"/>
      <c r="BM1253" s="460"/>
      <c r="BN1253" s="460"/>
      <c r="BO1253" s="460"/>
      <c r="BP1253" s="460"/>
      <c r="BQ1253" s="460"/>
      <c r="BR1253" s="460"/>
      <c r="BS1253" s="460"/>
      <c r="BT1253" s="460"/>
      <c r="BU1253" s="460"/>
      <c r="BV1253" s="460"/>
      <c r="BW1253" s="460"/>
      <c r="BX1253" s="460"/>
      <c r="BY1253" s="460"/>
      <c r="BZ1253" s="460"/>
      <c r="CA1253" s="460"/>
      <c r="CB1253" s="460"/>
      <c r="CC1253" s="460"/>
      <c r="CD1253" s="460"/>
      <c r="CE1253" s="460"/>
      <c r="CF1253" s="460"/>
      <c r="CG1253" s="460"/>
      <c r="CH1253" s="460"/>
      <c r="CI1253" s="460"/>
      <c r="CJ1253" s="460"/>
      <c r="CK1253" s="460"/>
    </row>
    <row r="1254" spans="1:191" s="266" customFormat="1" ht="36" customHeight="1" x14ac:dyDescent="0.25">
      <c r="A1254" s="329">
        <v>1</v>
      </c>
      <c r="B1254" s="39">
        <f>SUBTOTAL(103,$A$1000:A1254)</f>
        <v>205</v>
      </c>
      <c r="C1254" s="336" t="s">
        <v>1902</v>
      </c>
      <c r="D1254" s="330">
        <v>1969</v>
      </c>
      <c r="E1254" s="330"/>
      <c r="F1254" s="337" t="s">
        <v>48</v>
      </c>
      <c r="G1254" s="330">
        <v>2</v>
      </c>
      <c r="H1254" s="330" t="s">
        <v>56</v>
      </c>
      <c r="I1254" s="334">
        <v>680.2</v>
      </c>
      <c r="J1254" s="334">
        <v>680.2</v>
      </c>
      <c r="K1254" s="334">
        <v>617.70000000000005</v>
      </c>
      <c r="L1254" s="338">
        <v>33</v>
      </c>
      <c r="M1254" s="330" t="s">
        <v>46</v>
      </c>
      <c r="N1254" s="330" t="s">
        <v>50</v>
      </c>
      <c r="O1254" s="330" t="s">
        <v>2103</v>
      </c>
      <c r="P1254" s="334">
        <v>3080862</v>
      </c>
      <c r="Q1254" s="334">
        <v>0</v>
      </c>
      <c r="R1254" s="334">
        <v>0</v>
      </c>
      <c r="S1254" s="334">
        <f>P1254-Q1254-R1254</f>
        <v>3080862</v>
      </c>
      <c r="T1254" s="38">
        <f t="shared" si="266"/>
        <v>4529.3472508085852</v>
      </c>
      <c r="U1254" s="38">
        <v>5430.0383710673323</v>
      </c>
      <c r="V1254" s="458">
        <f>U1254-T1254</f>
        <v>900.69112025874711</v>
      </c>
      <c r="W1254" s="458">
        <f>X1254+Y1254+Z1254+AA1254+AB1254+AD1254+AF1254+AH1254+AJ1254+AL1254+AN1254+AO1254</f>
        <v>5411.5802705086735</v>
      </c>
      <c r="X1254" s="458">
        <v>0</v>
      </c>
      <c r="Y1254" s="459">
        <v>0</v>
      </c>
      <c r="Z1254" s="459">
        <v>0</v>
      </c>
      <c r="AA1254" s="459">
        <v>0</v>
      </c>
      <c r="AB1254" s="459">
        <v>0</v>
      </c>
      <c r="AC1254" s="459">
        <v>0</v>
      </c>
      <c r="AD1254" s="459">
        <v>0</v>
      </c>
      <c r="AE1254" s="459">
        <v>590</v>
      </c>
      <c r="AF1254" s="458">
        <f>6238.91*AE1254/I1254</f>
        <v>5411.5802705086735</v>
      </c>
      <c r="AG1254" s="459">
        <v>0</v>
      </c>
      <c r="AH1254" s="458">
        <v>0</v>
      </c>
      <c r="AI1254" s="459">
        <v>0</v>
      </c>
      <c r="AJ1254" s="458">
        <v>0</v>
      </c>
      <c r="AK1254" s="459">
        <v>0</v>
      </c>
      <c r="AL1254" s="459">
        <v>0</v>
      </c>
      <c r="AM1254" s="459">
        <v>0</v>
      </c>
      <c r="AN1254" s="459"/>
      <c r="AO1254" s="459">
        <v>0</v>
      </c>
      <c r="AP1254" s="460"/>
      <c r="AQ1254" s="250"/>
      <c r="AR1254" s="250"/>
      <c r="AS1254" s="250"/>
      <c r="AT1254" s="250"/>
      <c r="AU1254" s="250"/>
      <c r="AV1254" s="250"/>
      <c r="AW1254" s="250"/>
      <c r="AX1254" s="250"/>
      <c r="AY1254" s="250"/>
      <c r="AZ1254" s="250"/>
      <c r="BA1254" s="250"/>
      <c r="BB1254" s="250"/>
      <c r="BC1254" s="250"/>
      <c r="BD1254" s="250"/>
      <c r="BE1254" s="250"/>
      <c r="BF1254" s="250"/>
      <c r="BG1254" s="250"/>
      <c r="BH1254" s="250"/>
      <c r="BI1254" s="250"/>
      <c r="BJ1254" s="250"/>
      <c r="BK1254" s="250"/>
      <c r="BL1254" s="250"/>
      <c r="BM1254" s="250"/>
      <c r="BN1254" s="250"/>
      <c r="BO1254" s="250"/>
      <c r="BP1254" s="250"/>
      <c r="BQ1254" s="250"/>
      <c r="BR1254" s="250"/>
      <c r="BS1254" s="250"/>
      <c r="BT1254" s="250"/>
      <c r="BU1254" s="250"/>
      <c r="BV1254" s="250"/>
      <c r="BW1254" s="250"/>
      <c r="BX1254" s="250"/>
      <c r="BY1254" s="250"/>
      <c r="BZ1254" s="250"/>
      <c r="CA1254" s="250"/>
      <c r="CB1254" s="250"/>
      <c r="CC1254" s="250"/>
      <c r="CD1254" s="250"/>
      <c r="CE1254" s="250"/>
      <c r="CF1254" s="250"/>
      <c r="CG1254" s="250"/>
      <c r="CH1254" s="250"/>
      <c r="CI1254" s="250"/>
      <c r="CJ1254" s="250"/>
      <c r="CK1254" s="250"/>
      <c r="DQ1254" s="339"/>
      <c r="DR1254" s="339"/>
      <c r="DS1254" s="339"/>
      <c r="EP1254" s="340"/>
      <c r="FS1254" s="341"/>
      <c r="GI1254" s="342"/>
    </row>
    <row r="1255" spans="1:191" s="329" customFormat="1" ht="36" customHeight="1" x14ac:dyDescent="0.25">
      <c r="B1255" s="33" t="s">
        <v>118</v>
      </c>
      <c r="C1255" s="33"/>
      <c r="D1255" s="330" t="s">
        <v>131</v>
      </c>
      <c r="E1255" s="330" t="s">
        <v>131</v>
      </c>
      <c r="F1255" s="330" t="s">
        <v>131</v>
      </c>
      <c r="G1255" s="330" t="s">
        <v>131</v>
      </c>
      <c r="H1255" s="330" t="s">
        <v>131</v>
      </c>
      <c r="I1255" s="334">
        <f>SUM(I1256:I1257)</f>
        <v>646.4</v>
      </c>
      <c r="J1255" s="334">
        <f>SUM(J1256:J1257)</f>
        <v>612.5</v>
      </c>
      <c r="K1255" s="334">
        <f>SUM(K1256:K1257)</f>
        <v>546.1</v>
      </c>
      <c r="L1255" s="332">
        <f>SUM(L1256:L1257)</f>
        <v>15</v>
      </c>
      <c r="M1255" s="330" t="s">
        <v>131</v>
      </c>
      <c r="N1255" s="330" t="s">
        <v>131</v>
      </c>
      <c r="O1255" s="333" t="s">
        <v>131</v>
      </c>
      <c r="P1255" s="38">
        <v>2610892.59</v>
      </c>
      <c r="Q1255" s="38">
        <f>Q1256+Q1257</f>
        <v>0</v>
      </c>
      <c r="R1255" s="38">
        <f>R1256+R1257</f>
        <v>0</v>
      </c>
      <c r="S1255" s="38">
        <f>S1256+S1257</f>
        <v>2610892.59</v>
      </c>
      <c r="T1255" s="38">
        <f t="shared" si="266"/>
        <v>4039.1283879950493</v>
      </c>
      <c r="U1255" s="38">
        <f>MAX(U1256:U1257)</f>
        <v>5088.0780848963477</v>
      </c>
      <c r="V1255" s="458">
        <f t="shared" si="265"/>
        <v>1048.9496969012985</v>
      </c>
      <c r="W1255" s="458"/>
      <c r="X1255" s="458"/>
      <c r="Y1255" s="459"/>
      <c r="Z1255" s="459"/>
      <c r="AA1255" s="459"/>
      <c r="AB1255" s="459"/>
      <c r="AC1255" s="459"/>
      <c r="AD1255" s="459"/>
      <c r="AE1255" s="459"/>
      <c r="AF1255" s="459"/>
      <c r="AG1255" s="459"/>
      <c r="AH1255" s="459"/>
      <c r="AI1255" s="459"/>
      <c r="AJ1255" s="459"/>
      <c r="AK1255" s="459"/>
      <c r="AL1255" s="459"/>
      <c r="AM1255" s="459"/>
      <c r="AN1255" s="459"/>
      <c r="AO1255" s="459"/>
      <c r="AP1255" s="460"/>
      <c r="AQ1255" s="460"/>
      <c r="AR1255" s="460"/>
      <c r="AS1255" s="460"/>
      <c r="AT1255" s="460"/>
      <c r="AU1255" s="460"/>
      <c r="AV1255" s="460"/>
      <c r="AW1255" s="460"/>
      <c r="AX1255" s="460"/>
      <c r="AY1255" s="460"/>
      <c r="AZ1255" s="460"/>
      <c r="BA1255" s="460"/>
      <c r="BB1255" s="460"/>
      <c r="BC1255" s="460"/>
      <c r="BD1255" s="460"/>
      <c r="BE1255" s="460"/>
      <c r="BF1255" s="460"/>
      <c r="BG1255" s="460"/>
      <c r="BH1255" s="460"/>
      <c r="BI1255" s="460"/>
      <c r="BJ1255" s="460"/>
      <c r="BK1255" s="460"/>
      <c r="BL1255" s="460"/>
      <c r="BM1255" s="460"/>
      <c r="BN1255" s="460"/>
      <c r="BO1255" s="460"/>
      <c r="BP1255" s="460"/>
      <c r="BQ1255" s="460"/>
      <c r="BR1255" s="460"/>
      <c r="BS1255" s="460"/>
      <c r="BT1255" s="460"/>
      <c r="BU1255" s="460"/>
      <c r="BV1255" s="460"/>
      <c r="BW1255" s="460"/>
      <c r="BX1255" s="460"/>
      <c r="BY1255" s="460"/>
      <c r="BZ1255" s="460"/>
      <c r="CA1255" s="460"/>
      <c r="CB1255" s="460"/>
      <c r="CC1255" s="460"/>
      <c r="CD1255" s="460"/>
      <c r="CE1255" s="460"/>
      <c r="CF1255" s="460"/>
      <c r="CG1255" s="460"/>
      <c r="CH1255" s="460"/>
      <c r="CI1255" s="460"/>
      <c r="CJ1255" s="460"/>
      <c r="CK1255" s="460"/>
    </row>
    <row r="1256" spans="1:191" s="266" customFormat="1" ht="36" customHeight="1" x14ac:dyDescent="0.25">
      <c r="A1256" s="329">
        <v>1</v>
      </c>
      <c r="B1256" s="39">
        <f>SUBTOTAL(103,$A$1000:A1256)</f>
        <v>206</v>
      </c>
      <c r="C1256" s="336" t="s">
        <v>1903</v>
      </c>
      <c r="D1256" s="330">
        <v>1966</v>
      </c>
      <c r="E1256" s="330"/>
      <c r="F1256" s="337" t="s">
        <v>48</v>
      </c>
      <c r="G1256" s="330">
        <v>2</v>
      </c>
      <c r="H1256" s="330" t="s">
        <v>57</v>
      </c>
      <c r="I1256" s="334">
        <v>342.5</v>
      </c>
      <c r="J1256" s="334">
        <v>308.7</v>
      </c>
      <c r="K1256" s="334">
        <v>273.8</v>
      </c>
      <c r="L1256" s="338">
        <v>7</v>
      </c>
      <c r="M1256" s="330" t="s">
        <v>46</v>
      </c>
      <c r="N1256" s="330" t="s">
        <v>50</v>
      </c>
      <c r="O1256" s="330" t="s">
        <v>52</v>
      </c>
      <c r="P1256" s="334">
        <v>1321115.3999999999</v>
      </c>
      <c r="Q1256" s="334">
        <v>0</v>
      </c>
      <c r="R1256" s="334">
        <v>0</v>
      </c>
      <c r="S1256" s="334">
        <f>P1256-Q1256-R1256</f>
        <v>1321115.3999999999</v>
      </c>
      <c r="T1256" s="38">
        <f t="shared" si="266"/>
        <v>3857.2712408759121</v>
      </c>
      <c r="U1256" s="38">
        <v>4624.3155328467146</v>
      </c>
      <c r="V1256" s="458">
        <f t="shared" si="265"/>
        <v>767.04429197080253</v>
      </c>
      <c r="W1256" s="458">
        <f t="shared" ref="W1256:W1257" si="272">X1256+Y1256+Z1256+AA1256+AB1256+AD1256+AF1256+AH1256+AJ1256+AL1256+AN1256+AO1256</f>
        <v>4608.5962919708027</v>
      </c>
      <c r="X1256" s="458">
        <v>0</v>
      </c>
      <c r="Y1256" s="459">
        <v>0</v>
      </c>
      <c r="Z1256" s="459">
        <v>0</v>
      </c>
      <c r="AA1256" s="459">
        <v>0</v>
      </c>
      <c r="AB1256" s="459">
        <v>0</v>
      </c>
      <c r="AC1256" s="459">
        <v>0</v>
      </c>
      <c r="AD1256" s="459">
        <v>0</v>
      </c>
      <c r="AE1256" s="459">
        <v>253</v>
      </c>
      <c r="AF1256" s="458">
        <f>6238.91*AE1256/I1256</f>
        <v>4608.5962919708027</v>
      </c>
      <c r="AG1256" s="459">
        <v>0</v>
      </c>
      <c r="AH1256" s="458">
        <v>0</v>
      </c>
      <c r="AI1256" s="459">
        <v>0</v>
      </c>
      <c r="AJ1256" s="458">
        <v>0</v>
      </c>
      <c r="AK1256" s="459">
        <v>0</v>
      </c>
      <c r="AL1256" s="459">
        <v>0</v>
      </c>
      <c r="AM1256" s="459">
        <v>0</v>
      </c>
      <c r="AN1256" s="459"/>
      <c r="AO1256" s="459">
        <v>0</v>
      </c>
      <c r="AP1256" s="460"/>
      <c r="AQ1256" s="250"/>
      <c r="AR1256" s="250"/>
      <c r="AS1256" s="250"/>
      <c r="AT1256" s="250"/>
      <c r="AU1256" s="250"/>
      <c r="AV1256" s="250"/>
      <c r="AW1256" s="250"/>
      <c r="AX1256" s="250"/>
      <c r="AY1256" s="250"/>
      <c r="AZ1256" s="250"/>
      <c r="BA1256" s="250"/>
      <c r="BB1256" s="250"/>
      <c r="BC1256" s="250"/>
      <c r="BD1256" s="250"/>
      <c r="BE1256" s="250"/>
      <c r="BF1256" s="250"/>
      <c r="BG1256" s="250"/>
      <c r="BH1256" s="250"/>
      <c r="BI1256" s="250"/>
      <c r="BJ1256" s="250"/>
      <c r="BK1256" s="250"/>
      <c r="BL1256" s="250"/>
      <c r="BM1256" s="250"/>
      <c r="BN1256" s="250"/>
      <c r="BO1256" s="250"/>
      <c r="BP1256" s="250"/>
      <c r="BQ1256" s="250"/>
      <c r="BR1256" s="250"/>
      <c r="BS1256" s="250"/>
      <c r="BT1256" s="250"/>
      <c r="BU1256" s="250"/>
      <c r="BV1256" s="250"/>
      <c r="BW1256" s="250"/>
      <c r="BX1256" s="250"/>
      <c r="BY1256" s="250"/>
      <c r="BZ1256" s="250"/>
      <c r="CA1256" s="250"/>
      <c r="CB1256" s="250"/>
      <c r="CC1256" s="250"/>
      <c r="CD1256" s="250"/>
      <c r="CE1256" s="250"/>
      <c r="CF1256" s="250"/>
      <c r="CG1256" s="250"/>
      <c r="CH1256" s="250"/>
      <c r="CI1256" s="250"/>
      <c r="CJ1256" s="250"/>
      <c r="CK1256" s="250"/>
      <c r="DQ1256" s="339"/>
      <c r="DR1256" s="339"/>
      <c r="DS1256" s="339"/>
      <c r="EP1256" s="340"/>
      <c r="FS1256" s="341"/>
      <c r="GI1256" s="342"/>
    </row>
    <row r="1257" spans="1:191" s="266" customFormat="1" ht="36" customHeight="1" x14ac:dyDescent="0.25">
      <c r="A1257" s="329">
        <v>1</v>
      </c>
      <c r="B1257" s="39">
        <f>SUBTOTAL(103,$A$1000:A1257)</f>
        <v>207</v>
      </c>
      <c r="C1257" s="336" t="s">
        <v>1904</v>
      </c>
      <c r="D1257" s="330">
        <v>1970</v>
      </c>
      <c r="E1257" s="330"/>
      <c r="F1257" s="337" t="s">
        <v>48</v>
      </c>
      <c r="G1257" s="330">
        <v>2</v>
      </c>
      <c r="H1257" s="330" t="s">
        <v>56</v>
      </c>
      <c r="I1257" s="334">
        <v>303.89999999999998</v>
      </c>
      <c r="J1257" s="334">
        <v>303.8</v>
      </c>
      <c r="K1257" s="334">
        <v>272.3</v>
      </c>
      <c r="L1257" s="338">
        <v>8</v>
      </c>
      <c r="M1257" s="330" t="s">
        <v>46</v>
      </c>
      <c r="N1257" s="330" t="s">
        <v>50</v>
      </c>
      <c r="O1257" s="330" t="s">
        <v>52</v>
      </c>
      <c r="P1257" s="334">
        <v>1289777.1900000002</v>
      </c>
      <c r="Q1257" s="334">
        <v>0</v>
      </c>
      <c r="R1257" s="334">
        <v>0</v>
      </c>
      <c r="S1257" s="334">
        <f>P1257-Q1257-R1257</f>
        <v>1289777.1900000002</v>
      </c>
      <c r="T1257" s="38">
        <f t="shared" si="266"/>
        <v>4244.0842053307015</v>
      </c>
      <c r="U1257" s="38">
        <v>5088.0780848963477</v>
      </c>
      <c r="V1257" s="458">
        <f t="shared" si="265"/>
        <v>843.99387956564624</v>
      </c>
      <c r="W1257" s="458">
        <f t="shared" si="272"/>
        <v>5070.7823955248441</v>
      </c>
      <c r="X1257" s="458">
        <v>0</v>
      </c>
      <c r="Y1257" s="459">
        <v>0</v>
      </c>
      <c r="Z1257" s="459">
        <v>0</v>
      </c>
      <c r="AA1257" s="459">
        <v>0</v>
      </c>
      <c r="AB1257" s="459">
        <v>0</v>
      </c>
      <c r="AC1257" s="459">
        <v>0</v>
      </c>
      <c r="AD1257" s="459">
        <v>0</v>
      </c>
      <c r="AE1257" s="459">
        <v>247</v>
      </c>
      <c r="AF1257" s="458">
        <f>6238.91*AE1257/I1257</f>
        <v>5070.7823955248441</v>
      </c>
      <c r="AG1257" s="459">
        <v>0</v>
      </c>
      <c r="AH1257" s="458">
        <v>0</v>
      </c>
      <c r="AI1257" s="459">
        <v>0</v>
      </c>
      <c r="AJ1257" s="458">
        <v>0</v>
      </c>
      <c r="AK1257" s="459">
        <v>0</v>
      </c>
      <c r="AL1257" s="459">
        <v>0</v>
      </c>
      <c r="AM1257" s="459">
        <v>0</v>
      </c>
      <c r="AN1257" s="459"/>
      <c r="AO1257" s="459">
        <v>0</v>
      </c>
      <c r="AP1257" s="460"/>
      <c r="AQ1257" s="250"/>
      <c r="AR1257" s="250"/>
      <c r="AS1257" s="250"/>
      <c r="AT1257" s="250"/>
      <c r="AU1257" s="250"/>
      <c r="AV1257" s="250"/>
      <c r="AW1257" s="250"/>
      <c r="AX1257" s="250"/>
      <c r="AY1257" s="250"/>
      <c r="AZ1257" s="250"/>
      <c r="BA1257" s="250"/>
      <c r="BB1257" s="250"/>
      <c r="BC1257" s="250"/>
      <c r="BD1257" s="250"/>
      <c r="BE1257" s="250"/>
      <c r="BF1257" s="250"/>
      <c r="BG1257" s="250"/>
      <c r="BH1257" s="250"/>
      <c r="BI1257" s="250"/>
      <c r="BJ1257" s="250"/>
      <c r="BK1257" s="250"/>
      <c r="BL1257" s="250"/>
      <c r="BM1257" s="250"/>
      <c r="BN1257" s="250"/>
      <c r="BO1257" s="250"/>
      <c r="BP1257" s="250"/>
      <c r="BQ1257" s="250"/>
      <c r="BR1257" s="250"/>
      <c r="BS1257" s="250"/>
      <c r="BT1257" s="250"/>
      <c r="BU1257" s="250"/>
      <c r="BV1257" s="250"/>
      <c r="BW1257" s="250"/>
      <c r="BX1257" s="250"/>
      <c r="BY1257" s="250"/>
      <c r="BZ1257" s="250"/>
      <c r="CA1257" s="250"/>
      <c r="CB1257" s="250"/>
      <c r="CC1257" s="250"/>
      <c r="CD1257" s="250"/>
      <c r="CE1257" s="250"/>
      <c r="CF1257" s="250"/>
      <c r="CG1257" s="250"/>
      <c r="CH1257" s="250"/>
      <c r="CI1257" s="250"/>
      <c r="CJ1257" s="250"/>
      <c r="CK1257" s="250"/>
      <c r="DQ1257" s="339"/>
      <c r="DR1257" s="339"/>
      <c r="DS1257" s="339"/>
      <c r="EP1257" s="340"/>
      <c r="FS1257" s="341"/>
      <c r="GI1257" s="342"/>
    </row>
    <row r="1258" spans="1:191" s="329" customFormat="1" ht="36" customHeight="1" x14ac:dyDescent="0.25">
      <c r="B1258" s="33" t="s">
        <v>120</v>
      </c>
      <c r="C1258" s="462"/>
      <c r="D1258" s="330" t="s">
        <v>131</v>
      </c>
      <c r="E1258" s="330" t="s">
        <v>131</v>
      </c>
      <c r="F1258" s="330" t="s">
        <v>131</v>
      </c>
      <c r="G1258" s="330" t="s">
        <v>131</v>
      </c>
      <c r="H1258" s="330" t="s">
        <v>131</v>
      </c>
      <c r="I1258" s="334">
        <f>SUM(I1259:I1261)</f>
        <v>2009.6000000000001</v>
      </c>
      <c r="J1258" s="334">
        <f>SUM(J1259:J1261)</f>
        <v>1554.1000000000001</v>
      </c>
      <c r="K1258" s="334">
        <f>SUM(K1259:K1261)</f>
        <v>1492</v>
      </c>
      <c r="L1258" s="332">
        <f>SUM(L1259:L1261)</f>
        <v>65</v>
      </c>
      <c r="M1258" s="330" t="s">
        <v>131</v>
      </c>
      <c r="N1258" s="330" t="s">
        <v>131</v>
      </c>
      <c r="O1258" s="333" t="s">
        <v>131</v>
      </c>
      <c r="P1258" s="38">
        <v>6332416.4000000004</v>
      </c>
      <c r="Q1258" s="38">
        <f>Q1259+Q1260+Q1261</f>
        <v>0</v>
      </c>
      <c r="R1258" s="38">
        <f>R1259+R1260+R1261</f>
        <v>0</v>
      </c>
      <c r="S1258" s="38">
        <f>S1259+S1260+S1261</f>
        <v>6332416.4000000004</v>
      </c>
      <c r="T1258" s="38">
        <f t="shared" si="266"/>
        <v>3151.0830015923566</v>
      </c>
      <c r="U1258" s="38">
        <f>MAX(U1259:U1261)</f>
        <v>6382.7842730529892</v>
      </c>
      <c r="V1258" s="458">
        <f t="shared" si="265"/>
        <v>3231.7012714606326</v>
      </c>
      <c r="W1258" s="458"/>
      <c r="X1258" s="458"/>
      <c r="Y1258" s="459"/>
      <c r="Z1258" s="459"/>
      <c r="AA1258" s="459"/>
      <c r="AB1258" s="459"/>
      <c r="AC1258" s="459"/>
      <c r="AD1258" s="459"/>
      <c r="AE1258" s="459"/>
      <c r="AF1258" s="459"/>
      <c r="AG1258" s="459"/>
      <c r="AH1258" s="459"/>
      <c r="AI1258" s="459"/>
      <c r="AJ1258" s="459"/>
      <c r="AK1258" s="459"/>
      <c r="AL1258" s="459"/>
      <c r="AM1258" s="459"/>
      <c r="AN1258" s="459"/>
      <c r="AO1258" s="459"/>
      <c r="AP1258" s="460"/>
      <c r="AQ1258" s="460"/>
      <c r="AR1258" s="460"/>
      <c r="AS1258" s="460"/>
      <c r="AT1258" s="460"/>
      <c r="AU1258" s="460"/>
      <c r="AV1258" s="460"/>
      <c r="AW1258" s="460"/>
      <c r="AX1258" s="460"/>
      <c r="AY1258" s="460"/>
      <c r="AZ1258" s="460"/>
      <c r="BA1258" s="460"/>
      <c r="BB1258" s="460"/>
      <c r="BC1258" s="460"/>
      <c r="BD1258" s="460"/>
      <c r="BE1258" s="460"/>
      <c r="BF1258" s="460"/>
      <c r="BG1258" s="460"/>
      <c r="BH1258" s="460"/>
      <c r="BI1258" s="460"/>
      <c r="BJ1258" s="460"/>
      <c r="BK1258" s="460"/>
      <c r="BL1258" s="460"/>
      <c r="BM1258" s="460"/>
      <c r="BN1258" s="460"/>
      <c r="BO1258" s="460"/>
      <c r="BP1258" s="460"/>
      <c r="BQ1258" s="460"/>
      <c r="BR1258" s="460"/>
      <c r="BS1258" s="460"/>
      <c r="BT1258" s="460"/>
      <c r="BU1258" s="460"/>
      <c r="BV1258" s="460"/>
      <c r="BW1258" s="460"/>
      <c r="BX1258" s="460"/>
      <c r="BY1258" s="460"/>
      <c r="BZ1258" s="460"/>
      <c r="CA1258" s="460"/>
      <c r="CB1258" s="460"/>
      <c r="CC1258" s="460"/>
      <c r="CD1258" s="460"/>
      <c r="CE1258" s="460"/>
      <c r="CF1258" s="460"/>
      <c r="CG1258" s="460"/>
      <c r="CH1258" s="460"/>
      <c r="CI1258" s="460"/>
      <c r="CJ1258" s="460"/>
      <c r="CK1258" s="460"/>
    </row>
    <row r="1259" spans="1:191" s="266" customFormat="1" ht="36" customHeight="1" x14ac:dyDescent="0.25">
      <c r="A1259" s="329">
        <v>1</v>
      </c>
      <c r="B1259" s="39">
        <f>SUBTOTAL(103,$A$1000:A1259)</f>
        <v>208</v>
      </c>
      <c r="C1259" s="336" t="s">
        <v>1905</v>
      </c>
      <c r="D1259" s="330" t="s">
        <v>2175</v>
      </c>
      <c r="E1259" s="330"/>
      <c r="F1259" s="337" t="s">
        <v>48</v>
      </c>
      <c r="G1259" s="330" t="s">
        <v>56</v>
      </c>
      <c r="H1259" s="330" t="s">
        <v>56</v>
      </c>
      <c r="I1259" s="334">
        <v>945.6</v>
      </c>
      <c r="J1259" s="334">
        <v>572.29999999999995</v>
      </c>
      <c r="K1259" s="334">
        <v>513.5</v>
      </c>
      <c r="L1259" s="338">
        <v>21</v>
      </c>
      <c r="M1259" s="330" t="s">
        <v>46</v>
      </c>
      <c r="N1259" s="330" t="s">
        <v>47</v>
      </c>
      <c r="O1259" s="330" t="s">
        <v>49</v>
      </c>
      <c r="P1259" s="334">
        <v>3549600</v>
      </c>
      <c r="Q1259" s="334">
        <v>0</v>
      </c>
      <c r="R1259" s="334">
        <v>0</v>
      </c>
      <c r="S1259" s="334">
        <f>P1259-Q1259-R1259</f>
        <v>3549600</v>
      </c>
      <c r="T1259" s="38">
        <f t="shared" si="266"/>
        <v>3753.8071065989848</v>
      </c>
      <c r="U1259" s="38">
        <v>4607.754060913705</v>
      </c>
      <c r="V1259" s="458">
        <f t="shared" si="265"/>
        <v>853.94695431472019</v>
      </c>
      <c r="W1259" s="458">
        <f t="shared" ref="W1259:W1261" si="273">X1259+Y1259+Z1259+AA1259+AB1259+AD1259+AF1259+AH1259+AJ1259+AL1259+AN1259+AO1259</f>
        <v>4592.0911167512695</v>
      </c>
      <c r="X1259" s="458">
        <v>0</v>
      </c>
      <c r="Y1259" s="459">
        <v>0</v>
      </c>
      <c r="Z1259" s="459">
        <v>0</v>
      </c>
      <c r="AA1259" s="459">
        <v>0</v>
      </c>
      <c r="AB1259" s="459">
        <v>0</v>
      </c>
      <c r="AC1259" s="459">
        <v>0</v>
      </c>
      <c r="AD1259" s="459">
        <v>0</v>
      </c>
      <c r="AE1259" s="459">
        <v>696</v>
      </c>
      <c r="AF1259" s="458">
        <f>6238.91*AE1259/I1259</f>
        <v>4592.0911167512695</v>
      </c>
      <c r="AG1259" s="459">
        <v>0</v>
      </c>
      <c r="AH1259" s="458">
        <v>0</v>
      </c>
      <c r="AI1259" s="459">
        <v>0</v>
      </c>
      <c r="AJ1259" s="458">
        <v>0</v>
      </c>
      <c r="AK1259" s="459">
        <v>0</v>
      </c>
      <c r="AL1259" s="459">
        <v>0</v>
      </c>
      <c r="AM1259" s="459">
        <v>0</v>
      </c>
      <c r="AN1259" s="459"/>
      <c r="AO1259" s="459">
        <v>0</v>
      </c>
      <c r="AP1259" s="460"/>
      <c r="AQ1259" s="250"/>
      <c r="AR1259" s="250"/>
      <c r="AS1259" s="250"/>
      <c r="AT1259" s="250"/>
      <c r="AU1259" s="250"/>
      <c r="AV1259" s="250"/>
      <c r="AW1259" s="250"/>
      <c r="AX1259" s="250"/>
      <c r="AY1259" s="250"/>
      <c r="AZ1259" s="250"/>
      <c r="BA1259" s="250"/>
      <c r="BB1259" s="250"/>
      <c r="BC1259" s="250"/>
      <c r="BD1259" s="250"/>
      <c r="BE1259" s="250"/>
      <c r="BF1259" s="250"/>
      <c r="BG1259" s="250"/>
      <c r="BH1259" s="250"/>
      <c r="BI1259" s="250"/>
      <c r="BJ1259" s="250"/>
      <c r="BK1259" s="250"/>
      <c r="BL1259" s="250"/>
      <c r="BM1259" s="250"/>
      <c r="BN1259" s="250"/>
      <c r="BO1259" s="250"/>
      <c r="BP1259" s="250"/>
      <c r="BQ1259" s="250"/>
      <c r="BR1259" s="250"/>
      <c r="BS1259" s="250"/>
      <c r="BT1259" s="250"/>
      <c r="BU1259" s="250"/>
      <c r="BV1259" s="250"/>
      <c r="BW1259" s="250"/>
      <c r="BX1259" s="250"/>
      <c r="BY1259" s="250"/>
      <c r="BZ1259" s="250"/>
      <c r="CA1259" s="250"/>
      <c r="CB1259" s="250"/>
      <c r="CC1259" s="250"/>
      <c r="CD1259" s="250"/>
      <c r="CE1259" s="250"/>
      <c r="CF1259" s="250"/>
      <c r="CG1259" s="250"/>
      <c r="CH1259" s="250"/>
      <c r="CI1259" s="250"/>
      <c r="CJ1259" s="250"/>
      <c r="CK1259" s="250"/>
      <c r="DQ1259" s="339"/>
      <c r="DR1259" s="339"/>
      <c r="DS1259" s="339"/>
      <c r="EP1259" s="340"/>
      <c r="FS1259" s="341"/>
      <c r="GI1259" s="342"/>
    </row>
    <row r="1260" spans="1:191" s="266" customFormat="1" ht="36" customHeight="1" x14ac:dyDescent="0.25">
      <c r="A1260" s="329">
        <v>1</v>
      </c>
      <c r="B1260" s="39">
        <f>SUBTOTAL(103,$A$1000:A1260)</f>
        <v>209</v>
      </c>
      <c r="C1260" s="336" t="s">
        <v>1906</v>
      </c>
      <c r="D1260" s="330" t="s">
        <v>2116</v>
      </c>
      <c r="E1260" s="330"/>
      <c r="F1260" s="337" t="s">
        <v>63</v>
      </c>
      <c r="G1260" s="330" t="s">
        <v>61</v>
      </c>
      <c r="H1260" s="330" t="s">
        <v>57</v>
      </c>
      <c r="I1260" s="334">
        <v>533.70000000000005</v>
      </c>
      <c r="J1260" s="334">
        <v>492.1</v>
      </c>
      <c r="K1260" s="334">
        <v>488.8</v>
      </c>
      <c r="L1260" s="338">
        <v>13</v>
      </c>
      <c r="M1260" s="330" t="s">
        <v>46</v>
      </c>
      <c r="N1260" s="330" t="s">
        <v>47</v>
      </c>
      <c r="O1260" s="330" t="s">
        <v>49</v>
      </c>
      <c r="P1260" s="334">
        <v>1391408.2</v>
      </c>
      <c r="Q1260" s="334">
        <v>0</v>
      </c>
      <c r="R1260" s="334">
        <v>0</v>
      </c>
      <c r="S1260" s="334">
        <f>P1260-Q1260-R1260</f>
        <v>1391408.2</v>
      </c>
      <c r="T1260" s="38">
        <f t="shared" si="266"/>
        <v>2607.0979951283489</v>
      </c>
      <c r="U1260" s="38">
        <v>6342.121978639685</v>
      </c>
      <c r="V1260" s="458">
        <f t="shared" si="265"/>
        <v>3735.0239835113362</v>
      </c>
      <c r="W1260" s="458">
        <f t="shared" si="273"/>
        <v>6652.0283867341195</v>
      </c>
      <c r="X1260" s="458">
        <v>0</v>
      </c>
      <c r="Y1260" s="459">
        <v>0</v>
      </c>
      <c r="Z1260" s="459">
        <v>0</v>
      </c>
      <c r="AA1260" s="459">
        <v>0</v>
      </c>
      <c r="AB1260" s="459">
        <v>0</v>
      </c>
      <c r="AC1260" s="459">
        <v>0</v>
      </c>
      <c r="AD1260" s="459">
        <v>0</v>
      </c>
      <c r="AE1260" s="459">
        <v>0</v>
      </c>
      <c r="AF1260" s="458">
        <v>0</v>
      </c>
      <c r="AG1260" s="459">
        <v>0</v>
      </c>
      <c r="AH1260" s="458">
        <v>0</v>
      </c>
      <c r="AI1260" s="459">
        <v>455</v>
      </c>
      <c r="AJ1260" s="458">
        <f>7802.61*AI1260/I1260</f>
        <v>6652.0283867341195</v>
      </c>
      <c r="AK1260" s="459">
        <v>0</v>
      </c>
      <c r="AL1260" s="459">
        <v>0</v>
      </c>
      <c r="AM1260" s="459">
        <v>0</v>
      </c>
      <c r="AN1260" s="459"/>
      <c r="AO1260" s="459">
        <v>0</v>
      </c>
      <c r="AP1260" s="460"/>
      <c r="AQ1260" s="250"/>
      <c r="AR1260" s="250"/>
      <c r="AS1260" s="250"/>
      <c r="AT1260" s="250"/>
      <c r="AU1260" s="250"/>
      <c r="AV1260" s="250"/>
      <c r="AW1260" s="250"/>
      <c r="AX1260" s="250"/>
      <c r="AY1260" s="250"/>
      <c r="AZ1260" s="250"/>
      <c r="BA1260" s="250"/>
      <c r="BB1260" s="250"/>
      <c r="BC1260" s="250"/>
      <c r="BD1260" s="250"/>
      <c r="BE1260" s="250"/>
      <c r="BF1260" s="250"/>
      <c r="BG1260" s="250"/>
      <c r="BH1260" s="250"/>
      <c r="BI1260" s="250"/>
      <c r="BJ1260" s="250"/>
      <c r="BK1260" s="250"/>
      <c r="BL1260" s="250"/>
      <c r="BM1260" s="250"/>
      <c r="BN1260" s="250"/>
      <c r="BO1260" s="250"/>
      <c r="BP1260" s="250"/>
      <c r="BQ1260" s="250"/>
      <c r="BR1260" s="250"/>
      <c r="BS1260" s="250"/>
      <c r="BT1260" s="250"/>
      <c r="BU1260" s="250"/>
      <c r="BV1260" s="250"/>
      <c r="BW1260" s="250"/>
      <c r="BX1260" s="250"/>
      <c r="BY1260" s="250"/>
      <c r="BZ1260" s="250"/>
      <c r="CA1260" s="250"/>
      <c r="CB1260" s="250"/>
      <c r="CC1260" s="250"/>
      <c r="CD1260" s="250"/>
      <c r="CE1260" s="250"/>
      <c r="CF1260" s="250"/>
      <c r="CG1260" s="250"/>
      <c r="CH1260" s="250"/>
      <c r="CI1260" s="250"/>
      <c r="CJ1260" s="250"/>
      <c r="CK1260" s="250"/>
      <c r="DQ1260" s="339"/>
      <c r="DR1260" s="339"/>
      <c r="DS1260" s="339"/>
      <c r="EP1260" s="340"/>
      <c r="FS1260" s="341"/>
      <c r="GI1260" s="342"/>
    </row>
    <row r="1261" spans="1:191" s="266" customFormat="1" ht="36" customHeight="1" x14ac:dyDescent="0.25">
      <c r="A1261" s="329">
        <v>1</v>
      </c>
      <c r="B1261" s="39">
        <f>SUBTOTAL(103,$A$1000:A1261)</f>
        <v>210</v>
      </c>
      <c r="C1261" s="336" t="s">
        <v>1907</v>
      </c>
      <c r="D1261" s="330">
        <v>1971</v>
      </c>
      <c r="E1261" s="330"/>
      <c r="F1261" s="337" t="s">
        <v>63</v>
      </c>
      <c r="G1261" s="330" t="s">
        <v>61</v>
      </c>
      <c r="H1261" s="330" t="s">
        <v>57</v>
      </c>
      <c r="I1261" s="334">
        <v>530.29999999999995</v>
      </c>
      <c r="J1261" s="334">
        <v>489.7</v>
      </c>
      <c r="K1261" s="334">
        <v>489.7</v>
      </c>
      <c r="L1261" s="338">
        <v>31</v>
      </c>
      <c r="M1261" s="330" t="s">
        <v>46</v>
      </c>
      <c r="N1261" s="330" t="s">
        <v>47</v>
      </c>
      <c r="O1261" s="330" t="s">
        <v>49</v>
      </c>
      <c r="P1261" s="334">
        <v>1391408.2</v>
      </c>
      <c r="Q1261" s="334">
        <v>0</v>
      </c>
      <c r="R1261" s="334">
        <v>0</v>
      </c>
      <c r="S1261" s="334">
        <f>P1261-Q1261-R1261</f>
        <v>1391408.2</v>
      </c>
      <c r="T1261" s="38">
        <f t="shared" si="266"/>
        <v>2623.8133132189328</v>
      </c>
      <c r="U1261" s="38">
        <v>6382.7842730529892</v>
      </c>
      <c r="V1261" s="458">
        <f t="shared" si="265"/>
        <v>3758.9709598340564</v>
      </c>
      <c r="W1261" s="458">
        <f t="shared" si="273"/>
        <v>6694.6776353007735</v>
      </c>
      <c r="X1261" s="458">
        <v>0</v>
      </c>
      <c r="Y1261" s="459">
        <v>0</v>
      </c>
      <c r="Z1261" s="459">
        <v>0</v>
      </c>
      <c r="AA1261" s="459">
        <v>0</v>
      </c>
      <c r="AB1261" s="459">
        <v>0</v>
      </c>
      <c r="AC1261" s="459">
        <v>0</v>
      </c>
      <c r="AD1261" s="459">
        <v>0</v>
      </c>
      <c r="AE1261" s="459">
        <v>0</v>
      </c>
      <c r="AF1261" s="458">
        <v>0</v>
      </c>
      <c r="AG1261" s="459">
        <v>0</v>
      </c>
      <c r="AH1261" s="458">
        <v>0</v>
      </c>
      <c r="AI1261" s="459">
        <v>455</v>
      </c>
      <c r="AJ1261" s="458">
        <f>7802.61*AI1261/I1261</f>
        <v>6694.6776353007735</v>
      </c>
      <c r="AK1261" s="459">
        <v>0</v>
      </c>
      <c r="AL1261" s="459">
        <v>0</v>
      </c>
      <c r="AM1261" s="459">
        <v>0</v>
      </c>
      <c r="AN1261" s="459"/>
      <c r="AO1261" s="459">
        <v>0</v>
      </c>
      <c r="AP1261" s="460"/>
      <c r="AQ1261" s="250"/>
      <c r="AR1261" s="250"/>
      <c r="AS1261" s="250"/>
      <c r="AT1261" s="250"/>
      <c r="AU1261" s="250"/>
      <c r="AV1261" s="250"/>
      <c r="AW1261" s="250"/>
      <c r="AX1261" s="250"/>
      <c r="AY1261" s="250"/>
      <c r="AZ1261" s="250"/>
      <c r="BA1261" s="250"/>
      <c r="BB1261" s="250"/>
      <c r="BC1261" s="250"/>
      <c r="BD1261" s="250"/>
      <c r="BE1261" s="250"/>
      <c r="BF1261" s="250"/>
      <c r="BG1261" s="250"/>
      <c r="BH1261" s="250"/>
      <c r="BI1261" s="250"/>
      <c r="BJ1261" s="250"/>
      <c r="BK1261" s="250"/>
      <c r="BL1261" s="250"/>
      <c r="BM1261" s="250"/>
      <c r="BN1261" s="250"/>
      <c r="BO1261" s="250"/>
      <c r="BP1261" s="250"/>
      <c r="BQ1261" s="250"/>
      <c r="BR1261" s="250"/>
      <c r="BS1261" s="250"/>
      <c r="BT1261" s="250"/>
      <c r="BU1261" s="250"/>
      <c r="BV1261" s="250"/>
      <c r="BW1261" s="250"/>
      <c r="BX1261" s="250"/>
      <c r="BY1261" s="250"/>
      <c r="BZ1261" s="250"/>
      <c r="CA1261" s="250"/>
      <c r="CB1261" s="250"/>
      <c r="CC1261" s="250"/>
      <c r="CD1261" s="250"/>
      <c r="CE1261" s="250"/>
      <c r="CF1261" s="250"/>
      <c r="CG1261" s="250"/>
      <c r="CH1261" s="250"/>
      <c r="CI1261" s="250"/>
      <c r="CJ1261" s="250"/>
      <c r="CK1261" s="250"/>
      <c r="DQ1261" s="339"/>
      <c r="DR1261" s="339"/>
      <c r="DS1261" s="339"/>
      <c r="EP1261" s="340"/>
      <c r="FS1261" s="341"/>
      <c r="GI1261" s="342"/>
    </row>
    <row r="1262" spans="1:191" s="329" customFormat="1" ht="36" customHeight="1" x14ac:dyDescent="0.25">
      <c r="B1262" s="33" t="s">
        <v>121</v>
      </c>
      <c r="C1262" s="33"/>
      <c r="D1262" s="330" t="s">
        <v>131</v>
      </c>
      <c r="E1262" s="330" t="s">
        <v>131</v>
      </c>
      <c r="F1262" s="330" t="s">
        <v>131</v>
      </c>
      <c r="G1262" s="330" t="s">
        <v>131</v>
      </c>
      <c r="H1262" s="330" t="s">
        <v>131</v>
      </c>
      <c r="I1262" s="334">
        <f>I1263</f>
        <v>814.6</v>
      </c>
      <c r="J1262" s="334">
        <f>J1263</f>
        <v>814.6</v>
      </c>
      <c r="K1262" s="334">
        <f>K1263</f>
        <v>336.9</v>
      </c>
      <c r="L1262" s="332">
        <f>L1263</f>
        <v>26</v>
      </c>
      <c r="M1262" s="330" t="s">
        <v>131</v>
      </c>
      <c r="N1262" s="330" t="s">
        <v>131</v>
      </c>
      <c r="O1262" s="333" t="s">
        <v>131</v>
      </c>
      <c r="P1262" s="38">
        <v>5584659.7400000002</v>
      </c>
      <c r="Q1262" s="38">
        <f>Q1263</f>
        <v>0</v>
      </c>
      <c r="R1262" s="38">
        <f>R1263</f>
        <v>0</v>
      </c>
      <c r="S1262" s="38">
        <f>S1263</f>
        <v>5584659.7400000002</v>
      </c>
      <c r="T1262" s="38">
        <f t="shared" si="266"/>
        <v>6855.7080039283082</v>
      </c>
      <c r="U1262" s="38">
        <f>U1263</f>
        <v>5752.8162042720351</v>
      </c>
      <c r="V1262" s="458">
        <f t="shared" si="265"/>
        <v>-1102.8917996562732</v>
      </c>
      <c r="W1262" s="458"/>
      <c r="X1262" s="458"/>
      <c r="Y1262" s="459"/>
      <c r="Z1262" s="459"/>
      <c r="AA1262" s="459"/>
      <c r="AB1262" s="459"/>
      <c r="AC1262" s="459"/>
      <c r="AD1262" s="459"/>
      <c r="AE1262" s="459"/>
      <c r="AF1262" s="459"/>
      <c r="AG1262" s="459"/>
      <c r="AH1262" s="459"/>
      <c r="AI1262" s="459"/>
      <c r="AJ1262" s="459"/>
      <c r="AK1262" s="459"/>
      <c r="AL1262" s="459"/>
      <c r="AM1262" s="459"/>
      <c r="AN1262" s="459"/>
      <c r="AO1262" s="459"/>
      <c r="AP1262" s="460"/>
      <c r="AQ1262" s="460"/>
      <c r="AR1262" s="460"/>
      <c r="AS1262" s="460"/>
      <c r="AT1262" s="460"/>
      <c r="AU1262" s="460"/>
      <c r="AV1262" s="460"/>
      <c r="AW1262" s="460"/>
      <c r="AX1262" s="460"/>
      <c r="AY1262" s="460"/>
      <c r="AZ1262" s="460"/>
      <c r="BA1262" s="460"/>
      <c r="BB1262" s="460"/>
      <c r="BC1262" s="460"/>
      <c r="BD1262" s="460"/>
      <c r="BE1262" s="460"/>
      <c r="BF1262" s="460"/>
      <c r="BG1262" s="460"/>
      <c r="BH1262" s="460"/>
      <c r="BI1262" s="460"/>
      <c r="BJ1262" s="460"/>
      <c r="BK1262" s="460"/>
      <c r="BL1262" s="460"/>
      <c r="BM1262" s="460"/>
      <c r="BN1262" s="460"/>
      <c r="BO1262" s="460"/>
      <c r="BP1262" s="460"/>
      <c r="BQ1262" s="460"/>
      <c r="BR1262" s="460"/>
      <c r="BS1262" s="460"/>
      <c r="BT1262" s="460"/>
      <c r="BU1262" s="460"/>
      <c r="BV1262" s="460"/>
      <c r="BW1262" s="460"/>
      <c r="BX1262" s="460"/>
      <c r="BY1262" s="460"/>
      <c r="BZ1262" s="460"/>
      <c r="CA1262" s="460"/>
      <c r="CB1262" s="460"/>
      <c r="CC1262" s="460"/>
      <c r="CD1262" s="460"/>
      <c r="CE1262" s="460"/>
      <c r="CF1262" s="460"/>
      <c r="CG1262" s="460"/>
      <c r="CH1262" s="460"/>
      <c r="CI1262" s="460"/>
      <c r="CJ1262" s="460"/>
      <c r="CK1262" s="460"/>
    </row>
    <row r="1263" spans="1:191" s="266" customFormat="1" ht="36" customHeight="1" x14ac:dyDescent="0.25">
      <c r="A1263" s="329">
        <v>1</v>
      </c>
      <c r="B1263" s="39">
        <f>SUBTOTAL(103,$A$1000:A1263)</f>
        <v>211</v>
      </c>
      <c r="C1263" s="336" t="s">
        <v>1908</v>
      </c>
      <c r="D1263" s="330">
        <v>1950</v>
      </c>
      <c r="E1263" s="330"/>
      <c r="F1263" s="337" t="s">
        <v>48</v>
      </c>
      <c r="G1263" s="330">
        <v>2</v>
      </c>
      <c r="H1263" s="330" t="s">
        <v>56</v>
      </c>
      <c r="I1263" s="334">
        <v>814.6</v>
      </c>
      <c r="J1263" s="334">
        <v>814.6</v>
      </c>
      <c r="K1263" s="334">
        <v>336.9</v>
      </c>
      <c r="L1263" s="338">
        <v>26</v>
      </c>
      <c r="M1263" s="330" t="s">
        <v>46</v>
      </c>
      <c r="N1263" s="330" t="s">
        <v>50</v>
      </c>
      <c r="O1263" s="330" t="s">
        <v>2104</v>
      </c>
      <c r="P1263" s="334">
        <v>5584659.7400000002</v>
      </c>
      <c r="Q1263" s="334">
        <v>0</v>
      </c>
      <c r="R1263" s="334">
        <v>0</v>
      </c>
      <c r="S1263" s="334">
        <f>P1263-Q1263-R1263</f>
        <v>5584659.7400000002</v>
      </c>
      <c r="T1263" s="38">
        <f t="shared" si="266"/>
        <v>6855.7080039283082</v>
      </c>
      <c r="U1263" s="38">
        <v>5752.8162042720351</v>
      </c>
      <c r="V1263" s="458">
        <f>U1263-T1263</f>
        <v>-1102.8917996562732</v>
      </c>
      <c r="W1263" s="458">
        <f>T1263</f>
        <v>6855.7080039283082</v>
      </c>
      <c r="X1263" s="458">
        <v>0</v>
      </c>
      <c r="Y1263" s="459">
        <v>0</v>
      </c>
      <c r="Z1263" s="459">
        <v>0</v>
      </c>
      <c r="AA1263" s="459">
        <v>0</v>
      </c>
      <c r="AB1263" s="459">
        <v>0</v>
      </c>
      <c r="AC1263" s="459">
        <v>0</v>
      </c>
      <c r="AD1263" s="459">
        <v>0</v>
      </c>
      <c r="AE1263" s="459">
        <v>720</v>
      </c>
      <c r="AF1263" s="458">
        <f>6436.53*AE1263/I1263</f>
        <v>5689.0518045666577</v>
      </c>
      <c r="AG1263" s="459">
        <v>0</v>
      </c>
      <c r="AH1263" s="458">
        <v>0</v>
      </c>
      <c r="AI1263" s="459">
        <v>0</v>
      </c>
      <c r="AJ1263" s="458">
        <v>0</v>
      </c>
      <c r="AK1263" s="459">
        <v>0</v>
      </c>
      <c r="AL1263" s="459">
        <v>0</v>
      </c>
      <c r="AM1263" s="459">
        <v>0</v>
      </c>
      <c r="AN1263" s="459"/>
      <c r="AO1263" s="459">
        <v>0</v>
      </c>
      <c r="AP1263" s="460"/>
      <c r="AQ1263" s="250"/>
      <c r="AR1263" s="250"/>
      <c r="AS1263" s="250"/>
      <c r="AT1263" s="250"/>
      <c r="AU1263" s="250"/>
      <c r="AV1263" s="250"/>
      <c r="AW1263" s="250"/>
      <c r="AX1263" s="250"/>
      <c r="AY1263" s="250"/>
      <c r="AZ1263" s="250"/>
      <c r="BA1263" s="250"/>
      <c r="BB1263" s="250"/>
      <c r="BC1263" s="250"/>
      <c r="BD1263" s="250"/>
      <c r="BE1263" s="250"/>
      <c r="BF1263" s="250"/>
      <c r="BG1263" s="250"/>
      <c r="BH1263" s="250"/>
      <c r="BI1263" s="250"/>
      <c r="BJ1263" s="250"/>
      <c r="BK1263" s="250"/>
      <c r="BL1263" s="250"/>
      <c r="BM1263" s="250"/>
      <c r="BN1263" s="250"/>
      <c r="BO1263" s="250"/>
      <c r="BP1263" s="250"/>
      <c r="BQ1263" s="250"/>
      <c r="BR1263" s="250"/>
      <c r="BS1263" s="250"/>
      <c r="BT1263" s="250"/>
      <c r="BU1263" s="250"/>
      <c r="BV1263" s="250"/>
      <c r="BW1263" s="250"/>
      <c r="BX1263" s="250"/>
      <c r="BY1263" s="250"/>
      <c r="BZ1263" s="250"/>
      <c r="CA1263" s="250"/>
      <c r="CB1263" s="250"/>
      <c r="CC1263" s="250"/>
      <c r="CD1263" s="250"/>
      <c r="CE1263" s="250"/>
      <c r="CF1263" s="250"/>
      <c r="CG1263" s="250"/>
      <c r="CH1263" s="250"/>
      <c r="CI1263" s="250"/>
      <c r="CJ1263" s="250"/>
      <c r="CK1263" s="250"/>
      <c r="DQ1263" s="339"/>
      <c r="DR1263" s="339"/>
      <c r="DS1263" s="339"/>
      <c r="EP1263" s="340"/>
      <c r="FS1263" s="341"/>
      <c r="GI1263" s="342"/>
    </row>
    <row r="1264" spans="1:191" s="329" customFormat="1" ht="36" customHeight="1" x14ac:dyDescent="0.25">
      <c r="B1264" s="33" t="s">
        <v>1411</v>
      </c>
      <c r="C1264" s="33"/>
      <c r="D1264" s="330" t="s">
        <v>131</v>
      </c>
      <c r="E1264" s="330" t="s">
        <v>131</v>
      </c>
      <c r="F1264" s="330" t="s">
        <v>131</v>
      </c>
      <c r="G1264" s="330" t="s">
        <v>131</v>
      </c>
      <c r="H1264" s="330" t="s">
        <v>131</v>
      </c>
      <c r="I1264" s="334">
        <f>I1265</f>
        <v>350.9</v>
      </c>
      <c r="J1264" s="334">
        <f>J1265</f>
        <v>350.9</v>
      </c>
      <c r="K1264" s="334">
        <f>K1265</f>
        <v>266.79999999999995</v>
      </c>
      <c r="L1264" s="332">
        <f>L1265</f>
        <v>18</v>
      </c>
      <c r="M1264" s="330" t="s">
        <v>131</v>
      </c>
      <c r="N1264" s="330" t="s">
        <v>131</v>
      </c>
      <c r="O1264" s="333" t="s">
        <v>131</v>
      </c>
      <c r="P1264" s="38">
        <v>3600600</v>
      </c>
      <c r="Q1264" s="38">
        <f>Q1265</f>
        <v>0</v>
      </c>
      <c r="R1264" s="38">
        <f>R1265</f>
        <v>0</v>
      </c>
      <c r="S1264" s="38">
        <f>S1265</f>
        <v>3600600</v>
      </c>
      <c r="T1264" s="38">
        <f t="shared" si="266"/>
        <v>10261.043032202908</v>
      </c>
      <c r="U1264" s="38">
        <f>U1265</f>
        <v>10261.043032202908</v>
      </c>
      <c r="V1264" s="458">
        <f t="shared" si="265"/>
        <v>0</v>
      </c>
      <c r="W1264" s="458"/>
      <c r="X1264" s="458"/>
      <c r="Y1264" s="459"/>
      <c r="Z1264" s="459"/>
      <c r="AA1264" s="459"/>
      <c r="AB1264" s="459"/>
      <c r="AC1264" s="459"/>
      <c r="AD1264" s="459"/>
      <c r="AE1264" s="459"/>
      <c r="AF1264" s="459"/>
      <c r="AG1264" s="459"/>
      <c r="AH1264" s="459"/>
      <c r="AI1264" s="459"/>
      <c r="AJ1264" s="459"/>
      <c r="AK1264" s="459"/>
      <c r="AL1264" s="459"/>
      <c r="AM1264" s="459"/>
      <c r="AN1264" s="459"/>
      <c r="AO1264" s="459"/>
      <c r="AP1264" s="460"/>
      <c r="AQ1264" s="460"/>
      <c r="AR1264" s="460"/>
      <c r="AS1264" s="460"/>
      <c r="AT1264" s="460"/>
      <c r="AU1264" s="460"/>
      <c r="AV1264" s="460"/>
      <c r="AW1264" s="460"/>
      <c r="AX1264" s="460"/>
      <c r="AY1264" s="460"/>
      <c r="AZ1264" s="460"/>
      <c r="BA1264" s="460"/>
      <c r="BB1264" s="460"/>
      <c r="BC1264" s="460"/>
      <c r="BD1264" s="460"/>
      <c r="BE1264" s="460"/>
      <c r="BF1264" s="460"/>
      <c r="BG1264" s="460"/>
      <c r="BH1264" s="460"/>
      <c r="BI1264" s="460"/>
      <c r="BJ1264" s="460"/>
      <c r="BK1264" s="460"/>
      <c r="BL1264" s="460"/>
      <c r="BM1264" s="460"/>
      <c r="BN1264" s="460"/>
      <c r="BO1264" s="460"/>
      <c r="BP1264" s="460"/>
      <c r="BQ1264" s="460"/>
      <c r="BR1264" s="460"/>
      <c r="BS1264" s="460"/>
      <c r="BT1264" s="460"/>
      <c r="BU1264" s="460"/>
      <c r="BV1264" s="460"/>
      <c r="BW1264" s="460"/>
      <c r="BX1264" s="460"/>
      <c r="BY1264" s="460"/>
      <c r="BZ1264" s="460"/>
      <c r="CA1264" s="460"/>
      <c r="CB1264" s="460"/>
      <c r="CC1264" s="460"/>
      <c r="CD1264" s="460"/>
      <c r="CE1264" s="460"/>
      <c r="CF1264" s="460"/>
      <c r="CG1264" s="460"/>
      <c r="CH1264" s="460"/>
      <c r="CI1264" s="460"/>
      <c r="CJ1264" s="460"/>
      <c r="CK1264" s="460"/>
    </row>
    <row r="1265" spans="1:191" s="266" customFormat="1" ht="36" customHeight="1" x14ac:dyDescent="0.25">
      <c r="A1265" s="329">
        <v>1</v>
      </c>
      <c r="B1265" s="39">
        <f>SUBTOTAL(103,$A$1000:A1265)</f>
        <v>212</v>
      </c>
      <c r="C1265" s="336" t="s">
        <v>1694</v>
      </c>
      <c r="D1265" s="330">
        <v>1930</v>
      </c>
      <c r="E1265" s="330"/>
      <c r="F1265" s="337" t="s">
        <v>48</v>
      </c>
      <c r="G1265" s="330">
        <v>2</v>
      </c>
      <c r="H1265" s="330" t="s">
        <v>57</v>
      </c>
      <c r="I1265" s="334">
        <v>350.9</v>
      </c>
      <c r="J1265" s="334">
        <v>350.9</v>
      </c>
      <c r="K1265" s="334">
        <v>266.79999999999995</v>
      </c>
      <c r="L1265" s="338">
        <v>18</v>
      </c>
      <c r="M1265" s="330" t="s">
        <v>46</v>
      </c>
      <c r="N1265" s="330" t="s">
        <v>47</v>
      </c>
      <c r="O1265" s="330" t="s">
        <v>49</v>
      </c>
      <c r="P1265" s="334">
        <v>3600600</v>
      </c>
      <c r="Q1265" s="334">
        <v>0</v>
      </c>
      <c r="R1265" s="334">
        <v>0</v>
      </c>
      <c r="S1265" s="334">
        <f>P1265-Q1265-R1265</f>
        <v>3600600</v>
      </c>
      <c r="T1265" s="38">
        <f t="shared" si="266"/>
        <v>10261.043032202908</v>
      </c>
      <c r="U1265" s="38">
        <v>10261.043032202908</v>
      </c>
      <c r="V1265" s="458">
        <f>U1265-T1265</f>
        <v>0</v>
      </c>
      <c r="W1265" s="458">
        <f>X1265+Y1265+Z1265+AA1265+AB1265+AD1265+AF1265+AH1265+AJ1265+AL1265+AN1265+AO1265</f>
        <v>13308.786976346539</v>
      </c>
      <c r="X1265" s="458">
        <v>0</v>
      </c>
      <c r="Y1265" s="459">
        <v>0</v>
      </c>
      <c r="Z1265" s="459">
        <v>0</v>
      </c>
      <c r="AA1265" s="459">
        <v>0</v>
      </c>
      <c r="AB1265" s="459">
        <v>0</v>
      </c>
      <c r="AC1265" s="459">
        <v>0</v>
      </c>
      <c r="AD1265" s="459">
        <v>0</v>
      </c>
      <c r="AE1265" s="459">
        <v>351</v>
      </c>
      <c r="AF1265" s="458">
        <f>6238.91*AE1265/I1265</f>
        <v>6240.6879737817053</v>
      </c>
      <c r="AG1265" s="459">
        <v>0</v>
      </c>
      <c r="AH1265" s="458">
        <v>0</v>
      </c>
      <c r="AI1265" s="459">
        <v>333.4</v>
      </c>
      <c r="AJ1265" s="458">
        <f>7439.1*AI1265/I1265</f>
        <v>7068.0990025648334</v>
      </c>
      <c r="AK1265" s="459">
        <v>0</v>
      </c>
      <c r="AL1265" s="459">
        <v>0</v>
      </c>
      <c r="AM1265" s="459">
        <v>0</v>
      </c>
      <c r="AN1265" s="459"/>
      <c r="AO1265" s="459">
        <v>0</v>
      </c>
      <c r="AP1265" s="460"/>
      <c r="AQ1265" s="250"/>
      <c r="AR1265" s="250"/>
      <c r="AS1265" s="250"/>
      <c r="AT1265" s="250"/>
      <c r="AU1265" s="250"/>
      <c r="AV1265" s="250"/>
      <c r="AW1265" s="250"/>
      <c r="AX1265" s="250"/>
      <c r="AY1265" s="250"/>
      <c r="AZ1265" s="250"/>
      <c r="BA1265" s="250"/>
      <c r="BB1265" s="250"/>
      <c r="BC1265" s="250"/>
      <c r="BD1265" s="250"/>
      <c r="BE1265" s="250"/>
      <c r="BF1265" s="250"/>
      <c r="BG1265" s="250"/>
      <c r="BH1265" s="250"/>
      <c r="BI1265" s="250"/>
      <c r="BJ1265" s="250"/>
      <c r="BK1265" s="250"/>
      <c r="BL1265" s="250"/>
      <c r="BM1265" s="250"/>
      <c r="BN1265" s="250"/>
      <c r="BO1265" s="250"/>
      <c r="BP1265" s="250"/>
      <c r="BQ1265" s="250"/>
      <c r="BR1265" s="250"/>
      <c r="BS1265" s="250"/>
      <c r="BT1265" s="250"/>
      <c r="BU1265" s="250"/>
      <c r="BV1265" s="250"/>
      <c r="BW1265" s="250"/>
      <c r="BX1265" s="250"/>
      <c r="BY1265" s="250"/>
      <c r="BZ1265" s="250"/>
      <c r="CA1265" s="250"/>
      <c r="CB1265" s="250"/>
      <c r="CC1265" s="250"/>
      <c r="CD1265" s="250"/>
      <c r="CE1265" s="250"/>
      <c r="CF1265" s="250"/>
      <c r="CG1265" s="250"/>
      <c r="CH1265" s="250"/>
      <c r="CI1265" s="250"/>
      <c r="CJ1265" s="250"/>
      <c r="CK1265" s="250"/>
      <c r="DQ1265" s="339"/>
      <c r="DR1265" s="339"/>
      <c r="DS1265" s="339"/>
      <c r="EP1265" s="340"/>
      <c r="FS1265" s="341"/>
      <c r="GI1265" s="342"/>
    </row>
    <row r="1266" spans="1:191" s="329" customFormat="1" ht="36" customHeight="1" x14ac:dyDescent="0.25">
      <c r="B1266" s="33" t="s">
        <v>126</v>
      </c>
      <c r="C1266" s="33"/>
      <c r="D1266" s="330" t="s">
        <v>131</v>
      </c>
      <c r="E1266" s="330" t="s">
        <v>131</v>
      </c>
      <c r="F1266" s="330" t="s">
        <v>131</v>
      </c>
      <c r="G1266" s="330" t="s">
        <v>131</v>
      </c>
      <c r="H1266" s="330" t="s">
        <v>131</v>
      </c>
      <c r="I1266" s="334">
        <f>I1267</f>
        <v>626</v>
      </c>
      <c r="J1266" s="334">
        <f>J1267</f>
        <v>626</v>
      </c>
      <c r="K1266" s="334">
        <f>K1267</f>
        <v>423.7</v>
      </c>
      <c r="L1266" s="332">
        <f>L1267</f>
        <v>31</v>
      </c>
      <c r="M1266" s="330" t="s">
        <v>131</v>
      </c>
      <c r="N1266" s="330" t="s">
        <v>131</v>
      </c>
      <c r="O1266" s="333" t="s">
        <v>131</v>
      </c>
      <c r="P1266" s="38">
        <v>2233993.96</v>
      </c>
      <c r="Q1266" s="38">
        <f>Q1267</f>
        <v>0</v>
      </c>
      <c r="R1266" s="38">
        <f>R1267</f>
        <v>0</v>
      </c>
      <c r="S1266" s="38">
        <f>S1267</f>
        <v>2233993.96</v>
      </c>
      <c r="T1266" s="38">
        <f t="shared" si="266"/>
        <v>3568.6804472843451</v>
      </c>
      <c r="U1266" s="38">
        <f>U1267</f>
        <v>3760.1141214057507</v>
      </c>
      <c r="V1266" s="458">
        <f t="shared" si="265"/>
        <v>191.4336741214056</v>
      </c>
      <c r="W1266" s="458"/>
      <c r="X1266" s="458"/>
      <c r="Y1266" s="459"/>
      <c r="Z1266" s="459"/>
      <c r="AA1266" s="459"/>
      <c r="AB1266" s="459"/>
      <c r="AC1266" s="459"/>
      <c r="AD1266" s="459"/>
      <c r="AE1266" s="459"/>
      <c r="AF1266" s="459"/>
      <c r="AG1266" s="459"/>
      <c r="AH1266" s="459"/>
      <c r="AI1266" s="459"/>
      <c r="AJ1266" s="459"/>
      <c r="AK1266" s="459"/>
      <c r="AL1266" s="459"/>
      <c r="AM1266" s="459"/>
      <c r="AN1266" s="459"/>
      <c r="AO1266" s="459"/>
      <c r="AP1266" s="460"/>
      <c r="AQ1266" s="460"/>
      <c r="AR1266" s="460"/>
      <c r="AS1266" s="460"/>
      <c r="AT1266" s="460"/>
      <c r="AU1266" s="460"/>
      <c r="AV1266" s="460"/>
      <c r="AW1266" s="460"/>
      <c r="AX1266" s="460"/>
      <c r="AY1266" s="460"/>
      <c r="AZ1266" s="460"/>
      <c r="BA1266" s="460"/>
      <c r="BB1266" s="460"/>
      <c r="BC1266" s="460"/>
      <c r="BD1266" s="460"/>
      <c r="BE1266" s="460"/>
      <c r="BF1266" s="460"/>
      <c r="BG1266" s="460"/>
      <c r="BH1266" s="460"/>
      <c r="BI1266" s="460"/>
      <c r="BJ1266" s="460"/>
      <c r="BK1266" s="460"/>
      <c r="BL1266" s="460"/>
      <c r="BM1266" s="460"/>
      <c r="BN1266" s="460"/>
      <c r="BO1266" s="460"/>
      <c r="BP1266" s="460"/>
      <c r="BQ1266" s="460"/>
      <c r="BR1266" s="460"/>
      <c r="BS1266" s="460"/>
      <c r="BT1266" s="460"/>
      <c r="BU1266" s="460"/>
      <c r="BV1266" s="460"/>
      <c r="BW1266" s="460"/>
      <c r="BX1266" s="460"/>
      <c r="BY1266" s="460"/>
      <c r="BZ1266" s="460"/>
      <c r="CA1266" s="460"/>
      <c r="CB1266" s="460"/>
      <c r="CC1266" s="460"/>
      <c r="CD1266" s="460"/>
      <c r="CE1266" s="460"/>
      <c r="CF1266" s="460"/>
      <c r="CG1266" s="460"/>
      <c r="CH1266" s="460"/>
      <c r="CI1266" s="460"/>
      <c r="CJ1266" s="460"/>
      <c r="CK1266" s="460"/>
    </row>
    <row r="1267" spans="1:191" s="266" customFormat="1" ht="36" customHeight="1" x14ac:dyDescent="0.25">
      <c r="A1267" s="329">
        <v>1</v>
      </c>
      <c r="B1267" s="39">
        <f>SUBTOTAL(103,$A$1000:A1267)</f>
        <v>213</v>
      </c>
      <c r="C1267" s="336" t="s">
        <v>1909</v>
      </c>
      <c r="D1267" s="330" t="s">
        <v>2180</v>
      </c>
      <c r="E1267" s="330"/>
      <c r="F1267" s="337" t="s">
        <v>48</v>
      </c>
      <c r="G1267" s="330" t="s">
        <v>56</v>
      </c>
      <c r="H1267" s="330" t="s">
        <v>56</v>
      </c>
      <c r="I1267" s="334">
        <v>626</v>
      </c>
      <c r="J1267" s="334">
        <v>626</v>
      </c>
      <c r="K1267" s="334">
        <v>423.7</v>
      </c>
      <c r="L1267" s="338">
        <v>31</v>
      </c>
      <c r="M1267" s="330" t="s">
        <v>46</v>
      </c>
      <c r="N1267" s="330" t="s">
        <v>50</v>
      </c>
      <c r="O1267" s="330" t="s">
        <v>2198</v>
      </c>
      <c r="P1267" s="334">
        <v>2233993.96</v>
      </c>
      <c r="Q1267" s="334">
        <v>0</v>
      </c>
      <c r="R1267" s="334">
        <v>0</v>
      </c>
      <c r="S1267" s="334">
        <f>P1267-Q1267-R1267</f>
        <v>2233993.96</v>
      </c>
      <c r="T1267" s="38">
        <f t="shared" si="266"/>
        <v>3568.6804472843451</v>
      </c>
      <c r="U1267" s="38">
        <v>3760.1141214057507</v>
      </c>
      <c r="V1267" s="458">
        <f>U1267-T1267</f>
        <v>191.4336741214056</v>
      </c>
      <c r="W1267" s="458">
        <f>X1267+Y1267+Z1267+AA1267+AB1267+AD1267+AF1267+AH1267+AJ1267+AL1267+AN1267+AO1267</f>
        <v>3747.3325239616615</v>
      </c>
      <c r="X1267" s="458">
        <v>0</v>
      </c>
      <c r="Y1267" s="459">
        <v>0</v>
      </c>
      <c r="Z1267" s="459">
        <v>0</v>
      </c>
      <c r="AA1267" s="459">
        <v>0</v>
      </c>
      <c r="AB1267" s="459">
        <v>0</v>
      </c>
      <c r="AC1267" s="459">
        <v>0</v>
      </c>
      <c r="AD1267" s="459">
        <v>0</v>
      </c>
      <c r="AE1267" s="459">
        <v>376</v>
      </c>
      <c r="AF1267" s="458">
        <f>6238.91*AE1267/I1267</f>
        <v>3747.3325239616615</v>
      </c>
      <c r="AG1267" s="459">
        <v>0</v>
      </c>
      <c r="AH1267" s="458">
        <v>0</v>
      </c>
      <c r="AI1267" s="459">
        <v>0</v>
      </c>
      <c r="AJ1267" s="458">
        <v>0</v>
      </c>
      <c r="AK1267" s="459">
        <v>0</v>
      </c>
      <c r="AL1267" s="459">
        <v>0</v>
      </c>
      <c r="AM1267" s="459">
        <v>0</v>
      </c>
      <c r="AN1267" s="459"/>
      <c r="AO1267" s="459">
        <v>0</v>
      </c>
      <c r="AP1267" s="460"/>
      <c r="AQ1267" s="250"/>
      <c r="AR1267" s="250"/>
      <c r="AS1267" s="250"/>
      <c r="AT1267" s="250"/>
      <c r="AU1267" s="250"/>
      <c r="AV1267" s="250"/>
      <c r="AW1267" s="250"/>
      <c r="AX1267" s="250"/>
      <c r="AY1267" s="250"/>
      <c r="AZ1267" s="250"/>
      <c r="BA1267" s="250"/>
      <c r="BB1267" s="250"/>
      <c r="BC1267" s="250"/>
      <c r="BD1267" s="250"/>
      <c r="BE1267" s="250"/>
      <c r="BF1267" s="250"/>
      <c r="BG1267" s="250"/>
      <c r="BH1267" s="250"/>
      <c r="BI1267" s="250"/>
      <c r="BJ1267" s="250"/>
      <c r="BK1267" s="250"/>
      <c r="BL1267" s="250"/>
      <c r="BM1267" s="250"/>
      <c r="BN1267" s="250"/>
      <c r="BO1267" s="250"/>
      <c r="BP1267" s="250"/>
      <c r="BQ1267" s="250"/>
      <c r="BR1267" s="250"/>
      <c r="BS1267" s="250"/>
      <c r="BT1267" s="250"/>
      <c r="BU1267" s="250"/>
      <c r="BV1267" s="250"/>
      <c r="BW1267" s="250"/>
      <c r="BX1267" s="250"/>
      <c r="BY1267" s="250"/>
      <c r="BZ1267" s="250"/>
      <c r="CA1267" s="250"/>
      <c r="CB1267" s="250"/>
      <c r="CC1267" s="250"/>
      <c r="CD1267" s="250"/>
      <c r="CE1267" s="250"/>
      <c r="CF1267" s="250"/>
      <c r="CG1267" s="250"/>
      <c r="CH1267" s="250"/>
      <c r="CI1267" s="250"/>
      <c r="CJ1267" s="250"/>
      <c r="CK1267" s="250"/>
      <c r="DQ1267" s="339"/>
      <c r="DR1267" s="339"/>
      <c r="DS1267" s="339"/>
      <c r="EP1267" s="340"/>
      <c r="FS1267" s="341"/>
      <c r="GI1267" s="342"/>
    </row>
    <row r="1268" spans="1:191" s="329" customFormat="1" ht="36" customHeight="1" x14ac:dyDescent="0.25">
      <c r="B1268" s="33" t="s">
        <v>123</v>
      </c>
      <c r="C1268" s="462"/>
      <c r="D1268" s="330" t="s">
        <v>131</v>
      </c>
      <c r="E1268" s="330" t="s">
        <v>131</v>
      </c>
      <c r="F1268" s="330" t="s">
        <v>131</v>
      </c>
      <c r="G1268" s="330" t="s">
        <v>131</v>
      </c>
      <c r="H1268" s="330" t="s">
        <v>131</v>
      </c>
      <c r="I1268" s="334">
        <f>SUM(I1269:I1271)</f>
        <v>4977.3999999999996</v>
      </c>
      <c r="J1268" s="334">
        <f>SUM(J1269:J1271)</f>
        <v>4613.7</v>
      </c>
      <c r="K1268" s="334">
        <f>SUM(K1269:K1271)</f>
        <v>4612.5</v>
      </c>
      <c r="L1268" s="332">
        <f>SUM(L1269:L1271)</f>
        <v>180</v>
      </c>
      <c r="M1268" s="330" t="s">
        <v>131</v>
      </c>
      <c r="N1268" s="330" t="s">
        <v>131</v>
      </c>
      <c r="O1268" s="333" t="s">
        <v>131</v>
      </c>
      <c r="P1268" s="38">
        <v>14392200</v>
      </c>
      <c r="Q1268" s="38">
        <f>Q1269+Q1270+Q1271</f>
        <v>0</v>
      </c>
      <c r="R1268" s="38">
        <f>R1269+R1270+R1271</f>
        <v>0</v>
      </c>
      <c r="S1268" s="38">
        <f>S1269+S1270+S1271</f>
        <v>14392200</v>
      </c>
      <c r="T1268" s="38">
        <f t="shared" si="266"/>
        <v>2891.509623498212</v>
      </c>
      <c r="U1268" s="38">
        <f>MAX(U1269:U1271)</f>
        <v>3745.1680542848426</v>
      </c>
      <c r="V1268" s="458">
        <f t="shared" si="265"/>
        <v>853.65843078663056</v>
      </c>
      <c r="W1268" s="458"/>
      <c r="X1268" s="458"/>
      <c r="Y1268" s="459"/>
      <c r="Z1268" s="459"/>
      <c r="AA1268" s="459"/>
      <c r="AB1268" s="459"/>
      <c r="AC1268" s="459"/>
      <c r="AD1268" s="459"/>
      <c r="AE1268" s="459"/>
      <c r="AF1268" s="459"/>
      <c r="AG1268" s="459"/>
      <c r="AH1268" s="459"/>
      <c r="AI1268" s="459"/>
      <c r="AJ1268" s="459"/>
      <c r="AK1268" s="459"/>
      <c r="AL1268" s="459"/>
      <c r="AM1268" s="459"/>
      <c r="AN1268" s="459"/>
      <c r="AO1268" s="459"/>
      <c r="AP1268" s="460"/>
      <c r="AQ1268" s="460"/>
      <c r="AR1268" s="460"/>
      <c r="AS1268" s="460"/>
      <c r="AT1268" s="460"/>
      <c r="AU1268" s="460"/>
      <c r="AV1268" s="460"/>
      <c r="AW1268" s="460"/>
      <c r="AX1268" s="460"/>
      <c r="AY1268" s="460"/>
      <c r="AZ1268" s="460"/>
      <c r="BA1268" s="460"/>
      <c r="BB1268" s="460"/>
      <c r="BC1268" s="460"/>
      <c r="BD1268" s="460"/>
      <c r="BE1268" s="460"/>
      <c r="BF1268" s="460"/>
      <c r="BG1268" s="460"/>
      <c r="BH1268" s="460"/>
      <c r="BI1268" s="460"/>
      <c r="BJ1268" s="460"/>
      <c r="BK1268" s="460"/>
      <c r="BL1268" s="460"/>
      <c r="BM1268" s="460"/>
      <c r="BN1268" s="460"/>
      <c r="BO1268" s="460"/>
      <c r="BP1268" s="460"/>
      <c r="BQ1268" s="460"/>
      <c r="BR1268" s="460"/>
      <c r="BS1268" s="460"/>
      <c r="BT1268" s="460"/>
      <c r="BU1268" s="460"/>
      <c r="BV1268" s="460"/>
      <c r="BW1268" s="460"/>
      <c r="BX1268" s="460"/>
      <c r="BY1268" s="460"/>
      <c r="BZ1268" s="460"/>
      <c r="CA1268" s="460"/>
      <c r="CB1268" s="460"/>
      <c r="CC1268" s="460"/>
      <c r="CD1268" s="460"/>
      <c r="CE1268" s="460"/>
      <c r="CF1268" s="460"/>
      <c r="CG1268" s="460"/>
      <c r="CH1268" s="460"/>
      <c r="CI1268" s="460"/>
      <c r="CJ1268" s="460"/>
      <c r="CK1268" s="460"/>
    </row>
    <row r="1269" spans="1:191" s="266" customFormat="1" ht="36" customHeight="1" x14ac:dyDescent="0.25">
      <c r="A1269" s="329">
        <v>1</v>
      </c>
      <c r="B1269" s="39">
        <f>SUBTOTAL(103,$A$1000:A1269)</f>
        <v>214</v>
      </c>
      <c r="C1269" s="336" t="s">
        <v>1910</v>
      </c>
      <c r="D1269" s="330">
        <v>1977</v>
      </c>
      <c r="E1269" s="330"/>
      <c r="F1269" s="337" t="s">
        <v>48</v>
      </c>
      <c r="G1269" s="330">
        <v>3</v>
      </c>
      <c r="H1269" s="330" t="s">
        <v>61</v>
      </c>
      <c r="I1269" s="334">
        <v>1967.4</v>
      </c>
      <c r="J1269" s="334">
        <v>1817.2</v>
      </c>
      <c r="K1269" s="334">
        <v>1817.2</v>
      </c>
      <c r="L1269" s="338">
        <v>61</v>
      </c>
      <c r="M1269" s="330" t="s">
        <v>46</v>
      </c>
      <c r="N1269" s="330" t="s">
        <v>50</v>
      </c>
      <c r="O1269" s="330" t="s">
        <v>2113</v>
      </c>
      <c r="P1269" s="334">
        <v>6002700</v>
      </c>
      <c r="Q1269" s="334">
        <v>0</v>
      </c>
      <c r="R1269" s="334">
        <v>0</v>
      </c>
      <c r="S1269" s="334">
        <f>P1269-Q1269-R1269</f>
        <v>6002700</v>
      </c>
      <c r="T1269" s="38">
        <f t="shared" si="266"/>
        <v>3051.0826471485207</v>
      </c>
      <c r="U1269" s="38">
        <v>3745.1680542848426</v>
      </c>
      <c r="V1269" s="458">
        <f t="shared" si="265"/>
        <v>694.08540713632192</v>
      </c>
      <c r="W1269" s="458">
        <f t="shared" ref="W1269:W1271" si="274">X1269+Y1269+Z1269+AA1269+AB1269+AD1269+AF1269+AH1269+AJ1269+AL1269+AN1269+AO1269</f>
        <v>3732.4372623767404</v>
      </c>
      <c r="X1269" s="458">
        <v>0</v>
      </c>
      <c r="Y1269" s="459">
        <v>0</v>
      </c>
      <c r="Z1269" s="459">
        <v>0</v>
      </c>
      <c r="AA1269" s="459">
        <v>0</v>
      </c>
      <c r="AB1269" s="459">
        <v>0</v>
      </c>
      <c r="AC1269" s="459">
        <v>0</v>
      </c>
      <c r="AD1269" s="459">
        <v>0</v>
      </c>
      <c r="AE1269" s="459">
        <v>1177</v>
      </c>
      <c r="AF1269" s="458">
        <f>6238.91*AE1269/I1269</f>
        <v>3732.4372623767404</v>
      </c>
      <c r="AG1269" s="459">
        <v>0</v>
      </c>
      <c r="AH1269" s="458">
        <v>0</v>
      </c>
      <c r="AI1269" s="459">
        <v>0</v>
      </c>
      <c r="AJ1269" s="458">
        <v>0</v>
      </c>
      <c r="AK1269" s="459">
        <v>0</v>
      </c>
      <c r="AL1269" s="459">
        <v>0</v>
      </c>
      <c r="AM1269" s="459">
        <v>0</v>
      </c>
      <c r="AN1269" s="459"/>
      <c r="AO1269" s="459">
        <v>0</v>
      </c>
      <c r="AP1269" s="460"/>
      <c r="AQ1269" s="250"/>
      <c r="AR1269" s="250"/>
      <c r="AS1269" s="250"/>
      <c r="AT1269" s="250"/>
      <c r="AU1269" s="250"/>
      <c r="AV1269" s="250"/>
      <c r="AW1269" s="250"/>
      <c r="AX1269" s="250"/>
      <c r="AY1269" s="250"/>
      <c r="AZ1269" s="250"/>
      <c r="BA1269" s="250"/>
      <c r="BB1269" s="250"/>
      <c r="BC1269" s="250"/>
      <c r="BD1269" s="250"/>
      <c r="BE1269" s="250"/>
      <c r="BF1269" s="250"/>
      <c r="BG1269" s="250"/>
      <c r="BH1269" s="250"/>
      <c r="BI1269" s="250"/>
      <c r="BJ1269" s="250"/>
      <c r="BK1269" s="250"/>
      <c r="BL1269" s="250"/>
      <c r="BM1269" s="250"/>
      <c r="BN1269" s="250"/>
      <c r="BO1269" s="250"/>
      <c r="BP1269" s="250"/>
      <c r="BQ1269" s="250"/>
      <c r="BR1269" s="250"/>
      <c r="BS1269" s="250"/>
      <c r="BT1269" s="250"/>
      <c r="BU1269" s="250"/>
      <c r="BV1269" s="250"/>
      <c r="BW1269" s="250"/>
      <c r="BX1269" s="250"/>
      <c r="BY1269" s="250"/>
      <c r="BZ1269" s="250"/>
      <c r="CA1269" s="250"/>
      <c r="CB1269" s="250"/>
      <c r="CC1269" s="250"/>
      <c r="CD1269" s="250"/>
      <c r="CE1269" s="250"/>
      <c r="CF1269" s="250"/>
      <c r="CG1269" s="250"/>
      <c r="CH1269" s="250"/>
      <c r="CI1269" s="250"/>
      <c r="CJ1269" s="250"/>
      <c r="CK1269" s="250"/>
      <c r="DQ1269" s="339"/>
      <c r="DR1269" s="339"/>
      <c r="DS1269" s="339"/>
      <c r="EP1269" s="340"/>
      <c r="FS1269" s="341"/>
      <c r="GI1269" s="342"/>
    </row>
    <row r="1270" spans="1:191" s="266" customFormat="1" ht="36" customHeight="1" x14ac:dyDescent="0.25">
      <c r="A1270" s="329">
        <v>1</v>
      </c>
      <c r="B1270" s="39">
        <f>SUBTOTAL(103,$A$1000:A1270)</f>
        <v>215</v>
      </c>
      <c r="C1270" s="336" t="s">
        <v>1911</v>
      </c>
      <c r="D1270" s="330">
        <v>1989</v>
      </c>
      <c r="E1270" s="330"/>
      <c r="F1270" s="337" t="s">
        <v>48</v>
      </c>
      <c r="G1270" s="330">
        <v>3</v>
      </c>
      <c r="H1270" s="330" t="s">
        <v>56</v>
      </c>
      <c r="I1270" s="334">
        <v>1426.9</v>
      </c>
      <c r="J1270" s="334">
        <v>1319.7</v>
      </c>
      <c r="K1270" s="334">
        <v>1318.5</v>
      </c>
      <c r="L1270" s="338">
        <v>59</v>
      </c>
      <c r="M1270" s="330" t="s">
        <v>46</v>
      </c>
      <c r="N1270" s="330" t="s">
        <v>50</v>
      </c>
      <c r="O1270" s="330" t="s">
        <v>2113</v>
      </c>
      <c r="P1270" s="334">
        <v>4059600</v>
      </c>
      <c r="Q1270" s="334">
        <v>0</v>
      </c>
      <c r="R1270" s="334">
        <v>0</v>
      </c>
      <c r="S1270" s="334">
        <f>P1270-Q1270-R1270</f>
        <v>4059600</v>
      </c>
      <c r="T1270" s="38">
        <f t="shared" si="266"/>
        <v>2845.0487069871747</v>
      </c>
      <c r="U1270" s="38">
        <v>3492.2638166654979</v>
      </c>
      <c r="V1270" s="458">
        <f t="shared" si="265"/>
        <v>647.21510967832319</v>
      </c>
      <c r="W1270" s="458">
        <f t="shared" si="274"/>
        <v>3480.3927114724229</v>
      </c>
      <c r="X1270" s="458">
        <v>0</v>
      </c>
      <c r="Y1270" s="459">
        <v>0</v>
      </c>
      <c r="Z1270" s="459">
        <v>0</v>
      </c>
      <c r="AA1270" s="459">
        <v>0</v>
      </c>
      <c r="AB1270" s="459">
        <v>0</v>
      </c>
      <c r="AC1270" s="459">
        <v>0</v>
      </c>
      <c r="AD1270" s="459">
        <v>0</v>
      </c>
      <c r="AE1270" s="459">
        <v>796</v>
      </c>
      <c r="AF1270" s="458">
        <f>6238.91*AE1270/I1270</f>
        <v>3480.3927114724229</v>
      </c>
      <c r="AG1270" s="459">
        <v>0</v>
      </c>
      <c r="AH1270" s="458">
        <v>0</v>
      </c>
      <c r="AI1270" s="459">
        <v>0</v>
      </c>
      <c r="AJ1270" s="458">
        <v>0</v>
      </c>
      <c r="AK1270" s="459">
        <v>0</v>
      </c>
      <c r="AL1270" s="459">
        <v>0</v>
      </c>
      <c r="AM1270" s="459">
        <v>0</v>
      </c>
      <c r="AN1270" s="459"/>
      <c r="AO1270" s="459">
        <v>0</v>
      </c>
      <c r="AP1270" s="460"/>
      <c r="AQ1270" s="250"/>
      <c r="AR1270" s="250"/>
      <c r="AS1270" s="250"/>
      <c r="AT1270" s="250"/>
      <c r="AU1270" s="250"/>
      <c r="AV1270" s="250"/>
      <c r="AW1270" s="250"/>
      <c r="AX1270" s="250"/>
      <c r="AY1270" s="250"/>
      <c r="AZ1270" s="250"/>
      <c r="BA1270" s="250"/>
      <c r="BB1270" s="250"/>
      <c r="BC1270" s="250"/>
      <c r="BD1270" s="250"/>
      <c r="BE1270" s="250"/>
      <c r="BF1270" s="250"/>
      <c r="BG1270" s="250"/>
      <c r="BH1270" s="250"/>
      <c r="BI1270" s="250"/>
      <c r="BJ1270" s="250"/>
      <c r="BK1270" s="250"/>
      <c r="BL1270" s="250"/>
      <c r="BM1270" s="250"/>
      <c r="BN1270" s="250"/>
      <c r="BO1270" s="250"/>
      <c r="BP1270" s="250"/>
      <c r="BQ1270" s="250"/>
      <c r="BR1270" s="250"/>
      <c r="BS1270" s="250"/>
      <c r="BT1270" s="250"/>
      <c r="BU1270" s="250"/>
      <c r="BV1270" s="250"/>
      <c r="BW1270" s="250"/>
      <c r="BX1270" s="250"/>
      <c r="BY1270" s="250"/>
      <c r="BZ1270" s="250"/>
      <c r="CA1270" s="250"/>
      <c r="CB1270" s="250"/>
      <c r="CC1270" s="250"/>
      <c r="CD1270" s="250"/>
      <c r="CE1270" s="250"/>
      <c r="CF1270" s="250"/>
      <c r="CG1270" s="250"/>
      <c r="CH1270" s="250"/>
      <c r="CI1270" s="250"/>
      <c r="CJ1270" s="250"/>
      <c r="CK1270" s="250"/>
      <c r="DQ1270" s="339"/>
      <c r="DR1270" s="339"/>
      <c r="DS1270" s="339"/>
      <c r="EP1270" s="340"/>
      <c r="FS1270" s="341"/>
      <c r="GI1270" s="342"/>
    </row>
    <row r="1271" spans="1:191" s="266" customFormat="1" ht="36" customHeight="1" x14ac:dyDescent="0.25">
      <c r="A1271" s="329">
        <v>1</v>
      </c>
      <c r="B1271" s="39">
        <f>SUBTOTAL(103,$A$1000:A1271)</f>
        <v>216</v>
      </c>
      <c r="C1271" s="336" t="s">
        <v>1912</v>
      </c>
      <c r="D1271" s="330">
        <v>1972</v>
      </c>
      <c r="E1271" s="330"/>
      <c r="F1271" s="337" t="s">
        <v>48</v>
      </c>
      <c r="G1271" s="330">
        <v>3</v>
      </c>
      <c r="H1271" s="330" t="s">
        <v>61</v>
      </c>
      <c r="I1271" s="334">
        <v>1583.1</v>
      </c>
      <c r="J1271" s="334">
        <v>1476.8</v>
      </c>
      <c r="K1271" s="334">
        <v>1476.8</v>
      </c>
      <c r="L1271" s="338">
        <v>60</v>
      </c>
      <c r="M1271" s="330" t="s">
        <v>46</v>
      </c>
      <c r="N1271" s="330" t="s">
        <v>50</v>
      </c>
      <c r="O1271" s="330" t="s">
        <v>2113</v>
      </c>
      <c r="P1271" s="334">
        <v>4329900</v>
      </c>
      <c r="Q1271" s="334">
        <v>0</v>
      </c>
      <c r="R1271" s="334">
        <v>0</v>
      </c>
      <c r="S1271" s="334">
        <f>P1271-Q1271-R1271</f>
        <v>4329900</v>
      </c>
      <c r="T1271" s="38">
        <f t="shared" si="266"/>
        <v>2735.0767481523594</v>
      </c>
      <c r="U1271" s="38">
        <v>3357.2745309835132</v>
      </c>
      <c r="V1271" s="458">
        <f t="shared" si="265"/>
        <v>622.19778283115375</v>
      </c>
      <c r="W1271" s="458">
        <f t="shared" si="274"/>
        <v>3345.862289179458</v>
      </c>
      <c r="X1271" s="458">
        <v>0</v>
      </c>
      <c r="Y1271" s="459">
        <v>0</v>
      </c>
      <c r="Z1271" s="459">
        <v>0</v>
      </c>
      <c r="AA1271" s="459">
        <v>0</v>
      </c>
      <c r="AB1271" s="459">
        <v>0</v>
      </c>
      <c r="AC1271" s="459">
        <v>0</v>
      </c>
      <c r="AD1271" s="459">
        <v>0</v>
      </c>
      <c r="AE1271" s="459">
        <v>849</v>
      </c>
      <c r="AF1271" s="458">
        <f>6238.91*AE1271/I1271</f>
        <v>3345.862289179458</v>
      </c>
      <c r="AG1271" s="459">
        <v>0</v>
      </c>
      <c r="AH1271" s="458">
        <v>0</v>
      </c>
      <c r="AI1271" s="459">
        <v>0</v>
      </c>
      <c r="AJ1271" s="458">
        <v>0</v>
      </c>
      <c r="AK1271" s="459">
        <v>0</v>
      </c>
      <c r="AL1271" s="459">
        <v>0</v>
      </c>
      <c r="AM1271" s="459">
        <v>0</v>
      </c>
      <c r="AN1271" s="459"/>
      <c r="AO1271" s="459">
        <v>0</v>
      </c>
      <c r="AP1271" s="460"/>
      <c r="AQ1271" s="250"/>
      <c r="AR1271" s="250"/>
      <c r="AS1271" s="250"/>
      <c r="AT1271" s="250"/>
      <c r="AU1271" s="250"/>
      <c r="AV1271" s="250"/>
      <c r="AW1271" s="250"/>
      <c r="AX1271" s="250"/>
      <c r="AY1271" s="250"/>
      <c r="AZ1271" s="250"/>
      <c r="BA1271" s="250"/>
      <c r="BB1271" s="250"/>
      <c r="BC1271" s="250"/>
      <c r="BD1271" s="250"/>
      <c r="BE1271" s="250"/>
      <c r="BF1271" s="250"/>
      <c r="BG1271" s="250"/>
      <c r="BH1271" s="250"/>
      <c r="BI1271" s="250"/>
      <c r="BJ1271" s="250"/>
      <c r="BK1271" s="250"/>
      <c r="BL1271" s="250"/>
      <c r="BM1271" s="250"/>
      <c r="BN1271" s="250"/>
      <c r="BO1271" s="250"/>
      <c r="BP1271" s="250"/>
      <c r="BQ1271" s="250"/>
      <c r="BR1271" s="250"/>
      <c r="BS1271" s="250"/>
      <c r="BT1271" s="250"/>
      <c r="BU1271" s="250"/>
      <c r="BV1271" s="250"/>
      <c r="BW1271" s="250"/>
      <c r="BX1271" s="250"/>
      <c r="BY1271" s="250"/>
      <c r="BZ1271" s="250"/>
      <c r="CA1271" s="250"/>
      <c r="CB1271" s="250"/>
      <c r="CC1271" s="250"/>
      <c r="CD1271" s="250"/>
      <c r="CE1271" s="250"/>
      <c r="CF1271" s="250"/>
      <c r="CG1271" s="250"/>
      <c r="CH1271" s="250"/>
      <c r="CI1271" s="250"/>
      <c r="CJ1271" s="250"/>
      <c r="CK1271" s="250"/>
      <c r="DQ1271" s="339"/>
      <c r="DR1271" s="339"/>
      <c r="DS1271" s="339"/>
      <c r="EP1271" s="340"/>
      <c r="FS1271" s="341"/>
      <c r="GI1271" s="342"/>
    </row>
    <row r="1272" spans="1:191" s="329" customFormat="1" ht="36" customHeight="1" x14ac:dyDescent="0.25">
      <c r="B1272" s="33" t="s">
        <v>1420</v>
      </c>
      <c r="C1272" s="33"/>
      <c r="D1272" s="330" t="s">
        <v>131</v>
      </c>
      <c r="E1272" s="330" t="s">
        <v>131</v>
      </c>
      <c r="F1272" s="330" t="s">
        <v>131</v>
      </c>
      <c r="G1272" s="330" t="s">
        <v>131</v>
      </c>
      <c r="H1272" s="330" t="s">
        <v>131</v>
      </c>
      <c r="I1272" s="334">
        <f>I1273</f>
        <v>775.2</v>
      </c>
      <c r="J1272" s="334">
        <f>J1273</f>
        <v>715.9</v>
      </c>
      <c r="K1272" s="334">
        <f>K1273</f>
        <v>715.9</v>
      </c>
      <c r="L1272" s="332">
        <f>L1273</f>
        <v>35</v>
      </c>
      <c r="M1272" s="330" t="s">
        <v>131</v>
      </c>
      <c r="N1272" s="330" t="s">
        <v>131</v>
      </c>
      <c r="O1272" s="333" t="s">
        <v>131</v>
      </c>
      <c r="P1272" s="38">
        <v>3396600</v>
      </c>
      <c r="Q1272" s="38">
        <f>Q1273</f>
        <v>0</v>
      </c>
      <c r="R1272" s="38">
        <f>R1273</f>
        <v>0</v>
      </c>
      <c r="S1272" s="38">
        <f>S1273</f>
        <v>3396600</v>
      </c>
      <c r="T1272" s="38">
        <f t="shared" si="266"/>
        <v>4381.5789473684208</v>
      </c>
      <c r="U1272" s="38">
        <f>U1273</f>
        <v>5378.33660990712</v>
      </c>
      <c r="V1272" s="458">
        <f t="shared" si="265"/>
        <v>996.75766253869915</v>
      </c>
      <c r="W1272" s="458"/>
      <c r="X1272" s="458"/>
      <c r="Y1272" s="459"/>
      <c r="Z1272" s="459"/>
      <c r="AA1272" s="459"/>
      <c r="AB1272" s="459"/>
      <c r="AC1272" s="459"/>
      <c r="AD1272" s="459"/>
      <c r="AE1272" s="459"/>
      <c r="AF1272" s="459"/>
      <c r="AG1272" s="459"/>
      <c r="AH1272" s="459"/>
      <c r="AI1272" s="459"/>
      <c r="AJ1272" s="459"/>
      <c r="AK1272" s="459"/>
      <c r="AL1272" s="459"/>
      <c r="AM1272" s="459"/>
      <c r="AN1272" s="459"/>
      <c r="AO1272" s="459"/>
      <c r="AP1272" s="460"/>
      <c r="AQ1272" s="460"/>
      <c r="AR1272" s="460"/>
      <c r="AS1272" s="460"/>
      <c r="AT1272" s="460"/>
      <c r="AU1272" s="460"/>
      <c r="AV1272" s="460"/>
      <c r="AW1272" s="460"/>
      <c r="AX1272" s="460"/>
      <c r="AY1272" s="460"/>
      <c r="AZ1272" s="460"/>
      <c r="BA1272" s="460"/>
      <c r="BB1272" s="460"/>
      <c r="BC1272" s="460"/>
      <c r="BD1272" s="460"/>
      <c r="BE1272" s="460"/>
      <c r="BF1272" s="460"/>
      <c r="BG1272" s="460"/>
      <c r="BH1272" s="460"/>
      <c r="BI1272" s="460"/>
      <c r="BJ1272" s="460"/>
      <c r="BK1272" s="460"/>
      <c r="BL1272" s="460"/>
      <c r="BM1272" s="460"/>
      <c r="BN1272" s="460"/>
      <c r="BO1272" s="460"/>
      <c r="BP1272" s="460"/>
      <c r="BQ1272" s="460"/>
      <c r="BR1272" s="460"/>
      <c r="BS1272" s="460"/>
      <c r="BT1272" s="460"/>
      <c r="BU1272" s="460"/>
      <c r="BV1272" s="460"/>
      <c r="BW1272" s="460"/>
      <c r="BX1272" s="460"/>
      <c r="BY1272" s="460"/>
      <c r="BZ1272" s="460"/>
      <c r="CA1272" s="460"/>
      <c r="CB1272" s="460"/>
      <c r="CC1272" s="460"/>
      <c r="CD1272" s="460"/>
      <c r="CE1272" s="460"/>
      <c r="CF1272" s="460"/>
      <c r="CG1272" s="460"/>
      <c r="CH1272" s="460"/>
      <c r="CI1272" s="460"/>
      <c r="CJ1272" s="460"/>
      <c r="CK1272" s="460"/>
    </row>
    <row r="1273" spans="1:191" s="266" customFormat="1" ht="36" customHeight="1" x14ac:dyDescent="0.25">
      <c r="A1273" s="329">
        <v>1</v>
      </c>
      <c r="B1273" s="39">
        <f>SUBTOTAL(103,$A$1000:A1273)</f>
        <v>217</v>
      </c>
      <c r="C1273" s="336" t="s">
        <v>948</v>
      </c>
      <c r="D1273" s="330">
        <v>1974</v>
      </c>
      <c r="E1273" s="330"/>
      <c r="F1273" s="337" t="s">
        <v>48</v>
      </c>
      <c r="G1273" s="330">
        <v>2</v>
      </c>
      <c r="H1273" s="330" t="s">
        <v>56</v>
      </c>
      <c r="I1273" s="334">
        <v>775.2</v>
      </c>
      <c r="J1273" s="334">
        <v>715.9</v>
      </c>
      <c r="K1273" s="334">
        <v>715.9</v>
      </c>
      <c r="L1273" s="338">
        <v>35</v>
      </c>
      <c r="M1273" s="330" t="s">
        <v>46</v>
      </c>
      <c r="N1273" s="330" t="s">
        <v>47</v>
      </c>
      <c r="O1273" s="330" t="s">
        <v>49</v>
      </c>
      <c r="P1273" s="334">
        <v>3396600</v>
      </c>
      <c r="Q1273" s="334">
        <v>0</v>
      </c>
      <c r="R1273" s="334">
        <v>0</v>
      </c>
      <c r="S1273" s="334">
        <f>P1273-Q1273-R1273</f>
        <v>3396600</v>
      </c>
      <c r="T1273" s="38">
        <f>P1273/I1273</f>
        <v>4381.5789473684208</v>
      </c>
      <c r="U1273" s="38">
        <v>5378.33660990712</v>
      </c>
      <c r="V1273" s="458">
        <f>U1273-T1273</f>
        <v>996.75766253869915</v>
      </c>
      <c r="W1273" s="458">
        <f>X1273+Y1273+Z1273+AA1273+AB1273+AD1273+AF1273+AH1273+AJ1273+AL1273+AN1273+AO1273</f>
        <v>5360.0542569659438</v>
      </c>
      <c r="X1273" s="458">
        <v>0</v>
      </c>
      <c r="Y1273" s="459">
        <v>0</v>
      </c>
      <c r="Z1273" s="459">
        <v>0</v>
      </c>
      <c r="AA1273" s="459">
        <v>0</v>
      </c>
      <c r="AB1273" s="459">
        <v>0</v>
      </c>
      <c r="AC1273" s="459">
        <v>0</v>
      </c>
      <c r="AD1273" s="459">
        <v>0</v>
      </c>
      <c r="AE1273" s="459">
        <v>666</v>
      </c>
      <c r="AF1273" s="458">
        <f>6238.91*AE1273/I1273</f>
        <v>5360.0542569659438</v>
      </c>
      <c r="AG1273" s="459">
        <v>0</v>
      </c>
      <c r="AH1273" s="458">
        <v>0</v>
      </c>
      <c r="AI1273" s="459">
        <v>0</v>
      </c>
      <c r="AJ1273" s="458">
        <v>0</v>
      </c>
      <c r="AK1273" s="459">
        <v>0</v>
      </c>
      <c r="AL1273" s="459">
        <v>0</v>
      </c>
      <c r="AM1273" s="459">
        <v>0</v>
      </c>
      <c r="AN1273" s="459"/>
      <c r="AO1273" s="459">
        <v>0</v>
      </c>
      <c r="AP1273" s="460"/>
      <c r="AQ1273" s="250"/>
      <c r="AR1273" s="250"/>
      <c r="AS1273" s="250"/>
      <c r="AT1273" s="250"/>
      <c r="AU1273" s="250"/>
      <c r="AV1273" s="250"/>
      <c r="AW1273" s="250"/>
      <c r="AX1273" s="250"/>
      <c r="AY1273" s="250"/>
      <c r="AZ1273" s="250"/>
      <c r="BA1273" s="250"/>
      <c r="BB1273" s="250"/>
      <c r="BC1273" s="250"/>
      <c r="BD1273" s="250"/>
      <c r="BE1273" s="250"/>
      <c r="BF1273" s="250"/>
      <c r="BG1273" s="250"/>
      <c r="BH1273" s="250"/>
      <c r="BI1273" s="250"/>
      <c r="BJ1273" s="250"/>
      <c r="BK1273" s="250"/>
      <c r="BL1273" s="250"/>
      <c r="BM1273" s="250"/>
      <c r="BN1273" s="250"/>
      <c r="BO1273" s="250"/>
      <c r="BP1273" s="250"/>
      <c r="BQ1273" s="250"/>
      <c r="BR1273" s="250"/>
      <c r="BS1273" s="250"/>
      <c r="BT1273" s="250"/>
      <c r="BU1273" s="250"/>
      <c r="BV1273" s="250"/>
      <c r="BW1273" s="250"/>
      <c r="BX1273" s="250"/>
      <c r="BY1273" s="250"/>
      <c r="BZ1273" s="250"/>
      <c r="CA1273" s="250"/>
      <c r="CB1273" s="250"/>
      <c r="CC1273" s="250"/>
      <c r="CD1273" s="250"/>
      <c r="CE1273" s="250"/>
      <c r="CF1273" s="250"/>
      <c r="CG1273" s="250"/>
      <c r="CH1273" s="250"/>
      <c r="CI1273" s="250"/>
      <c r="CJ1273" s="250"/>
      <c r="CK1273" s="250"/>
      <c r="DQ1273" s="339"/>
      <c r="DR1273" s="339"/>
      <c r="DS1273" s="339"/>
      <c r="EP1273" s="340"/>
      <c r="FS1273" s="341"/>
      <c r="GI1273" s="342"/>
    </row>
    <row r="1274" spans="1:191" s="266" customFormat="1" ht="84" customHeight="1" x14ac:dyDescent="0.25">
      <c r="B1274" s="345" t="s">
        <v>2199</v>
      </c>
      <c r="C1274" s="345"/>
      <c r="D1274" s="345"/>
      <c r="E1274" s="345"/>
      <c r="F1274" s="345"/>
      <c r="G1274" s="345"/>
      <c r="H1274" s="345"/>
      <c r="I1274" s="345"/>
      <c r="J1274" s="345"/>
      <c r="K1274" s="345"/>
      <c r="L1274" s="345"/>
      <c r="M1274" s="345"/>
      <c r="N1274" s="345"/>
      <c r="O1274" s="345"/>
      <c r="P1274" s="345"/>
      <c r="Q1274" s="345"/>
      <c r="R1274" s="345"/>
      <c r="S1274" s="345"/>
      <c r="T1274" s="345"/>
      <c r="U1274" s="345"/>
      <c r="V1274" s="250"/>
      <c r="W1274" s="250"/>
      <c r="X1274" s="459"/>
      <c r="Y1274" s="459"/>
      <c r="Z1274" s="459"/>
      <c r="AA1274" s="459"/>
      <c r="AB1274" s="459"/>
      <c r="AC1274" s="459"/>
      <c r="AD1274" s="459"/>
      <c r="AE1274" s="459"/>
      <c r="AF1274" s="459"/>
      <c r="AG1274" s="459"/>
      <c r="AH1274" s="459"/>
      <c r="AI1274" s="459"/>
      <c r="AJ1274" s="459"/>
      <c r="AK1274" s="459"/>
      <c r="AL1274" s="459"/>
      <c r="AM1274" s="459"/>
      <c r="AN1274" s="459"/>
      <c r="AO1274" s="459"/>
      <c r="AP1274" s="250"/>
      <c r="AQ1274" s="250"/>
      <c r="AR1274" s="250"/>
      <c r="AS1274" s="250"/>
      <c r="AT1274" s="250"/>
      <c r="AU1274" s="250"/>
      <c r="AV1274" s="250"/>
      <c r="AW1274" s="250"/>
      <c r="AX1274" s="250"/>
      <c r="AY1274" s="250"/>
      <c r="AZ1274" s="250"/>
      <c r="BA1274" s="250"/>
      <c r="BB1274" s="250"/>
      <c r="BC1274" s="250"/>
      <c r="BD1274" s="250"/>
      <c r="BE1274" s="250"/>
      <c r="BF1274" s="250"/>
      <c r="BG1274" s="250"/>
      <c r="BH1274" s="250"/>
      <c r="BI1274" s="250"/>
      <c r="BJ1274" s="250"/>
      <c r="BK1274" s="250"/>
      <c r="BL1274" s="250"/>
      <c r="BM1274" s="250"/>
      <c r="BN1274" s="250"/>
      <c r="BO1274" s="250"/>
      <c r="BP1274" s="250"/>
      <c r="BQ1274" s="250"/>
      <c r="BR1274" s="250"/>
      <c r="BS1274" s="250"/>
      <c r="BT1274" s="250"/>
      <c r="BU1274" s="250"/>
      <c r="BV1274" s="250"/>
      <c r="BW1274" s="250"/>
      <c r="BX1274" s="250"/>
      <c r="BY1274" s="250"/>
      <c r="BZ1274" s="250"/>
      <c r="CA1274" s="250"/>
      <c r="CB1274" s="250"/>
      <c r="CC1274" s="250"/>
      <c r="CD1274" s="250"/>
      <c r="CE1274" s="250"/>
      <c r="CF1274" s="250"/>
      <c r="CG1274" s="250"/>
      <c r="CH1274" s="250"/>
      <c r="CI1274" s="250"/>
      <c r="CJ1274" s="250"/>
      <c r="CK1274" s="250"/>
      <c r="EG1274" s="340"/>
    </row>
    <row r="1275" spans="1:191" s="266" customFormat="1" ht="35.25" customHeight="1" x14ac:dyDescent="0.25">
      <c r="B1275" s="464" t="s">
        <v>391</v>
      </c>
      <c r="C1275" s="465"/>
      <c r="D1275" s="330" t="s">
        <v>131</v>
      </c>
      <c r="E1275" s="330" t="s">
        <v>131</v>
      </c>
      <c r="F1275" s="333" t="s">
        <v>131</v>
      </c>
      <c r="G1275" s="330" t="s">
        <v>131</v>
      </c>
      <c r="H1275" s="330" t="s">
        <v>131</v>
      </c>
      <c r="I1275" s="334">
        <f>I1276+I1280+I1278</f>
        <v>3182.5</v>
      </c>
      <c r="J1275" s="334">
        <f>J1276+J1280+J1278</f>
        <v>2963.5</v>
      </c>
      <c r="K1275" s="334">
        <f>K1276+K1280+K1278</f>
        <v>2844.3</v>
      </c>
      <c r="L1275" s="338">
        <f>L1276+L1280+L1278</f>
        <v>134</v>
      </c>
      <c r="M1275" s="330" t="s">
        <v>131</v>
      </c>
      <c r="N1275" s="330" t="s">
        <v>131</v>
      </c>
      <c r="O1275" s="466" t="s">
        <v>131</v>
      </c>
      <c r="P1275" s="334">
        <f>P1276+P1280+P1278</f>
        <v>7034201.7300000004</v>
      </c>
      <c r="Q1275" s="334">
        <f>Q1276+Q1280+Q1278</f>
        <v>4599545.3899999997</v>
      </c>
      <c r="R1275" s="334">
        <f>R1276+R1280+R1278</f>
        <v>1178018</v>
      </c>
      <c r="S1275" s="334">
        <f>S1276+S1280+S1278</f>
        <v>1256638.3399999999</v>
      </c>
      <c r="T1275" s="38">
        <f t="shared" ref="T1275:T1281" si="275">P1275/I1275</f>
        <v>2210.2754846818539</v>
      </c>
      <c r="U1275" s="38">
        <f>MAX(U1276:U1281)</f>
        <v>6062.6816062859871</v>
      </c>
      <c r="V1275" s="250"/>
      <c r="W1275" s="250"/>
      <c r="X1275" s="346"/>
      <c r="Y1275" s="346"/>
      <c r="Z1275" s="346"/>
      <c r="AA1275" s="346"/>
      <c r="AB1275" s="346"/>
      <c r="AC1275" s="347"/>
      <c r="AD1275" s="346"/>
      <c r="AE1275" s="346"/>
      <c r="AF1275" s="346"/>
      <c r="AG1275" s="346"/>
      <c r="AH1275" s="346"/>
      <c r="AI1275" s="459"/>
      <c r="AJ1275" s="459"/>
      <c r="AK1275" s="459"/>
      <c r="AL1275" s="459"/>
      <c r="AM1275" s="459"/>
      <c r="AN1275" s="459"/>
      <c r="AO1275" s="459"/>
      <c r="AP1275" s="250"/>
      <c r="AQ1275" s="250"/>
      <c r="AR1275" s="250"/>
      <c r="AS1275" s="250"/>
      <c r="AT1275" s="250"/>
      <c r="AU1275" s="250"/>
      <c r="AV1275" s="250"/>
      <c r="AW1275" s="250"/>
      <c r="AX1275" s="250"/>
      <c r="AY1275" s="250"/>
      <c r="AZ1275" s="250"/>
      <c r="BA1275" s="250"/>
      <c r="BB1275" s="250"/>
      <c r="BC1275" s="250"/>
      <c r="BD1275" s="250"/>
      <c r="BE1275" s="250"/>
      <c r="BF1275" s="250"/>
      <c r="BG1275" s="250"/>
      <c r="BH1275" s="250"/>
      <c r="BI1275" s="250"/>
      <c r="BJ1275" s="250"/>
      <c r="BK1275" s="250"/>
      <c r="BL1275" s="250"/>
      <c r="BM1275" s="250"/>
      <c r="BN1275" s="250"/>
      <c r="BO1275" s="250"/>
      <c r="BP1275" s="250"/>
      <c r="BQ1275" s="250"/>
      <c r="BR1275" s="250"/>
      <c r="BS1275" s="250"/>
      <c r="BT1275" s="250"/>
      <c r="BU1275" s="250"/>
      <c r="BV1275" s="250"/>
      <c r="BW1275" s="250"/>
      <c r="BX1275" s="250"/>
      <c r="BY1275" s="460"/>
      <c r="BZ1275" s="250"/>
      <c r="CA1275" s="250"/>
      <c r="CB1275" s="250"/>
      <c r="CC1275" s="250"/>
      <c r="CD1275" s="250"/>
      <c r="CE1275" s="250"/>
      <c r="CF1275" s="250"/>
      <c r="CG1275" s="250"/>
      <c r="CH1275" s="250"/>
      <c r="CI1275" s="250"/>
      <c r="CJ1275" s="250"/>
      <c r="CK1275" s="250"/>
      <c r="EG1275" s="340"/>
    </row>
    <row r="1276" spans="1:191" s="266" customFormat="1" ht="61.5" x14ac:dyDescent="0.25">
      <c r="B1276" s="33" t="s">
        <v>123</v>
      </c>
      <c r="C1276" s="336"/>
      <c r="D1276" s="330" t="s">
        <v>131</v>
      </c>
      <c r="E1276" s="330" t="s">
        <v>131</v>
      </c>
      <c r="F1276" s="333" t="s">
        <v>131</v>
      </c>
      <c r="G1276" s="330" t="s">
        <v>131</v>
      </c>
      <c r="H1276" s="330" t="s">
        <v>131</v>
      </c>
      <c r="I1276" s="334">
        <f>SUM(I1277:I1277)</f>
        <v>522.9</v>
      </c>
      <c r="J1276" s="334">
        <f>SUM(J1277:J1277)</f>
        <v>463.3</v>
      </c>
      <c r="K1276" s="334">
        <f>SUM(K1277:K1277)</f>
        <v>463.3</v>
      </c>
      <c r="L1276" s="338">
        <f>SUM(L1277:L1277)</f>
        <v>31</v>
      </c>
      <c r="M1276" s="330" t="s">
        <v>131</v>
      </c>
      <c r="N1276" s="330" t="s">
        <v>131</v>
      </c>
      <c r="O1276" s="466" t="s">
        <v>131</v>
      </c>
      <c r="P1276" s="334">
        <f>SUM(P1277:P1277)</f>
        <v>1836114.4000000001</v>
      </c>
      <c r="Q1276" s="334">
        <f>SUM(Q1277:Q1277)</f>
        <v>1280871.46</v>
      </c>
      <c r="R1276" s="334">
        <f>SUM(R1277:R1277)</f>
        <v>337986.60000000003</v>
      </c>
      <c r="S1276" s="334">
        <f>SUM(S1277:S1277)</f>
        <v>217256.34</v>
      </c>
      <c r="T1276" s="38">
        <f t="shared" si="275"/>
        <v>3511.4063874545805</v>
      </c>
      <c r="U1276" s="38">
        <f>U1277</f>
        <v>5435.3150889271374</v>
      </c>
      <c r="V1276" s="250"/>
      <c r="W1276" s="250"/>
      <c r="X1276" s="346"/>
      <c r="Y1276" s="346"/>
      <c r="Z1276" s="346"/>
      <c r="AA1276" s="346"/>
      <c r="AB1276" s="346"/>
      <c r="AC1276" s="347"/>
      <c r="AD1276" s="346"/>
      <c r="AE1276" s="346"/>
      <c r="AF1276" s="346"/>
      <c r="AG1276" s="346"/>
      <c r="AH1276" s="346"/>
      <c r="AI1276" s="459"/>
      <c r="AJ1276" s="459"/>
      <c r="AK1276" s="459"/>
      <c r="AL1276" s="459"/>
      <c r="AM1276" s="459"/>
      <c r="AN1276" s="459"/>
      <c r="AO1276" s="459"/>
      <c r="AP1276" s="250"/>
      <c r="AQ1276" s="250"/>
      <c r="AR1276" s="250"/>
      <c r="AS1276" s="250"/>
      <c r="AT1276" s="250"/>
      <c r="AU1276" s="250"/>
      <c r="AV1276" s="250"/>
      <c r="AW1276" s="250"/>
      <c r="AX1276" s="250"/>
      <c r="AY1276" s="250"/>
      <c r="AZ1276" s="250"/>
      <c r="BA1276" s="250"/>
      <c r="BB1276" s="250"/>
      <c r="BC1276" s="250"/>
      <c r="BD1276" s="250"/>
      <c r="BE1276" s="250"/>
      <c r="BF1276" s="250"/>
      <c r="BG1276" s="250"/>
      <c r="BH1276" s="250"/>
      <c r="BI1276" s="250"/>
      <c r="BJ1276" s="250"/>
      <c r="BK1276" s="250"/>
      <c r="BL1276" s="250"/>
      <c r="BM1276" s="250"/>
      <c r="BN1276" s="250"/>
      <c r="BO1276" s="250"/>
      <c r="BP1276" s="250"/>
      <c r="BQ1276" s="250"/>
      <c r="BR1276" s="250"/>
      <c r="BS1276" s="250"/>
      <c r="BT1276" s="250"/>
      <c r="BU1276" s="250"/>
      <c r="BV1276" s="250"/>
      <c r="BW1276" s="250"/>
      <c r="BX1276" s="250"/>
      <c r="BY1276" s="460"/>
      <c r="BZ1276" s="250"/>
      <c r="CA1276" s="250"/>
      <c r="CB1276" s="250"/>
      <c r="CC1276" s="250"/>
      <c r="CD1276" s="250"/>
      <c r="CE1276" s="250"/>
      <c r="CF1276" s="250"/>
      <c r="CG1276" s="250"/>
      <c r="CH1276" s="250"/>
      <c r="CI1276" s="250"/>
      <c r="CJ1276" s="250"/>
      <c r="CK1276" s="250"/>
      <c r="DH1276" s="339"/>
      <c r="DI1276" s="339"/>
      <c r="DJ1276" s="339"/>
      <c r="EG1276" s="340"/>
      <c r="FJ1276" s="341"/>
      <c r="FZ1276" s="342"/>
    </row>
    <row r="1277" spans="1:191" s="266" customFormat="1" ht="35.25" x14ac:dyDescent="0.25">
      <c r="B1277" s="39">
        <v>1</v>
      </c>
      <c r="C1277" s="336" t="s">
        <v>1921</v>
      </c>
      <c r="D1277" s="330">
        <v>1964</v>
      </c>
      <c r="E1277" s="330"/>
      <c r="F1277" s="333" t="s">
        <v>48</v>
      </c>
      <c r="G1277" s="330">
        <v>2</v>
      </c>
      <c r="H1277" s="330">
        <v>2</v>
      </c>
      <c r="I1277" s="334">
        <v>522.9</v>
      </c>
      <c r="J1277" s="334">
        <v>463.3</v>
      </c>
      <c r="K1277" s="334">
        <v>463.3</v>
      </c>
      <c r="L1277" s="338">
        <v>31</v>
      </c>
      <c r="M1277" s="330" t="s">
        <v>46</v>
      </c>
      <c r="N1277" s="330" t="s">
        <v>50</v>
      </c>
      <c r="O1277" s="330" t="s">
        <v>2113</v>
      </c>
      <c r="P1277" s="334">
        <v>1836114.4000000001</v>
      </c>
      <c r="Q1277" s="334">
        <v>1280871.46</v>
      </c>
      <c r="R1277" s="334">
        <v>337986.60000000003</v>
      </c>
      <c r="S1277" s="334">
        <v>217256.34</v>
      </c>
      <c r="T1277" s="38">
        <f t="shared" si="275"/>
        <v>3511.4063874545805</v>
      </c>
      <c r="U1277" s="38">
        <v>5435.3150889271374</v>
      </c>
      <c r="V1277" s="458">
        <f>W1277-T1277</f>
        <v>1905.4326639892911</v>
      </c>
      <c r="W1277" s="458">
        <f>X1277+Y1277+Z1277+AA1277+AB1277+AD1277+AF1277+AH1277+AJ1277+AL1277+AN1277+AO1277</f>
        <v>5416.8390514438715</v>
      </c>
      <c r="X1277" s="348">
        <v>0</v>
      </c>
      <c r="Y1277" s="334">
        <v>0</v>
      </c>
      <c r="Z1277" s="334">
        <v>0</v>
      </c>
      <c r="AA1277" s="334">
        <v>0</v>
      </c>
      <c r="AB1277" s="334">
        <v>0</v>
      </c>
      <c r="AC1277" s="347">
        <v>0</v>
      </c>
      <c r="AD1277" s="334">
        <v>0</v>
      </c>
      <c r="AE1277" s="334">
        <v>454</v>
      </c>
      <c r="AF1277" s="458">
        <f>6238.91*AE1277/I1277</f>
        <v>5416.8390514438715</v>
      </c>
      <c r="AG1277" s="334">
        <v>0</v>
      </c>
      <c r="AH1277" s="334">
        <v>0</v>
      </c>
      <c r="AI1277" s="459"/>
      <c r="AJ1277" s="458">
        <f>7439.1*AI1277/I1277</f>
        <v>0</v>
      </c>
      <c r="AK1277" s="459"/>
      <c r="AL1277" s="458">
        <f>76773.02*AK1277/I1277</f>
        <v>0</v>
      </c>
      <c r="AM1277" s="459"/>
      <c r="AN1277" s="459"/>
      <c r="AO1277" s="459"/>
      <c r="AP1277" s="250"/>
      <c r="AQ1277" s="250"/>
      <c r="AR1277" s="250"/>
      <c r="AS1277" s="250"/>
      <c r="AT1277" s="250"/>
      <c r="AU1277" s="250"/>
      <c r="AV1277" s="250"/>
      <c r="AW1277" s="250"/>
      <c r="AX1277" s="250"/>
      <c r="AY1277" s="250"/>
      <c r="AZ1277" s="250"/>
      <c r="BA1277" s="250"/>
      <c r="BB1277" s="250"/>
      <c r="BC1277" s="250"/>
      <c r="BD1277" s="250"/>
      <c r="BE1277" s="250"/>
      <c r="BF1277" s="250"/>
      <c r="BG1277" s="250"/>
      <c r="BH1277" s="250"/>
      <c r="BI1277" s="250"/>
      <c r="BJ1277" s="250"/>
      <c r="BK1277" s="250"/>
      <c r="BL1277" s="250"/>
      <c r="BM1277" s="250"/>
      <c r="BN1277" s="250"/>
      <c r="BO1277" s="250"/>
      <c r="BP1277" s="250"/>
      <c r="BQ1277" s="250"/>
      <c r="BR1277" s="250"/>
      <c r="BS1277" s="250"/>
      <c r="BT1277" s="250"/>
      <c r="BU1277" s="250"/>
      <c r="BV1277" s="250"/>
      <c r="BW1277" s="250"/>
      <c r="BX1277" s="250"/>
      <c r="BY1277" s="250"/>
      <c r="BZ1277" s="250"/>
      <c r="CA1277" s="250"/>
      <c r="CB1277" s="250"/>
      <c r="CC1277" s="250"/>
      <c r="CD1277" s="250"/>
      <c r="CE1277" s="250"/>
      <c r="CF1277" s="250"/>
      <c r="CG1277" s="250"/>
      <c r="CH1277" s="250"/>
      <c r="CI1277" s="250"/>
      <c r="CJ1277" s="250"/>
      <c r="CK1277" s="250"/>
      <c r="DH1277" s="339"/>
      <c r="DI1277" s="339"/>
      <c r="DJ1277" s="339"/>
      <c r="EG1277" s="340"/>
      <c r="FJ1277" s="341"/>
      <c r="FZ1277" s="342"/>
    </row>
    <row r="1278" spans="1:191" s="266" customFormat="1" ht="61.5" x14ac:dyDescent="0.25">
      <c r="B1278" s="33" t="s">
        <v>96</v>
      </c>
      <c r="C1278" s="336"/>
      <c r="D1278" s="330" t="s">
        <v>131</v>
      </c>
      <c r="E1278" s="330" t="s">
        <v>131</v>
      </c>
      <c r="F1278" s="333" t="s">
        <v>131</v>
      </c>
      <c r="G1278" s="330" t="s">
        <v>131</v>
      </c>
      <c r="H1278" s="330" t="s">
        <v>131</v>
      </c>
      <c r="I1278" s="334">
        <f>SUM(I1279:I1279)</f>
        <v>1826</v>
      </c>
      <c r="J1278" s="334">
        <f>SUM(J1279:J1279)</f>
        <v>1718</v>
      </c>
      <c r="K1278" s="334">
        <f>SUM(K1279:K1279)</f>
        <v>1598.8</v>
      </c>
      <c r="L1278" s="338">
        <f>SUM(L1279:L1279)</f>
        <v>73</v>
      </c>
      <c r="M1278" s="330" t="s">
        <v>131</v>
      </c>
      <c r="N1278" s="330" t="s">
        <v>131</v>
      </c>
      <c r="O1278" s="466" t="s">
        <v>131</v>
      </c>
      <c r="P1278" s="334">
        <f>SUM(P1279:P1279)</f>
        <v>2643881</v>
      </c>
      <c r="Q1278" s="334">
        <f>SUM(Q1279:Q1279)</f>
        <v>1592309.05</v>
      </c>
      <c r="R1278" s="334">
        <f>SUM(R1279:R1279)</f>
        <v>407533.88</v>
      </c>
      <c r="S1278" s="334">
        <f>SUM(S1279:S1279)</f>
        <v>644038.06999999995</v>
      </c>
      <c r="T1278" s="38">
        <f t="shared" si="275"/>
        <v>1447.9085432639649</v>
      </c>
      <c r="U1278" s="38">
        <f>U1279</f>
        <v>2468.4210295728367</v>
      </c>
      <c r="V1278" s="250"/>
      <c r="W1278" s="250"/>
      <c r="X1278" s="346"/>
      <c r="Y1278" s="346"/>
      <c r="Z1278" s="346"/>
      <c r="AA1278" s="346"/>
      <c r="AB1278" s="346"/>
      <c r="AC1278" s="347"/>
      <c r="AD1278" s="346"/>
      <c r="AE1278" s="346"/>
      <c r="AF1278" s="346"/>
      <c r="AG1278" s="346"/>
      <c r="AH1278" s="346"/>
      <c r="AI1278" s="459"/>
      <c r="AJ1278" s="459"/>
      <c r="AK1278" s="459"/>
      <c r="AL1278" s="459"/>
      <c r="AM1278" s="459"/>
      <c r="AN1278" s="459"/>
      <c r="AO1278" s="459"/>
      <c r="AP1278" s="250"/>
      <c r="AQ1278" s="250"/>
      <c r="AR1278" s="250"/>
      <c r="AS1278" s="250"/>
      <c r="AT1278" s="250"/>
      <c r="AU1278" s="250"/>
      <c r="AV1278" s="250"/>
      <c r="AW1278" s="250"/>
      <c r="AX1278" s="250"/>
      <c r="AY1278" s="250"/>
      <c r="AZ1278" s="250"/>
      <c r="BA1278" s="250"/>
      <c r="BB1278" s="250"/>
      <c r="BC1278" s="250"/>
      <c r="BD1278" s="250"/>
      <c r="BE1278" s="250"/>
      <c r="BF1278" s="250"/>
      <c r="BG1278" s="250"/>
      <c r="BH1278" s="250"/>
      <c r="BI1278" s="250"/>
      <c r="BJ1278" s="250"/>
      <c r="BK1278" s="250"/>
      <c r="BL1278" s="250"/>
      <c r="BM1278" s="250"/>
      <c r="BN1278" s="250"/>
      <c r="BO1278" s="250"/>
      <c r="BP1278" s="250"/>
      <c r="BQ1278" s="250"/>
      <c r="BR1278" s="250"/>
      <c r="BS1278" s="250"/>
      <c r="BT1278" s="250"/>
      <c r="BU1278" s="250"/>
      <c r="BV1278" s="250"/>
      <c r="BW1278" s="250"/>
      <c r="BX1278" s="250"/>
      <c r="BY1278" s="460"/>
      <c r="BZ1278" s="250"/>
      <c r="CA1278" s="250"/>
      <c r="CB1278" s="250"/>
      <c r="CC1278" s="250"/>
      <c r="CD1278" s="250"/>
      <c r="CE1278" s="250"/>
      <c r="CF1278" s="250"/>
      <c r="CG1278" s="250"/>
      <c r="CH1278" s="250"/>
      <c r="CI1278" s="250"/>
      <c r="CJ1278" s="250"/>
      <c r="CK1278" s="250"/>
      <c r="DH1278" s="339"/>
      <c r="DI1278" s="339"/>
      <c r="DJ1278" s="339"/>
      <c r="EG1278" s="340"/>
      <c r="FJ1278" s="341"/>
      <c r="FZ1278" s="342"/>
    </row>
    <row r="1279" spans="1:191" s="266" customFormat="1" ht="35.25" x14ac:dyDescent="0.25">
      <c r="B1279" s="39">
        <v>2</v>
      </c>
      <c r="C1279" s="336" t="s">
        <v>1923</v>
      </c>
      <c r="D1279" s="330">
        <v>1975</v>
      </c>
      <c r="E1279" s="330"/>
      <c r="F1279" s="333" t="s">
        <v>48</v>
      </c>
      <c r="G1279" s="330">
        <v>4</v>
      </c>
      <c r="H1279" s="330">
        <v>2</v>
      </c>
      <c r="I1279" s="334">
        <v>1826</v>
      </c>
      <c r="J1279" s="334">
        <v>1718</v>
      </c>
      <c r="K1279" s="334">
        <v>1598.8</v>
      </c>
      <c r="L1279" s="338">
        <v>73</v>
      </c>
      <c r="M1279" s="330" t="s">
        <v>46</v>
      </c>
      <c r="N1279" s="330" t="s">
        <v>71</v>
      </c>
      <c r="O1279" s="330" t="s">
        <v>2200</v>
      </c>
      <c r="P1279" s="334">
        <v>2643881</v>
      </c>
      <c r="Q1279" s="334">
        <v>1592309.05</v>
      </c>
      <c r="R1279" s="334">
        <v>407533.88</v>
      </c>
      <c r="S1279" s="334">
        <v>644038.06999999995</v>
      </c>
      <c r="T1279" s="38">
        <f t="shared" si="275"/>
        <v>1447.9085432639649</v>
      </c>
      <c r="U1279" s="38">
        <v>2468.4210295728367</v>
      </c>
      <c r="V1279" s="458">
        <f>W1279-T1279</f>
        <v>1012.121686746988</v>
      </c>
      <c r="W1279" s="458">
        <f>X1279+Y1279+Z1279+AA1279+AB1279+AD1279+AF1279+AH1279+AJ1279+AL1279+AN1279+AO1279</f>
        <v>2460.0302300109529</v>
      </c>
      <c r="X1279" s="348">
        <v>0</v>
      </c>
      <c r="Y1279" s="334">
        <v>0</v>
      </c>
      <c r="Z1279" s="334">
        <v>0</v>
      </c>
      <c r="AA1279" s="334">
        <v>0</v>
      </c>
      <c r="AB1279" s="334">
        <v>0</v>
      </c>
      <c r="AC1279" s="347">
        <v>0</v>
      </c>
      <c r="AD1279" s="334">
        <v>0</v>
      </c>
      <c r="AE1279" s="334">
        <v>720</v>
      </c>
      <c r="AF1279" s="458">
        <f>6238.91*AE1279/I1279</f>
        <v>2460.0302300109529</v>
      </c>
      <c r="AG1279" s="334">
        <v>0</v>
      </c>
      <c r="AH1279" s="334">
        <v>0</v>
      </c>
      <c r="AI1279" s="459"/>
      <c r="AJ1279" s="458">
        <f>7439.1*AI1279/I1279</f>
        <v>0</v>
      </c>
      <c r="AK1279" s="459"/>
      <c r="AL1279" s="458">
        <f>76773.02*AK1279/I1279</f>
        <v>0</v>
      </c>
      <c r="AM1279" s="459"/>
      <c r="AN1279" s="459"/>
      <c r="AO1279" s="459"/>
      <c r="AP1279" s="250"/>
      <c r="AQ1279" s="250"/>
      <c r="AR1279" s="250"/>
      <c r="AS1279" s="250"/>
      <c r="AT1279" s="250"/>
      <c r="AU1279" s="250"/>
      <c r="AV1279" s="250"/>
      <c r="AW1279" s="250"/>
      <c r="AX1279" s="250"/>
      <c r="AY1279" s="250"/>
      <c r="AZ1279" s="250"/>
      <c r="BA1279" s="250"/>
      <c r="BB1279" s="250"/>
      <c r="BC1279" s="250"/>
      <c r="BD1279" s="250"/>
      <c r="BE1279" s="250"/>
      <c r="BF1279" s="250"/>
      <c r="BG1279" s="250"/>
      <c r="BH1279" s="250"/>
      <c r="BI1279" s="250"/>
      <c r="BJ1279" s="250"/>
      <c r="BK1279" s="250"/>
      <c r="BL1279" s="250"/>
      <c r="BM1279" s="250"/>
      <c r="BN1279" s="250"/>
      <c r="BO1279" s="250"/>
      <c r="BP1279" s="250"/>
      <c r="BQ1279" s="250"/>
      <c r="BR1279" s="250"/>
      <c r="BS1279" s="250"/>
      <c r="BT1279" s="250"/>
      <c r="BU1279" s="250"/>
      <c r="BV1279" s="250"/>
      <c r="BW1279" s="250"/>
      <c r="BX1279" s="250"/>
      <c r="BY1279" s="250"/>
      <c r="BZ1279" s="250"/>
      <c r="CA1279" s="250"/>
      <c r="CB1279" s="250"/>
      <c r="CC1279" s="250"/>
      <c r="CD1279" s="250"/>
      <c r="CE1279" s="250"/>
      <c r="CF1279" s="250"/>
      <c r="CG1279" s="250"/>
      <c r="CH1279" s="250"/>
      <c r="CI1279" s="250"/>
      <c r="CJ1279" s="250"/>
      <c r="CK1279" s="250"/>
      <c r="DH1279" s="339"/>
      <c r="DI1279" s="339"/>
      <c r="DJ1279" s="339"/>
      <c r="EG1279" s="340"/>
      <c r="FJ1279" s="341"/>
      <c r="FZ1279" s="342"/>
    </row>
    <row r="1280" spans="1:191" s="266" customFormat="1" ht="61.5" x14ac:dyDescent="0.25">
      <c r="B1280" s="33" t="s">
        <v>1842</v>
      </c>
      <c r="C1280" s="336"/>
      <c r="D1280" s="330" t="s">
        <v>131</v>
      </c>
      <c r="E1280" s="330" t="s">
        <v>131</v>
      </c>
      <c r="F1280" s="333" t="s">
        <v>131</v>
      </c>
      <c r="G1280" s="330" t="s">
        <v>131</v>
      </c>
      <c r="H1280" s="330" t="s">
        <v>131</v>
      </c>
      <c r="I1280" s="334">
        <f>SUM(I1281:I1281)</f>
        <v>833.6</v>
      </c>
      <c r="J1280" s="334">
        <f>SUM(J1281:J1281)</f>
        <v>782.2</v>
      </c>
      <c r="K1280" s="334">
        <f>SUM(K1281:K1281)</f>
        <v>782.2</v>
      </c>
      <c r="L1280" s="338">
        <f>SUM(L1281:L1281)</f>
        <v>30</v>
      </c>
      <c r="M1280" s="330" t="s">
        <v>131</v>
      </c>
      <c r="N1280" s="330" t="s">
        <v>131</v>
      </c>
      <c r="O1280" s="466" t="s">
        <v>131</v>
      </c>
      <c r="P1280" s="334">
        <f>SUM(P1281:P1281)</f>
        <v>2554206.33</v>
      </c>
      <c r="Q1280" s="334">
        <f>SUM(Q1281:Q1281)</f>
        <v>1726364.88</v>
      </c>
      <c r="R1280" s="334">
        <f>SUM(R1281:R1281)</f>
        <v>432497.52</v>
      </c>
      <c r="S1280" s="334">
        <f>SUM(S1281:S1281)</f>
        <v>395343.93</v>
      </c>
      <c r="T1280" s="38">
        <f t="shared" si="275"/>
        <v>3064.0670945297506</v>
      </c>
      <c r="U1280" s="38">
        <f>U1281</f>
        <v>6062.6816062859871</v>
      </c>
      <c r="V1280" s="250"/>
      <c r="W1280" s="250"/>
      <c r="X1280" s="346"/>
      <c r="Y1280" s="346"/>
      <c r="Z1280" s="346"/>
      <c r="AA1280" s="346"/>
      <c r="AB1280" s="346"/>
      <c r="AC1280" s="347"/>
      <c r="AD1280" s="346"/>
      <c r="AE1280" s="346"/>
      <c r="AF1280" s="346"/>
      <c r="AG1280" s="346"/>
      <c r="AH1280" s="346"/>
      <c r="AI1280" s="459"/>
      <c r="AJ1280" s="459"/>
      <c r="AK1280" s="459"/>
      <c r="AL1280" s="459"/>
      <c r="AM1280" s="459"/>
      <c r="AN1280" s="459"/>
      <c r="AO1280" s="459"/>
      <c r="AP1280" s="250"/>
      <c r="AQ1280" s="250"/>
      <c r="AR1280" s="250"/>
      <c r="AS1280" s="250"/>
      <c r="AT1280" s="250"/>
      <c r="AU1280" s="250"/>
      <c r="AV1280" s="250"/>
      <c r="AW1280" s="250"/>
      <c r="AX1280" s="250"/>
      <c r="AY1280" s="250"/>
      <c r="AZ1280" s="250"/>
      <c r="BA1280" s="250"/>
      <c r="BB1280" s="250"/>
      <c r="BC1280" s="250"/>
      <c r="BD1280" s="250"/>
      <c r="BE1280" s="250"/>
      <c r="BF1280" s="250"/>
      <c r="BG1280" s="250"/>
      <c r="BH1280" s="250"/>
      <c r="BI1280" s="250"/>
      <c r="BJ1280" s="250"/>
      <c r="BK1280" s="250"/>
      <c r="BL1280" s="250"/>
      <c r="BM1280" s="250"/>
      <c r="BN1280" s="250"/>
      <c r="BO1280" s="250"/>
      <c r="BP1280" s="250"/>
      <c r="BQ1280" s="250"/>
      <c r="BR1280" s="250"/>
      <c r="BS1280" s="250"/>
      <c r="BT1280" s="250"/>
      <c r="BU1280" s="250"/>
      <c r="BV1280" s="250"/>
      <c r="BW1280" s="250"/>
      <c r="BX1280" s="250"/>
      <c r="BY1280" s="460"/>
      <c r="BZ1280" s="250"/>
      <c r="CA1280" s="250"/>
      <c r="CB1280" s="250"/>
      <c r="CC1280" s="250"/>
      <c r="CD1280" s="250"/>
      <c r="CE1280" s="250"/>
      <c r="CF1280" s="250"/>
      <c r="CG1280" s="250"/>
      <c r="CH1280" s="250"/>
      <c r="CI1280" s="250"/>
      <c r="CJ1280" s="250"/>
      <c r="CK1280" s="250"/>
      <c r="DH1280" s="339"/>
      <c r="DI1280" s="339"/>
      <c r="DJ1280" s="339"/>
      <c r="EG1280" s="340"/>
      <c r="FJ1280" s="341"/>
      <c r="FZ1280" s="342"/>
    </row>
    <row r="1281" spans="2:182" s="266" customFormat="1" ht="35.25" x14ac:dyDescent="0.25">
      <c r="B1281" s="39">
        <v>3</v>
      </c>
      <c r="C1281" s="336" t="s">
        <v>1924</v>
      </c>
      <c r="D1281" s="330">
        <v>1988</v>
      </c>
      <c r="E1281" s="330"/>
      <c r="F1281" s="333" t="s">
        <v>48</v>
      </c>
      <c r="G1281" s="330">
        <v>2</v>
      </c>
      <c r="H1281" s="330">
        <v>3</v>
      </c>
      <c r="I1281" s="334">
        <v>833.6</v>
      </c>
      <c r="J1281" s="334">
        <v>782.2</v>
      </c>
      <c r="K1281" s="334">
        <v>782.2</v>
      </c>
      <c r="L1281" s="338">
        <v>30</v>
      </c>
      <c r="M1281" s="330" t="s">
        <v>46</v>
      </c>
      <c r="N1281" s="330" t="s">
        <v>47</v>
      </c>
      <c r="O1281" s="330" t="s">
        <v>49</v>
      </c>
      <c r="P1281" s="334">
        <f>Q1281+R1281+S1281</f>
        <v>2554206.33</v>
      </c>
      <c r="Q1281" s="334">
        <v>1726364.88</v>
      </c>
      <c r="R1281" s="334">
        <v>432497.52</v>
      </c>
      <c r="S1281" s="334">
        <v>395343.93</v>
      </c>
      <c r="T1281" s="38">
        <f t="shared" si="275"/>
        <v>3064.0670945297506</v>
      </c>
      <c r="U1281" s="38">
        <v>6062.6816062859871</v>
      </c>
      <c r="V1281" s="458">
        <f>W1281-T1281</f>
        <v>3104.4905134357004</v>
      </c>
      <c r="W1281" s="458">
        <f>X1281+Y1281+Z1281+AA1281+AB1281+AD1281+AF1281+AH1281+AJ1281+AL1281+AN1281+AO1281</f>
        <v>6168.5576079654511</v>
      </c>
      <c r="X1281" s="348">
        <v>0</v>
      </c>
      <c r="Y1281" s="334">
        <v>0</v>
      </c>
      <c r="Z1281" s="334">
        <v>0</v>
      </c>
      <c r="AA1281" s="334">
        <v>0</v>
      </c>
      <c r="AB1281" s="334">
        <v>0</v>
      </c>
      <c r="AC1281" s="347">
        <v>0</v>
      </c>
      <c r="AD1281" s="334">
        <v>0</v>
      </c>
      <c r="AE1281" s="334">
        <v>824.2</v>
      </c>
      <c r="AF1281" s="458">
        <f>6238.91*AE1281/I1281</f>
        <v>6168.5576079654511</v>
      </c>
      <c r="AG1281" s="334">
        <v>0</v>
      </c>
      <c r="AH1281" s="334">
        <v>0</v>
      </c>
      <c r="AI1281" s="459"/>
      <c r="AJ1281" s="458">
        <f>7439.1*AI1281/I1281</f>
        <v>0</v>
      </c>
      <c r="AK1281" s="459"/>
      <c r="AL1281" s="458">
        <f>76773.02*AK1281/I1281</f>
        <v>0</v>
      </c>
      <c r="AM1281" s="459"/>
      <c r="AN1281" s="459"/>
      <c r="AO1281" s="459"/>
      <c r="AP1281" s="250"/>
      <c r="AQ1281" s="250"/>
      <c r="AR1281" s="250"/>
      <c r="AS1281" s="250"/>
      <c r="AT1281" s="250"/>
      <c r="AU1281" s="250"/>
      <c r="AV1281" s="250"/>
      <c r="AW1281" s="250"/>
      <c r="AX1281" s="250"/>
      <c r="AY1281" s="250"/>
      <c r="AZ1281" s="250"/>
      <c r="BA1281" s="250"/>
      <c r="BB1281" s="250"/>
      <c r="BC1281" s="250"/>
      <c r="BD1281" s="250"/>
      <c r="BE1281" s="250"/>
      <c r="BF1281" s="250"/>
      <c r="BG1281" s="250"/>
      <c r="BH1281" s="250"/>
      <c r="BI1281" s="250"/>
      <c r="BJ1281" s="250"/>
      <c r="BK1281" s="250"/>
      <c r="BL1281" s="250"/>
      <c r="BM1281" s="250"/>
      <c r="BN1281" s="250"/>
      <c r="BO1281" s="250"/>
      <c r="BP1281" s="250"/>
      <c r="BQ1281" s="250"/>
      <c r="BR1281" s="250"/>
      <c r="BS1281" s="250"/>
      <c r="BT1281" s="250"/>
      <c r="BU1281" s="250"/>
      <c r="BV1281" s="250"/>
      <c r="BW1281" s="250"/>
      <c r="BX1281" s="250"/>
      <c r="BY1281" s="250"/>
      <c r="BZ1281" s="250"/>
      <c r="CA1281" s="250"/>
      <c r="CB1281" s="250"/>
      <c r="CC1281" s="250"/>
      <c r="CD1281" s="250"/>
      <c r="CE1281" s="250"/>
      <c r="CF1281" s="250"/>
      <c r="CG1281" s="250"/>
      <c r="CH1281" s="250"/>
      <c r="CI1281" s="250"/>
      <c r="CJ1281" s="250"/>
      <c r="CK1281" s="250"/>
      <c r="DH1281" s="339"/>
      <c r="DI1281" s="339"/>
      <c r="DJ1281" s="339"/>
      <c r="EG1281" s="340"/>
      <c r="FJ1281" s="341"/>
      <c r="FZ1281" s="342"/>
    </row>
    <row r="1282" spans="2:182" s="266" customFormat="1" ht="84" customHeight="1" x14ac:dyDescent="0.25">
      <c r="B1282" s="345" t="s">
        <v>1925</v>
      </c>
      <c r="C1282" s="345"/>
      <c r="D1282" s="345"/>
      <c r="E1282" s="345"/>
      <c r="F1282" s="345"/>
      <c r="G1282" s="345"/>
      <c r="H1282" s="345"/>
      <c r="I1282" s="345"/>
      <c r="J1282" s="345"/>
      <c r="K1282" s="345"/>
      <c r="L1282" s="345"/>
      <c r="M1282" s="345"/>
      <c r="N1282" s="345"/>
      <c r="O1282" s="345"/>
      <c r="P1282" s="345"/>
      <c r="Q1282" s="345"/>
      <c r="R1282" s="345"/>
      <c r="S1282" s="345"/>
      <c r="T1282" s="345"/>
      <c r="U1282" s="345"/>
      <c r="V1282" s="250"/>
      <c r="W1282" s="250"/>
      <c r="X1282" s="459"/>
      <c r="Y1282" s="459"/>
      <c r="Z1282" s="459"/>
      <c r="AA1282" s="459"/>
      <c r="AB1282" s="459"/>
      <c r="AC1282" s="459"/>
      <c r="AD1282" s="459"/>
      <c r="AE1282" s="459"/>
      <c r="AF1282" s="459"/>
      <c r="AG1282" s="459"/>
      <c r="AH1282" s="459"/>
      <c r="AI1282" s="459"/>
      <c r="AJ1282" s="459"/>
      <c r="AK1282" s="459"/>
      <c r="AL1282" s="459"/>
      <c r="AM1282" s="459"/>
      <c r="AN1282" s="459"/>
      <c r="AO1282" s="459"/>
      <c r="AP1282" s="250"/>
      <c r="AQ1282" s="250"/>
      <c r="AR1282" s="250"/>
      <c r="AS1282" s="250"/>
      <c r="AT1282" s="250"/>
      <c r="AU1282" s="250"/>
      <c r="AV1282" s="250"/>
      <c r="AW1282" s="250"/>
      <c r="AX1282" s="250"/>
      <c r="AY1282" s="250"/>
      <c r="AZ1282" s="250"/>
      <c r="BA1282" s="250"/>
      <c r="BB1282" s="250"/>
      <c r="BC1282" s="250"/>
      <c r="BD1282" s="250"/>
      <c r="BE1282" s="250"/>
      <c r="BF1282" s="250"/>
      <c r="BG1282" s="250"/>
      <c r="BH1282" s="250"/>
      <c r="BI1282" s="250"/>
      <c r="BJ1282" s="250"/>
      <c r="BK1282" s="250"/>
      <c r="BL1282" s="250"/>
      <c r="BM1282" s="250"/>
      <c r="BN1282" s="250"/>
      <c r="BO1282" s="250"/>
      <c r="BP1282" s="250"/>
      <c r="BQ1282" s="250"/>
      <c r="BR1282" s="250"/>
      <c r="BS1282" s="250"/>
      <c r="BT1282" s="250"/>
      <c r="BU1282" s="250"/>
      <c r="BV1282" s="250"/>
      <c r="BW1282" s="250"/>
      <c r="BX1282" s="250"/>
      <c r="BY1282" s="250"/>
      <c r="BZ1282" s="250"/>
      <c r="CA1282" s="250"/>
      <c r="CB1282" s="250"/>
      <c r="CC1282" s="250"/>
      <c r="CD1282" s="250"/>
      <c r="CE1282" s="250"/>
      <c r="CF1282" s="250"/>
      <c r="CG1282" s="250"/>
      <c r="CH1282" s="250"/>
      <c r="CI1282" s="250"/>
      <c r="CJ1282" s="250"/>
      <c r="CK1282" s="250"/>
      <c r="EG1282" s="340"/>
    </row>
    <row r="1283" spans="2:182" s="266" customFormat="1" ht="35.25" customHeight="1" x14ac:dyDescent="0.25">
      <c r="B1283" s="464" t="s">
        <v>391</v>
      </c>
      <c r="C1283" s="465"/>
      <c r="D1283" s="330" t="s">
        <v>131</v>
      </c>
      <c r="E1283" s="330" t="s">
        <v>131</v>
      </c>
      <c r="F1283" s="333" t="s">
        <v>131</v>
      </c>
      <c r="G1283" s="330" t="s">
        <v>131</v>
      </c>
      <c r="H1283" s="330" t="s">
        <v>131</v>
      </c>
      <c r="I1283" s="334">
        <f>I1284+I1290+I1288</f>
        <v>9484.2999999999993</v>
      </c>
      <c r="J1283" s="334">
        <f t="shared" ref="J1283:L1283" si="276">J1284+J1290+J1288</f>
        <v>7647.42</v>
      </c>
      <c r="K1283" s="334">
        <f t="shared" si="276"/>
        <v>7647.42</v>
      </c>
      <c r="L1283" s="338">
        <f t="shared" si="276"/>
        <v>424</v>
      </c>
      <c r="M1283" s="330" t="s">
        <v>131</v>
      </c>
      <c r="N1283" s="330" t="s">
        <v>131</v>
      </c>
      <c r="O1283" s="466" t="s">
        <v>131</v>
      </c>
      <c r="P1283" s="334">
        <f t="shared" ref="P1283:S1283" si="277">P1284+P1290+P1288</f>
        <v>17442384.330000002</v>
      </c>
      <c r="Q1283" s="334">
        <f t="shared" si="277"/>
        <v>0</v>
      </c>
      <c r="R1283" s="334">
        <f t="shared" si="277"/>
        <v>0</v>
      </c>
      <c r="S1283" s="334">
        <f t="shared" si="277"/>
        <v>17442384.330000002</v>
      </c>
      <c r="T1283" s="38">
        <f>P1283/I1283</f>
        <v>1839.0797771053217</v>
      </c>
      <c r="U1283" s="38">
        <f>MAX(U1284:U1291)</f>
        <v>8573.9635785246737</v>
      </c>
      <c r="V1283" s="250"/>
      <c r="W1283" s="250"/>
      <c r="X1283" s="459"/>
      <c r="Y1283" s="459"/>
      <c r="Z1283" s="459"/>
      <c r="AA1283" s="459"/>
      <c r="AB1283" s="459"/>
      <c r="AC1283" s="459"/>
      <c r="AD1283" s="459"/>
      <c r="AE1283" s="459"/>
      <c r="AF1283" s="459"/>
      <c r="AG1283" s="459"/>
      <c r="AH1283" s="459"/>
      <c r="AI1283" s="459"/>
      <c r="AJ1283" s="459"/>
      <c r="AK1283" s="459"/>
      <c r="AL1283" s="459"/>
      <c r="AM1283" s="459"/>
      <c r="AN1283" s="459"/>
      <c r="AO1283" s="459"/>
      <c r="AP1283" s="250"/>
      <c r="AQ1283" s="250"/>
      <c r="AR1283" s="250"/>
      <c r="AS1283" s="250"/>
      <c r="AT1283" s="250"/>
      <c r="AU1283" s="250"/>
      <c r="AV1283" s="250"/>
      <c r="AW1283" s="250"/>
      <c r="AX1283" s="250"/>
      <c r="AY1283" s="250"/>
      <c r="AZ1283" s="250"/>
      <c r="BA1283" s="250"/>
      <c r="BB1283" s="250"/>
      <c r="BC1283" s="250"/>
      <c r="BD1283" s="250"/>
      <c r="BE1283" s="250"/>
      <c r="BF1283" s="250"/>
      <c r="BG1283" s="250"/>
      <c r="BH1283" s="250"/>
      <c r="BI1283" s="250"/>
      <c r="BJ1283" s="250"/>
      <c r="BK1283" s="250"/>
      <c r="BL1283" s="250"/>
      <c r="BM1283" s="250"/>
      <c r="BN1283" s="250"/>
      <c r="BO1283" s="250"/>
      <c r="BP1283" s="250"/>
      <c r="BQ1283" s="250"/>
      <c r="BR1283" s="250"/>
      <c r="BS1283" s="250"/>
      <c r="BT1283" s="250"/>
      <c r="BU1283" s="250"/>
      <c r="BV1283" s="250"/>
      <c r="BW1283" s="250"/>
      <c r="BX1283" s="250"/>
      <c r="BY1283" s="460"/>
      <c r="BZ1283" s="250"/>
      <c r="CA1283" s="250"/>
      <c r="CB1283" s="250"/>
      <c r="CC1283" s="250"/>
      <c r="CD1283" s="250"/>
      <c r="CE1283" s="250"/>
      <c r="CF1283" s="250"/>
      <c r="CG1283" s="250"/>
      <c r="CH1283" s="250"/>
      <c r="CI1283" s="250"/>
      <c r="CJ1283" s="250"/>
      <c r="CK1283" s="250"/>
      <c r="EG1283" s="340"/>
    </row>
    <row r="1284" spans="2:182" s="266" customFormat="1" ht="61.5" x14ac:dyDescent="0.25">
      <c r="B1284" s="33" t="s">
        <v>108</v>
      </c>
      <c r="C1284" s="336"/>
      <c r="D1284" s="330" t="s">
        <v>131</v>
      </c>
      <c r="E1284" s="330" t="s">
        <v>131</v>
      </c>
      <c r="F1284" s="333" t="s">
        <v>131</v>
      </c>
      <c r="G1284" s="330" t="s">
        <v>131</v>
      </c>
      <c r="H1284" s="330" t="s">
        <v>131</v>
      </c>
      <c r="I1284" s="334">
        <f>SUM(I1285:I1287)</f>
        <v>7491.9</v>
      </c>
      <c r="J1284" s="334">
        <f>SUM(J1285:J1287)</f>
        <v>6281</v>
      </c>
      <c r="K1284" s="334">
        <f>SUM(K1285:K1287)</f>
        <v>6281</v>
      </c>
      <c r="L1284" s="338">
        <f>SUM(L1285:L1287)</f>
        <v>356</v>
      </c>
      <c r="M1284" s="330" t="s">
        <v>131</v>
      </c>
      <c r="N1284" s="330" t="s">
        <v>131</v>
      </c>
      <c r="O1284" s="466" t="s">
        <v>131</v>
      </c>
      <c r="P1284" s="334">
        <f>SUM(P1285:P1287)</f>
        <v>13632983.67</v>
      </c>
      <c r="Q1284" s="334">
        <f>SUM(Q1285:Q1287)</f>
        <v>0</v>
      </c>
      <c r="R1284" s="334">
        <f>SUM(R1285:R1287)</f>
        <v>0</v>
      </c>
      <c r="S1284" s="334">
        <f>SUM(S1285:S1287)</f>
        <v>13632983.67</v>
      </c>
      <c r="T1284" s="38">
        <f>P1284/I1284</f>
        <v>1819.6964281423939</v>
      </c>
      <c r="U1284" s="38">
        <f>MAX(U1285:U1287)</f>
        <v>8573.9635785246737</v>
      </c>
      <c r="V1284" s="250"/>
      <c r="W1284" s="250"/>
      <c r="X1284" s="459"/>
      <c r="Y1284" s="459"/>
      <c r="Z1284" s="459"/>
      <c r="AA1284" s="459"/>
      <c r="AB1284" s="459"/>
      <c r="AC1284" s="459"/>
      <c r="AD1284" s="459"/>
      <c r="AE1284" s="459"/>
      <c r="AF1284" s="459"/>
      <c r="AG1284" s="459"/>
      <c r="AH1284" s="459"/>
      <c r="AI1284" s="459"/>
      <c r="AJ1284" s="459"/>
      <c r="AK1284" s="459"/>
      <c r="AL1284" s="459"/>
      <c r="AM1284" s="459"/>
      <c r="AN1284" s="459"/>
      <c r="AO1284" s="459"/>
      <c r="AP1284" s="250"/>
      <c r="AQ1284" s="250"/>
      <c r="AR1284" s="250"/>
      <c r="AS1284" s="250"/>
      <c r="AT1284" s="250"/>
      <c r="AU1284" s="250"/>
      <c r="AV1284" s="250"/>
      <c r="AW1284" s="250"/>
      <c r="AX1284" s="250"/>
      <c r="AY1284" s="250"/>
      <c r="AZ1284" s="250"/>
      <c r="BA1284" s="250"/>
      <c r="BB1284" s="250"/>
      <c r="BC1284" s="250"/>
      <c r="BD1284" s="250"/>
      <c r="BE1284" s="250"/>
      <c r="BF1284" s="250"/>
      <c r="BG1284" s="250"/>
      <c r="BH1284" s="250"/>
      <c r="BI1284" s="250"/>
      <c r="BJ1284" s="250"/>
      <c r="BK1284" s="250"/>
      <c r="BL1284" s="250"/>
      <c r="BM1284" s="250"/>
      <c r="BN1284" s="250"/>
      <c r="BO1284" s="250"/>
      <c r="BP1284" s="250"/>
      <c r="BQ1284" s="250"/>
      <c r="BR1284" s="250"/>
      <c r="BS1284" s="250"/>
      <c r="BT1284" s="250"/>
      <c r="BU1284" s="250"/>
      <c r="BV1284" s="250"/>
      <c r="BW1284" s="250"/>
      <c r="BX1284" s="250"/>
      <c r="BY1284" s="460"/>
      <c r="BZ1284" s="250"/>
      <c r="CA1284" s="250"/>
      <c r="CB1284" s="250"/>
      <c r="CC1284" s="250"/>
      <c r="CD1284" s="250"/>
      <c r="CE1284" s="250"/>
      <c r="CF1284" s="250"/>
      <c r="CG1284" s="250"/>
      <c r="CH1284" s="250"/>
      <c r="CI1284" s="250"/>
      <c r="CJ1284" s="250"/>
      <c r="CK1284" s="250"/>
      <c r="DH1284" s="339"/>
      <c r="DI1284" s="339"/>
      <c r="DJ1284" s="339"/>
      <c r="EG1284" s="340"/>
      <c r="FJ1284" s="341"/>
      <c r="FZ1284" s="342"/>
    </row>
    <row r="1285" spans="2:182" s="266" customFormat="1" ht="35.25" x14ac:dyDescent="0.25">
      <c r="B1285" s="39">
        <v>1</v>
      </c>
      <c r="C1285" s="336" t="s">
        <v>1926</v>
      </c>
      <c r="D1285" s="330">
        <v>2007</v>
      </c>
      <c r="E1285" s="330"/>
      <c r="F1285" s="333" t="s">
        <v>63</v>
      </c>
      <c r="G1285" s="330">
        <v>5</v>
      </c>
      <c r="H1285" s="330">
        <v>4</v>
      </c>
      <c r="I1285" s="334">
        <v>3049.5</v>
      </c>
      <c r="J1285" s="334">
        <v>3049.5</v>
      </c>
      <c r="K1285" s="334">
        <v>3049.5</v>
      </c>
      <c r="L1285" s="338">
        <v>195</v>
      </c>
      <c r="M1285" s="330" t="s">
        <v>46</v>
      </c>
      <c r="N1285" s="330" t="s">
        <v>71</v>
      </c>
      <c r="O1285" s="330" t="s">
        <v>2201</v>
      </c>
      <c r="P1285" s="334">
        <v>4228150.99</v>
      </c>
      <c r="Q1285" s="334">
        <v>0</v>
      </c>
      <c r="R1285" s="334">
        <v>0</v>
      </c>
      <c r="S1285" s="334">
        <f>P1285-Q1285-R1285</f>
        <v>4228150.99</v>
      </c>
      <c r="T1285" s="38">
        <f>P1285/I1285</f>
        <v>1386.5063092310215</v>
      </c>
      <c r="U1285" s="38">
        <v>2304.681917461879</v>
      </c>
      <c r="V1285" s="458">
        <f t="shared" ref="V1285:V1287" si="278">W1285-T1285</f>
        <v>910.34140013116894</v>
      </c>
      <c r="W1285" s="458">
        <f t="shared" ref="W1285:W1287" si="279">X1285+Y1285+Z1285+AA1285+AB1285+AD1285+AF1285+AH1285+AJ1285+AL1285+AN1285+AO1285</f>
        <v>2296.8477093621905</v>
      </c>
      <c r="X1285" s="459">
        <v>0</v>
      </c>
      <c r="Y1285" s="459">
        <v>0</v>
      </c>
      <c r="Z1285" s="459">
        <v>0</v>
      </c>
      <c r="AA1285" s="459">
        <v>0</v>
      </c>
      <c r="AB1285" s="459">
        <v>0</v>
      </c>
      <c r="AC1285" s="459">
        <v>0</v>
      </c>
      <c r="AD1285" s="459">
        <v>0</v>
      </c>
      <c r="AE1285" s="459">
        <v>1122.67</v>
      </c>
      <c r="AF1285" s="458">
        <f t="shared" ref="AF1285:AF1287" si="280">6238.91*AE1285/I1285</f>
        <v>2296.8477093621905</v>
      </c>
      <c r="AG1285" s="459">
        <v>0</v>
      </c>
      <c r="AH1285" s="458">
        <v>0</v>
      </c>
      <c r="AI1285" s="459"/>
      <c r="AJ1285" s="458"/>
      <c r="AK1285" s="459"/>
      <c r="AL1285" s="458">
        <f t="shared" ref="AL1285:AL1287" si="281">76773.02*AK1285/I1285</f>
        <v>0</v>
      </c>
      <c r="AM1285" s="459"/>
      <c r="AN1285" s="459"/>
      <c r="AO1285" s="459"/>
      <c r="AP1285" s="250"/>
      <c r="AQ1285" s="250"/>
      <c r="AR1285" s="250"/>
      <c r="AS1285" s="250"/>
      <c r="AT1285" s="250"/>
      <c r="AU1285" s="250"/>
      <c r="AV1285" s="250"/>
      <c r="AW1285" s="250"/>
      <c r="AX1285" s="250"/>
      <c r="AY1285" s="250"/>
      <c r="AZ1285" s="250"/>
      <c r="BA1285" s="250"/>
      <c r="BB1285" s="250"/>
      <c r="BC1285" s="250"/>
      <c r="BD1285" s="250"/>
      <c r="BE1285" s="250"/>
      <c r="BF1285" s="250"/>
      <c r="BG1285" s="250"/>
      <c r="BH1285" s="250"/>
      <c r="BI1285" s="250"/>
      <c r="BJ1285" s="250"/>
      <c r="BK1285" s="250"/>
      <c r="BL1285" s="250"/>
      <c r="BM1285" s="250"/>
      <c r="BN1285" s="250"/>
      <c r="BO1285" s="250"/>
      <c r="BP1285" s="250"/>
      <c r="BQ1285" s="250"/>
      <c r="BR1285" s="250"/>
      <c r="BS1285" s="250"/>
      <c r="BT1285" s="250"/>
      <c r="BU1285" s="250"/>
      <c r="BV1285" s="250"/>
      <c r="BW1285" s="250"/>
      <c r="BX1285" s="250"/>
      <c r="BY1285" s="250"/>
      <c r="BZ1285" s="250"/>
      <c r="CA1285" s="250"/>
      <c r="CB1285" s="250"/>
      <c r="CC1285" s="250"/>
      <c r="CD1285" s="250"/>
      <c r="CE1285" s="250"/>
      <c r="CF1285" s="250"/>
      <c r="CG1285" s="250"/>
      <c r="CH1285" s="250"/>
      <c r="CI1285" s="250"/>
      <c r="CJ1285" s="250"/>
      <c r="CK1285" s="250"/>
      <c r="DH1285" s="339"/>
      <c r="DI1285" s="339"/>
      <c r="DJ1285" s="339"/>
      <c r="EG1285" s="340"/>
      <c r="FJ1285" s="341"/>
      <c r="FZ1285" s="342"/>
    </row>
    <row r="1286" spans="2:182" s="266" customFormat="1" ht="35.25" x14ac:dyDescent="0.25">
      <c r="B1286" s="39">
        <v>2</v>
      </c>
      <c r="C1286" s="336" t="s">
        <v>1927</v>
      </c>
      <c r="D1286" s="330">
        <v>2008</v>
      </c>
      <c r="E1286" s="330"/>
      <c r="F1286" s="333" t="s">
        <v>63</v>
      </c>
      <c r="G1286" s="330">
        <v>5</v>
      </c>
      <c r="H1286" s="330">
        <v>3</v>
      </c>
      <c r="I1286" s="334">
        <v>2288.3000000000002</v>
      </c>
      <c r="J1286" s="334">
        <v>2288.3000000000002</v>
      </c>
      <c r="K1286" s="334">
        <v>2288.3000000000002</v>
      </c>
      <c r="L1286" s="338">
        <v>143</v>
      </c>
      <c r="M1286" s="330" t="s">
        <v>46</v>
      </c>
      <c r="N1286" s="330" t="s">
        <v>50</v>
      </c>
      <c r="O1286" s="330" t="s">
        <v>2202</v>
      </c>
      <c r="P1286" s="334">
        <v>2791765.62</v>
      </c>
      <c r="Q1286" s="334">
        <v>0</v>
      </c>
      <c r="R1286" s="334">
        <v>0</v>
      </c>
      <c r="S1286" s="334">
        <f>P1286-Q1286-R1286</f>
        <v>2791765.62</v>
      </c>
      <c r="T1286" s="38">
        <f>P1286/I1286</f>
        <v>1220.0173141633527</v>
      </c>
      <c r="U1286" s="38">
        <v>2317.7175055718217</v>
      </c>
      <c r="V1286" s="458">
        <f t="shared" si="278"/>
        <v>824.81181663243433</v>
      </c>
      <c r="W1286" s="458">
        <f t="shared" si="279"/>
        <v>2044.829130795787</v>
      </c>
      <c r="X1286" s="459">
        <v>0</v>
      </c>
      <c r="Y1286" s="459">
        <v>0</v>
      </c>
      <c r="Z1286" s="459">
        <v>0</v>
      </c>
      <c r="AA1286" s="459">
        <v>0</v>
      </c>
      <c r="AB1286" s="459">
        <v>0</v>
      </c>
      <c r="AC1286" s="459">
        <v>0</v>
      </c>
      <c r="AD1286" s="459">
        <v>0</v>
      </c>
      <c r="AE1286" s="459">
        <v>750</v>
      </c>
      <c r="AF1286" s="458">
        <f t="shared" si="280"/>
        <v>2044.829130795787</v>
      </c>
      <c r="AG1286" s="459">
        <v>0</v>
      </c>
      <c r="AH1286" s="458">
        <v>0</v>
      </c>
      <c r="AI1286" s="459"/>
      <c r="AJ1286" s="458"/>
      <c r="AK1286" s="459"/>
      <c r="AL1286" s="458">
        <f t="shared" si="281"/>
        <v>0</v>
      </c>
      <c r="AM1286" s="459"/>
      <c r="AN1286" s="459"/>
      <c r="AO1286" s="459"/>
      <c r="AP1286" s="250"/>
      <c r="AQ1286" s="250"/>
      <c r="AR1286" s="250"/>
      <c r="AS1286" s="250"/>
      <c r="AT1286" s="250"/>
      <c r="AU1286" s="250"/>
      <c r="AV1286" s="250"/>
      <c r="AW1286" s="250"/>
      <c r="AX1286" s="250"/>
      <c r="AY1286" s="250"/>
      <c r="AZ1286" s="250"/>
      <c r="BA1286" s="250"/>
      <c r="BB1286" s="250"/>
      <c r="BC1286" s="250"/>
      <c r="BD1286" s="250"/>
      <c r="BE1286" s="250"/>
      <c r="BF1286" s="250"/>
      <c r="BG1286" s="250"/>
      <c r="BH1286" s="250"/>
      <c r="BI1286" s="250"/>
      <c r="BJ1286" s="250"/>
      <c r="BK1286" s="250"/>
      <c r="BL1286" s="250"/>
      <c r="BM1286" s="250"/>
      <c r="BN1286" s="250"/>
      <c r="BO1286" s="250"/>
      <c r="BP1286" s="250"/>
      <c r="BQ1286" s="250"/>
      <c r="BR1286" s="250"/>
      <c r="BS1286" s="250"/>
      <c r="BT1286" s="250"/>
      <c r="BU1286" s="250"/>
      <c r="BV1286" s="250"/>
      <c r="BW1286" s="250"/>
      <c r="BX1286" s="250"/>
      <c r="BY1286" s="250"/>
      <c r="BZ1286" s="250"/>
      <c r="CA1286" s="250"/>
      <c r="CB1286" s="250"/>
      <c r="CC1286" s="250"/>
      <c r="CD1286" s="250"/>
      <c r="CE1286" s="250"/>
      <c r="CF1286" s="250"/>
      <c r="CG1286" s="250"/>
      <c r="CH1286" s="250"/>
      <c r="CI1286" s="250"/>
      <c r="CJ1286" s="250"/>
      <c r="CK1286" s="250"/>
      <c r="DH1286" s="339"/>
      <c r="DI1286" s="339"/>
      <c r="DJ1286" s="339"/>
      <c r="EG1286" s="340"/>
      <c r="FJ1286" s="341"/>
      <c r="FZ1286" s="342"/>
    </row>
    <row r="1287" spans="2:182" s="266" customFormat="1" ht="35.25" x14ac:dyDescent="0.25">
      <c r="B1287" s="39">
        <v>3</v>
      </c>
      <c r="C1287" s="336" t="s">
        <v>1928</v>
      </c>
      <c r="D1287" s="330">
        <v>1914</v>
      </c>
      <c r="E1287" s="330"/>
      <c r="F1287" s="333" t="s">
        <v>48</v>
      </c>
      <c r="G1287" s="330">
        <v>4</v>
      </c>
      <c r="H1287" s="330">
        <v>2</v>
      </c>
      <c r="I1287" s="334">
        <v>2154.1</v>
      </c>
      <c r="J1287" s="334">
        <v>943.2</v>
      </c>
      <c r="K1287" s="334">
        <v>943.2</v>
      </c>
      <c r="L1287" s="338">
        <v>18</v>
      </c>
      <c r="M1287" s="330" t="s">
        <v>46</v>
      </c>
      <c r="N1287" s="330" t="s">
        <v>50</v>
      </c>
      <c r="O1287" s="330" t="s">
        <v>2203</v>
      </c>
      <c r="P1287" s="334">
        <v>6613067.0599999996</v>
      </c>
      <c r="Q1287" s="334">
        <v>0</v>
      </c>
      <c r="R1287" s="334">
        <v>0</v>
      </c>
      <c r="S1287" s="334">
        <f>P1287-Q1287-R1287</f>
        <v>6613067.0599999996</v>
      </c>
      <c r="T1287" s="38">
        <f>P1287/I1287</f>
        <v>3069.9907432338332</v>
      </c>
      <c r="U1287" s="38">
        <v>8573.9635785246737</v>
      </c>
      <c r="V1287" s="458">
        <f t="shared" si="278"/>
        <v>5473.5131096513614</v>
      </c>
      <c r="W1287" s="458">
        <f t="shared" si="279"/>
        <v>8543.5038528851946</v>
      </c>
      <c r="X1287" s="459">
        <v>0</v>
      </c>
      <c r="Y1287" s="459">
        <v>0</v>
      </c>
      <c r="Z1287" s="459">
        <v>3259.66</v>
      </c>
      <c r="AA1287" s="459">
        <v>0</v>
      </c>
      <c r="AB1287" s="459">
        <v>795.31</v>
      </c>
      <c r="AC1287" s="459">
        <v>0</v>
      </c>
      <c r="AD1287" s="459">
        <v>0</v>
      </c>
      <c r="AE1287" s="459">
        <v>1549.75</v>
      </c>
      <c r="AF1287" s="458">
        <f t="shared" si="280"/>
        <v>4488.5338528851953</v>
      </c>
      <c r="AG1287" s="459">
        <v>0</v>
      </c>
      <c r="AH1287" s="458">
        <v>0</v>
      </c>
      <c r="AI1287" s="459"/>
      <c r="AJ1287" s="458">
        <f>7439.1*AI1287/I1287</f>
        <v>0</v>
      </c>
      <c r="AK1287" s="459"/>
      <c r="AL1287" s="458">
        <f t="shared" si="281"/>
        <v>0</v>
      </c>
      <c r="AM1287" s="459"/>
      <c r="AN1287" s="459"/>
      <c r="AO1287" s="459"/>
      <c r="AP1287" s="250"/>
      <c r="AQ1287" s="250"/>
      <c r="AR1287" s="250"/>
      <c r="AS1287" s="250"/>
      <c r="AT1287" s="250"/>
      <c r="AU1287" s="250"/>
      <c r="AV1287" s="250"/>
      <c r="AW1287" s="250"/>
      <c r="AX1287" s="250"/>
      <c r="AY1287" s="250"/>
      <c r="AZ1287" s="250"/>
      <c r="BA1287" s="250"/>
      <c r="BB1287" s="250"/>
      <c r="BC1287" s="250"/>
      <c r="BD1287" s="250"/>
      <c r="BE1287" s="250"/>
      <c r="BF1287" s="250"/>
      <c r="BG1287" s="250"/>
      <c r="BH1287" s="250"/>
      <c r="BI1287" s="250"/>
      <c r="BJ1287" s="250"/>
      <c r="BK1287" s="250"/>
      <c r="BL1287" s="250"/>
      <c r="BM1287" s="250"/>
      <c r="BN1287" s="250"/>
      <c r="BO1287" s="250"/>
      <c r="BP1287" s="250"/>
      <c r="BQ1287" s="250"/>
      <c r="BR1287" s="250"/>
      <c r="BS1287" s="250"/>
      <c r="BT1287" s="250"/>
      <c r="BU1287" s="250"/>
      <c r="BV1287" s="250"/>
      <c r="BW1287" s="250"/>
      <c r="BX1287" s="250"/>
      <c r="BY1287" s="250"/>
      <c r="BZ1287" s="250"/>
      <c r="CA1287" s="250"/>
      <c r="CB1287" s="250"/>
      <c r="CC1287" s="250"/>
      <c r="CD1287" s="250"/>
      <c r="CE1287" s="250"/>
      <c r="CF1287" s="250"/>
      <c r="CG1287" s="250"/>
      <c r="CH1287" s="250"/>
      <c r="CI1287" s="250"/>
      <c r="CJ1287" s="250"/>
      <c r="CK1287" s="250"/>
      <c r="DH1287" s="339"/>
      <c r="DI1287" s="339"/>
      <c r="DJ1287" s="339"/>
      <c r="EG1287" s="340"/>
      <c r="FJ1287" s="341"/>
      <c r="FZ1287" s="342"/>
    </row>
    <row r="1288" spans="2:182" s="266" customFormat="1" ht="61.5" x14ac:dyDescent="0.25">
      <c r="B1288" s="33" t="s">
        <v>1329</v>
      </c>
      <c r="C1288" s="336"/>
      <c r="D1288" s="330" t="s">
        <v>131</v>
      </c>
      <c r="E1288" s="330" t="s">
        <v>131</v>
      </c>
      <c r="F1288" s="333" t="s">
        <v>131</v>
      </c>
      <c r="G1288" s="330" t="s">
        <v>131</v>
      </c>
      <c r="H1288" s="330" t="s">
        <v>131</v>
      </c>
      <c r="I1288" s="334">
        <f>SUM(I1289:I1289)</f>
        <v>1298.5999999999999</v>
      </c>
      <c r="J1288" s="334">
        <f>SUM(J1289:J1289)</f>
        <v>989.4</v>
      </c>
      <c r="K1288" s="334">
        <f>SUM(K1289:K1289)</f>
        <v>989.4</v>
      </c>
      <c r="L1288" s="338">
        <f>SUM(L1289:L1289)</f>
        <v>47</v>
      </c>
      <c r="M1288" s="330" t="s">
        <v>131</v>
      </c>
      <c r="N1288" s="330" t="s">
        <v>131</v>
      </c>
      <c r="O1288" s="466" t="s">
        <v>131</v>
      </c>
      <c r="P1288" s="334">
        <f>SUM(P1289:P1289)</f>
        <v>1833103.6099999999</v>
      </c>
      <c r="Q1288" s="334">
        <f>SUM(Q1289:Q1289)</f>
        <v>0</v>
      </c>
      <c r="R1288" s="334">
        <f>SUM(R1289:R1289)</f>
        <v>0</v>
      </c>
      <c r="S1288" s="334">
        <f>SUM(S1289:S1289)</f>
        <v>1833103.6099999999</v>
      </c>
      <c r="T1288" s="38">
        <f t="shared" ref="T1288:T1289" si="282">P1288/I1288</f>
        <v>1411.5998844909902</v>
      </c>
      <c r="U1288" s="38">
        <f>U1289</f>
        <v>3331.60119282304</v>
      </c>
      <c r="V1288" s="250"/>
      <c r="W1288" s="250"/>
      <c r="X1288" s="459"/>
      <c r="Y1288" s="459"/>
      <c r="Z1288" s="459"/>
      <c r="AA1288" s="459"/>
      <c r="AB1288" s="459"/>
      <c r="AC1288" s="459"/>
      <c r="AD1288" s="459"/>
      <c r="AE1288" s="459"/>
      <c r="AF1288" s="459"/>
      <c r="AG1288" s="459"/>
      <c r="AH1288" s="459"/>
      <c r="AI1288" s="459"/>
      <c r="AJ1288" s="459"/>
      <c r="AK1288" s="459"/>
      <c r="AL1288" s="459"/>
      <c r="AM1288" s="459"/>
      <c r="AN1288" s="459"/>
      <c r="AO1288" s="459"/>
      <c r="AP1288" s="250"/>
      <c r="AQ1288" s="250"/>
      <c r="AR1288" s="250"/>
      <c r="AS1288" s="250"/>
      <c r="AT1288" s="250"/>
      <c r="AU1288" s="250"/>
      <c r="AV1288" s="250"/>
      <c r="AW1288" s="250"/>
      <c r="AX1288" s="250"/>
      <c r="AY1288" s="250"/>
      <c r="AZ1288" s="250"/>
      <c r="BA1288" s="250"/>
      <c r="BB1288" s="250"/>
      <c r="BC1288" s="250"/>
      <c r="BD1288" s="250"/>
      <c r="BE1288" s="250"/>
      <c r="BF1288" s="250"/>
      <c r="BG1288" s="250"/>
      <c r="BH1288" s="250"/>
      <c r="BI1288" s="250"/>
      <c r="BJ1288" s="250"/>
      <c r="BK1288" s="250"/>
      <c r="BL1288" s="250"/>
      <c r="BM1288" s="250"/>
      <c r="BN1288" s="250"/>
      <c r="BO1288" s="250"/>
      <c r="BP1288" s="250"/>
      <c r="BQ1288" s="250"/>
      <c r="BR1288" s="250"/>
      <c r="BS1288" s="250"/>
      <c r="BT1288" s="250"/>
      <c r="BU1288" s="250"/>
      <c r="BV1288" s="250"/>
      <c r="BW1288" s="250"/>
      <c r="BX1288" s="250"/>
      <c r="BY1288" s="460"/>
      <c r="BZ1288" s="250"/>
      <c r="CA1288" s="250"/>
      <c r="CB1288" s="250"/>
      <c r="CC1288" s="250"/>
      <c r="CD1288" s="250"/>
      <c r="CE1288" s="250"/>
      <c r="CF1288" s="250"/>
      <c r="CG1288" s="250"/>
      <c r="CH1288" s="250"/>
      <c r="CI1288" s="250"/>
      <c r="CJ1288" s="250"/>
      <c r="CK1288" s="250"/>
      <c r="DH1288" s="339"/>
      <c r="DI1288" s="339"/>
      <c r="DJ1288" s="339"/>
      <c r="EG1288" s="340"/>
      <c r="FJ1288" s="341"/>
      <c r="FZ1288" s="342"/>
    </row>
    <row r="1289" spans="2:182" s="266" customFormat="1" ht="35.25" x14ac:dyDescent="0.25">
      <c r="B1289" s="39">
        <v>4</v>
      </c>
      <c r="C1289" s="336" t="s">
        <v>1929</v>
      </c>
      <c r="D1289" s="330">
        <v>1984</v>
      </c>
      <c r="E1289" s="330"/>
      <c r="F1289" s="333" t="s">
        <v>48</v>
      </c>
      <c r="G1289" s="330">
        <v>2</v>
      </c>
      <c r="H1289" s="330">
        <v>3</v>
      </c>
      <c r="I1289" s="334">
        <v>1298.5999999999999</v>
      </c>
      <c r="J1289" s="334">
        <v>989.4</v>
      </c>
      <c r="K1289" s="334">
        <v>989.4</v>
      </c>
      <c r="L1289" s="338">
        <v>47</v>
      </c>
      <c r="M1289" s="330" t="s">
        <v>46</v>
      </c>
      <c r="N1289" s="330" t="s">
        <v>47</v>
      </c>
      <c r="O1289" s="330" t="s">
        <v>2011</v>
      </c>
      <c r="P1289" s="334">
        <v>1833103.6099999999</v>
      </c>
      <c r="Q1289" s="334">
        <v>0</v>
      </c>
      <c r="R1289" s="334">
        <v>0</v>
      </c>
      <c r="S1289" s="334">
        <f>P1289-Q1289-R1289</f>
        <v>1833103.6099999999</v>
      </c>
      <c r="T1289" s="38">
        <f t="shared" si="282"/>
        <v>1411.5998844909902</v>
      </c>
      <c r="U1289" s="38">
        <v>3331.60119282304</v>
      </c>
      <c r="V1289" s="458">
        <f>W1289-T1289</f>
        <v>1908.676336824273</v>
      </c>
      <c r="W1289" s="458">
        <f>X1289+Y1289+Z1289+AA1289+AB1289+AD1289+AF1289+AH1289+AJ1289+AL1289+AN1289+AO1289</f>
        <v>3320.2762213152632</v>
      </c>
      <c r="X1289" s="459">
        <v>0</v>
      </c>
      <c r="Y1289" s="459">
        <v>0</v>
      </c>
      <c r="Z1289" s="459">
        <v>0</v>
      </c>
      <c r="AA1289" s="459">
        <v>0</v>
      </c>
      <c r="AB1289" s="459">
        <v>0</v>
      </c>
      <c r="AC1289" s="459">
        <v>0</v>
      </c>
      <c r="AD1289" s="459">
        <v>0</v>
      </c>
      <c r="AE1289" s="459">
        <v>691.1</v>
      </c>
      <c r="AF1289" s="458">
        <f>6238.91*AE1289/I1289</f>
        <v>3320.2762213152632</v>
      </c>
      <c r="AG1289" s="459">
        <v>0</v>
      </c>
      <c r="AH1289" s="458">
        <v>0</v>
      </c>
      <c r="AI1289" s="459"/>
      <c r="AJ1289" s="458">
        <f>7439.1*AI1289/I1289</f>
        <v>0</v>
      </c>
      <c r="AK1289" s="459"/>
      <c r="AL1289" s="458">
        <f>76773.02*AK1289/I1289</f>
        <v>0</v>
      </c>
      <c r="AM1289" s="459"/>
      <c r="AN1289" s="459"/>
      <c r="AO1289" s="459"/>
      <c r="AP1289" s="250"/>
      <c r="AQ1289" s="250"/>
      <c r="AR1289" s="250"/>
      <c r="AS1289" s="250"/>
      <c r="AT1289" s="250"/>
      <c r="AU1289" s="250"/>
      <c r="AV1289" s="250"/>
      <c r="AW1289" s="250"/>
      <c r="AX1289" s="250"/>
      <c r="AY1289" s="250"/>
      <c r="AZ1289" s="250"/>
      <c r="BA1289" s="250"/>
      <c r="BB1289" s="250"/>
      <c r="BC1289" s="250"/>
      <c r="BD1289" s="250"/>
      <c r="BE1289" s="250"/>
      <c r="BF1289" s="250"/>
      <c r="BG1289" s="250"/>
      <c r="BH1289" s="250"/>
      <c r="BI1289" s="250"/>
      <c r="BJ1289" s="250"/>
      <c r="BK1289" s="250"/>
      <c r="BL1289" s="250"/>
      <c r="BM1289" s="250"/>
      <c r="BN1289" s="250"/>
      <c r="BO1289" s="250"/>
      <c r="BP1289" s="250"/>
      <c r="BQ1289" s="250"/>
      <c r="BR1289" s="250"/>
      <c r="BS1289" s="250"/>
      <c r="BT1289" s="250"/>
      <c r="BU1289" s="250"/>
      <c r="BV1289" s="250"/>
      <c r="BW1289" s="250"/>
      <c r="BX1289" s="250"/>
      <c r="BY1289" s="250"/>
      <c r="BZ1289" s="250"/>
      <c r="CA1289" s="250"/>
      <c r="CB1289" s="250"/>
      <c r="CC1289" s="250"/>
      <c r="CD1289" s="250"/>
      <c r="CE1289" s="250"/>
      <c r="CF1289" s="250"/>
      <c r="CG1289" s="250"/>
      <c r="CH1289" s="250"/>
      <c r="CI1289" s="250"/>
      <c r="CJ1289" s="250"/>
      <c r="CK1289" s="250"/>
      <c r="DH1289" s="339"/>
      <c r="DI1289" s="339"/>
      <c r="DJ1289" s="339"/>
      <c r="EG1289" s="340"/>
      <c r="FJ1289" s="341"/>
      <c r="FZ1289" s="342"/>
    </row>
    <row r="1290" spans="2:182" s="266" customFormat="1" ht="61.5" x14ac:dyDescent="0.25">
      <c r="B1290" s="33" t="s">
        <v>1320</v>
      </c>
      <c r="C1290" s="336"/>
      <c r="D1290" s="330" t="s">
        <v>131</v>
      </c>
      <c r="E1290" s="330" t="s">
        <v>131</v>
      </c>
      <c r="F1290" s="333" t="s">
        <v>131</v>
      </c>
      <c r="G1290" s="330" t="s">
        <v>131</v>
      </c>
      <c r="H1290" s="330" t="s">
        <v>131</v>
      </c>
      <c r="I1290" s="334">
        <f>SUM(I1291:I1291)</f>
        <v>693.8</v>
      </c>
      <c r="J1290" s="334">
        <f>SUM(J1291:J1291)</f>
        <v>377.02</v>
      </c>
      <c r="K1290" s="334">
        <f>SUM(K1291:K1291)</f>
        <v>377.02</v>
      </c>
      <c r="L1290" s="338">
        <f>SUM(L1291:L1291)</f>
        <v>21</v>
      </c>
      <c r="M1290" s="330" t="s">
        <v>131</v>
      </c>
      <c r="N1290" s="330" t="s">
        <v>131</v>
      </c>
      <c r="O1290" s="466" t="s">
        <v>131</v>
      </c>
      <c r="P1290" s="334">
        <f>SUM(P1291:P1291)</f>
        <v>1976297.05</v>
      </c>
      <c r="Q1290" s="334">
        <f>SUM(Q1291:Q1291)</f>
        <v>0</v>
      </c>
      <c r="R1290" s="334">
        <f>SUM(R1291:R1291)</f>
        <v>0</v>
      </c>
      <c r="S1290" s="334">
        <f>SUM(S1291:S1291)</f>
        <v>1976297.05</v>
      </c>
      <c r="T1290" s="38">
        <f>P1290/I1290</f>
        <v>2848.5111703661</v>
      </c>
      <c r="U1290" s="38">
        <f>U1291</f>
        <v>3338.527385413664</v>
      </c>
      <c r="V1290" s="250"/>
      <c r="W1290" s="250"/>
      <c r="X1290" s="459"/>
      <c r="Y1290" s="459"/>
      <c r="Z1290" s="459"/>
      <c r="AA1290" s="459"/>
      <c r="AB1290" s="459"/>
      <c r="AC1290" s="459"/>
      <c r="AD1290" s="459"/>
      <c r="AE1290" s="459"/>
      <c r="AF1290" s="459"/>
      <c r="AG1290" s="459"/>
      <c r="AH1290" s="459"/>
      <c r="AI1290" s="459"/>
      <c r="AJ1290" s="459"/>
      <c r="AK1290" s="459"/>
      <c r="AL1290" s="459"/>
      <c r="AM1290" s="459"/>
      <c r="AN1290" s="459"/>
      <c r="AO1290" s="459"/>
      <c r="AP1290" s="250"/>
      <c r="AQ1290" s="250"/>
      <c r="AR1290" s="250"/>
      <c r="AS1290" s="250"/>
      <c r="AT1290" s="250"/>
      <c r="AU1290" s="250"/>
      <c r="AV1290" s="250"/>
      <c r="AW1290" s="250"/>
      <c r="AX1290" s="250"/>
      <c r="AY1290" s="250"/>
      <c r="AZ1290" s="250"/>
      <c r="BA1290" s="250"/>
      <c r="BB1290" s="250"/>
      <c r="BC1290" s="250"/>
      <c r="BD1290" s="250"/>
      <c r="BE1290" s="250"/>
      <c r="BF1290" s="250"/>
      <c r="BG1290" s="250"/>
      <c r="BH1290" s="250"/>
      <c r="BI1290" s="250"/>
      <c r="BJ1290" s="250"/>
      <c r="BK1290" s="250"/>
      <c r="BL1290" s="250"/>
      <c r="BM1290" s="250"/>
      <c r="BN1290" s="250"/>
      <c r="BO1290" s="250"/>
      <c r="BP1290" s="250"/>
      <c r="BQ1290" s="250"/>
      <c r="BR1290" s="250"/>
      <c r="BS1290" s="250"/>
      <c r="BT1290" s="250"/>
      <c r="BU1290" s="250"/>
      <c r="BV1290" s="250"/>
      <c r="BW1290" s="250"/>
      <c r="BX1290" s="250"/>
      <c r="BY1290" s="460"/>
      <c r="BZ1290" s="250"/>
      <c r="CA1290" s="250"/>
      <c r="CB1290" s="250"/>
      <c r="CC1290" s="250"/>
      <c r="CD1290" s="250"/>
      <c r="CE1290" s="250"/>
      <c r="CF1290" s="250"/>
      <c r="CG1290" s="250"/>
      <c r="CH1290" s="250"/>
      <c r="CI1290" s="250"/>
      <c r="CJ1290" s="250"/>
      <c r="CK1290" s="250"/>
      <c r="DH1290" s="339"/>
      <c r="DI1290" s="339"/>
      <c r="DJ1290" s="339"/>
      <c r="EG1290" s="340"/>
      <c r="FJ1290" s="341"/>
      <c r="FZ1290" s="342"/>
    </row>
    <row r="1291" spans="2:182" s="266" customFormat="1" ht="35.25" x14ac:dyDescent="0.25">
      <c r="B1291" s="39">
        <v>5</v>
      </c>
      <c r="C1291" s="336" t="s">
        <v>1930</v>
      </c>
      <c r="D1291" s="330">
        <v>1987</v>
      </c>
      <c r="E1291" s="330"/>
      <c r="F1291" s="333" t="s">
        <v>48</v>
      </c>
      <c r="G1291" s="330">
        <v>2</v>
      </c>
      <c r="H1291" s="330">
        <v>1</v>
      </c>
      <c r="I1291" s="334">
        <v>693.8</v>
      </c>
      <c r="J1291" s="334">
        <v>377.02</v>
      </c>
      <c r="K1291" s="334">
        <v>377.02</v>
      </c>
      <c r="L1291" s="338">
        <v>21</v>
      </c>
      <c r="M1291" s="330" t="s">
        <v>46</v>
      </c>
      <c r="N1291" s="330" t="s">
        <v>47</v>
      </c>
      <c r="O1291" s="330"/>
      <c r="P1291" s="334">
        <v>1976297.05</v>
      </c>
      <c r="Q1291" s="334">
        <v>0</v>
      </c>
      <c r="R1291" s="334">
        <v>0</v>
      </c>
      <c r="S1291" s="334">
        <f>P1291-Q1291-R1291</f>
        <v>1976297.05</v>
      </c>
      <c r="T1291" s="38">
        <f>P1291/I1291</f>
        <v>2848.5111703661</v>
      </c>
      <c r="U1291" s="38">
        <v>3338.527385413664</v>
      </c>
      <c r="V1291" s="458">
        <f>W1291-T1291</f>
        <v>3366.1194162582883</v>
      </c>
      <c r="W1291" s="458">
        <f>X1291+Y1291+Z1291+AA1291+AB1291+AD1291+AF1291+AH1291+AJ1291+AL1291+AN1291+AO1291</f>
        <v>6214.6305866243883</v>
      </c>
      <c r="X1291" s="459">
        <v>0</v>
      </c>
      <c r="Y1291" s="459">
        <v>0</v>
      </c>
      <c r="Z1291" s="459">
        <v>0</v>
      </c>
      <c r="AA1291" s="459">
        <v>0</v>
      </c>
      <c r="AB1291" s="459">
        <v>0</v>
      </c>
      <c r="AC1291" s="459">
        <v>0</v>
      </c>
      <c r="AD1291" s="459">
        <v>0</v>
      </c>
      <c r="AE1291" s="459">
        <v>691.1</v>
      </c>
      <c r="AF1291" s="458">
        <f>6238.91*AE1291/I1291</f>
        <v>6214.6305866243883</v>
      </c>
      <c r="AG1291" s="459">
        <v>0</v>
      </c>
      <c r="AH1291" s="458">
        <v>0</v>
      </c>
      <c r="AI1291" s="459"/>
      <c r="AJ1291" s="458">
        <f>7439.1*AI1291/I1291</f>
        <v>0</v>
      </c>
      <c r="AK1291" s="459"/>
      <c r="AL1291" s="458">
        <f>76773.02*AK1291/I1291</f>
        <v>0</v>
      </c>
      <c r="AM1291" s="459"/>
      <c r="AN1291" s="459"/>
      <c r="AO1291" s="459"/>
      <c r="AP1291" s="250"/>
      <c r="AQ1291" s="250"/>
      <c r="AR1291" s="250"/>
      <c r="AS1291" s="250"/>
      <c r="AT1291" s="250"/>
      <c r="AU1291" s="250"/>
      <c r="AV1291" s="250"/>
      <c r="AW1291" s="250"/>
      <c r="AX1291" s="250"/>
      <c r="AY1291" s="250"/>
      <c r="AZ1291" s="250"/>
      <c r="BA1291" s="250"/>
      <c r="BB1291" s="250"/>
      <c r="BC1291" s="250"/>
      <c r="BD1291" s="250"/>
      <c r="BE1291" s="250"/>
      <c r="BF1291" s="250"/>
      <c r="BG1291" s="250"/>
      <c r="BH1291" s="250"/>
      <c r="BI1291" s="250"/>
      <c r="BJ1291" s="250"/>
      <c r="BK1291" s="250"/>
      <c r="BL1291" s="250"/>
      <c r="BM1291" s="250"/>
      <c r="BN1291" s="250"/>
      <c r="BO1291" s="250"/>
      <c r="BP1291" s="250"/>
      <c r="BQ1291" s="250"/>
      <c r="BR1291" s="250"/>
      <c r="BS1291" s="250"/>
      <c r="BT1291" s="250"/>
      <c r="BU1291" s="250"/>
      <c r="BV1291" s="250"/>
      <c r="BW1291" s="250"/>
      <c r="BX1291" s="250"/>
      <c r="BY1291" s="250"/>
      <c r="BZ1291" s="250"/>
      <c r="CA1291" s="250"/>
      <c r="CB1291" s="250"/>
      <c r="CC1291" s="250"/>
      <c r="CD1291" s="250"/>
      <c r="CE1291" s="250"/>
      <c r="CF1291" s="250"/>
      <c r="CG1291" s="250"/>
      <c r="CH1291" s="250"/>
      <c r="CI1291" s="250"/>
      <c r="CJ1291" s="250"/>
      <c r="CK1291" s="250"/>
      <c r="DH1291" s="339"/>
      <c r="DI1291" s="339"/>
      <c r="DJ1291" s="339"/>
      <c r="EG1291" s="340"/>
      <c r="FJ1291" s="341"/>
      <c r="FZ1291" s="342"/>
    </row>
    <row r="1292" spans="2:182" ht="61.5" hidden="1" x14ac:dyDescent="0.9">
      <c r="AP1292" s="16"/>
    </row>
    <row r="1293" spans="2:182" ht="61.5" hidden="1" x14ac:dyDescent="0.9">
      <c r="AP1293" s="16"/>
    </row>
    <row r="1294" spans="2:182" ht="61.5" hidden="1" x14ac:dyDescent="0.9">
      <c r="AP1294" s="16"/>
    </row>
    <row r="1295" spans="2:182" ht="61.5" hidden="1" x14ac:dyDescent="0.9">
      <c r="AP1295" s="16"/>
    </row>
    <row r="1296" spans="2:182" ht="61.5" hidden="1" x14ac:dyDescent="0.9">
      <c r="AP1296" s="16"/>
    </row>
    <row r="1297" spans="42:42" ht="61.5" hidden="1" x14ac:dyDescent="0.9">
      <c r="AP1297" s="16"/>
    </row>
    <row r="1298" spans="42:42" ht="61.5" hidden="1" x14ac:dyDescent="0.9">
      <c r="AP1298" s="16"/>
    </row>
    <row r="1299" spans="42:42" ht="61.5" hidden="1" x14ac:dyDescent="0.9">
      <c r="AP1299" s="16"/>
    </row>
    <row r="1300" spans="42:42" ht="61.5" hidden="1" x14ac:dyDescent="0.9">
      <c r="AP1300" s="16"/>
    </row>
    <row r="1301" spans="42:42" ht="61.5" hidden="1" x14ac:dyDescent="0.9">
      <c r="AP1301" s="16"/>
    </row>
    <row r="1302" spans="42:42" ht="61.5" hidden="1" x14ac:dyDescent="0.9">
      <c r="AP1302" s="16"/>
    </row>
    <row r="1303" spans="42:42" ht="61.5" hidden="1" x14ac:dyDescent="0.9">
      <c r="AP1303" s="16"/>
    </row>
    <row r="1304" spans="42:42" ht="61.5" hidden="1" x14ac:dyDescent="0.9">
      <c r="AP1304" s="16"/>
    </row>
    <row r="1305" spans="42:42" ht="61.5" hidden="1" x14ac:dyDescent="0.9">
      <c r="AP1305" s="16"/>
    </row>
    <row r="1306" spans="42:42" ht="61.5" hidden="1" x14ac:dyDescent="0.9">
      <c r="AP1306" s="16"/>
    </row>
    <row r="1307" spans="42:42" ht="61.5" hidden="1" x14ac:dyDescent="0.9">
      <c r="AP1307" s="16"/>
    </row>
    <row r="1308" spans="42:42" ht="61.5" hidden="1" x14ac:dyDescent="0.9">
      <c r="AP1308" s="16"/>
    </row>
    <row r="1309" spans="42:42" ht="61.5" hidden="1" x14ac:dyDescent="0.9">
      <c r="AP1309" s="16"/>
    </row>
    <row r="1310" spans="42:42" ht="61.5" hidden="1" x14ac:dyDescent="0.9">
      <c r="AP1310" s="16"/>
    </row>
    <row r="1311" spans="42:42" ht="61.5" hidden="1" x14ac:dyDescent="0.9">
      <c r="AP1311" s="16"/>
    </row>
    <row r="1312" spans="42:42" ht="61.5" hidden="1" x14ac:dyDescent="0.9">
      <c r="AP1312" s="16"/>
    </row>
    <row r="1313" spans="42:42" ht="61.5" hidden="1" x14ac:dyDescent="0.9">
      <c r="AP1313" s="16"/>
    </row>
    <row r="1314" spans="42:42" ht="61.5" hidden="1" x14ac:dyDescent="0.9">
      <c r="AP1314" s="16"/>
    </row>
    <row r="1315" spans="42:42" ht="61.5" hidden="1" x14ac:dyDescent="0.9">
      <c r="AP1315" s="16"/>
    </row>
    <row r="1316" spans="42:42" ht="61.5" hidden="1" x14ac:dyDescent="0.9">
      <c r="AP1316" s="16"/>
    </row>
    <row r="1317" spans="42:42" ht="61.5" hidden="1" x14ac:dyDescent="0.9">
      <c r="AP1317" s="16"/>
    </row>
    <row r="1318" spans="42:42" ht="61.5" hidden="1" x14ac:dyDescent="0.9">
      <c r="AP1318" s="16"/>
    </row>
    <row r="1319" spans="42:42" ht="61.5" hidden="1" x14ac:dyDescent="0.9">
      <c r="AP1319" s="16"/>
    </row>
    <row r="1320" spans="42:42" ht="61.5" hidden="1" x14ac:dyDescent="0.9">
      <c r="AP1320" s="16"/>
    </row>
    <row r="1321" spans="42:42" ht="61.5" hidden="1" x14ac:dyDescent="0.9">
      <c r="AP1321" s="16"/>
    </row>
    <row r="1322" spans="42:42" ht="61.5" hidden="1" x14ac:dyDescent="0.9">
      <c r="AP1322" s="16"/>
    </row>
    <row r="1323" spans="42:42" ht="61.5" hidden="1" x14ac:dyDescent="0.9">
      <c r="AP1323" s="16"/>
    </row>
    <row r="1324" spans="42:42" ht="61.5" hidden="1" x14ac:dyDescent="0.9">
      <c r="AP1324" s="16"/>
    </row>
    <row r="1325" spans="42:42" ht="61.5" hidden="1" x14ac:dyDescent="0.9">
      <c r="AP1325" s="16"/>
    </row>
    <row r="1326" spans="42:42" ht="61.5" hidden="1" x14ac:dyDescent="0.9">
      <c r="AP1326" s="16"/>
    </row>
    <row r="1327" spans="42:42" ht="61.5" hidden="1" x14ac:dyDescent="0.9">
      <c r="AP1327" s="16"/>
    </row>
    <row r="1328" spans="42:42" ht="61.5" hidden="1" x14ac:dyDescent="0.9">
      <c r="AP1328" s="16"/>
    </row>
    <row r="1329" spans="42:42" ht="61.5" hidden="1" x14ac:dyDescent="0.9">
      <c r="AP1329" s="16"/>
    </row>
    <row r="1330" spans="42:42" ht="61.5" hidden="1" x14ac:dyDescent="0.9">
      <c r="AP1330" s="16"/>
    </row>
    <row r="1331" spans="42:42" ht="61.5" hidden="1" x14ac:dyDescent="0.9">
      <c r="AP1331" s="16"/>
    </row>
    <row r="1332" spans="42:42" ht="61.5" hidden="1" x14ac:dyDescent="0.9">
      <c r="AP1332" s="16"/>
    </row>
    <row r="1333" spans="42:42" ht="61.5" hidden="1" x14ac:dyDescent="0.9">
      <c r="AP1333" s="16"/>
    </row>
    <row r="1334" spans="42:42" ht="61.5" hidden="1" x14ac:dyDescent="0.9">
      <c r="AP1334" s="16"/>
    </row>
    <row r="1335" spans="42:42" ht="61.5" hidden="1" x14ac:dyDescent="0.9">
      <c r="AP1335" s="16"/>
    </row>
    <row r="1336" spans="42:42" ht="61.5" hidden="1" x14ac:dyDescent="0.9">
      <c r="AP1336" s="16"/>
    </row>
    <row r="1337" spans="42:42" ht="61.5" hidden="1" x14ac:dyDescent="0.9">
      <c r="AP1337" s="16"/>
    </row>
    <row r="1338" spans="42:42" ht="61.5" hidden="1" x14ac:dyDescent="0.9">
      <c r="AP1338" s="16"/>
    </row>
    <row r="1339" spans="42:42" ht="61.5" hidden="1" x14ac:dyDescent="0.9">
      <c r="AP1339" s="16"/>
    </row>
    <row r="1340" spans="42:42" ht="61.5" hidden="1" x14ac:dyDescent="0.9">
      <c r="AP1340" s="16"/>
    </row>
    <row r="1341" spans="42:42" ht="61.5" hidden="1" x14ac:dyDescent="0.9">
      <c r="AP1341" s="16"/>
    </row>
    <row r="1342" spans="42:42" ht="61.5" hidden="1" x14ac:dyDescent="0.9">
      <c r="AP1342" s="16"/>
    </row>
    <row r="1343" spans="42:42" ht="61.5" hidden="1" x14ac:dyDescent="0.9">
      <c r="AP1343" s="16"/>
    </row>
    <row r="1344" spans="42:42" ht="61.5" hidden="1" x14ac:dyDescent="0.9">
      <c r="AP1344" s="16"/>
    </row>
    <row r="1345" spans="42:42" ht="61.5" hidden="1" x14ac:dyDescent="0.9">
      <c r="AP1345" s="16"/>
    </row>
    <row r="1346" spans="42:42" ht="61.5" hidden="1" x14ac:dyDescent="0.9">
      <c r="AP1346" s="16"/>
    </row>
    <row r="1347" spans="42:42" ht="61.5" hidden="1" x14ac:dyDescent="0.9">
      <c r="AP1347" s="16"/>
    </row>
    <row r="1348" spans="42:42" ht="61.5" hidden="1" x14ac:dyDescent="0.9">
      <c r="AP1348" s="16"/>
    </row>
    <row r="1349" spans="42:42" ht="61.5" hidden="1" x14ac:dyDescent="0.9">
      <c r="AP1349" s="16"/>
    </row>
    <row r="1350" spans="42:42" ht="61.5" hidden="1" x14ac:dyDescent="0.9">
      <c r="AP1350" s="16"/>
    </row>
    <row r="1351" spans="42:42" ht="61.5" hidden="1" x14ac:dyDescent="0.9">
      <c r="AP1351" s="16"/>
    </row>
    <row r="1352" spans="42:42" ht="61.5" hidden="1" x14ac:dyDescent="0.9">
      <c r="AP1352" s="16"/>
    </row>
    <row r="1353" spans="42:42" ht="61.5" hidden="1" x14ac:dyDescent="0.9">
      <c r="AP1353" s="16"/>
    </row>
    <row r="1354" spans="42:42" ht="61.5" hidden="1" x14ac:dyDescent="0.9">
      <c r="AP1354" s="16"/>
    </row>
    <row r="1355" spans="42:42" ht="61.5" hidden="1" x14ac:dyDescent="0.9">
      <c r="AP1355" s="16"/>
    </row>
    <row r="1356" spans="42:42" ht="61.5" x14ac:dyDescent="0.9">
      <c r="AP1356" s="16"/>
    </row>
    <row r="1357" spans="42:42" ht="61.5" x14ac:dyDescent="0.9">
      <c r="AP1357" s="16"/>
    </row>
    <row r="1358" spans="42:42" ht="61.5" x14ac:dyDescent="0.9">
      <c r="AP1358" s="16"/>
    </row>
    <row r="1359" spans="42:42" ht="61.5" x14ac:dyDescent="0.9">
      <c r="AP1359" s="16"/>
    </row>
    <row r="1360" spans="42:42" ht="61.5" x14ac:dyDescent="0.9">
      <c r="AP1360" s="16"/>
    </row>
    <row r="1361" spans="42:42" ht="61.5" x14ac:dyDescent="0.9">
      <c r="AP1361" s="16"/>
    </row>
    <row r="1362" spans="42:42" ht="61.5" x14ac:dyDescent="0.9">
      <c r="AP1362" s="16"/>
    </row>
    <row r="1363" spans="42:42" ht="61.5" x14ac:dyDescent="0.9">
      <c r="AP1363" s="16"/>
    </row>
    <row r="1364" spans="42:42" ht="61.5" x14ac:dyDescent="0.9">
      <c r="AP1364" s="16"/>
    </row>
    <row r="1365" spans="42:42" ht="61.5" x14ac:dyDescent="0.9">
      <c r="AP1365" s="16"/>
    </row>
    <row r="1366" spans="42:42" ht="61.5" x14ac:dyDescent="0.9">
      <c r="AP1366" s="16"/>
    </row>
    <row r="1367" spans="42:42" ht="61.5" x14ac:dyDescent="0.9">
      <c r="AP1367" s="16"/>
    </row>
    <row r="1368" spans="42:42" ht="61.5" x14ac:dyDescent="0.9">
      <c r="AP1368" s="16"/>
    </row>
    <row r="1369" spans="42:42" ht="61.5" x14ac:dyDescent="0.9">
      <c r="AP1369" s="16"/>
    </row>
    <row r="1370" spans="42:42" ht="61.5" x14ac:dyDescent="0.9">
      <c r="AP1370" s="16"/>
    </row>
    <row r="1371" spans="42:42" ht="61.5" x14ac:dyDescent="0.9">
      <c r="AP1371" s="16"/>
    </row>
    <row r="1372" spans="42:42" ht="61.5" x14ac:dyDescent="0.9">
      <c r="AP1372" s="16"/>
    </row>
    <row r="1373" spans="42:42" ht="61.5" x14ac:dyDescent="0.9">
      <c r="AP1373" s="16"/>
    </row>
    <row r="1374" spans="42:42" ht="61.5" x14ac:dyDescent="0.9">
      <c r="AP1374" s="16"/>
    </row>
    <row r="1375" spans="42:42" ht="61.5" x14ac:dyDescent="0.9">
      <c r="AP1375" s="16"/>
    </row>
    <row r="1376" spans="42:42" ht="61.5" x14ac:dyDescent="0.9">
      <c r="AP1376" s="16"/>
    </row>
    <row r="1377" spans="42:42" ht="61.5" x14ac:dyDescent="0.9">
      <c r="AP1377" s="16"/>
    </row>
    <row r="1378" spans="42:42" ht="61.5" x14ac:dyDescent="0.9">
      <c r="AP1378" s="16"/>
    </row>
    <row r="1379" spans="42:42" ht="61.5" x14ac:dyDescent="0.9">
      <c r="AP1379" s="16"/>
    </row>
    <row r="1380" spans="42:42" ht="61.5" x14ac:dyDescent="0.9">
      <c r="AP1380" s="16"/>
    </row>
    <row r="1381" spans="42:42" ht="61.5" x14ac:dyDescent="0.9">
      <c r="AP1381" s="16"/>
    </row>
    <row r="1382" spans="42:42" ht="61.5" x14ac:dyDescent="0.9">
      <c r="AP1382" s="16"/>
    </row>
    <row r="1383" spans="42:42" ht="61.5" x14ac:dyDescent="0.9">
      <c r="AP1383" s="16"/>
    </row>
    <row r="1384" spans="42:42" ht="61.5" x14ac:dyDescent="0.9">
      <c r="AP1384" s="16"/>
    </row>
    <row r="1385" spans="42:42" ht="61.5" x14ac:dyDescent="0.9">
      <c r="AP1385" s="16"/>
    </row>
    <row r="1386" spans="42:42" ht="61.5" x14ac:dyDescent="0.9">
      <c r="AP1386" s="16"/>
    </row>
    <row r="1387" spans="42:42" ht="61.5" x14ac:dyDescent="0.9">
      <c r="AP1387" s="16"/>
    </row>
    <row r="1388" spans="42:42" ht="61.5" x14ac:dyDescent="0.9">
      <c r="AP1388" s="16"/>
    </row>
    <row r="1389" spans="42:42" ht="61.5" x14ac:dyDescent="0.9">
      <c r="AP1389" s="16"/>
    </row>
    <row r="1390" spans="42:42" ht="61.5" x14ac:dyDescent="0.9">
      <c r="AP1390" s="16"/>
    </row>
    <row r="1391" spans="42:42" ht="61.5" x14ac:dyDescent="0.9">
      <c r="AP1391" s="16"/>
    </row>
    <row r="1392" spans="42:42" ht="61.5" x14ac:dyDescent="0.9">
      <c r="AP1392" s="16"/>
    </row>
    <row r="1393" spans="42:42" ht="61.5" x14ac:dyDescent="0.9">
      <c r="AP1393" s="16"/>
    </row>
    <row r="1394" spans="42:42" ht="61.5" x14ac:dyDescent="0.9">
      <c r="AP1394" s="16"/>
    </row>
    <row r="1395" spans="42:42" ht="61.5" x14ac:dyDescent="0.9">
      <c r="AP1395" s="16"/>
    </row>
    <row r="1396" spans="42:42" ht="61.5" x14ac:dyDescent="0.9">
      <c r="AP1396" s="16"/>
    </row>
    <row r="1397" spans="42:42" ht="61.5" x14ac:dyDescent="0.9">
      <c r="AP1397" s="16"/>
    </row>
    <row r="1398" spans="42:42" ht="61.5" x14ac:dyDescent="0.9">
      <c r="AP1398" s="16"/>
    </row>
    <row r="1399" spans="42:42" ht="61.5" x14ac:dyDescent="0.9">
      <c r="AP1399" s="16"/>
    </row>
    <row r="1400" spans="42:42" ht="61.5" x14ac:dyDescent="0.9">
      <c r="AP1400" s="16"/>
    </row>
    <row r="1401" spans="42:42" ht="61.5" x14ac:dyDescent="0.9">
      <c r="AP1401" s="16"/>
    </row>
    <row r="1402" spans="42:42" ht="61.5" x14ac:dyDescent="0.9">
      <c r="AP1402" s="16"/>
    </row>
    <row r="1403" spans="42:42" ht="61.5" x14ac:dyDescent="0.9">
      <c r="AP1403" s="16"/>
    </row>
    <row r="1404" spans="42:42" ht="61.5" x14ac:dyDescent="0.9">
      <c r="AP1404" s="16"/>
    </row>
    <row r="1405" spans="42:42" ht="61.5" x14ac:dyDescent="0.9">
      <c r="AP1405" s="16"/>
    </row>
    <row r="1406" spans="42:42" ht="61.5" x14ac:dyDescent="0.9">
      <c r="AP1406" s="16"/>
    </row>
    <row r="1407" spans="42:42" ht="61.5" x14ac:dyDescent="0.9">
      <c r="AP1407" s="16"/>
    </row>
    <row r="1408" spans="42:42" ht="61.5" x14ac:dyDescent="0.9">
      <c r="AP1408" s="16"/>
    </row>
    <row r="1409" spans="42:42" ht="61.5" x14ac:dyDescent="0.9">
      <c r="AP1409" s="16"/>
    </row>
    <row r="1410" spans="42:42" ht="61.5" x14ac:dyDescent="0.9">
      <c r="AP1410" s="16"/>
    </row>
    <row r="1411" spans="42:42" ht="61.5" x14ac:dyDescent="0.9">
      <c r="AP1411" s="16"/>
    </row>
    <row r="1412" spans="42:42" ht="61.5" x14ac:dyDescent="0.9">
      <c r="AP1412" s="16"/>
    </row>
    <row r="1413" spans="42:42" ht="61.5" x14ac:dyDescent="0.9">
      <c r="AP1413" s="16"/>
    </row>
    <row r="1414" spans="42:42" ht="61.5" x14ac:dyDescent="0.9">
      <c r="AP1414" s="16"/>
    </row>
    <row r="1415" spans="42:42" ht="61.5" x14ac:dyDescent="0.9">
      <c r="AP1415" s="16"/>
    </row>
    <row r="1416" spans="42:42" ht="61.5" x14ac:dyDescent="0.9">
      <c r="AP1416" s="16"/>
    </row>
    <row r="1417" spans="42:42" ht="61.5" x14ac:dyDescent="0.9">
      <c r="AP1417" s="16"/>
    </row>
    <row r="1418" spans="42:42" ht="61.5" x14ac:dyDescent="0.9">
      <c r="AP1418" s="16"/>
    </row>
    <row r="1419" spans="42:42" ht="61.5" x14ac:dyDescent="0.9">
      <c r="AP1419" s="16"/>
    </row>
    <row r="1420" spans="42:42" ht="61.5" x14ac:dyDescent="0.9">
      <c r="AP1420" s="16"/>
    </row>
    <row r="1421" spans="42:42" ht="61.5" x14ac:dyDescent="0.9">
      <c r="AP1421" s="16"/>
    </row>
    <row r="1422" spans="42:42" ht="61.5" x14ac:dyDescent="0.9">
      <c r="AP1422" s="16"/>
    </row>
    <row r="1423" spans="42:42" ht="61.5" x14ac:dyDescent="0.9">
      <c r="AP1423" s="16"/>
    </row>
    <row r="1424" spans="42:42" ht="61.5" x14ac:dyDescent="0.9">
      <c r="AP1424" s="16"/>
    </row>
    <row r="1425" spans="42:42" ht="61.5" x14ac:dyDescent="0.9">
      <c r="AP1425" s="16"/>
    </row>
    <row r="1426" spans="42:42" ht="61.5" x14ac:dyDescent="0.9">
      <c r="AP1426" s="16"/>
    </row>
    <row r="1427" spans="42:42" ht="61.5" x14ac:dyDescent="0.9">
      <c r="AP1427" s="16"/>
    </row>
    <row r="1428" spans="42:42" ht="61.5" x14ac:dyDescent="0.9">
      <c r="AP1428" s="16"/>
    </row>
    <row r="1429" spans="42:42" ht="61.5" x14ac:dyDescent="0.9">
      <c r="AP1429" s="16"/>
    </row>
    <row r="1430" spans="42:42" ht="61.5" x14ac:dyDescent="0.9">
      <c r="AP1430" s="16"/>
    </row>
    <row r="1431" spans="42:42" ht="61.5" x14ac:dyDescent="0.9">
      <c r="AP1431" s="16"/>
    </row>
    <row r="1432" spans="42:42" ht="61.5" x14ac:dyDescent="0.9">
      <c r="AP1432" s="16"/>
    </row>
    <row r="1433" spans="42:42" ht="61.5" x14ac:dyDescent="0.9">
      <c r="AP1433" s="16"/>
    </row>
    <row r="1434" spans="42:42" ht="61.5" x14ac:dyDescent="0.9">
      <c r="AP1434" s="16"/>
    </row>
    <row r="1435" spans="42:42" ht="61.5" x14ac:dyDescent="0.9">
      <c r="AP1435" s="16"/>
    </row>
    <row r="1436" spans="42:42" ht="61.5" x14ac:dyDescent="0.9">
      <c r="AP1436" s="16"/>
    </row>
    <row r="1437" spans="42:42" ht="61.5" x14ac:dyDescent="0.9">
      <c r="AP1437" s="16"/>
    </row>
    <row r="1438" spans="42:42" ht="61.5" x14ac:dyDescent="0.9">
      <c r="AP1438" s="16"/>
    </row>
    <row r="1439" spans="42:42" ht="61.5" x14ac:dyDescent="0.9">
      <c r="AP1439" s="16"/>
    </row>
    <row r="1440" spans="42:42" ht="61.5" x14ac:dyDescent="0.9">
      <c r="AP1440" s="16"/>
    </row>
    <row r="1441" spans="42:42" ht="61.5" x14ac:dyDescent="0.9">
      <c r="AP1441" s="16"/>
    </row>
    <row r="1442" spans="42:42" ht="61.5" x14ac:dyDescent="0.9">
      <c r="AP1442" s="16"/>
    </row>
    <row r="1443" spans="42:42" ht="61.5" x14ac:dyDescent="0.9">
      <c r="AP1443" s="16"/>
    </row>
    <row r="1444" spans="42:42" ht="61.5" x14ac:dyDescent="0.9">
      <c r="AP1444" s="16"/>
    </row>
    <row r="1445" spans="42:42" ht="61.5" x14ac:dyDescent="0.9">
      <c r="AP1445" s="16"/>
    </row>
    <row r="1446" spans="42:42" ht="61.5" x14ac:dyDescent="0.9">
      <c r="AP1446" s="16"/>
    </row>
    <row r="1447" spans="42:42" ht="61.5" x14ac:dyDescent="0.9">
      <c r="AP1447" s="16"/>
    </row>
    <row r="1448" spans="42:42" ht="61.5" x14ac:dyDescent="0.9">
      <c r="AP1448" s="16"/>
    </row>
    <row r="1449" spans="42:42" ht="61.5" x14ac:dyDescent="0.9">
      <c r="AP1449" s="16"/>
    </row>
    <row r="1450" spans="42:42" ht="61.5" x14ac:dyDescent="0.9">
      <c r="AP1450" s="16"/>
    </row>
    <row r="1451" spans="42:42" ht="61.5" x14ac:dyDescent="0.9">
      <c r="AP1451" s="16"/>
    </row>
    <row r="1452" spans="42:42" ht="61.5" x14ac:dyDescent="0.9">
      <c r="AP1452" s="16"/>
    </row>
    <row r="1453" spans="42:42" ht="61.5" x14ac:dyDescent="0.9">
      <c r="AP1453" s="16"/>
    </row>
    <row r="1454" spans="42:42" ht="61.5" x14ac:dyDescent="0.9">
      <c r="AP1454" s="16"/>
    </row>
    <row r="1455" spans="42:42" ht="61.5" x14ac:dyDescent="0.9">
      <c r="AP1455" s="16"/>
    </row>
    <row r="1456" spans="42:42" ht="61.5" x14ac:dyDescent="0.9">
      <c r="AP1456" s="16"/>
    </row>
    <row r="1457" spans="42:42" ht="61.5" x14ac:dyDescent="0.9">
      <c r="AP1457" s="16"/>
    </row>
    <row r="1458" spans="42:42" ht="61.5" x14ac:dyDescent="0.9">
      <c r="AP1458" s="16"/>
    </row>
    <row r="1459" spans="42:42" ht="61.5" x14ac:dyDescent="0.9">
      <c r="AP1459" s="16"/>
    </row>
    <row r="1460" spans="42:42" ht="61.5" x14ac:dyDescent="0.9">
      <c r="AP1460" s="16"/>
    </row>
    <row r="1461" spans="42:42" ht="61.5" x14ac:dyDescent="0.9">
      <c r="AP1461" s="16"/>
    </row>
    <row r="1462" spans="42:42" ht="61.5" x14ac:dyDescent="0.9">
      <c r="AP1462" s="16"/>
    </row>
    <row r="1463" spans="42:42" ht="61.5" x14ac:dyDescent="0.9">
      <c r="AP1463" s="16"/>
    </row>
    <row r="1464" spans="42:42" ht="61.5" x14ac:dyDescent="0.9">
      <c r="AP1464" s="16"/>
    </row>
    <row r="1465" spans="42:42" ht="61.5" x14ac:dyDescent="0.9">
      <c r="AP1465" s="16"/>
    </row>
    <row r="1466" spans="42:42" ht="61.5" x14ac:dyDescent="0.9">
      <c r="AP1466" s="16"/>
    </row>
    <row r="1467" spans="42:42" ht="61.5" x14ac:dyDescent="0.9">
      <c r="AP1467" s="16"/>
    </row>
    <row r="1468" spans="42:42" ht="61.5" x14ac:dyDescent="0.9">
      <c r="AP1468" s="16"/>
    </row>
    <row r="1469" spans="42:42" ht="61.5" x14ac:dyDescent="0.9">
      <c r="AP1469" s="16"/>
    </row>
    <row r="1470" spans="42:42" ht="61.5" x14ac:dyDescent="0.9">
      <c r="AP1470" s="16"/>
    </row>
    <row r="1471" spans="42:42" ht="61.5" x14ac:dyDescent="0.9">
      <c r="AP1471" s="16"/>
    </row>
    <row r="1472" spans="42:42" ht="61.5" x14ac:dyDescent="0.9">
      <c r="AP1472" s="16"/>
    </row>
    <row r="1473" spans="42:42" ht="61.5" x14ac:dyDescent="0.9">
      <c r="AP1473" s="16"/>
    </row>
    <row r="1474" spans="42:42" ht="61.5" x14ac:dyDescent="0.9">
      <c r="AP1474" s="16"/>
    </row>
    <row r="1475" spans="42:42" ht="61.5" x14ac:dyDescent="0.9">
      <c r="AP1475" s="16"/>
    </row>
    <row r="1476" spans="42:42" ht="61.5" x14ac:dyDescent="0.9">
      <c r="AP1476" s="16"/>
    </row>
    <row r="1477" spans="42:42" ht="61.5" x14ac:dyDescent="0.9">
      <c r="AP1477" s="16"/>
    </row>
    <row r="1478" spans="42:42" ht="61.5" x14ac:dyDescent="0.9">
      <c r="AP1478" s="16"/>
    </row>
    <row r="1479" spans="42:42" ht="61.5" x14ac:dyDescent="0.9">
      <c r="AP1479" s="16"/>
    </row>
    <row r="1480" spans="42:42" ht="61.5" x14ac:dyDescent="0.9">
      <c r="AP1480" s="16"/>
    </row>
    <row r="1481" spans="42:42" ht="61.5" x14ac:dyDescent="0.9">
      <c r="AP1481" s="16"/>
    </row>
    <row r="1482" spans="42:42" ht="61.5" x14ac:dyDescent="0.9">
      <c r="AP1482" s="16"/>
    </row>
    <row r="1483" spans="42:42" ht="61.5" x14ac:dyDescent="0.9">
      <c r="AP1483" s="16"/>
    </row>
    <row r="1484" spans="42:42" ht="61.5" x14ac:dyDescent="0.9">
      <c r="AP1484" s="16"/>
    </row>
    <row r="1485" spans="42:42" ht="61.5" x14ac:dyDescent="0.9">
      <c r="AP1485" s="16"/>
    </row>
    <row r="1486" spans="42:42" ht="61.5" x14ac:dyDescent="0.9">
      <c r="AP1486" s="16"/>
    </row>
    <row r="1487" spans="42:42" ht="61.5" x14ac:dyDescent="0.9">
      <c r="AP1487" s="16"/>
    </row>
    <row r="1488" spans="42:42" ht="61.5" x14ac:dyDescent="0.9">
      <c r="AP1488" s="16"/>
    </row>
  </sheetData>
  <autoFilter ref="A15:HM1291"/>
  <mergeCells count="30">
    <mergeCell ref="B1274:U1274"/>
    <mergeCell ref="B1275:C1275"/>
    <mergeCell ref="B1282:U1282"/>
    <mergeCell ref="B1283:C1283"/>
    <mergeCell ref="T8:T10"/>
    <mergeCell ref="U8:U10"/>
    <mergeCell ref="D9:D11"/>
    <mergeCell ref="E9:E11"/>
    <mergeCell ref="J9:J10"/>
    <mergeCell ref="K9:K10"/>
    <mergeCell ref="P9:P10"/>
    <mergeCell ref="Q9:Q10"/>
    <mergeCell ref="R9:R10"/>
    <mergeCell ref="S9:S10"/>
    <mergeCell ref="J8:K8"/>
    <mergeCell ref="L8:L10"/>
    <mergeCell ref="M8:M11"/>
    <mergeCell ref="N8:N11"/>
    <mergeCell ref="O8:O11"/>
    <mergeCell ref="P8:S8"/>
    <mergeCell ref="S1:U1"/>
    <mergeCell ref="O2:U3"/>
    <mergeCell ref="B4:U6"/>
    <mergeCell ref="B8:B11"/>
    <mergeCell ref="C8:C11"/>
    <mergeCell ref="D8:E8"/>
    <mergeCell ref="F8:F11"/>
    <mergeCell ref="G8:G11"/>
    <mergeCell ref="H8:H11"/>
    <mergeCell ref="I8:I10"/>
  </mergeCells>
  <printOptions horizontalCentered="1"/>
  <pageMargins left="0" right="0" top="0.39370078740157483" bottom="0" header="0" footer="0"/>
  <pageSetup paperSize="9" scale="16" fitToHeight="0" orientation="landscape" r:id="rId1"/>
  <headerFooter differentFirst="1">
    <oddHeader>&amp;C&amp;"Times New Roman,обычный"&amp;20&amp;P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5"/>
  <sheetViews>
    <sheetView view="pageBreakPreview" topLeftCell="A19" zoomScale="60" zoomScaleNormal="60" workbookViewId="0">
      <selection activeCell="C38" sqref="C38"/>
    </sheetView>
  </sheetViews>
  <sheetFormatPr defaultRowHeight="15" x14ac:dyDescent="0.25"/>
  <cols>
    <col min="1" max="1" width="28.7109375" customWidth="1"/>
    <col min="2" max="2" width="43.42578125" customWidth="1"/>
    <col min="3" max="3" width="52.7109375" customWidth="1"/>
    <col min="4" max="4" width="0" hidden="1" customWidth="1"/>
    <col min="5" max="5" width="14" hidden="1" customWidth="1"/>
    <col min="7" max="7" width="12" customWidth="1"/>
    <col min="9" max="9" width="21.7109375" customWidth="1"/>
    <col min="11" max="11" width="20.5703125" customWidth="1"/>
    <col min="12" max="12" width="23.42578125" customWidth="1"/>
  </cols>
  <sheetData>
    <row r="1" spans="1:5" ht="18.75" x14ac:dyDescent="0.3">
      <c r="A1" s="353"/>
      <c r="B1" s="353"/>
      <c r="C1" s="354" t="s">
        <v>2204</v>
      </c>
    </row>
    <row r="2" spans="1:5" ht="63.75" customHeight="1" x14ac:dyDescent="0.25">
      <c r="A2" s="355" t="s">
        <v>2205</v>
      </c>
      <c r="B2" s="355"/>
      <c r="C2" s="355"/>
    </row>
    <row r="3" spans="1:5" ht="41.45" customHeight="1" x14ac:dyDescent="0.25">
      <c r="A3" s="356" t="s">
        <v>2206</v>
      </c>
      <c r="B3" s="357"/>
      <c r="C3" s="358"/>
    </row>
    <row r="4" spans="1:5" ht="18.75" customHeight="1" x14ac:dyDescent="0.25">
      <c r="A4" s="356" t="s">
        <v>2207</v>
      </c>
      <c r="B4" s="358"/>
      <c r="C4" s="359" t="s">
        <v>2208</v>
      </c>
    </row>
    <row r="5" spans="1:5" ht="18.75" x14ac:dyDescent="0.3">
      <c r="A5" s="360" t="s">
        <v>2209</v>
      </c>
      <c r="B5" s="361"/>
      <c r="C5" s="362">
        <f>[1]Перечень!P14</f>
        <v>1112243634.7800002</v>
      </c>
    </row>
    <row r="6" spans="1:5" ht="37.5" customHeight="1" x14ac:dyDescent="0.3">
      <c r="A6" s="360" t="s">
        <v>2210</v>
      </c>
      <c r="B6" s="361"/>
      <c r="C6" s="362">
        <v>0</v>
      </c>
    </row>
    <row r="7" spans="1:5" ht="18.75" x14ac:dyDescent="0.3">
      <c r="A7" s="360" t="s">
        <v>2211</v>
      </c>
      <c r="B7" s="361"/>
      <c r="C7" s="362">
        <f>[1]Перечень!Q14</f>
        <v>0</v>
      </c>
    </row>
    <row r="8" spans="1:5" ht="18.75" x14ac:dyDescent="0.3">
      <c r="A8" s="360" t="s">
        <v>2212</v>
      </c>
      <c r="B8" s="361"/>
      <c r="C8" s="362">
        <f>[1]Перечень!R14</f>
        <v>2908349.77</v>
      </c>
      <c r="D8">
        <v>4344514.92</v>
      </c>
      <c r="E8" s="363">
        <v>746895.1400000006</v>
      </c>
    </row>
    <row r="9" spans="1:5" ht="18.75" customHeight="1" x14ac:dyDescent="0.3">
      <c r="A9" s="360" t="s">
        <v>2213</v>
      </c>
      <c r="B9" s="361"/>
      <c r="C9" s="362">
        <f>C5-C6-C7-C8</f>
        <v>1109335285.0100002</v>
      </c>
    </row>
    <row r="10" spans="1:5" ht="43.9" customHeight="1" x14ac:dyDescent="0.25">
      <c r="A10" s="356" t="s">
        <v>2206</v>
      </c>
      <c r="B10" s="357"/>
      <c r="C10" s="358"/>
    </row>
    <row r="11" spans="1:5" ht="18.75" customHeight="1" x14ac:dyDescent="0.25">
      <c r="A11" s="356" t="s">
        <v>2207</v>
      </c>
      <c r="B11" s="358"/>
      <c r="C11" s="359" t="s">
        <v>2214</v>
      </c>
    </row>
    <row r="12" spans="1:5" ht="18.75" x14ac:dyDescent="0.3">
      <c r="A12" s="360" t="s">
        <v>2209</v>
      </c>
      <c r="B12" s="361"/>
      <c r="C12" s="362">
        <f>[1]Перечень!P550</f>
        <v>1363886777.0699999</v>
      </c>
    </row>
    <row r="13" spans="1:5" ht="33.75" customHeight="1" x14ac:dyDescent="0.3">
      <c r="A13" s="360" t="s">
        <v>2210</v>
      </c>
      <c r="B13" s="361"/>
      <c r="C13" s="362">
        <v>0</v>
      </c>
    </row>
    <row r="14" spans="1:5" ht="18.75" x14ac:dyDescent="0.3">
      <c r="A14" s="360" t="s">
        <v>2211</v>
      </c>
      <c r="B14" s="361"/>
      <c r="C14" s="362">
        <f>[1]Перечень!Q550</f>
        <v>0</v>
      </c>
    </row>
    <row r="15" spans="1:5" ht="18.75" x14ac:dyDescent="0.3">
      <c r="A15" s="360" t="s">
        <v>2212</v>
      </c>
      <c r="B15" s="361"/>
      <c r="C15" s="362">
        <f>[1]Перечень!R550</f>
        <v>3015567.51</v>
      </c>
    </row>
    <row r="16" spans="1:5" ht="18.75" customHeight="1" x14ac:dyDescent="0.3">
      <c r="A16" s="360" t="s">
        <v>2213</v>
      </c>
      <c r="B16" s="361"/>
      <c r="C16" s="362">
        <f>C12-C13-C14-C15</f>
        <v>1360871209.5599999</v>
      </c>
    </row>
    <row r="17" spans="1:3" ht="39.75" customHeight="1" x14ac:dyDescent="0.25">
      <c r="A17" s="356" t="s">
        <v>2206</v>
      </c>
      <c r="B17" s="357"/>
      <c r="C17" s="358"/>
    </row>
    <row r="18" spans="1:3" ht="18.75" customHeight="1" x14ac:dyDescent="0.25">
      <c r="A18" s="356" t="s">
        <v>2207</v>
      </c>
      <c r="B18" s="358"/>
      <c r="C18" s="359" t="s">
        <v>2215</v>
      </c>
    </row>
    <row r="19" spans="1:3" ht="18.75" x14ac:dyDescent="0.3">
      <c r="A19" s="360" t="s">
        <v>2209</v>
      </c>
      <c r="B19" s="361"/>
      <c r="C19" s="362">
        <f>[1]Перечень!P998</f>
        <v>814479561.79999995</v>
      </c>
    </row>
    <row r="20" spans="1:3" ht="41.25" customHeight="1" x14ac:dyDescent="0.3">
      <c r="A20" s="360" t="s">
        <v>2210</v>
      </c>
      <c r="B20" s="361"/>
      <c r="C20" s="362">
        <v>0</v>
      </c>
    </row>
    <row r="21" spans="1:3" ht="18.75" x14ac:dyDescent="0.3">
      <c r="A21" s="360" t="s">
        <v>2211</v>
      </c>
      <c r="B21" s="361"/>
      <c r="C21" s="362">
        <f>[1]Перечень!Q998</f>
        <v>0</v>
      </c>
    </row>
    <row r="22" spans="1:3" ht="18.75" x14ac:dyDescent="0.3">
      <c r="A22" s="360" t="s">
        <v>2212</v>
      </c>
      <c r="B22" s="361"/>
      <c r="C22" s="362">
        <f>[1]Перечень!R998</f>
        <v>1851570.68</v>
      </c>
    </row>
    <row r="23" spans="1:3" ht="18.75" customHeight="1" x14ac:dyDescent="0.3">
      <c r="A23" s="360" t="s">
        <v>2213</v>
      </c>
      <c r="B23" s="361"/>
      <c r="C23" s="362">
        <f>C19-C20-C21-C22</f>
        <v>812627991.12</v>
      </c>
    </row>
    <row r="24" spans="1:3" ht="81.75" customHeight="1" x14ac:dyDescent="0.25">
      <c r="A24" s="356" t="s">
        <v>2216</v>
      </c>
      <c r="B24" s="357"/>
      <c r="C24" s="358"/>
    </row>
    <row r="25" spans="1:3" ht="18.75" customHeight="1" x14ac:dyDescent="0.25">
      <c r="A25" s="356" t="s">
        <v>2207</v>
      </c>
      <c r="B25" s="358"/>
      <c r="C25" s="359" t="s">
        <v>2208</v>
      </c>
    </row>
    <row r="26" spans="1:3" ht="18.75" x14ac:dyDescent="0.3">
      <c r="A26" s="360" t="s">
        <v>2211</v>
      </c>
      <c r="B26" s="361"/>
      <c r="C26" s="362">
        <v>28865700</v>
      </c>
    </row>
    <row r="27" spans="1:3" s="364" customFormat="1" ht="23.25" customHeight="1" x14ac:dyDescent="0.3">
      <c r="A27" s="360" t="s">
        <v>2217</v>
      </c>
      <c r="B27" s="361"/>
      <c r="C27" s="362">
        <f>C26-[1]Перечень!Q1275</f>
        <v>24266154.609999999</v>
      </c>
    </row>
    <row r="28" spans="1:3" s="364" customFormat="1" ht="23.25" customHeight="1" x14ac:dyDescent="0.3">
      <c r="A28" s="360" t="s">
        <v>2212</v>
      </c>
      <c r="B28" s="361"/>
      <c r="C28" s="362">
        <f>[1]Перечень!R1275</f>
        <v>1178018</v>
      </c>
    </row>
    <row r="29" spans="1:3" s="364" customFormat="1" ht="27" customHeight="1" x14ac:dyDescent="0.3">
      <c r="A29" s="360" t="s">
        <v>2213</v>
      </c>
      <c r="B29" s="361"/>
      <c r="C29" s="362">
        <f>[1]Перечень!S1275</f>
        <v>1256638.3399999999</v>
      </c>
    </row>
    <row r="30" spans="1:3" ht="82.5" customHeight="1" x14ac:dyDescent="0.25">
      <c r="A30" s="356" t="s">
        <v>2218</v>
      </c>
      <c r="B30" s="357"/>
      <c r="C30" s="358"/>
    </row>
    <row r="31" spans="1:3" ht="18.75" customHeight="1" x14ac:dyDescent="0.25">
      <c r="A31" s="356" t="s">
        <v>2207</v>
      </c>
      <c r="B31" s="358"/>
      <c r="C31" s="359" t="s">
        <v>2214</v>
      </c>
    </row>
    <row r="32" spans="1:3" ht="18.75" x14ac:dyDescent="0.3">
      <c r="A32" s="360" t="s">
        <v>2211</v>
      </c>
      <c r="B32" s="361"/>
      <c r="C32" s="362">
        <v>28826300</v>
      </c>
    </row>
    <row r="33" spans="1:5" ht="81" customHeight="1" x14ac:dyDescent="0.25">
      <c r="A33" s="356" t="s">
        <v>2216</v>
      </c>
      <c r="B33" s="357"/>
      <c r="C33" s="358"/>
    </row>
    <row r="34" spans="1:5" ht="18.75" customHeight="1" x14ac:dyDescent="0.25">
      <c r="A34" s="356" t="s">
        <v>2207</v>
      </c>
      <c r="B34" s="358"/>
      <c r="C34" s="359" t="s">
        <v>2215</v>
      </c>
    </row>
    <row r="35" spans="1:5" ht="18.75" x14ac:dyDescent="0.3">
      <c r="A35" s="360" t="s">
        <v>2211</v>
      </c>
      <c r="B35" s="361"/>
      <c r="C35" s="362">
        <v>28058900</v>
      </c>
    </row>
    <row r="36" spans="1:5" ht="81" customHeight="1" x14ac:dyDescent="0.25">
      <c r="A36" s="356" t="s">
        <v>2216</v>
      </c>
      <c r="B36" s="357"/>
      <c r="C36" s="358"/>
    </row>
    <row r="37" spans="1:5" ht="18.75" customHeight="1" x14ac:dyDescent="0.25">
      <c r="A37" s="356" t="s">
        <v>2207</v>
      </c>
      <c r="B37" s="358"/>
      <c r="C37" s="359" t="s">
        <v>2219</v>
      </c>
    </row>
    <row r="38" spans="1:5" ht="18.75" x14ac:dyDescent="0.3">
      <c r="A38" s="360" t="s">
        <v>2211</v>
      </c>
      <c r="B38" s="361"/>
      <c r="C38" s="362">
        <v>28058900</v>
      </c>
    </row>
    <row r="39" spans="1:5" ht="81.75" customHeight="1" x14ac:dyDescent="0.25">
      <c r="A39" s="356" t="s">
        <v>2220</v>
      </c>
      <c r="B39" s="357"/>
      <c r="C39" s="358"/>
    </row>
    <row r="40" spans="1:5" ht="18.75" customHeight="1" x14ac:dyDescent="0.25">
      <c r="A40" s="356" t="s">
        <v>2207</v>
      </c>
      <c r="B40" s="358"/>
      <c r="C40" s="359" t="s">
        <v>2208</v>
      </c>
    </row>
    <row r="41" spans="1:5" ht="18.75" x14ac:dyDescent="0.3">
      <c r="A41" s="360" t="s">
        <v>2209</v>
      </c>
      <c r="B41" s="361"/>
      <c r="C41" s="362">
        <f>[1]Реестр!F1290</f>
        <v>17442384.330000002</v>
      </c>
    </row>
    <row r="42" spans="1:5" ht="37.5" customHeight="1" x14ac:dyDescent="0.3">
      <c r="A42" s="360" t="s">
        <v>2210</v>
      </c>
      <c r="B42" s="361"/>
      <c r="C42" s="362">
        <v>0</v>
      </c>
    </row>
    <row r="43" spans="1:5" ht="18.75" x14ac:dyDescent="0.3">
      <c r="A43" s="360" t="s">
        <v>2211</v>
      </c>
      <c r="B43" s="361"/>
      <c r="C43" s="362">
        <f>[1]Перечень!Q47</f>
        <v>0</v>
      </c>
    </row>
    <row r="44" spans="1:5" ht="18.75" x14ac:dyDescent="0.3">
      <c r="A44" s="360" t="s">
        <v>2212</v>
      </c>
      <c r="B44" s="361"/>
      <c r="C44" s="362">
        <f>[1]Перечень!R47</f>
        <v>0</v>
      </c>
      <c r="D44">
        <v>4344514.92</v>
      </c>
      <c r="E44" s="363">
        <v>746895.1400000006</v>
      </c>
    </row>
    <row r="45" spans="1:5" ht="18.75" customHeight="1" x14ac:dyDescent="0.3">
      <c r="A45" s="360" t="s">
        <v>2213</v>
      </c>
      <c r="B45" s="361"/>
      <c r="C45" s="362">
        <f>C41-C42-C43-C44</f>
        <v>17442384.330000002</v>
      </c>
    </row>
  </sheetData>
  <mergeCells count="44">
    <mergeCell ref="A44:B44"/>
    <mergeCell ref="A45:B45"/>
    <mergeCell ref="A38:B38"/>
    <mergeCell ref="A39:C39"/>
    <mergeCell ref="A40:B40"/>
    <mergeCell ref="A41:B41"/>
    <mergeCell ref="A42:B42"/>
    <mergeCell ref="A43:B43"/>
    <mergeCell ref="A32:B32"/>
    <mergeCell ref="A33:C33"/>
    <mergeCell ref="A34:B34"/>
    <mergeCell ref="A35:B35"/>
    <mergeCell ref="A36:C36"/>
    <mergeCell ref="A37:B37"/>
    <mergeCell ref="A26:B26"/>
    <mergeCell ref="A27:B27"/>
    <mergeCell ref="A28:B28"/>
    <mergeCell ref="A29:B29"/>
    <mergeCell ref="A30:C30"/>
    <mergeCell ref="A31:B31"/>
    <mergeCell ref="A20:B20"/>
    <mergeCell ref="A21:B21"/>
    <mergeCell ref="A22:B22"/>
    <mergeCell ref="A23:B23"/>
    <mergeCell ref="A24:C24"/>
    <mergeCell ref="A25:B25"/>
    <mergeCell ref="A14:B14"/>
    <mergeCell ref="A15:B15"/>
    <mergeCell ref="A16:B16"/>
    <mergeCell ref="A17:C17"/>
    <mergeCell ref="A18:B18"/>
    <mergeCell ref="A19:B19"/>
    <mergeCell ref="A8:B8"/>
    <mergeCell ref="A9:B9"/>
    <mergeCell ref="A10:C10"/>
    <mergeCell ref="A11:B11"/>
    <mergeCell ref="A12:B12"/>
    <mergeCell ref="A13:B13"/>
    <mergeCell ref="A2:C2"/>
    <mergeCell ref="A3:C3"/>
    <mergeCell ref="A4:B4"/>
    <mergeCell ref="A5:B5"/>
    <mergeCell ref="A6:B6"/>
    <mergeCell ref="A7:B7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5"/>
  <sheetViews>
    <sheetView zoomScale="70" zoomScaleNormal="70" workbookViewId="0">
      <selection activeCell="F146" sqref="F146:F203"/>
    </sheetView>
  </sheetViews>
  <sheetFormatPr defaultRowHeight="15" x14ac:dyDescent="0.25"/>
  <cols>
    <col min="1" max="1" width="9" style="1" customWidth="1"/>
    <col min="2" max="2" width="81" style="1" customWidth="1"/>
    <col min="3" max="3" width="23.85546875" style="1" customWidth="1"/>
    <col min="4" max="4" width="32.28515625" style="1" customWidth="1"/>
    <col min="5" max="5" width="22.140625" style="1" customWidth="1"/>
    <col min="6" max="6" width="28.85546875" style="1" customWidth="1"/>
    <col min="7" max="7" width="9.140625" style="1"/>
    <col min="8" max="8" width="0" style="1" hidden="1" customWidth="1"/>
    <col min="9" max="9" width="16.28515625" style="1" hidden="1" customWidth="1"/>
    <col min="10" max="10" width="0" style="1" hidden="1" customWidth="1"/>
    <col min="11" max="11" width="17" style="1" customWidth="1"/>
    <col min="12" max="12" width="11.7109375" style="1" bestFit="1" customWidth="1"/>
    <col min="13" max="13" width="16.85546875" style="1" bestFit="1" customWidth="1"/>
    <col min="14" max="14" width="11.85546875" style="1" bestFit="1" customWidth="1"/>
    <col min="15" max="15" width="16.85546875" style="1" bestFit="1" customWidth="1"/>
    <col min="16" max="16384" width="9.140625" style="1"/>
  </cols>
  <sheetData>
    <row r="1" spans="1:15" ht="20.25" x14ac:dyDescent="0.25">
      <c r="A1" s="365"/>
      <c r="B1" s="365"/>
      <c r="C1" s="365"/>
      <c r="D1" s="365"/>
      <c r="E1" s="366" t="s">
        <v>2221</v>
      </c>
      <c r="F1" s="366"/>
    </row>
    <row r="2" spans="1:15" ht="95.25" customHeight="1" x14ac:dyDescent="0.25">
      <c r="B2" s="367"/>
      <c r="C2" s="367"/>
      <c r="D2" s="368" t="s">
        <v>2222</v>
      </c>
      <c r="E2" s="368"/>
      <c r="F2" s="368"/>
    </row>
    <row r="3" spans="1:15" x14ac:dyDescent="0.25">
      <c r="A3" s="369" t="s">
        <v>2223</v>
      </c>
      <c r="B3" s="369"/>
      <c r="C3" s="369"/>
      <c r="D3" s="369"/>
      <c r="E3" s="369"/>
      <c r="F3" s="369"/>
    </row>
    <row r="4" spans="1:15" ht="93" customHeight="1" x14ac:dyDescent="0.25">
      <c r="A4" s="369"/>
      <c r="B4" s="369"/>
      <c r="C4" s="369"/>
      <c r="D4" s="369"/>
      <c r="E4" s="369"/>
      <c r="F4" s="369"/>
    </row>
    <row r="5" spans="1:15" x14ac:dyDescent="0.25">
      <c r="A5" s="370" t="s">
        <v>0</v>
      </c>
      <c r="B5" s="371" t="s">
        <v>85</v>
      </c>
      <c r="C5" s="370" t="s">
        <v>86</v>
      </c>
      <c r="D5" s="370" t="s">
        <v>2224</v>
      </c>
      <c r="E5" s="370" t="s">
        <v>87</v>
      </c>
      <c r="F5" s="370" t="s">
        <v>88</v>
      </c>
    </row>
    <row r="6" spans="1:15" x14ac:dyDescent="0.25">
      <c r="A6" s="372"/>
      <c r="B6" s="373"/>
      <c r="C6" s="374"/>
      <c r="D6" s="374"/>
      <c r="E6" s="374"/>
      <c r="F6" s="374"/>
    </row>
    <row r="7" spans="1:15" ht="101.25" customHeight="1" x14ac:dyDescent="0.25">
      <c r="A7" s="372"/>
      <c r="B7" s="373"/>
      <c r="C7" s="375"/>
      <c r="D7" s="375"/>
      <c r="E7" s="375"/>
      <c r="F7" s="375"/>
    </row>
    <row r="8" spans="1:15" ht="20.25" x14ac:dyDescent="0.3">
      <c r="A8" s="376"/>
      <c r="B8" s="377"/>
      <c r="C8" s="378" t="s">
        <v>89</v>
      </c>
      <c r="D8" s="378" t="s">
        <v>44</v>
      </c>
      <c r="E8" s="379" t="s">
        <v>28</v>
      </c>
      <c r="F8" s="379" t="s">
        <v>27</v>
      </c>
    </row>
    <row r="9" spans="1:15" ht="20.25" x14ac:dyDescent="0.3">
      <c r="A9" s="380">
        <v>1</v>
      </c>
      <c r="B9" s="380">
        <v>2</v>
      </c>
      <c r="C9" s="380">
        <v>3</v>
      </c>
      <c r="D9" s="380">
        <v>4</v>
      </c>
      <c r="E9" s="380">
        <v>5</v>
      </c>
      <c r="F9" s="380">
        <v>6</v>
      </c>
    </row>
    <row r="10" spans="1:15" ht="20.25" x14ac:dyDescent="0.3">
      <c r="A10" s="381" t="s">
        <v>910</v>
      </c>
      <c r="B10" s="382"/>
      <c r="C10" s="383">
        <f>C11+C79+C145</f>
        <v>2650998.37</v>
      </c>
      <c r="D10" s="384">
        <f>D11+D79+D145</f>
        <v>101914</v>
      </c>
      <c r="E10" s="384">
        <f>E11+E79+E145</f>
        <v>1067</v>
      </c>
      <c r="F10" s="383">
        <f>F11+F79+F145</f>
        <v>3290609973.6499996</v>
      </c>
      <c r="K10" s="385"/>
      <c r="M10" s="385"/>
      <c r="N10" s="385"/>
      <c r="O10" s="385"/>
    </row>
    <row r="11" spans="1:15" ht="20.25" x14ac:dyDescent="0.3">
      <c r="A11" s="381" t="s">
        <v>911</v>
      </c>
      <c r="B11" s="382"/>
      <c r="C11" s="383">
        <f>SUM(C12:C78)</f>
        <v>1283189.7000000002</v>
      </c>
      <c r="D11" s="384">
        <f>SUM(D12:D78)</f>
        <v>49251</v>
      </c>
      <c r="E11" s="384">
        <f>SUM(E12:E78)</f>
        <v>468</v>
      </c>
      <c r="F11" s="383">
        <f>SUM(F12:F78)</f>
        <v>1112243634.78</v>
      </c>
      <c r="K11" s="385"/>
    </row>
    <row r="12" spans="1:15" ht="20.25" x14ac:dyDescent="0.3">
      <c r="A12" s="386">
        <v>1</v>
      </c>
      <c r="B12" s="381" t="s">
        <v>2225</v>
      </c>
      <c r="C12" s="383">
        <v>362242.11000000022</v>
      </c>
      <c r="D12" s="384">
        <v>13536</v>
      </c>
      <c r="E12" s="387">
        <v>104</v>
      </c>
      <c r="F12" s="388">
        <v>278633187.87000012</v>
      </c>
    </row>
    <row r="13" spans="1:15" ht="20.25" x14ac:dyDescent="0.3">
      <c r="A13" s="386">
        <v>2</v>
      </c>
      <c r="B13" s="381" t="s">
        <v>2226</v>
      </c>
      <c r="C13" s="383">
        <v>55241.1</v>
      </c>
      <c r="D13" s="384">
        <v>2194</v>
      </c>
      <c r="E13" s="387">
        <v>30</v>
      </c>
      <c r="F13" s="388">
        <v>52540905.469999999</v>
      </c>
    </row>
    <row r="14" spans="1:15" ht="20.25" x14ac:dyDescent="0.3">
      <c r="A14" s="386">
        <v>3</v>
      </c>
      <c r="B14" s="381" t="s">
        <v>2227</v>
      </c>
      <c r="C14" s="388">
        <v>122338.65999999997</v>
      </c>
      <c r="D14" s="387">
        <v>4539</v>
      </c>
      <c r="E14" s="387">
        <v>45</v>
      </c>
      <c r="F14" s="388">
        <v>115734825.99000001</v>
      </c>
    </row>
    <row r="15" spans="1:15" ht="20.25" x14ac:dyDescent="0.3">
      <c r="A15" s="386">
        <v>4</v>
      </c>
      <c r="B15" s="381" t="s">
        <v>157</v>
      </c>
      <c r="C15" s="388">
        <v>220850.80000000002</v>
      </c>
      <c r="D15" s="387">
        <v>7973</v>
      </c>
      <c r="E15" s="387">
        <v>37</v>
      </c>
      <c r="F15" s="388">
        <v>137725231.69</v>
      </c>
    </row>
    <row r="16" spans="1:15" ht="20.25" x14ac:dyDescent="0.3">
      <c r="A16" s="386">
        <v>5</v>
      </c>
      <c r="B16" s="381" t="s">
        <v>2228</v>
      </c>
      <c r="C16" s="383">
        <v>38189.1</v>
      </c>
      <c r="D16" s="384">
        <v>1569</v>
      </c>
      <c r="E16" s="387">
        <v>5</v>
      </c>
      <c r="F16" s="388">
        <v>11570369.789999999</v>
      </c>
    </row>
    <row r="17" spans="1:6" ht="20.25" x14ac:dyDescent="0.3">
      <c r="A17" s="386">
        <v>6</v>
      </c>
      <c r="B17" s="381" t="s">
        <v>132</v>
      </c>
      <c r="C17" s="388">
        <v>91721.91</v>
      </c>
      <c r="D17" s="387">
        <v>3374</v>
      </c>
      <c r="E17" s="387">
        <v>26</v>
      </c>
      <c r="F17" s="388">
        <v>66002186.390000001</v>
      </c>
    </row>
    <row r="18" spans="1:6" ht="20.25" x14ac:dyDescent="0.3">
      <c r="A18" s="386">
        <v>7</v>
      </c>
      <c r="B18" s="381" t="s">
        <v>133</v>
      </c>
      <c r="C18" s="388">
        <v>29543.5</v>
      </c>
      <c r="D18" s="387">
        <v>855</v>
      </c>
      <c r="E18" s="387">
        <v>5</v>
      </c>
      <c r="F18" s="388">
        <v>14114868.93</v>
      </c>
    </row>
    <row r="19" spans="1:6" ht="20.25" x14ac:dyDescent="0.3">
      <c r="A19" s="386">
        <v>8</v>
      </c>
      <c r="B19" s="381" t="s">
        <v>2229</v>
      </c>
      <c r="C19" s="388">
        <v>10662.800000000001</v>
      </c>
      <c r="D19" s="387">
        <v>403</v>
      </c>
      <c r="E19" s="387">
        <v>6</v>
      </c>
      <c r="F19" s="388">
        <v>30991355.739999995</v>
      </c>
    </row>
    <row r="20" spans="1:6" ht="20.25" x14ac:dyDescent="0.3">
      <c r="A20" s="386">
        <v>9</v>
      </c>
      <c r="B20" s="381" t="s">
        <v>2230</v>
      </c>
      <c r="C20" s="388">
        <v>14970.710000000001</v>
      </c>
      <c r="D20" s="387">
        <v>518</v>
      </c>
      <c r="E20" s="387">
        <v>4</v>
      </c>
      <c r="F20" s="388">
        <v>12442442.430000002</v>
      </c>
    </row>
    <row r="21" spans="1:6" ht="20.25" x14ac:dyDescent="0.3">
      <c r="A21" s="386">
        <v>10</v>
      </c>
      <c r="B21" s="381" t="s">
        <v>2231</v>
      </c>
      <c r="C21" s="388">
        <v>762</v>
      </c>
      <c r="D21" s="387">
        <v>42</v>
      </c>
      <c r="E21" s="387">
        <v>1</v>
      </c>
      <c r="F21" s="388">
        <v>345276.04000000004</v>
      </c>
    </row>
    <row r="22" spans="1:6" ht="20.25" x14ac:dyDescent="0.3">
      <c r="A22" s="386">
        <v>11</v>
      </c>
      <c r="B22" s="381" t="s">
        <v>134</v>
      </c>
      <c r="C22" s="388">
        <v>2259.1</v>
      </c>
      <c r="D22" s="387">
        <v>104</v>
      </c>
      <c r="E22" s="387">
        <v>2</v>
      </c>
      <c r="F22" s="388">
        <v>6862295.4900000002</v>
      </c>
    </row>
    <row r="23" spans="1:6" ht="20.25" x14ac:dyDescent="0.3">
      <c r="A23" s="386">
        <v>12</v>
      </c>
      <c r="B23" s="381" t="s">
        <v>2232</v>
      </c>
      <c r="C23" s="388">
        <v>4271.2</v>
      </c>
      <c r="D23" s="387">
        <v>227</v>
      </c>
      <c r="E23" s="387">
        <v>5</v>
      </c>
      <c r="F23" s="388">
        <v>12631186.800000001</v>
      </c>
    </row>
    <row r="24" spans="1:6" ht="20.25" x14ac:dyDescent="0.3">
      <c r="A24" s="386">
        <v>13</v>
      </c>
      <c r="B24" s="381" t="s">
        <v>2233</v>
      </c>
      <c r="C24" s="388">
        <v>3135.5000000000005</v>
      </c>
      <c r="D24" s="387">
        <v>130</v>
      </c>
      <c r="E24" s="387">
        <v>5</v>
      </c>
      <c r="F24" s="388">
        <v>4870600.45</v>
      </c>
    </row>
    <row r="25" spans="1:6" ht="20.25" x14ac:dyDescent="0.3">
      <c r="A25" s="386">
        <v>14</v>
      </c>
      <c r="B25" s="381" t="s">
        <v>136</v>
      </c>
      <c r="C25" s="388">
        <v>3504.3</v>
      </c>
      <c r="D25" s="387">
        <v>178</v>
      </c>
      <c r="E25" s="387">
        <v>1</v>
      </c>
      <c r="F25" s="388">
        <v>1997229.1400000001</v>
      </c>
    </row>
    <row r="26" spans="1:6" ht="20.25" x14ac:dyDescent="0.3">
      <c r="A26" s="386">
        <v>15</v>
      </c>
      <c r="B26" s="381" t="s">
        <v>137</v>
      </c>
      <c r="C26" s="388">
        <v>37828.900000000009</v>
      </c>
      <c r="D26" s="387">
        <v>1989</v>
      </c>
      <c r="E26" s="387">
        <v>15</v>
      </c>
      <c r="F26" s="388">
        <v>30613647.209999997</v>
      </c>
    </row>
    <row r="27" spans="1:6" ht="20.25" x14ac:dyDescent="0.3">
      <c r="A27" s="386">
        <v>16</v>
      </c>
      <c r="B27" s="381" t="s">
        <v>138</v>
      </c>
      <c r="C27" s="388">
        <v>12766.299999999997</v>
      </c>
      <c r="D27" s="387">
        <v>777</v>
      </c>
      <c r="E27" s="387">
        <v>16</v>
      </c>
      <c r="F27" s="388">
        <v>23747458.66</v>
      </c>
    </row>
    <row r="28" spans="1:6" ht="20.25" x14ac:dyDescent="0.3">
      <c r="A28" s="386">
        <v>17</v>
      </c>
      <c r="B28" s="381" t="s">
        <v>139</v>
      </c>
      <c r="C28" s="388">
        <v>1768.6000000000001</v>
      </c>
      <c r="D28" s="387">
        <v>65</v>
      </c>
      <c r="E28" s="387">
        <v>5</v>
      </c>
      <c r="F28" s="388">
        <v>2260405.9900000002</v>
      </c>
    </row>
    <row r="29" spans="1:6" ht="20.25" x14ac:dyDescent="0.3">
      <c r="A29" s="386">
        <v>18</v>
      </c>
      <c r="B29" s="381" t="s">
        <v>2234</v>
      </c>
      <c r="C29" s="388">
        <v>1222.4000000000001</v>
      </c>
      <c r="D29" s="387">
        <v>44</v>
      </c>
      <c r="E29" s="387">
        <v>2</v>
      </c>
      <c r="F29" s="388">
        <v>4429525.8800000008</v>
      </c>
    </row>
    <row r="30" spans="1:6" ht="20.25" x14ac:dyDescent="0.3">
      <c r="A30" s="386">
        <v>19</v>
      </c>
      <c r="B30" s="381" t="s">
        <v>2235</v>
      </c>
      <c r="C30" s="388">
        <v>1746.5</v>
      </c>
      <c r="D30" s="387">
        <v>78</v>
      </c>
      <c r="E30" s="387">
        <v>2</v>
      </c>
      <c r="F30" s="388">
        <v>7840990.7699999996</v>
      </c>
    </row>
    <row r="31" spans="1:6" ht="20.25" x14ac:dyDescent="0.3">
      <c r="A31" s="386">
        <v>20</v>
      </c>
      <c r="B31" s="381" t="s">
        <v>2236</v>
      </c>
      <c r="C31" s="383">
        <v>5843.6</v>
      </c>
      <c r="D31" s="384">
        <v>224</v>
      </c>
      <c r="E31" s="387">
        <v>3</v>
      </c>
      <c r="F31" s="388">
        <v>8426851.959999999</v>
      </c>
    </row>
    <row r="32" spans="1:6" ht="20.25" x14ac:dyDescent="0.3">
      <c r="A32" s="386">
        <v>21</v>
      </c>
      <c r="B32" s="381" t="s">
        <v>2237</v>
      </c>
      <c r="C32" s="383">
        <v>9076.82</v>
      </c>
      <c r="D32" s="384">
        <v>298</v>
      </c>
      <c r="E32" s="387">
        <v>2</v>
      </c>
      <c r="F32" s="388">
        <v>7999153.3599999994</v>
      </c>
    </row>
    <row r="33" spans="1:6" ht="20.25" x14ac:dyDescent="0.3">
      <c r="A33" s="386">
        <v>22</v>
      </c>
      <c r="B33" s="381" t="s">
        <v>2238</v>
      </c>
      <c r="C33" s="383">
        <v>846.4</v>
      </c>
      <c r="D33" s="384">
        <v>26</v>
      </c>
      <c r="E33" s="387">
        <v>1</v>
      </c>
      <c r="F33" s="388">
        <v>3236596.36</v>
      </c>
    </row>
    <row r="34" spans="1:6" ht="20.25" x14ac:dyDescent="0.3">
      <c r="A34" s="386">
        <v>23</v>
      </c>
      <c r="B34" s="381" t="s">
        <v>141</v>
      </c>
      <c r="C34" s="388">
        <v>47259.14</v>
      </c>
      <c r="D34" s="387">
        <v>1528</v>
      </c>
      <c r="E34" s="387">
        <v>14</v>
      </c>
      <c r="F34" s="388">
        <v>45445529.100000001</v>
      </c>
    </row>
    <row r="35" spans="1:6" ht="20.25" x14ac:dyDescent="0.3">
      <c r="A35" s="386">
        <v>24</v>
      </c>
      <c r="B35" s="381" t="s">
        <v>2239</v>
      </c>
      <c r="C35" s="388">
        <v>2529.2999999999997</v>
      </c>
      <c r="D35" s="387">
        <v>106</v>
      </c>
      <c r="E35" s="387">
        <v>2</v>
      </c>
      <c r="F35" s="388">
        <v>2913286.51</v>
      </c>
    </row>
    <row r="36" spans="1:6" ht="20.25" x14ac:dyDescent="0.3">
      <c r="A36" s="386">
        <v>25</v>
      </c>
      <c r="B36" s="381" t="s">
        <v>2240</v>
      </c>
      <c r="C36" s="388">
        <v>375</v>
      </c>
      <c r="D36" s="387">
        <v>21</v>
      </c>
      <c r="E36" s="387">
        <v>1</v>
      </c>
      <c r="F36" s="388">
        <v>2005046.9200000002</v>
      </c>
    </row>
    <row r="37" spans="1:6" ht="20.25" x14ac:dyDescent="0.3">
      <c r="A37" s="386">
        <v>26</v>
      </c>
      <c r="B37" s="381" t="s">
        <v>2241</v>
      </c>
      <c r="C37" s="388">
        <v>1156.21</v>
      </c>
      <c r="D37" s="387">
        <v>44</v>
      </c>
      <c r="E37" s="387">
        <v>1</v>
      </c>
      <c r="F37" s="388">
        <v>3866903.76</v>
      </c>
    </row>
    <row r="38" spans="1:6" ht="20.25" x14ac:dyDescent="0.3">
      <c r="A38" s="386">
        <v>27</v>
      </c>
      <c r="B38" s="381" t="s">
        <v>142</v>
      </c>
      <c r="C38" s="388">
        <v>2624.2</v>
      </c>
      <c r="D38" s="387">
        <v>125</v>
      </c>
      <c r="E38" s="387">
        <v>4</v>
      </c>
      <c r="F38" s="388">
        <v>4286820.72</v>
      </c>
    </row>
    <row r="39" spans="1:6" ht="20.25" x14ac:dyDescent="0.3">
      <c r="A39" s="386">
        <v>28</v>
      </c>
      <c r="B39" s="381" t="s">
        <v>2242</v>
      </c>
      <c r="C39" s="383">
        <v>1157</v>
      </c>
      <c r="D39" s="384">
        <v>40</v>
      </c>
      <c r="E39" s="387">
        <v>2</v>
      </c>
      <c r="F39" s="388">
        <v>3635408.5599999996</v>
      </c>
    </row>
    <row r="40" spans="1:6" ht="20.25" x14ac:dyDescent="0.3">
      <c r="A40" s="386">
        <v>29</v>
      </c>
      <c r="B40" s="381" t="s">
        <v>2243</v>
      </c>
      <c r="C40" s="389">
        <v>407.9</v>
      </c>
      <c r="D40" s="390">
        <v>21</v>
      </c>
      <c r="E40" s="387">
        <v>1</v>
      </c>
      <c r="F40" s="388">
        <v>43566.44</v>
      </c>
    </row>
    <row r="41" spans="1:6" ht="20.25" x14ac:dyDescent="0.3">
      <c r="A41" s="386">
        <v>30</v>
      </c>
      <c r="B41" s="381" t="s">
        <v>143</v>
      </c>
      <c r="C41" s="388">
        <v>2253.2999999999997</v>
      </c>
      <c r="D41" s="387">
        <v>108</v>
      </c>
      <c r="E41" s="387">
        <v>4</v>
      </c>
      <c r="F41" s="388">
        <v>4166442.5</v>
      </c>
    </row>
    <row r="42" spans="1:6" ht="20.25" x14ac:dyDescent="0.3">
      <c r="A42" s="386">
        <v>31</v>
      </c>
      <c r="B42" s="381" t="s">
        <v>2244</v>
      </c>
      <c r="C42" s="383">
        <v>829.4</v>
      </c>
      <c r="D42" s="384">
        <v>42</v>
      </c>
      <c r="E42" s="387">
        <v>1</v>
      </c>
      <c r="F42" s="388">
        <v>2786770.47</v>
      </c>
    </row>
    <row r="43" spans="1:6" ht="20.25" x14ac:dyDescent="0.3">
      <c r="A43" s="386">
        <v>32</v>
      </c>
      <c r="B43" s="381" t="s">
        <v>144</v>
      </c>
      <c r="C43" s="383">
        <v>10312.24</v>
      </c>
      <c r="D43" s="384">
        <v>425</v>
      </c>
      <c r="E43" s="387">
        <v>7</v>
      </c>
      <c r="F43" s="388">
        <v>8509415.7999999989</v>
      </c>
    </row>
    <row r="44" spans="1:6" ht="20.25" x14ac:dyDescent="0.3">
      <c r="A44" s="386">
        <v>33</v>
      </c>
      <c r="B44" s="381" t="s">
        <v>145</v>
      </c>
      <c r="C44" s="383">
        <v>613</v>
      </c>
      <c r="D44" s="384">
        <v>32</v>
      </c>
      <c r="E44" s="387">
        <v>1</v>
      </c>
      <c r="F44" s="388">
        <v>2358530.46</v>
      </c>
    </row>
    <row r="45" spans="1:6" ht="20.25" x14ac:dyDescent="0.3">
      <c r="A45" s="386">
        <v>34</v>
      </c>
      <c r="B45" s="381" t="s">
        <v>2245</v>
      </c>
      <c r="C45" s="383">
        <v>866.6</v>
      </c>
      <c r="D45" s="384">
        <v>34</v>
      </c>
      <c r="E45" s="387">
        <v>3</v>
      </c>
      <c r="F45" s="388">
        <v>190521.97</v>
      </c>
    </row>
    <row r="46" spans="1:6" ht="20.25" x14ac:dyDescent="0.3">
      <c r="A46" s="386">
        <v>35</v>
      </c>
      <c r="B46" s="381" t="s">
        <v>146</v>
      </c>
      <c r="C46" s="388">
        <v>3663.2799999999997</v>
      </c>
      <c r="D46" s="387">
        <v>115</v>
      </c>
      <c r="E46" s="387">
        <v>3</v>
      </c>
      <c r="F46" s="388">
        <v>8700170.3300000001</v>
      </c>
    </row>
    <row r="47" spans="1:6" ht="20.25" x14ac:dyDescent="0.3">
      <c r="A47" s="386">
        <v>36</v>
      </c>
      <c r="B47" s="381" t="s">
        <v>147</v>
      </c>
      <c r="C47" s="383">
        <v>2767.4</v>
      </c>
      <c r="D47" s="384">
        <v>31</v>
      </c>
      <c r="E47" s="387">
        <v>1</v>
      </c>
      <c r="F47" s="388">
        <v>4281723.32</v>
      </c>
    </row>
    <row r="48" spans="1:6" ht="20.25" x14ac:dyDescent="0.3">
      <c r="A48" s="386">
        <v>37</v>
      </c>
      <c r="B48" s="381" t="s">
        <v>2246</v>
      </c>
      <c r="C48" s="383">
        <v>15666.63</v>
      </c>
      <c r="D48" s="384">
        <v>545</v>
      </c>
      <c r="E48" s="387">
        <v>3</v>
      </c>
      <c r="F48" s="388">
        <v>2517552.7799999993</v>
      </c>
    </row>
    <row r="49" spans="1:6" ht="20.25" x14ac:dyDescent="0.3">
      <c r="A49" s="386">
        <v>38</v>
      </c>
      <c r="B49" s="381" t="s">
        <v>148</v>
      </c>
      <c r="C49" s="383">
        <v>14224.350000000002</v>
      </c>
      <c r="D49" s="384">
        <v>742</v>
      </c>
      <c r="E49" s="387">
        <v>6</v>
      </c>
      <c r="F49" s="388">
        <v>19738892.760000002</v>
      </c>
    </row>
    <row r="50" spans="1:6" ht="20.25" x14ac:dyDescent="0.3">
      <c r="A50" s="386">
        <v>39</v>
      </c>
      <c r="B50" s="381" t="s">
        <v>2247</v>
      </c>
      <c r="C50" s="383">
        <v>4806.5999999999995</v>
      </c>
      <c r="D50" s="384">
        <v>165</v>
      </c>
      <c r="E50" s="387">
        <v>5</v>
      </c>
      <c r="F50" s="388">
        <v>9403284.9900000002</v>
      </c>
    </row>
    <row r="51" spans="1:6" ht="20.25" x14ac:dyDescent="0.3">
      <c r="A51" s="386">
        <v>40</v>
      </c>
      <c r="B51" s="381" t="s">
        <v>2248</v>
      </c>
      <c r="C51" s="383">
        <v>1322.5</v>
      </c>
      <c r="D51" s="384">
        <v>60</v>
      </c>
      <c r="E51" s="387">
        <v>2</v>
      </c>
      <c r="F51" s="388">
        <v>5174634.9800000004</v>
      </c>
    </row>
    <row r="52" spans="1:6" ht="20.25" x14ac:dyDescent="0.3">
      <c r="A52" s="386">
        <v>41</v>
      </c>
      <c r="B52" s="381" t="s">
        <v>150</v>
      </c>
      <c r="C52" s="383">
        <v>13058.16</v>
      </c>
      <c r="D52" s="384">
        <v>529</v>
      </c>
      <c r="E52" s="387">
        <v>10</v>
      </c>
      <c r="F52" s="388">
        <v>18039853.560000002</v>
      </c>
    </row>
    <row r="53" spans="1:6" ht="20.25" x14ac:dyDescent="0.3">
      <c r="A53" s="386">
        <v>42</v>
      </c>
      <c r="B53" s="381" t="s">
        <v>149</v>
      </c>
      <c r="C53" s="383">
        <v>878.6</v>
      </c>
      <c r="D53" s="384">
        <v>55</v>
      </c>
      <c r="E53" s="387">
        <v>1</v>
      </c>
      <c r="F53" s="388">
        <v>3623254.4499999997</v>
      </c>
    </row>
    <row r="54" spans="1:6" ht="20.25" x14ac:dyDescent="0.3">
      <c r="A54" s="386">
        <v>43</v>
      </c>
      <c r="B54" s="381" t="s">
        <v>2249</v>
      </c>
      <c r="C54" s="388">
        <v>940.6</v>
      </c>
      <c r="D54" s="387">
        <v>33</v>
      </c>
      <c r="E54" s="387">
        <v>1</v>
      </c>
      <c r="F54" s="388">
        <v>3515825.94</v>
      </c>
    </row>
    <row r="55" spans="1:6" ht="20.25" x14ac:dyDescent="0.3">
      <c r="A55" s="386">
        <v>44</v>
      </c>
      <c r="B55" s="381" t="s">
        <v>162</v>
      </c>
      <c r="C55" s="388">
        <v>340.3</v>
      </c>
      <c r="D55" s="387">
        <v>19</v>
      </c>
      <c r="E55" s="387">
        <v>1</v>
      </c>
      <c r="F55" s="388">
        <v>1371104.41</v>
      </c>
    </row>
    <row r="56" spans="1:6" ht="20.25" x14ac:dyDescent="0.3">
      <c r="A56" s="386">
        <v>45</v>
      </c>
      <c r="B56" s="381" t="s">
        <v>250</v>
      </c>
      <c r="C56" s="388">
        <v>953.9</v>
      </c>
      <c r="D56" s="387">
        <v>28</v>
      </c>
      <c r="E56" s="387">
        <v>1</v>
      </c>
      <c r="F56" s="388">
        <v>40161.910000000003</v>
      </c>
    </row>
    <row r="57" spans="1:6" ht="20.25" x14ac:dyDescent="0.3">
      <c r="A57" s="386">
        <v>46</v>
      </c>
      <c r="B57" s="381" t="s">
        <v>2250</v>
      </c>
      <c r="C57" s="388">
        <v>1446.38</v>
      </c>
      <c r="D57" s="387">
        <v>78</v>
      </c>
      <c r="E57" s="387">
        <v>1</v>
      </c>
      <c r="F57" s="388">
        <v>127877.6</v>
      </c>
    </row>
    <row r="58" spans="1:6" ht="20.25" x14ac:dyDescent="0.3">
      <c r="A58" s="386">
        <v>47</v>
      </c>
      <c r="B58" s="381" t="s">
        <v>2251</v>
      </c>
      <c r="C58" s="383">
        <v>676.3</v>
      </c>
      <c r="D58" s="384">
        <v>32</v>
      </c>
      <c r="E58" s="387">
        <v>1</v>
      </c>
      <c r="F58" s="388">
        <v>87573.72</v>
      </c>
    </row>
    <row r="59" spans="1:6" ht="20.25" x14ac:dyDescent="0.3">
      <c r="A59" s="386">
        <v>48</v>
      </c>
      <c r="B59" s="381" t="s">
        <v>152</v>
      </c>
      <c r="C59" s="389">
        <v>3130</v>
      </c>
      <c r="D59" s="390">
        <v>140</v>
      </c>
      <c r="E59" s="387">
        <v>5</v>
      </c>
      <c r="F59" s="388">
        <v>4487931.54</v>
      </c>
    </row>
    <row r="60" spans="1:6" ht="20.25" x14ac:dyDescent="0.3">
      <c r="A60" s="386">
        <v>49</v>
      </c>
      <c r="B60" s="381" t="s">
        <v>159</v>
      </c>
      <c r="C60" s="388">
        <v>36117.07</v>
      </c>
      <c r="D60" s="387">
        <v>1569</v>
      </c>
      <c r="E60" s="387">
        <v>11</v>
      </c>
      <c r="F60" s="388">
        <v>25070660.309999999</v>
      </c>
    </row>
    <row r="61" spans="1:6" ht="20.25" x14ac:dyDescent="0.3">
      <c r="A61" s="386">
        <v>50</v>
      </c>
      <c r="B61" s="381" t="s">
        <v>153</v>
      </c>
      <c r="C61" s="383">
        <v>32478.429999999997</v>
      </c>
      <c r="D61" s="384">
        <v>1444</v>
      </c>
      <c r="E61" s="387">
        <v>8</v>
      </c>
      <c r="F61" s="388">
        <v>25373135.099999998</v>
      </c>
    </row>
    <row r="62" spans="1:6" ht="20.25" x14ac:dyDescent="0.3">
      <c r="A62" s="386">
        <v>51</v>
      </c>
      <c r="B62" s="381" t="s">
        <v>2252</v>
      </c>
      <c r="C62" s="383">
        <v>546.02</v>
      </c>
      <c r="D62" s="384">
        <v>20</v>
      </c>
      <c r="E62" s="387">
        <v>1</v>
      </c>
      <c r="F62" s="388">
        <v>1499263.62</v>
      </c>
    </row>
    <row r="63" spans="1:6" ht="20.25" x14ac:dyDescent="0.3">
      <c r="A63" s="386">
        <v>52</v>
      </c>
      <c r="B63" s="381" t="s">
        <v>249</v>
      </c>
      <c r="C63" s="383">
        <v>1598.9</v>
      </c>
      <c r="D63" s="384">
        <v>38</v>
      </c>
      <c r="E63" s="387">
        <v>1</v>
      </c>
      <c r="F63" s="388">
        <v>474650.14999999997</v>
      </c>
    </row>
    <row r="64" spans="1:6" ht="20.25" x14ac:dyDescent="0.3">
      <c r="A64" s="386">
        <v>53</v>
      </c>
      <c r="B64" s="381" t="s">
        <v>151</v>
      </c>
      <c r="C64" s="383">
        <v>9103.2800000000007</v>
      </c>
      <c r="D64" s="384">
        <v>365</v>
      </c>
      <c r="E64" s="387">
        <v>4</v>
      </c>
      <c r="F64" s="388">
        <v>3392825.56</v>
      </c>
    </row>
    <row r="65" spans="1:14" ht="20.25" x14ac:dyDescent="0.3">
      <c r="A65" s="386">
        <v>54</v>
      </c>
      <c r="B65" s="381" t="s">
        <v>2253</v>
      </c>
      <c r="C65" s="383">
        <v>2977.1</v>
      </c>
      <c r="D65" s="384">
        <v>125</v>
      </c>
      <c r="E65" s="387">
        <v>5</v>
      </c>
      <c r="F65" s="388">
        <v>7769795.6899999995</v>
      </c>
    </row>
    <row r="66" spans="1:14" ht="20.25" x14ac:dyDescent="0.3">
      <c r="A66" s="386">
        <v>55</v>
      </c>
      <c r="B66" s="381" t="s">
        <v>2254</v>
      </c>
      <c r="C66" s="388">
        <v>1191.0999999999999</v>
      </c>
      <c r="D66" s="387">
        <v>26</v>
      </c>
      <c r="E66" s="387">
        <v>1</v>
      </c>
      <c r="F66" s="388">
        <v>2846268.34</v>
      </c>
    </row>
    <row r="67" spans="1:14" ht="20.25" x14ac:dyDescent="0.3">
      <c r="A67" s="386">
        <v>56</v>
      </c>
      <c r="B67" s="381" t="s">
        <v>2255</v>
      </c>
      <c r="C67" s="383">
        <v>1414.1</v>
      </c>
      <c r="D67" s="384">
        <v>84</v>
      </c>
      <c r="E67" s="387">
        <v>2</v>
      </c>
      <c r="F67" s="388">
        <v>2804062.75</v>
      </c>
    </row>
    <row r="68" spans="1:14" ht="20.25" x14ac:dyDescent="0.3">
      <c r="A68" s="386">
        <v>57</v>
      </c>
      <c r="B68" s="381" t="s">
        <v>154</v>
      </c>
      <c r="C68" s="383">
        <v>2762.9</v>
      </c>
      <c r="D68" s="384">
        <v>125</v>
      </c>
      <c r="E68" s="387">
        <v>2</v>
      </c>
      <c r="F68" s="388">
        <v>4868704.13</v>
      </c>
    </row>
    <row r="69" spans="1:14" ht="20.25" x14ac:dyDescent="0.3">
      <c r="A69" s="386">
        <v>58</v>
      </c>
      <c r="B69" s="381" t="s">
        <v>160</v>
      </c>
      <c r="C69" s="383">
        <v>702.7</v>
      </c>
      <c r="D69" s="384">
        <v>16</v>
      </c>
      <c r="E69" s="387">
        <v>1</v>
      </c>
      <c r="F69" s="388">
        <v>2570556.2200000002</v>
      </c>
    </row>
    <row r="70" spans="1:14" ht="20.25" x14ac:dyDescent="0.3">
      <c r="A70" s="386">
        <v>59</v>
      </c>
      <c r="B70" s="381" t="s">
        <v>2256</v>
      </c>
      <c r="C70" s="383">
        <v>1625.9</v>
      </c>
      <c r="D70" s="384">
        <v>63</v>
      </c>
      <c r="E70" s="387">
        <v>2</v>
      </c>
      <c r="F70" s="388">
        <v>2397267.1699999995</v>
      </c>
    </row>
    <row r="71" spans="1:14" ht="20.25" x14ac:dyDescent="0.3">
      <c r="A71" s="386">
        <v>60</v>
      </c>
      <c r="B71" s="381" t="s">
        <v>155</v>
      </c>
      <c r="C71" s="383">
        <v>2462.8000000000002</v>
      </c>
      <c r="D71" s="384">
        <v>120</v>
      </c>
      <c r="E71" s="387">
        <v>5</v>
      </c>
      <c r="F71" s="388">
        <v>5633529.5499999998</v>
      </c>
    </row>
    <row r="72" spans="1:14" ht="20.25" x14ac:dyDescent="0.3">
      <c r="A72" s="386">
        <v>61</v>
      </c>
      <c r="B72" s="381" t="s">
        <v>156</v>
      </c>
      <c r="C72" s="383">
        <v>1755.2</v>
      </c>
      <c r="D72" s="384">
        <v>62</v>
      </c>
      <c r="E72" s="387">
        <v>1</v>
      </c>
      <c r="F72" s="388">
        <v>3982171.62</v>
      </c>
    </row>
    <row r="73" spans="1:14" ht="20.25" x14ac:dyDescent="0.3">
      <c r="A73" s="386">
        <v>62</v>
      </c>
      <c r="B73" s="381" t="s">
        <v>161</v>
      </c>
      <c r="C73" s="383">
        <v>4921.7999999999993</v>
      </c>
      <c r="D73" s="384">
        <v>126</v>
      </c>
      <c r="E73" s="387">
        <v>2</v>
      </c>
      <c r="F73" s="388">
        <v>8110455.3499999996</v>
      </c>
    </row>
    <row r="74" spans="1:14" ht="20.25" x14ac:dyDescent="0.3">
      <c r="A74" s="386">
        <v>63</v>
      </c>
      <c r="B74" s="381" t="s">
        <v>2257</v>
      </c>
      <c r="C74" s="383">
        <v>428.4</v>
      </c>
      <c r="D74" s="384">
        <v>20</v>
      </c>
      <c r="E74" s="387">
        <v>1</v>
      </c>
      <c r="F74" s="388">
        <v>1241065.97</v>
      </c>
    </row>
    <row r="75" spans="1:14" ht="20.25" x14ac:dyDescent="0.3">
      <c r="A75" s="386">
        <v>64</v>
      </c>
      <c r="B75" s="381" t="s">
        <v>2258</v>
      </c>
      <c r="C75" s="383">
        <v>12546.099999999999</v>
      </c>
      <c r="D75" s="384">
        <v>564</v>
      </c>
      <c r="E75" s="387">
        <v>9</v>
      </c>
      <c r="F75" s="388">
        <v>12361893.85</v>
      </c>
    </row>
    <row r="76" spans="1:14" ht="20.25" x14ac:dyDescent="0.3">
      <c r="A76" s="386">
        <v>65</v>
      </c>
      <c r="B76" s="381" t="s">
        <v>2259</v>
      </c>
      <c r="C76" s="383">
        <v>2975.2</v>
      </c>
      <c r="D76" s="384">
        <v>130</v>
      </c>
      <c r="E76" s="387">
        <v>4</v>
      </c>
      <c r="F76" s="388">
        <v>3506290.42</v>
      </c>
    </row>
    <row r="77" spans="1:14" ht="20.25" x14ac:dyDescent="0.3">
      <c r="A77" s="386">
        <v>66</v>
      </c>
      <c r="B77" s="381" t="s">
        <v>2260</v>
      </c>
      <c r="C77" s="383">
        <v>1422.8</v>
      </c>
      <c r="D77" s="384">
        <v>64</v>
      </c>
      <c r="E77" s="387">
        <v>2</v>
      </c>
      <c r="F77" s="388">
        <v>736217.99</v>
      </c>
    </row>
    <row r="78" spans="1:14" ht="20.25" x14ac:dyDescent="0.3">
      <c r="A78" s="386">
        <v>67</v>
      </c>
      <c r="B78" s="381" t="s">
        <v>2261</v>
      </c>
      <c r="C78" s="383">
        <v>1109.3</v>
      </c>
      <c r="D78" s="384">
        <v>49</v>
      </c>
      <c r="E78" s="387">
        <v>2</v>
      </c>
      <c r="F78" s="388">
        <v>1270143.08</v>
      </c>
    </row>
    <row r="79" spans="1:14" ht="20.25" x14ac:dyDescent="0.3">
      <c r="A79" s="381" t="s">
        <v>1429</v>
      </c>
      <c r="B79" s="381"/>
      <c r="C79" s="383">
        <f>SUM(C80:C144)</f>
        <v>828435.12999999966</v>
      </c>
      <c r="D79" s="384">
        <f>SUM(D80:D144)</f>
        <v>32081</v>
      </c>
      <c r="E79" s="387">
        <f>SUM(E80:E144)</f>
        <v>382</v>
      </c>
      <c r="F79" s="383">
        <f>SUM(F80:F144)</f>
        <v>1363886777.0699995</v>
      </c>
      <c r="K79" s="385"/>
      <c r="L79" s="385"/>
      <c r="M79" s="385"/>
      <c r="N79" s="385"/>
    </row>
    <row r="80" spans="1:14" ht="20.25" x14ac:dyDescent="0.3">
      <c r="A80" s="386">
        <v>1</v>
      </c>
      <c r="B80" s="381" t="s">
        <v>2225</v>
      </c>
      <c r="C80" s="383">
        <v>261863.27999999988</v>
      </c>
      <c r="D80" s="384">
        <v>10358</v>
      </c>
      <c r="E80" s="387">
        <v>89</v>
      </c>
      <c r="F80" s="388">
        <v>300973468.33999985</v>
      </c>
      <c r="H80" s="1">
        <v>209231.22999999995</v>
      </c>
      <c r="I80" s="1">
        <v>8552</v>
      </c>
      <c r="J80" s="1">
        <v>216853215.43000004</v>
      </c>
    </row>
    <row r="81" spans="1:10" ht="20.25" x14ac:dyDescent="0.3">
      <c r="A81" s="386">
        <v>2</v>
      </c>
      <c r="B81" s="381" t="s">
        <v>2226</v>
      </c>
      <c r="C81" s="383">
        <v>46310.21</v>
      </c>
      <c r="D81" s="384">
        <v>1927</v>
      </c>
      <c r="E81" s="387">
        <v>30</v>
      </c>
      <c r="F81" s="388">
        <v>98119026.38000001</v>
      </c>
      <c r="H81" s="1">
        <v>15519.199999999999</v>
      </c>
      <c r="I81" s="1">
        <v>787</v>
      </c>
      <c r="J81" s="1">
        <v>45048314.759999998</v>
      </c>
    </row>
    <row r="82" spans="1:10" ht="20.25" x14ac:dyDescent="0.3">
      <c r="A82" s="386">
        <v>3</v>
      </c>
      <c r="B82" s="381" t="s">
        <v>2227</v>
      </c>
      <c r="C82" s="383">
        <v>72545.37000000001</v>
      </c>
      <c r="D82" s="384">
        <v>2673</v>
      </c>
      <c r="E82" s="387">
        <v>39</v>
      </c>
      <c r="F82" s="388">
        <v>138702295.03999999</v>
      </c>
      <c r="H82" s="1">
        <v>55253.150000000009</v>
      </c>
      <c r="I82" s="1">
        <v>2316</v>
      </c>
      <c r="J82" s="1">
        <v>91626897.959999993</v>
      </c>
    </row>
    <row r="83" spans="1:10" ht="20.25" x14ac:dyDescent="0.3">
      <c r="A83" s="386">
        <v>4</v>
      </c>
      <c r="B83" s="381" t="s">
        <v>157</v>
      </c>
      <c r="C83" s="383">
        <v>57948.899999999994</v>
      </c>
      <c r="D83" s="384">
        <v>1563</v>
      </c>
      <c r="E83" s="387">
        <v>18</v>
      </c>
      <c r="F83" s="388">
        <v>88190296.719999999</v>
      </c>
      <c r="H83" s="1">
        <v>26773.05</v>
      </c>
      <c r="I83" s="1">
        <v>869</v>
      </c>
      <c r="J83" s="1">
        <v>44137673.120000005</v>
      </c>
    </row>
    <row r="84" spans="1:10" ht="20.25" x14ac:dyDescent="0.3">
      <c r="A84" s="386">
        <v>5</v>
      </c>
      <c r="B84" s="381" t="s">
        <v>2228</v>
      </c>
      <c r="C84" s="383">
        <v>47435.8</v>
      </c>
      <c r="D84" s="384">
        <v>2036</v>
      </c>
      <c r="E84" s="387">
        <v>7</v>
      </c>
      <c r="F84" s="388">
        <v>62970834.239999995</v>
      </c>
      <c r="H84" s="1">
        <v>13712.7</v>
      </c>
      <c r="I84" s="1">
        <v>336</v>
      </c>
      <c r="J84" s="1">
        <v>21856214.650000002</v>
      </c>
    </row>
    <row r="85" spans="1:10" ht="20.25" x14ac:dyDescent="0.3">
      <c r="A85" s="386">
        <v>6</v>
      </c>
      <c r="B85" s="381" t="s">
        <v>132</v>
      </c>
      <c r="C85" s="383">
        <v>53361.36</v>
      </c>
      <c r="D85" s="384">
        <v>2132</v>
      </c>
      <c r="E85" s="387">
        <v>25</v>
      </c>
      <c r="F85" s="388">
        <v>106368136.16000001</v>
      </c>
      <c r="H85" s="1">
        <v>45913.430000000008</v>
      </c>
      <c r="I85" s="1">
        <v>1959</v>
      </c>
      <c r="J85" s="1">
        <v>51679396.32</v>
      </c>
    </row>
    <row r="86" spans="1:10" ht="20.25" x14ac:dyDescent="0.3">
      <c r="A86" s="386">
        <v>7</v>
      </c>
      <c r="B86" s="381" t="s">
        <v>133</v>
      </c>
      <c r="C86" s="383">
        <v>35250.9</v>
      </c>
      <c r="D86" s="384">
        <v>902</v>
      </c>
      <c r="E86" s="387">
        <v>7</v>
      </c>
      <c r="F86" s="388">
        <v>31580337.110000003</v>
      </c>
      <c r="H86" s="1">
        <v>11170.900000000001</v>
      </c>
      <c r="I86" s="1">
        <v>305</v>
      </c>
      <c r="J86" s="1">
        <v>9890638.1399999987</v>
      </c>
    </row>
    <row r="87" spans="1:10" ht="20.25" x14ac:dyDescent="0.3">
      <c r="A87" s="386">
        <v>8</v>
      </c>
      <c r="B87" s="381" t="s">
        <v>2229</v>
      </c>
      <c r="C87" s="383">
        <v>6647.5</v>
      </c>
      <c r="D87" s="384">
        <v>274</v>
      </c>
      <c r="E87" s="387">
        <v>7</v>
      </c>
      <c r="F87" s="388">
        <v>19455638.910000004</v>
      </c>
      <c r="H87" s="1">
        <v>4408.6000000000004</v>
      </c>
      <c r="I87" s="1">
        <v>120</v>
      </c>
      <c r="J87" s="1">
        <v>11422752.699999999</v>
      </c>
    </row>
    <row r="88" spans="1:10" ht="20.25" x14ac:dyDescent="0.3">
      <c r="A88" s="386">
        <v>9</v>
      </c>
      <c r="B88" s="381" t="s">
        <v>2230</v>
      </c>
      <c r="C88" s="383">
        <v>11803.32</v>
      </c>
      <c r="D88" s="384">
        <v>483</v>
      </c>
      <c r="E88" s="387">
        <v>4</v>
      </c>
      <c r="F88" s="388">
        <v>13606335.93</v>
      </c>
      <c r="H88" s="1">
        <v>8897</v>
      </c>
      <c r="I88" s="1">
        <v>313</v>
      </c>
      <c r="J88" s="1">
        <v>9642280</v>
      </c>
    </row>
    <row r="89" spans="1:10" ht="20.25" x14ac:dyDescent="0.3">
      <c r="A89" s="386">
        <v>10</v>
      </c>
      <c r="B89" s="381" t="s">
        <v>134</v>
      </c>
      <c r="C89" s="383">
        <v>2782.7</v>
      </c>
      <c r="D89" s="384">
        <v>103</v>
      </c>
      <c r="E89" s="387">
        <v>1</v>
      </c>
      <c r="F89" s="388">
        <v>2579501.7000000002</v>
      </c>
      <c r="H89" s="1">
        <v>804.5</v>
      </c>
      <c r="I89" s="1">
        <v>47</v>
      </c>
      <c r="J89" s="1">
        <v>4369866.08</v>
      </c>
    </row>
    <row r="90" spans="1:10" ht="20.25" x14ac:dyDescent="0.3">
      <c r="A90" s="386">
        <v>11</v>
      </c>
      <c r="B90" s="381" t="s">
        <v>2233</v>
      </c>
      <c r="C90" s="383">
        <v>1396.4</v>
      </c>
      <c r="D90" s="384">
        <v>54</v>
      </c>
      <c r="E90" s="387">
        <v>3</v>
      </c>
      <c r="F90" s="388">
        <v>3119161.9899999998</v>
      </c>
      <c r="H90" s="1">
        <v>1070.8</v>
      </c>
      <c r="I90" s="1">
        <v>42</v>
      </c>
      <c r="J90" s="1">
        <v>2936950.21</v>
      </c>
    </row>
    <row r="91" spans="1:10" ht="20.25" x14ac:dyDescent="0.3">
      <c r="A91" s="386">
        <v>12</v>
      </c>
      <c r="B91" s="381" t="s">
        <v>2262</v>
      </c>
      <c r="C91" s="383">
        <v>618.29999999999995</v>
      </c>
      <c r="D91" s="384">
        <v>24</v>
      </c>
      <c r="E91" s="387">
        <v>1</v>
      </c>
      <c r="F91" s="388">
        <v>3080948</v>
      </c>
      <c r="H91" s="1">
        <v>1426.8</v>
      </c>
      <c r="I91" s="1">
        <v>72</v>
      </c>
      <c r="J91" s="1">
        <v>2773728.46</v>
      </c>
    </row>
    <row r="92" spans="1:10" ht="20.25" x14ac:dyDescent="0.3">
      <c r="A92" s="386">
        <v>13</v>
      </c>
      <c r="B92" s="381" t="s">
        <v>136</v>
      </c>
      <c r="C92" s="383">
        <v>4097</v>
      </c>
      <c r="D92" s="384">
        <v>158</v>
      </c>
      <c r="E92" s="387">
        <v>1</v>
      </c>
      <c r="F92" s="388">
        <v>2008998.15</v>
      </c>
      <c r="H92" s="1">
        <v>456.6</v>
      </c>
      <c r="I92" s="1">
        <v>26</v>
      </c>
      <c r="J92" s="1">
        <v>2158336.3499999996</v>
      </c>
    </row>
    <row r="93" spans="1:10" ht="20.25" x14ac:dyDescent="0.3">
      <c r="A93" s="386">
        <v>14</v>
      </c>
      <c r="B93" s="381" t="s">
        <v>137</v>
      </c>
      <c r="C93" s="383">
        <v>21313.599999999999</v>
      </c>
      <c r="D93" s="384">
        <v>1017</v>
      </c>
      <c r="E93" s="387">
        <v>14</v>
      </c>
      <c r="F93" s="388">
        <v>48634728.759999998</v>
      </c>
      <c r="H93" s="1">
        <v>3374.6</v>
      </c>
      <c r="I93" s="1">
        <v>144</v>
      </c>
      <c r="J93" s="1">
        <v>2000000</v>
      </c>
    </row>
    <row r="94" spans="1:10" ht="20.25" x14ac:dyDescent="0.3">
      <c r="A94" s="386">
        <v>15</v>
      </c>
      <c r="B94" s="381" t="s">
        <v>138</v>
      </c>
      <c r="C94" s="383">
        <v>12858.21</v>
      </c>
      <c r="D94" s="384">
        <v>844</v>
      </c>
      <c r="E94" s="387">
        <v>10</v>
      </c>
      <c r="F94" s="388">
        <v>25570376.100000001</v>
      </c>
      <c r="H94" s="1">
        <v>13638.6</v>
      </c>
      <c r="I94" s="1">
        <v>299</v>
      </c>
      <c r="J94" s="1">
        <v>23342011.919999998</v>
      </c>
    </row>
    <row r="95" spans="1:10" ht="20.25" x14ac:dyDescent="0.3">
      <c r="A95" s="386">
        <v>16</v>
      </c>
      <c r="B95" s="381" t="s">
        <v>2263</v>
      </c>
      <c r="C95" s="383">
        <v>1813.6000000000001</v>
      </c>
      <c r="D95" s="384">
        <v>68</v>
      </c>
      <c r="E95" s="387">
        <v>2</v>
      </c>
      <c r="F95" s="388">
        <v>5788982.2599999998</v>
      </c>
      <c r="H95" s="1">
        <v>5759.0999999999995</v>
      </c>
      <c r="I95" s="1">
        <v>215</v>
      </c>
      <c r="J95" s="1">
        <v>12591900</v>
      </c>
    </row>
    <row r="96" spans="1:10" ht="20.25" x14ac:dyDescent="0.3">
      <c r="A96" s="386">
        <v>17</v>
      </c>
      <c r="B96" s="381" t="s">
        <v>139</v>
      </c>
      <c r="C96" s="383">
        <v>1142</v>
      </c>
      <c r="D96" s="384">
        <v>43</v>
      </c>
      <c r="E96" s="387">
        <v>3</v>
      </c>
      <c r="F96" s="388">
        <v>1900027.6800000002</v>
      </c>
      <c r="H96" s="1">
        <v>396.2</v>
      </c>
      <c r="I96" s="1">
        <v>21</v>
      </c>
      <c r="J96" s="1">
        <v>1724820</v>
      </c>
    </row>
    <row r="97" spans="1:10" ht="20.25" x14ac:dyDescent="0.3">
      <c r="A97" s="386">
        <v>18</v>
      </c>
      <c r="B97" s="381" t="s">
        <v>158</v>
      </c>
      <c r="C97" s="383">
        <v>924.3</v>
      </c>
      <c r="D97" s="384">
        <v>22</v>
      </c>
      <c r="E97" s="387">
        <v>1</v>
      </c>
      <c r="F97" s="388">
        <v>2205555.96</v>
      </c>
      <c r="H97" s="1">
        <v>1011.8</v>
      </c>
      <c r="I97" s="1">
        <v>26</v>
      </c>
      <c r="J97" s="1">
        <v>1739107.3499999999</v>
      </c>
    </row>
    <row r="98" spans="1:10" ht="20.25" x14ac:dyDescent="0.3">
      <c r="A98" s="386">
        <v>19</v>
      </c>
      <c r="B98" s="381" t="s">
        <v>2264</v>
      </c>
      <c r="C98" s="383">
        <v>672</v>
      </c>
      <c r="D98" s="384">
        <v>35</v>
      </c>
      <c r="E98" s="387">
        <v>1</v>
      </c>
      <c r="F98" s="388">
        <v>2610900</v>
      </c>
      <c r="H98" s="1">
        <v>594.20000000000005</v>
      </c>
      <c r="I98" s="1">
        <v>23</v>
      </c>
      <c r="J98" s="1">
        <v>3373804.98</v>
      </c>
    </row>
    <row r="99" spans="1:10" ht="20.25" x14ac:dyDescent="0.3">
      <c r="A99" s="386">
        <v>20</v>
      </c>
      <c r="B99" s="381" t="s">
        <v>2265</v>
      </c>
      <c r="C99" s="383">
        <v>531.9</v>
      </c>
      <c r="D99" s="384">
        <v>14</v>
      </c>
      <c r="E99" s="387">
        <v>1</v>
      </c>
      <c r="F99" s="388">
        <v>3133080</v>
      </c>
      <c r="H99" s="1">
        <v>906.9</v>
      </c>
      <c r="I99" s="1">
        <v>32</v>
      </c>
      <c r="J99" s="1">
        <v>3916350</v>
      </c>
    </row>
    <row r="100" spans="1:10" ht="20.25" x14ac:dyDescent="0.3">
      <c r="A100" s="386">
        <v>21</v>
      </c>
      <c r="B100" s="381" t="s">
        <v>2236</v>
      </c>
      <c r="C100" s="383">
        <v>7845.75</v>
      </c>
      <c r="D100" s="384">
        <v>252</v>
      </c>
      <c r="E100" s="387">
        <v>1</v>
      </c>
      <c r="F100" s="388">
        <v>8458120</v>
      </c>
      <c r="H100" s="1">
        <v>2184</v>
      </c>
      <c r="I100" s="1">
        <v>57</v>
      </c>
      <c r="J100" s="1">
        <v>3516578.96</v>
      </c>
    </row>
    <row r="101" spans="1:10" ht="20.25" x14ac:dyDescent="0.3">
      <c r="A101" s="386">
        <v>22</v>
      </c>
      <c r="B101" s="381" t="s">
        <v>140</v>
      </c>
      <c r="C101" s="383">
        <v>550.20000000000005</v>
      </c>
      <c r="D101" s="384">
        <v>20</v>
      </c>
      <c r="E101" s="387">
        <v>1</v>
      </c>
      <c r="F101" s="388">
        <v>2537436</v>
      </c>
      <c r="H101" s="1">
        <v>1069.5</v>
      </c>
      <c r="I101" s="1">
        <v>39</v>
      </c>
      <c r="J101" s="1">
        <v>3598749.4899999998</v>
      </c>
    </row>
    <row r="102" spans="1:10" ht="20.25" x14ac:dyDescent="0.3">
      <c r="A102" s="386">
        <v>23</v>
      </c>
      <c r="B102" s="381" t="s">
        <v>2237</v>
      </c>
      <c r="C102" s="383">
        <v>10202.299999999999</v>
      </c>
      <c r="D102" s="384">
        <v>360</v>
      </c>
      <c r="E102" s="387">
        <v>4</v>
      </c>
      <c r="F102" s="388">
        <v>7263627.54</v>
      </c>
      <c r="H102" s="1">
        <v>630</v>
      </c>
      <c r="I102" s="1">
        <v>32</v>
      </c>
      <c r="J102" s="1">
        <v>3488946.79</v>
      </c>
    </row>
    <row r="103" spans="1:10" ht="20.25" x14ac:dyDescent="0.3">
      <c r="A103" s="386">
        <v>24</v>
      </c>
      <c r="B103" s="381" t="s">
        <v>2238</v>
      </c>
      <c r="C103" s="383">
        <v>846.4</v>
      </c>
      <c r="D103" s="384">
        <v>26</v>
      </c>
      <c r="E103" s="387">
        <v>1</v>
      </c>
      <c r="F103" s="388">
        <v>4024889.9</v>
      </c>
      <c r="H103" s="1">
        <v>626.5</v>
      </c>
      <c r="I103" s="1">
        <v>23</v>
      </c>
      <c r="J103" s="1">
        <v>1538879.17</v>
      </c>
    </row>
    <row r="104" spans="1:10" ht="20.25" x14ac:dyDescent="0.3">
      <c r="A104" s="386">
        <v>25</v>
      </c>
      <c r="B104" s="381" t="s">
        <v>141</v>
      </c>
      <c r="C104" s="383">
        <v>17568.899999999998</v>
      </c>
      <c r="D104" s="384">
        <v>700</v>
      </c>
      <c r="E104" s="387">
        <v>11</v>
      </c>
      <c r="F104" s="388">
        <v>40418787.889999993</v>
      </c>
      <c r="H104" s="1">
        <v>20161.96</v>
      </c>
      <c r="I104" s="1">
        <v>621</v>
      </c>
      <c r="J104" s="1">
        <v>28415186.600000001</v>
      </c>
    </row>
    <row r="105" spans="1:10" ht="20.25" x14ac:dyDescent="0.3">
      <c r="A105" s="386">
        <v>26</v>
      </c>
      <c r="B105" s="381" t="s">
        <v>142</v>
      </c>
      <c r="C105" s="383">
        <v>1443.4</v>
      </c>
      <c r="D105" s="384">
        <v>68</v>
      </c>
      <c r="E105" s="387">
        <v>2</v>
      </c>
      <c r="F105" s="388">
        <v>6003691.8100000005</v>
      </c>
      <c r="H105" s="1">
        <v>1573</v>
      </c>
      <c r="I105" s="1">
        <v>68</v>
      </c>
      <c r="J105" s="1">
        <v>5777967.8699999992</v>
      </c>
    </row>
    <row r="106" spans="1:10" ht="20.25" x14ac:dyDescent="0.3">
      <c r="A106" s="386">
        <v>27</v>
      </c>
      <c r="B106" s="381" t="s">
        <v>143</v>
      </c>
      <c r="C106" s="383">
        <v>1854.1999999999998</v>
      </c>
      <c r="D106" s="384">
        <v>87</v>
      </c>
      <c r="E106" s="387">
        <v>3</v>
      </c>
      <c r="F106" s="388">
        <v>6409465.3600000003</v>
      </c>
      <c r="H106" s="1">
        <v>1266.2</v>
      </c>
      <c r="I106" s="1">
        <v>52</v>
      </c>
      <c r="J106" s="1">
        <v>4715781.71</v>
      </c>
    </row>
    <row r="107" spans="1:10" ht="20.25" x14ac:dyDescent="0.3">
      <c r="A107" s="386">
        <v>28</v>
      </c>
      <c r="B107" s="381" t="s">
        <v>2242</v>
      </c>
      <c r="C107" s="383">
        <v>889.09999999999991</v>
      </c>
      <c r="D107" s="384">
        <v>44</v>
      </c>
      <c r="E107" s="387">
        <v>2</v>
      </c>
      <c r="F107" s="388">
        <v>5279138.41</v>
      </c>
      <c r="H107" s="1">
        <v>703.5</v>
      </c>
      <c r="I107" s="1">
        <v>36</v>
      </c>
      <c r="J107" s="1">
        <v>2590114.16</v>
      </c>
    </row>
    <row r="108" spans="1:10" ht="20.25" x14ac:dyDescent="0.3">
      <c r="A108" s="386">
        <v>29</v>
      </c>
      <c r="B108" s="381" t="s">
        <v>2244</v>
      </c>
      <c r="C108" s="383">
        <v>1323.09</v>
      </c>
      <c r="D108" s="384">
        <v>68</v>
      </c>
      <c r="E108" s="387">
        <v>2</v>
      </c>
      <c r="F108" s="388">
        <v>6703670.5</v>
      </c>
      <c r="H108" s="1">
        <v>1217.2</v>
      </c>
      <c r="I108" s="1">
        <v>47</v>
      </c>
      <c r="J108" s="1">
        <v>1456533.11</v>
      </c>
    </row>
    <row r="109" spans="1:10" ht="20.25" x14ac:dyDescent="0.3">
      <c r="A109" s="386">
        <v>30</v>
      </c>
      <c r="B109" s="381" t="s">
        <v>2243</v>
      </c>
      <c r="C109" s="383">
        <v>804.7</v>
      </c>
      <c r="D109" s="384">
        <v>36</v>
      </c>
      <c r="E109" s="387">
        <v>2</v>
      </c>
      <c r="F109" s="388">
        <v>3337479.74</v>
      </c>
      <c r="H109" s="1">
        <v>1774</v>
      </c>
      <c r="I109" s="1">
        <v>80</v>
      </c>
      <c r="J109" s="1">
        <v>10290828.25</v>
      </c>
    </row>
    <row r="110" spans="1:10" ht="20.25" x14ac:dyDescent="0.3">
      <c r="A110" s="386">
        <v>31</v>
      </c>
      <c r="B110" s="381" t="s">
        <v>144</v>
      </c>
      <c r="C110" s="383">
        <v>6122.7</v>
      </c>
      <c r="D110" s="384">
        <v>226</v>
      </c>
      <c r="E110" s="387">
        <v>8</v>
      </c>
      <c r="F110" s="388">
        <v>26148725.280000001</v>
      </c>
      <c r="H110" s="1">
        <v>609</v>
      </c>
      <c r="I110" s="1">
        <v>31</v>
      </c>
      <c r="J110" s="1">
        <v>3013803.8600000003</v>
      </c>
    </row>
    <row r="111" spans="1:10" ht="20.25" x14ac:dyDescent="0.3">
      <c r="A111" s="386">
        <v>32</v>
      </c>
      <c r="B111" s="381" t="s">
        <v>2245</v>
      </c>
      <c r="C111" s="383">
        <v>1222.5999999999999</v>
      </c>
      <c r="D111" s="384">
        <v>66</v>
      </c>
      <c r="E111" s="387">
        <v>3</v>
      </c>
      <c r="F111" s="388">
        <v>2987522.79</v>
      </c>
      <c r="H111" s="1">
        <v>616</v>
      </c>
      <c r="I111" s="1">
        <v>21</v>
      </c>
      <c r="J111" s="1">
        <v>2036502</v>
      </c>
    </row>
    <row r="112" spans="1:10" ht="20.25" x14ac:dyDescent="0.3">
      <c r="A112" s="386">
        <v>33</v>
      </c>
      <c r="B112" s="381" t="s">
        <v>2266</v>
      </c>
      <c r="C112" s="383">
        <v>654.5</v>
      </c>
      <c r="D112" s="384">
        <v>32</v>
      </c>
      <c r="E112" s="387">
        <v>1</v>
      </c>
      <c r="F112" s="388">
        <v>2568179.12</v>
      </c>
      <c r="H112" s="1">
        <v>772.9</v>
      </c>
      <c r="I112" s="1">
        <v>32</v>
      </c>
      <c r="J112" s="1">
        <v>3592598.4</v>
      </c>
    </row>
    <row r="113" spans="1:15" ht="20.25" x14ac:dyDescent="0.3">
      <c r="A113" s="386">
        <v>34</v>
      </c>
      <c r="B113" s="381" t="s">
        <v>146</v>
      </c>
      <c r="C113" s="383">
        <v>5956.82</v>
      </c>
      <c r="D113" s="384">
        <v>174</v>
      </c>
      <c r="E113" s="387">
        <v>3</v>
      </c>
      <c r="F113" s="388">
        <v>13632425.770000001</v>
      </c>
      <c r="H113" s="1">
        <v>976.3</v>
      </c>
      <c r="I113" s="1">
        <v>36</v>
      </c>
      <c r="J113" s="1">
        <v>4454195.3999999994</v>
      </c>
    </row>
    <row r="114" spans="1:15" ht="20.25" x14ac:dyDescent="0.3">
      <c r="A114" s="386">
        <v>35</v>
      </c>
      <c r="B114" s="381" t="s">
        <v>2267</v>
      </c>
      <c r="C114" s="383">
        <v>948.3</v>
      </c>
      <c r="D114" s="384">
        <v>64</v>
      </c>
      <c r="E114" s="387">
        <v>1</v>
      </c>
      <c r="F114" s="388">
        <v>4290230.8800000008</v>
      </c>
      <c r="H114" s="1">
        <v>781.7</v>
      </c>
      <c r="I114" s="1">
        <v>25</v>
      </c>
      <c r="J114" s="1">
        <v>4839701.7600000007</v>
      </c>
    </row>
    <row r="115" spans="1:15" ht="20.25" x14ac:dyDescent="0.3">
      <c r="A115" s="386">
        <v>36</v>
      </c>
      <c r="B115" s="381" t="s">
        <v>2268</v>
      </c>
      <c r="C115" s="383">
        <v>779.2</v>
      </c>
      <c r="D115" s="384">
        <v>33</v>
      </c>
      <c r="E115" s="387">
        <v>1</v>
      </c>
      <c r="F115" s="388">
        <v>2903320.8000000003</v>
      </c>
      <c r="H115" s="1">
        <v>792.9</v>
      </c>
      <c r="I115" s="1">
        <v>42</v>
      </c>
      <c r="J115" s="1">
        <v>3231458.3</v>
      </c>
      <c r="K115" s="352"/>
      <c r="L115" s="352"/>
      <c r="M115" s="352"/>
      <c r="N115" s="352"/>
      <c r="O115" s="352"/>
    </row>
    <row r="116" spans="1:15" ht="20.25" x14ac:dyDescent="0.3">
      <c r="A116" s="386">
        <v>37</v>
      </c>
      <c r="B116" s="381" t="s">
        <v>147</v>
      </c>
      <c r="C116" s="383">
        <v>1015.6</v>
      </c>
      <c r="D116" s="384">
        <v>45</v>
      </c>
      <c r="E116" s="387">
        <v>1</v>
      </c>
      <c r="F116" s="388">
        <v>3826397.3000000003</v>
      </c>
      <c r="H116" s="1">
        <v>792.9</v>
      </c>
      <c r="I116" s="1">
        <v>42</v>
      </c>
      <c r="J116" s="1">
        <v>3231458.3</v>
      </c>
    </row>
    <row r="117" spans="1:15" ht="20.25" x14ac:dyDescent="0.3">
      <c r="A117" s="386">
        <v>38</v>
      </c>
      <c r="B117" s="381" t="s">
        <v>2246</v>
      </c>
      <c r="C117" s="383">
        <v>23824.84</v>
      </c>
      <c r="D117" s="384">
        <v>837</v>
      </c>
      <c r="E117" s="387">
        <v>4</v>
      </c>
      <c r="F117" s="388">
        <v>25033618.25</v>
      </c>
      <c r="H117" s="1">
        <v>9443</v>
      </c>
      <c r="I117" s="1">
        <v>371</v>
      </c>
      <c r="J117" s="1">
        <v>16849360.93</v>
      </c>
    </row>
    <row r="118" spans="1:15" ht="20.25" x14ac:dyDescent="0.3">
      <c r="A118" s="386">
        <v>39</v>
      </c>
      <c r="B118" s="381" t="s">
        <v>2269</v>
      </c>
      <c r="C118" s="383">
        <v>1431.7</v>
      </c>
      <c r="D118" s="384">
        <v>54</v>
      </c>
      <c r="E118" s="387">
        <v>2</v>
      </c>
      <c r="F118" s="388">
        <v>5796065.7599999998</v>
      </c>
      <c r="H118" s="1">
        <v>2168.41</v>
      </c>
      <c r="I118" s="1">
        <v>62</v>
      </c>
      <c r="J118" s="1">
        <v>3799734.79</v>
      </c>
    </row>
    <row r="119" spans="1:15" ht="20.25" x14ac:dyDescent="0.3">
      <c r="A119" s="386">
        <v>40</v>
      </c>
      <c r="B119" s="381" t="s">
        <v>149</v>
      </c>
      <c r="C119" s="383">
        <v>783.2</v>
      </c>
      <c r="D119" s="384">
        <v>21</v>
      </c>
      <c r="E119" s="387">
        <v>1</v>
      </c>
      <c r="F119" s="388">
        <v>3707032</v>
      </c>
      <c r="H119" s="1">
        <v>780.3</v>
      </c>
      <c r="I119" s="1">
        <v>24</v>
      </c>
      <c r="J119" s="1">
        <v>2311215.4500000002</v>
      </c>
    </row>
    <row r="120" spans="1:15" ht="20.25" x14ac:dyDescent="0.3">
      <c r="A120" s="386">
        <v>41</v>
      </c>
      <c r="B120" s="381" t="s">
        <v>148</v>
      </c>
      <c r="C120" s="383">
        <v>13217.54</v>
      </c>
      <c r="D120" s="384">
        <v>505</v>
      </c>
      <c r="E120" s="387">
        <v>5</v>
      </c>
      <c r="F120" s="388">
        <v>25990852.659999996</v>
      </c>
      <c r="H120" s="1">
        <v>540.79999999999995</v>
      </c>
      <c r="I120" s="1">
        <v>15</v>
      </c>
      <c r="J120" s="1">
        <v>3215375.5700000003</v>
      </c>
    </row>
    <row r="121" spans="1:15" ht="20.25" x14ac:dyDescent="0.3">
      <c r="A121" s="386">
        <v>42</v>
      </c>
      <c r="B121" s="381" t="s">
        <v>2247</v>
      </c>
      <c r="C121" s="383">
        <v>8831.67</v>
      </c>
      <c r="D121" s="384">
        <v>282</v>
      </c>
      <c r="E121" s="387">
        <v>3</v>
      </c>
      <c r="F121" s="388">
        <v>11675176.630000001</v>
      </c>
      <c r="H121" s="1">
        <v>2550.6999999999998</v>
      </c>
      <c r="I121" s="1">
        <v>119</v>
      </c>
      <c r="J121" s="1">
        <v>10672314.84</v>
      </c>
    </row>
    <row r="122" spans="1:15" ht="20.25" x14ac:dyDescent="0.3">
      <c r="A122" s="386">
        <v>43</v>
      </c>
      <c r="B122" s="381" t="s">
        <v>2248</v>
      </c>
      <c r="C122" s="383">
        <v>485.3</v>
      </c>
      <c r="D122" s="384">
        <v>16</v>
      </c>
      <c r="E122" s="387">
        <v>1</v>
      </c>
      <c r="F122" s="388">
        <v>2311215.4500000002</v>
      </c>
      <c r="H122" s="1">
        <v>5727.7</v>
      </c>
      <c r="I122" s="1">
        <v>188</v>
      </c>
      <c r="J122" s="1">
        <v>6053192.4699999997</v>
      </c>
    </row>
    <row r="123" spans="1:15" ht="20.25" x14ac:dyDescent="0.3">
      <c r="A123" s="386">
        <v>44</v>
      </c>
      <c r="B123" s="381" t="s">
        <v>150</v>
      </c>
      <c r="C123" s="383">
        <v>10197.09</v>
      </c>
      <c r="D123" s="384">
        <v>474</v>
      </c>
      <c r="E123" s="387">
        <v>7</v>
      </c>
      <c r="F123" s="388">
        <v>26695520.850000001</v>
      </c>
      <c r="H123" s="1">
        <v>1040.7</v>
      </c>
      <c r="I123" s="1">
        <v>44</v>
      </c>
      <c r="J123" s="1">
        <v>4804056</v>
      </c>
    </row>
    <row r="124" spans="1:15" ht="20.25" x14ac:dyDescent="0.3">
      <c r="A124" s="386">
        <v>45</v>
      </c>
      <c r="B124" s="381" t="s">
        <v>2249</v>
      </c>
      <c r="C124" s="383">
        <v>4675.3</v>
      </c>
      <c r="D124" s="384">
        <v>143</v>
      </c>
      <c r="E124" s="387">
        <v>3</v>
      </c>
      <c r="F124" s="388">
        <v>8165392.25</v>
      </c>
      <c r="H124" s="1">
        <v>3554.5</v>
      </c>
      <c r="I124" s="1">
        <v>145</v>
      </c>
      <c r="J124" s="1">
        <v>7284801.9000000004</v>
      </c>
    </row>
    <row r="125" spans="1:15" ht="20.25" x14ac:dyDescent="0.3">
      <c r="A125" s="386">
        <v>46</v>
      </c>
      <c r="B125" s="381" t="s">
        <v>250</v>
      </c>
      <c r="C125" s="383">
        <v>953.9</v>
      </c>
      <c r="D125" s="384">
        <v>28</v>
      </c>
      <c r="E125" s="387">
        <v>1</v>
      </c>
      <c r="F125" s="388">
        <v>4934808.43</v>
      </c>
      <c r="H125" s="1">
        <v>2640.94</v>
      </c>
      <c r="I125" s="1">
        <v>88</v>
      </c>
      <c r="J125" s="1">
        <v>4011881.02</v>
      </c>
    </row>
    <row r="126" spans="1:15" ht="20.25" x14ac:dyDescent="0.3">
      <c r="A126" s="386">
        <v>47</v>
      </c>
      <c r="B126" s="381" t="s">
        <v>2250</v>
      </c>
      <c r="C126" s="383">
        <v>1991.7200000000003</v>
      </c>
      <c r="D126" s="384">
        <v>99</v>
      </c>
      <c r="E126" s="387">
        <v>2</v>
      </c>
      <c r="F126" s="388">
        <v>7040608.0200000005</v>
      </c>
      <c r="H126" s="1">
        <v>4173.7</v>
      </c>
      <c r="I126" s="1">
        <v>171</v>
      </c>
      <c r="J126" s="1">
        <v>6026117.5699999994</v>
      </c>
    </row>
    <row r="127" spans="1:15" ht="20.25" x14ac:dyDescent="0.3">
      <c r="A127" s="386">
        <v>48</v>
      </c>
      <c r="B127" s="381" t="s">
        <v>2270</v>
      </c>
      <c r="C127" s="383">
        <v>938.37</v>
      </c>
      <c r="D127" s="384">
        <v>47</v>
      </c>
      <c r="E127" s="387">
        <v>1</v>
      </c>
      <c r="F127" s="388">
        <v>3974620.0799999996</v>
      </c>
      <c r="H127" s="1">
        <v>8514.9</v>
      </c>
      <c r="I127" s="1">
        <v>327</v>
      </c>
      <c r="J127" s="1">
        <v>12459674.15</v>
      </c>
    </row>
    <row r="128" spans="1:15" ht="20.25" x14ac:dyDescent="0.3">
      <c r="A128" s="386">
        <v>49</v>
      </c>
      <c r="B128" s="381" t="s">
        <v>2271</v>
      </c>
      <c r="C128" s="383">
        <v>1367.9</v>
      </c>
      <c r="D128" s="384">
        <v>78</v>
      </c>
      <c r="E128" s="387">
        <v>1</v>
      </c>
      <c r="F128" s="388">
        <v>2957808</v>
      </c>
      <c r="H128" s="1">
        <v>14680.3</v>
      </c>
      <c r="I128" s="1">
        <v>685</v>
      </c>
      <c r="J128" s="1">
        <v>13993215.270000001</v>
      </c>
    </row>
    <row r="129" spans="1:10" ht="20.25" x14ac:dyDescent="0.3">
      <c r="A129" s="386">
        <v>50</v>
      </c>
      <c r="B129" s="381" t="s">
        <v>2251</v>
      </c>
      <c r="C129" s="383">
        <v>676.3</v>
      </c>
      <c r="D129" s="384">
        <v>32</v>
      </c>
      <c r="E129" s="387">
        <v>1</v>
      </c>
      <c r="F129" s="388">
        <v>2594808.33</v>
      </c>
      <c r="H129" s="1">
        <v>4947</v>
      </c>
      <c r="I129" s="1">
        <v>164</v>
      </c>
      <c r="J129" s="1">
        <v>9221698.8000000007</v>
      </c>
    </row>
    <row r="130" spans="1:10" ht="20.25" x14ac:dyDescent="0.3">
      <c r="A130" s="386">
        <v>51</v>
      </c>
      <c r="B130" s="381" t="s">
        <v>152</v>
      </c>
      <c r="C130" s="383">
        <v>4397.6899999999996</v>
      </c>
      <c r="D130" s="384">
        <v>167</v>
      </c>
      <c r="E130" s="387">
        <v>3</v>
      </c>
      <c r="F130" s="388">
        <v>11852193.1</v>
      </c>
      <c r="H130" s="1">
        <v>726</v>
      </c>
      <c r="I130" s="1">
        <v>28</v>
      </c>
      <c r="J130" s="1">
        <v>3623929.1999999997</v>
      </c>
    </row>
    <row r="131" spans="1:10" ht="20.25" x14ac:dyDescent="0.3">
      <c r="A131" s="386">
        <v>52</v>
      </c>
      <c r="B131" s="381" t="s">
        <v>159</v>
      </c>
      <c r="C131" s="383">
        <v>8018.76</v>
      </c>
      <c r="D131" s="384">
        <v>440</v>
      </c>
      <c r="E131" s="387">
        <v>5</v>
      </c>
      <c r="F131" s="388">
        <v>17164297.239999998</v>
      </c>
      <c r="H131" s="1">
        <v>675.9</v>
      </c>
      <c r="I131" s="1">
        <v>32</v>
      </c>
      <c r="J131" s="1">
        <v>3080862</v>
      </c>
    </row>
    <row r="132" spans="1:10" ht="20.25" x14ac:dyDescent="0.3">
      <c r="A132" s="386">
        <v>53</v>
      </c>
      <c r="B132" s="381" t="s">
        <v>153</v>
      </c>
      <c r="C132" s="383">
        <v>21863.88</v>
      </c>
      <c r="D132" s="384">
        <v>871</v>
      </c>
      <c r="E132" s="387">
        <v>5</v>
      </c>
      <c r="F132" s="388">
        <v>28025089.940000001</v>
      </c>
      <c r="H132" s="1">
        <v>611.5</v>
      </c>
      <c r="I132" s="1">
        <v>28</v>
      </c>
      <c r="J132" s="1">
        <v>2610892.59</v>
      </c>
    </row>
    <row r="133" spans="1:10" ht="20.25" x14ac:dyDescent="0.3">
      <c r="A133" s="386">
        <v>54</v>
      </c>
      <c r="B133" s="381" t="s">
        <v>2253</v>
      </c>
      <c r="C133" s="383">
        <v>4721.28</v>
      </c>
      <c r="D133" s="384">
        <v>152</v>
      </c>
      <c r="E133" s="387">
        <v>3</v>
      </c>
      <c r="F133" s="388">
        <v>14805803.309999999</v>
      </c>
      <c r="H133" s="1">
        <v>789</v>
      </c>
      <c r="I133" s="1">
        <v>64</v>
      </c>
      <c r="J133" s="1">
        <v>3026194.08</v>
      </c>
    </row>
    <row r="134" spans="1:10" ht="20.25" x14ac:dyDescent="0.3">
      <c r="A134" s="386">
        <v>55</v>
      </c>
      <c r="B134" s="381" t="s">
        <v>2255</v>
      </c>
      <c r="C134" s="383">
        <v>708.1</v>
      </c>
      <c r="D134" s="384">
        <v>42</v>
      </c>
      <c r="E134" s="387">
        <v>1</v>
      </c>
      <c r="F134" s="388">
        <v>3019912.79</v>
      </c>
      <c r="H134" s="1">
        <v>351</v>
      </c>
      <c r="I134" s="1">
        <v>18</v>
      </c>
      <c r="J134" s="1">
        <v>3600600</v>
      </c>
    </row>
    <row r="135" spans="1:10" ht="20.25" x14ac:dyDescent="0.3">
      <c r="A135" s="386">
        <v>56</v>
      </c>
      <c r="B135" s="381" t="s">
        <v>2272</v>
      </c>
      <c r="C135" s="383">
        <v>788.3</v>
      </c>
      <c r="D135" s="384">
        <v>16</v>
      </c>
      <c r="E135" s="387">
        <v>1</v>
      </c>
      <c r="F135" s="388">
        <v>3567977.1799999997</v>
      </c>
      <c r="H135" s="1">
        <v>351</v>
      </c>
      <c r="I135" s="1">
        <v>18</v>
      </c>
      <c r="J135" s="1">
        <v>3600600</v>
      </c>
    </row>
    <row r="136" spans="1:10" ht="20.25" x14ac:dyDescent="0.3">
      <c r="A136" s="386">
        <v>57</v>
      </c>
      <c r="B136" s="381" t="s">
        <v>154</v>
      </c>
      <c r="C136" s="383">
        <v>758.5</v>
      </c>
      <c r="D136" s="384">
        <v>31</v>
      </c>
      <c r="E136" s="387">
        <v>1</v>
      </c>
      <c r="F136" s="388">
        <v>877727.45000000007</v>
      </c>
      <c r="H136" s="1">
        <v>626</v>
      </c>
      <c r="I136" s="1">
        <v>23</v>
      </c>
      <c r="J136" s="1">
        <v>1917600</v>
      </c>
    </row>
    <row r="137" spans="1:10" ht="20.25" x14ac:dyDescent="0.3">
      <c r="A137" s="386">
        <v>58</v>
      </c>
      <c r="B137" s="381" t="s">
        <v>160</v>
      </c>
      <c r="C137" s="383">
        <v>707.1</v>
      </c>
      <c r="D137" s="384">
        <v>16</v>
      </c>
      <c r="E137" s="387">
        <v>1</v>
      </c>
      <c r="F137" s="388">
        <v>3108475.73</v>
      </c>
    </row>
    <row r="138" spans="1:10" ht="20.25" x14ac:dyDescent="0.3">
      <c r="A138" s="386">
        <v>59</v>
      </c>
      <c r="B138" s="381" t="s">
        <v>155</v>
      </c>
      <c r="C138" s="383">
        <v>3679.7</v>
      </c>
      <c r="D138" s="384">
        <v>153</v>
      </c>
      <c r="E138" s="387">
        <v>5</v>
      </c>
      <c r="F138" s="388">
        <v>10106938.780000001</v>
      </c>
    </row>
    <row r="139" spans="1:10" ht="20.25" x14ac:dyDescent="0.3">
      <c r="A139" s="386">
        <v>60</v>
      </c>
      <c r="B139" s="381" t="s">
        <v>161</v>
      </c>
      <c r="C139" s="383">
        <v>834.7</v>
      </c>
      <c r="D139" s="384">
        <v>56</v>
      </c>
      <c r="E139" s="387">
        <v>1</v>
      </c>
      <c r="F139" s="388">
        <v>4758057.87</v>
      </c>
    </row>
    <row r="140" spans="1:10" ht="20.25" x14ac:dyDescent="0.3">
      <c r="A140" s="386">
        <v>61</v>
      </c>
      <c r="B140" s="381" t="s">
        <v>2257</v>
      </c>
      <c r="C140" s="383">
        <v>350.9</v>
      </c>
      <c r="D140" s="384">
        <v>18</v>
      </c>
      <c r="E140" s="387">
        <v>1</v>
      </c>
      <c r="F140" s="388">
        <v>1403643.06</v>
      </c>
    </row>
    <row r="141" spans="1:10" ht="20.25" x14ac:dyDescent="0.3">
      <c r="A141" s="386">
        <v>62</v>
      </c>
      <c r="B141" s="381" t="s">
        <v>2258</v>
      </c>
      <c r="C141" s="383">
        <v>6896.38</v>
      </c>
      <c r="D141" s="384">
        <v>316</v>
      </c>
      <c r="E141" s="387">
        <v>6</v>
      </c>
      <c r="F141" s="388">
        <v>15229676.24</v>
      </c>
    </row>
    <row r="142" spans="1:10" ht="20.25" x14ac:dyDescent="0.3">
      <c r="A142" s="386">
        <v>63</v>
      </c>
      <c r="B142" s="381" t="s">
        <v>2259</v>
      </c>
      <c r="C142" s="383">
        <v>2986.5999999999995</v>
      </c>
      <c r="D142" s="384">
        <v>122</v>
      </c>
      <c r="E142" s="387">
        <v>4</v>
      </c>
      <c r="F142" s="388">
        <v>8045705.7599999988</v>
      </c>
    </row>
    <row r="143" spans="1:10" ht="20.25" x14ac:dyDescent="0.3">
      <c r="A143" s="386">
        <v>64</v>
      </c>
      <c r="B143" s="381" t="s">
        <v>2261</v>
      </c>
      <c r="C143" s="383">
        <v>791.9</v>
      </c>
      <c r="D143" s="384">
        <v>27</v>
      </c>
      <c r="E143" s="387">
        <v>1</v>
      </c>
      <c r="F143" s="388">
        <v>3415978.9200000004</v>
      </c>
    </row>
    <row r="144" spans="1:10" ht="20.25" x14ac:dyDescent="0.3">
      <c r="A144" s="386">
        <v>65</v>
      </c>
      <c r="B144" s="381" t="s">
        <v>2260</v>
      </c>
      <c r="C144" s="383">
        <v>212.1</v>
      </c>
      <c r="D144" s="384">
        <v>7</v>
      </c>
      <c r="E144" s="387">
        <v>1</v>
      </c>
      <c r="F144" s="388">
        <v>236034.47</v>
      </c>
    </row>
    <row r="145" spans="1:10" ht="20.25" x14ac:dyDescent="0.3">
      <c r="A145" s="381" t="s">
        <v>1699</v>
      </c>
      <c r="B145" s="391"/>
      <c r="C145" s="383">
        <f>SUM(C146:C203)</f>
        <v>539373.54</v>
      </c>
      <c r="D145" s="384">
        <f>SUM(D146:D203)</f>
        <v>20582</v>
      </c>
      <c r="E145" s="384">
        <f>SUM(E146:E203)</f>
        <v>217</v>
      </c>
      <c r="F145" s="383">
        <f>SUM(F146:F203)</f>
        <v>814479561.79999995</v>
      </c>
      <c r="H145" s="1">
        <v>715.9</v>
      </c>
      <c r="I145" s="1">
        <v>16</v>
      </c>
      <c r="J145" s="1">
        <v>3396600</v>
      </c>
    </row>
    <row r="146" spans="1:10" ht="20.25" x14ac:dyDescent="0.3">
      <c r="A146" s="386">
        <v>1</v>
      </c>
      <c r="B146" s="381" t="s">
        <v>2225</v>
      </c>
      <c r="C146" s="383">
        <v>231782.3</v>
      </c>
      <c r="D146" s="384">
        <v>8634</v>
      </c>
      <c r="E146" s="392">
        <v>62</v>
      </c>
      <c r="F146" s="388">
        <v>250058047.12</v>
      </c>
      <c r="H146" s="1">
        <v>209231.22999999995</v>
      </c>
      <c r="I146" s="1">
        <v>8552</v>
      </c>
      <c r="J146" s="1">
        <v>216853215.43000004</v>
      </c>
    </row>
    <row r="147" spans="1:10" ht="20.25" x14ac:dyDescent="0.3">
      <c r="A147" s="386">
        <v>2</v>
      </c>
      <c r="B147" s="381" t="s">
        <v>2226</v>
      </c>
      <c r="C147" s="383">
        <v>14992.5</v>
      </c>
      <c r="D147" s="384">
        <v>773</v>
      </c>
      <c r="E147" s="387">
        <v>14</v>
      </c>
      <c r="F147" s="388">
        <v>44764760.649999999</v>
      </c>
      <c r="H147" s="1">
        <v>15519.199999999999</v>
      </c>
      <c r="I147" s="1">
        <v>787</v>
      </c>
      <c r="J147" s="1">
        <v>45048314.759999998</v>
      </c>
    </row>
    <row r="148" spans="1:10" ht="20.25" x14ac:dyDescent="0.3">
      <c r="A148" s="386">
        <v>3</v>
      </c>
      <c r="B148" s="381" t="s">
        <v>2227</v>
      </c>
      <c r="C148" s="383">
        <v>49658.150000000009</v>
      </c>
      <c r="D148" s="384">
        <v>2164</v>
      </c>
      <c r="E148" s="387">
        <v>26</v>
      </c>
      <c r="F148" s="388">
        <v>90625537.659999982</v>
      </c>
      <c r="H148" s="1">
        <v>55253.150000000009</v>
      </c>
      <c r="I148" s="1">
        <v>2316</v>
      </c>
      <c r="J148" s="1">
        <v>91626897.959999993</v>
      </c>
    </row>
    <row r="149" spans="1:10" ht="20.25" x14ac:dyDescent="0.3">
      <c r="A149" s="386">
        <v>4</v>
      </c>
      <c r="B149" s="393" t="s">
        <v>2273</v>
      </c>
      <c r="C149" s="383">
        <v>28818.510000000002</v>
      </c>
      <c r="D149" s="384">
        <v>844</v>
      </c>
      <c r="E149" s="387">
        <v>11</v>
      </c>
      <c r="F149" s="388">
        <v>46331140.729999997</v>
      </c>
      <c r="H149" s="1">
        <v>26773.05</v>
      </c>
      <c r="I149" s="1">
        <v>869</v>
      </c>
      <c r="J149" s="1">
        <v>44137673.120000005</v>
      </c>
    </row>
    <row r="150" spans="1:10" ht="20.25" x14ac:dyDescent="0.3">
      <c r="A150" s="386">
        <v>5</v>
      </c>
      <c r="B150" s="381" t="s">
        <v>2228</v>
      </c>
      <c r="C150" s="383">
        <v>13712.699999999999</v>
      </c>
      <c r="D150" s="384">
        <v>547</v>
      </c>
      <c r="E150" s="387">
        <v>2</v>
      </c>
      <c r="F150" s="388">
        <v>21856214.649999999</v>
      </c>
      <c r="H150" s="1">
        <v>13712.7</v>
      </c>
      <c r="I150" s="1">
        <v>336</v>
      </c>
      <c r="J150" s="1">
        <v>21856214.650000002</v>
      </c>
    </row>
    <row r="151" spans="1:10" ht="20.25" x14ac:dyDescent="0.3">
      <c r="A151" s="386">
        <v>6</v>
      </c>
      <c r="B151" s="381" t="s">
        <v>132</v>
      </c>
      <c r="C151" s="383">
        <v>44403.5</v>
      </c>
      <c r="D151" s="384">
        <v>1743</v>
      </c>
      <c r="E151" s="387">
        <v>8</v>
      </c>
      <c r="F151" s="388">
        <v>51599396.32</v>
      </c>
      <c r="H151" s="1">
        <v>45913.430000000008</v>
      </c>
      <c r="I151" s="1">
        <v>1959</v>
      </c>
      <c r="J151" s="1">
        <v>51679396.32</v>
      </c>
    </row>
    <row r="152" spans="1:10" ht="20.25" x14ac:dyDescent="0.3">
      <c r="A152" s="386">
        <v>7</v>
      </c>
      <c r="B152" s="381" t="s">
        <v>133</v>
      </c>
      <c r="C152" s="383">
        <v>6151.9</v>
      </c>
      <c r="D152" s="384">
        <v>158</v>
      </c>
      <c r="E152" s="387">
        <v>2</v>
      </c>
      <c r="F152" s="388">
        <v>5663822.2999999998</v>
      </c>
      <c r="H152" s="1">
        <v>11170.900000000001</v>
      </c>
      <c r="I152" s="1">
        <v>305</v>
      </c>
      <c r="J152" s="1">
        <v>9890638.1399999987</v>
      </c>
    </row>
    <row r="153" spans="1:10" ht="20.25" x14ac:dyDescent="0.3">
      <c r="A153" s="386">
        <v>8</v>
      </c>
      <c r="B153" s="381" t="s">
        <v>2229</v>
      </c>
      <c r="C153" s="383">
        <v>11575.699999999999</v>
      </c>
      <c r="D153" s="384">
        <v>348</v>
      </c>
      <c r="E153" s="387">
        <v>3</v>
      </c>
      <c r="F153" s="388">
        <v>9644472.4000000004</v>
      </c>
      <c r="H153" s="1">
        <v>4408.6000000000004</v>
      </c>
      <c r="I153" s="1">
        <v>120</v>
      </c>
      <c r="J153" s="1">
        <v>11422752.699999999</v>
      </c>
    </row>
    <row r="154" spans="1:10" ht="20.25" x14ac:dyDescent="0.3">
      <c r="A154" s="386">
        <v>9</v>
      </c>
      <c r="B154" s="381" t="s">
        <v>2230</v>
      </c>
      <c r="C154" s="383">
        <v>6442.65</v>
      </c>
      <c r="D154" s="384">
        <v>188</v>
      </c>
      <c r="E154" s="387">
        <v>2</v>
      </c>
      <c r="F154" s="388">
        <v>8756823</v>
      </c>
      <c r="H154" s="1">
        <v>8897</v>
      </c>
      <c r="I154" s="1">
        <v>313</v>
      </c>
      <c r="J154" s="1">
        <v>9642280</v>
      </c>
    </row>
    <row r="155" spans="1:10" ht="20.25" x14ac:dyDescent="0.3">
      <c r="A155" s="386">
        <v>10</v>
      </c>
      <c r="B155" s="381" t="s">
        <v>134</v>
      </c>
      <c r="C155" s="383">
        <v>1801.1</v>
      </c>
      <c r="D155" s="384">
        <v>87</v>
      </c>
      <c r="E155" s="387">
        <v>1</v>
      </c>
      <c r="F155" s="388">
        <v>4369866.08</v>
      </c>
      <c r="H155" s="1">
        <v>804.5</v>
      </c>
      <c r="I155" s="1">
        <v>47</v>
      </c>
      <c r="J155" s="1">
        <v>4369866.08</v>
      </c>
    </row>
    <row r="156" spans="1:10" ht="20.25" x14ac:dyDescent="0.3">
      <c r="A156" s="386">
        <v>11</v>
      </c>
      <c r="B156" s="381" t="s">
        <v>2232</v>
      </c>
      <c r="C156" s="383">
        <v>1070.8</v>
      </c>
      <c r="D156" s="384">
        <v>57</v>
      </c>
      <c r="E156" s="387">
        <v>1</v>
      </c>
      <c r="F156" s="388">
        <v>2936950.21</v>
      </c>
      <c r="H156" s="1">
        <v>1070.8</v>
      </c>
      <c r="I156" s="1">
        <v>42</v>
      </c>
      <c r="J156" s="1">
        <v>2936950.21</v>
      </c>
    </row>
    <row r="157" spans="1:10" ht="20.25" x14ac:dyDescent="0.3">
      <c r="A157" s="386">
        <v>12</v>
      </c>
      <c r="B157" s="381" t="s">
        <v>2233</v>
      </c>
      <c r="C157" s="383">
        <v>1547.1</v>
      </c>
      <c r="D157" s="384">
        <v>72</v>
      </c>
      <c r="E157" s="387">
        <v>2</v>
      </c>
      <c r="F157" s="388">
        <v>2773728.46</v>
      </c>
      <c r="H157" s="1">
        <v>1426.8</v>
      </c>
      <c r="I157" s="1">
        <v>72</v>
      </c>
      <c r="J157" s="1">
        <v>2773728.46</v>
      </c>
    </row>
    <row r="158" spans="1:10" ht="20.25" x14ac:dyDescent="0.3">
      <c r="A158" s="386">
        <v>13</v>
      </c>
      <c r="B158" s="381" t="s">
        <v>135</v>
      </c>
      <c r="C158" s="383">
        <v>520.79999999999995</v>
      </c>
      <c r="D158" s="384">
        <v>32</v>
      </c>
      <c r="E158" s="387">
        <v>1</v>
      </c>
      <c r="F158" s="388">
        <v>2158336.3499999996</v>
      </c>
      <c r="H158" s="1">
        <v>456.6</v>
      </c>
      <c r="I158" s="1">
        <v>26</v>
      </c>
      <c r="J158" s="1">
        <v>2158336.3499999996</v>
      </c>
    </row>
    <row r="159" spans="1:10" ht="20.25" x14ac:dyDescent="0.3">
      <c r="A159" s="386">
        <v>14</v>
      </c>
      <c r="B159" s="381" t="s">
        <v>136</v>
      </c>
      <c r="C159" s="383">
        <v>3156.2</v>
      </c>
      <c r="D159" s="384">
        <v>151</v>
      </c>
      <c r="E159" s="387">
        <v>1</v>
      </c>
      <c r="F159" s="388">
        <v>2000000</v>
      </c>
      <c r="H159" s="1">
        <v>3374.6</v>
      </c>
      <c r="I159" s="1">
        <v>144</v>
      </c>
      <c r="J159" s="1">
        <v>2000000</v>
      </c>
    </row>
    <row r="160" spans="1:10" ht="20.25" x14ac:dyDescent="0.3">
      <c r="A160" s="386">
        <v>15</v>
      </c>
      <c r="B160" s="381" t="s">
        <v>137</v>
      </c>
      <c r="C160" s="383">
        <v>11293.6</v>
      </c>
      <c r="D160" s="384">
        <v>522</v>
      </c>
      <c r="E160" s="387">
        <v>6</v>
      </c>
      <c r="F160" s="388">
        <v>19139362.629999999</v>
      </c>
      <c r="H160" s="1">
        <v>13638.6</v>
      </c>
      <c r="I160" s="1">
        <v>299</v>
      </c>
      <c r="J160" s="1">
        <v>23342011.919999998</v>
      </c>
    </row>
    <row r="161" spans="1:10" ht="20.25" x14ac:dyDescent="0.3">
      <c r="A161" s="386">
        <v>16</v>
      </c>
      <c r="B161" s="381" t="s">
        <v>138</v>
      </c>
      <c r="C161" s="383">
        <v>6105.4</v>
      </c>
      <c r="D161" s="384">
        <v>226</v>
      </c>
      <c r="E161" s="387">
        <v>3</v>
      </c>
      <c r="F161" s="388">
        <v>13813074.67</v>
      </c>
      <c r="H161" s="1">
        <v>5759.0999999999995</v>
      </c>
      <c r="I161" s="1">
        <v>215</v>
      </c>
      <c r="J161" s="1">
        <v>12591900</v>
      </c>
    </row>
    <row r="162" spans="1:10" ht="20.25" x14ac:dyDescent="0.3">
      <c r="A162" s="386">
        <v>17</v>
      </c>
      <c r="B162" s="381" t="s">
        <v>139</v>
      </c>
      <c r="C162" s="383">
        <v>396.2</v>
      </c>
      <c r="D162" s="384">
        <v>20</v>
      </c>
      <c r="E162" s="387">
        <v>1</v>
      </c>
      <c r="F162" s="388">
        <v>1724820</v>
      </c>
      <c r="H162" s="1">
        <v>396.2</v>
      </c>
      <c r="I162" s="1">
        <v>21</v>
      </c>
      <c r="J162" s="1">
        <v>1724820</v>
      </c>
    </row>
    <row r="163" spans="1:10" ht="20.25" x14ac:dyDescent="0.3">
      <c r="A163" s="386">
        <v>18</v>
      </c>
      <c r="B163" s="381" t="s">
        <v>2234</v>
      </c>
      <c r="C163" s="383">
        <v>1011.8</v>
      </c>
      <c r="D163" s="384">
        <v>36</v>
      </c>
      <c r="E163" s="387">
        <v>1</v>
      </c>
      <c r="F163" s="388">
        <v>1739107.3499999999</v>
      </c>
      <c r="H163" s="1">
        <v>1011.8</v>
      </c>
      <c r="I163" s="1">
        <v>26</v>
      </c>
      <c r="J163" s="1">
        <v>1739107.3499999999</v>
      </c>
    </row>
    <row r="164" spans="1:10" ht="20.25" x14ac:dyDescent="0.3">
      <c r="A164" s="386">
        <v>19</v>
      </c>
      <c r="B164" s="381" t="s">
        <v>2274</v>
      </c>
      <c r="C164" s="383">
        <v>594.20000000000005</v>
      </c>
      <c r="D164" s="384">
        <v>21</v>
      </c>
      <c r="E164" s="387">
        <v>1</v>
      </c>
      <c r="F164" s="388">
        <v>3373804.98</v>
      </c>
      <c r="H164" s="1">
        <v>594.20000000000005</v>
      </c>
      <c r="I164" s="1">
        <v>23</v>
      </c>
      <c r="J164" s="1">
        <v>3373804.98</v>
      </c>
    </row>
    <row r="165" spans="1:10" ht="20.25" x14ac:dyDescent="0.3">
      <c r="A165" s="386">
        <v>20</v>
      </c>
      <c r="B165" s="381" t="s">
        <v>2275</v>
      </c>
      <c r="C165" s="383">
        <v>1532.1</v>
      </c>
      <c r="D165" s="384">
        <v>39</v>
      </c>
      <c r="E165" s="387">
        <v>2</v>
      </c>
      <c r="F165" s="388">
        <v>3916350</v>
      </c>
      <c r="H165" s="1">
        <v>906.9</v>
      </c>
      <c r="I165" s="1">
        <v>32</v>
      </c>
      <c r="J165" s="1">
        <v>3916350</v>
      </c>
    </row>
    <row r="166" spans="1:10" ht="20.25" x14ac:dyDescent="0.3">
      <c r="A166" s="386">
        <v>21</v>
      </c>
      <c r="B166" s="381" t="s">
        <v>2236</v>
      </c>
      <c r="C166" s="383">
        <v>2184</v>
      </c>
      <c r="D166" s="384">
        <v>61</v>
      </c>
      <c r="E166" s="387">
        <v>2</v>
      </c>
      <c r="F166" s="388">
        <v>3516578.96</v>
      </c>
      <c r="H166" s="1">
        <v>2184</v>
      </c>
      <c r="I166" s="1">
        <v>57</v>
      </c>
      <c r="J166" s="1">
        <v>3516578.96</v>
      </c>
    </row>
    <row r="167" spans="1:10" ht="20.25" x14ac:dyDescent="0.3">
      <c r="A167" s="386">
        <v>22</v>
      </c>
      <c r="B167" s="381" t="s">
        <v>140</v>
      </c>
      <c r="C167" s="383">
        <v>1069.5</v>
      </c>
      <c r="D167" s="384">
        <v>34</v>
      </c>
      <c r="E167" s="387">
        <v>1</v>
      </c>
      <c r="F167" s="388">
        <v>3598749.4899999998</v>
      </c>
      <c r="H167" s="1">
        <v>1069.5</v>
      </c>
      <c r="I167" s="1">
        <v>39</v>
      </c>
      <c r="J167" s="1">
        <v>3598749.4899999998</v>
      </c>
    </row>
    <row r="168" spans="1:10" ht="20.25" x14ac:dyDescent="0.3">
      <c r="A168" s="386">
        <v>23</v>
      </c>
      <c r="B168" s="381" t="s">
        <v>2238</v>
      </c>
      <c r="C168" s="383">
        <v>667.4</v>
      </c>
      <c r="D168" s="384">
        <v>32</v>
      </c>
      <c r="E168" s="387">
        <v>1</v>
      </c>
      <c r="F168" s="388">
        <v>1925593.0499999998</v>
      </c>
      <c r="H168" s="1">
        <v>630</v>
      </c>
      <c r="I168" s="1">
        <v>32</v>
      </c>
      <c r="J168" s="1">
        <v>3488946.79</v>
      </c>
    </row>
    <row r="169" spans="1:10" ht="20.25" x14ac:dyDescent="0.3">
      <c r="A169" s="386">
        <v>24</v>
      </c>
      <c r="B169" s="381" t="s">
        <v>2276</v>
      </c>
      <c r="C169" s="383">
        <v>569.20000000000005</v>
      </c>
      <c r="D169" s="384">
        <v>29</v>
      </c>
      <c r="E169" s="387">
        <v>1</v>
      </c>
      <c r="F169" s="388">
        <v>1538879.17</v>
      </c>
      <c r="H169" s="1">
        <v>626.5</v>
      </c>
      <c r="I169" s="1">
        <v>23</v>
      </c>
      <c r="J169" s="1">
        <v>1538879.17</v>
      </c>
    </row>
    <row r="170" spans="1:10" ht="20.25" x14ac:dyDescent="0.3">
      <c r="A170" s="386">
        <v>25</v>
      </c>
      <c r="B170" s="381" t="s">
        <v>141</v>
      </c>
      <c r="C170" s="383">
        <v>14681.960000000001</v>
      </c>
      <c r="D170" s="384">
        <v>474</v>
      </c>
      <c r="E170" s="387">
        <v>6</v>
      </c>
      <c r="F170" s="388">
        <v>29368928.999999996</v>
      </c>
      <c r="H170" s="1">
        <v>20161.96</v>
      </c>
      <c r="I170" s="1">
        <v>621</v>
      </c>
      <c r="J170" s="1">
        <v>28415186.600000001</v>
      </c>
    </row>
    <row r="171" spans="1:10" ht="20.25" x14ac:dyDescent="0.3">
      <c r="A171" s="386">
        <v>26</v>
      </c>
      <c r="B171" s="381" t="s">
        <v>2243</v>
      </c>
      <c r="C171" s="383">
        <v>1573</v>
      </c>
      <c r="D171" s="384">
        <v>86</v>
      </c>
      <c r="E171" s="387">
        <v>2</v>
      </c>
      <c r="F171" s="388">
        <v>5777967.8699999992</v>
      </c>
      <c r="H171" s="1">
        <v>1573</v>
      </c>
      <c r="I171" s="1">
        <v>68</v>
      </c>
      <c r="J171" s="1">
        <v>5777967.8699999992</v>
      </c>
    </row>
    <row r="172" spans="1:10" ht="20.25" x14ac:dyDescent="0.3">
      <c r="A172" s="386">
        <v>27</v>
      </c>
      <c r="B172" s="381" t="s">
        <v>142</v>
      </c>
      <c r="C172" s="383">
        <v>1266.2</v>
      </c>
      <c r="D172" s="384">
        <v>63</v>
      </c>
      <c r="E172" s="387">
        <v>3</v>
      </c>
      <c r="F172" s="388">
        <v>4715781.71</v>
      </c>
      <c r="H172" s="1">
        <v>1266.2</v>
      </c>
      <c r="I172" s="1">
        <v>52</v>
      </c>
      <c r="J172" s="1">
        <v>4715781.71</v>
      </c>
    </row>
    <row r="173" spans="1:10" ht="20.25" x14ac:dyDescent="0.3">
      <c r="A173" s="386">
        <v>28</v>
      </c>
      <c r="B173" s="381" t="s">
        <v>2242</v>
      </c>
      <c r="C173" s="383">
        <v>666.5</v>
      </c>
      <c r="D173" s="384">
        <v>37</v>
      </c>
      <c r="E173" s="387">
        <v>2</v>
      </c>
      <c r="F173" s="388">
        <v>2590114.16</v>
      </c>
      <c r="H173" s="1">
        <v>703.5</v>
      </c>
      <c r="I173" s="1">
        <v>36</v>
      </c>
      <c r="J173" s="1">
        <v>2590114.16</v>
      </c>
    </row>
    <row r="174" spans="1:10" ht="20.25" x14ac:dyDescent="0.3">
      <c r="A174" s="386">
        <v>29</v>
      </c>
      <c r="B174" s="381" t="s">
        <v>143</v>
      </c>
      <c r="C174" s="383">
        <v>1217.2</v>
      </c>
      <c r="D174" s="384">
        <v>47</v>
      </c>
      <c r="E174" s="387">
        <v>1</v>
      </c>
      <c r="F174" s="388">
        <v>1456533.11</v>
      </c>
      <c r="H174" s="1">
        <v>1217.2</v>
      </c>
      <c r="I174" s="1">
        <v>47</v>
      </c>
      <c r="J174" s="1">
        <v>1456533.11</v>
      </c>
    </row>
    <row r="175" spans="1:10" ht="20.25" x14ac:dyDescent="0.3">
      <c r="A175" s="386">
        <v>30</v>
      </c>
      <c r="B175" s="381" t="s">
        <v>144</v>
      </c>
      <c r="C175" s="383">
        <v>1774</v>
      </c>
      <c r="D175" s="384">
        <v>80</v>
      </c>
      <c r="E175" s="387">
        <v>3</v>
      </c>
      <c r="F175" s="388">
        <v>10290828.25</v>
      </c>
      <c r="H175" s="1">
        <v>1774</v>
      </c>
      <c r="I175" s="1">
        <v>80</v>
      </c>
      <c r="J175" s="1">
        <v>10290828.25</v>
      </c>
    </row>
    <row r="176" spans="1:10" ht="20.25" x14ac:dyDescent="0.3">
      <c r="A176" s="386">
        <v>31</v>
      </c>
      <c r="B176" s="381" t="s">
        <v>145</v>
      </c>
      <c r="C176" s="383">
        <v>609</v>
      </c>
      <c r="D176" s="384">
        <v>32</v>
      </c>
      <c r="E176" s="387">
        <v>1</v>
      </c>
      <c r="F176" s="388">
        <v>3013803.8600000003</v>
      </c>
      <c r="H176" s="1">
        <v>609</v>
      </c>
      <c r="I176" s="1">
        <v>31</v>
      </c>
      <c r="J176" s="1">
        <v>3013803.8600000003</v>
      </c>
    </row>
    <row r="177" spans="1:10" ht="20.25" x14ac:dyDescent="0.3">
      <c r="A177" s="386">
        <v>32</v>
      </c>
      <c r="B177" s="381" t="s">
        <v>2277</v>
      </c>
      <c r="C177" s="383">
        <v>616.20000000000005</v>
      </c>
      <c r="D177" s="384">
        <v>21</v>
      </c>
      <c r="E177" s="387">
        <v>1</v>
      </c>
      <c r="F177" s="388">
        <v>2036502</v>
      </c>
      <c r="H177" s="1">
        <v>616</v>
      </c>
      <c r="I177" s="1">
        <v>21</v>
      </c>
      <c r="J177" s="1">
        <v>2036502</v>
      </c>
    </row>
    <row r="178" spans="1:10" ht="20.25" x14ac:dyDescent="0.3">
      <c r="A178" s="386">
        <v>33</v>
      </c>
      <c r="B178" s="381" t="s">
        <v>146</v>
      </c>
      <c r="C178" s="383">
        <v>772.9</v>
      </c>
      <c r="D178" s="384">
        <v>30</v>
      </c>
      <c r="E178" s="387">
        <v>1</v>
      </c>
      <c r="F178" s="388">
        <v>3592598.4</v>
      </c>
      <c r="H178" s="1">
        <v>772.9</v>
      </c>
      <c r="I178" s="1">
        <v>32</v>
      </c>
      <c r="J178" s="1">
        <v>3592598.4</v>
      </c>
    </row>
    <row r="179" spans="1:10" ht="20.25" x14ac:dyDescent="0.3">
      <c r="A179" s="386">
        <v>34</v>
      </c>
      <c r="B179" s="381" t="s">
        <v>2268</v>
      </c>
      <c r="C179" s="383">
        <v>976.3</v>
      </c>
      <c r="D179" s="384">
        <v>36</v>
      </c>
      <c r="E179" s="387">
        <v>1</v>
      </c>
      <c r="F179" s="388">
        <v>4454195.3999999994</v>
      </c>
      <c r="H179" s="1">
        <v>976.3</v>
      </c>
      <c r="I179" s="1">
        <v>36</v>
      </c>
      <c r="J179" s="1">
        <v>4454195.3999999994</v>
      </c>
    </row>
    <row r="180" spans="1:10" ht="20.25" x14ac:dyDescent="0.3">
      <c r="A180" s="386">
        <v>35</v>
      </c>
      <c r="B180" s="381" t="s">
        <v>2278</v>
      </c>
      <c r="C180" s="383">
        <v>781.7</v>
      </c>
      <c r="D180" s="384">
        <v>40</v>
      </c>
      <c r="E180" s="387">
        <v>1</v>
      </c>
      <c r="F180" s="388">
        <v>5304624.57</v>
      </c>
      <c r="H180" s="1">
        <v>781.7</v>
      </c>
      <c r="I180" s="1">
        <v>25</v>
      </c>
      <c r="J180" s="1">
        <v>4839701.7600000007</v>
      </c>
    </row>
    <row r="181" spans="1:10" ht="20.25" x14ac:dyDescent="0.3">
      <c r="A181" s="386">
        <v>36</v>
      </c>
      <c r="B181" s="381" t="s">
        <v>147</v>
      </c>
      <c r="C181" s="383">
        <v>736.7</v>
      </c>
      <c r="D181" s="384">
        <v>41</v>
      </c>
      <c r="E181" s="387">
        <v>1</v>
      </c>
      <c r="F181" s="388">
        <v>3231458.3</v>
      </c>
      <c r="H181" s="1">
        <v>792.9</v>
      </c>
      <c r="I181" s="1">
        <v>42</v>
      </c>
      <c r="J181" s="1">
        <v>3231458.3</v>
      </c>
    </row>
    <row r="182" spans="1:10" ht="20.25" x14ac:dyDescent="0.3">
      <c r="A182" s="386">
        <v>37</v>
      </c>
      <c r="B182" s="381" t="s">
        <v>148</v>
      </c>
      <c r="C182" s="383">
        <v>9352.4</v>
      </c>
      <c r="D182" s="384">
        <v>384</v>
      </c>
      <c r="E182" s="387">
        <v>3</v>
      </c>
      <c r="F182" s="388">
        <v>16849360.93</v>
      </c>
      <c r="H182" s="1">
        <v>9443</v>
      </c>
      <c r="I182" s="1">
        <v>371</v>
      </c>
      <c r="J182" s="1">
        <v>16849360.93</v>
      </c>
    </row>
    <row r="183" spans="1:10" ht="20.25" x14ac:dyDescent="0.3">
      <c r="A183" s="386">
        <v>38</v>
      </c>
      <c r="B183" s="381" t="s">
        <v>2247</v>
      </c>
      <c r="C183" s="383">
        <v>2168.41</v>
      </c>
      <c r="D183" s="384">
        <v>63</v>
      </c>
      <c r="E183" s="387">
        <v>1</v>
      </c>
      <c r="F183" s="388">
        <v>2872957.67</v>
      </c>
      <c r="H183" s="1">
        <v>2168.41</v>
      </c>
      <c r="I183" s="1">
        <v>62</v>
      </c>
      <c r="J183" s="1">
        <v>3799734.79</v>
      </c>
    </row>
    <row r="184" spans="1:10" ht="20.25" x14ac:dyDescent="0.3">
      <c r="A184" s="386">
        <v>39</v>
      </c>
      <c r="B184" s="381" t="s">
        <v>2248</v>
      </c>
      <c r="C184" s="383">
        <v>780.3</v>
      </c>
      <c r="D184" s="384">
        <v>40</v>
      </c>
      <c r="E184" s="387">
        <v>1</v>
      </c>
      <c r="F184" s="388">
        <v>2311215.4500000002</v>
      </c>
      <c r="H184" s="1">
        <v>780.3</v>
      </c>
      <c r="I184" s="1">
        <v>24</v>
      </c>
      <c r="J184" s="1">
        <v>2311215.4500000002</v>
      </c>
    </row>
    <row r="185" spans="1:10" ht="20.25" x14ac:dyDescent="0.3">
      <c r="A185" s="386">
        <v>40</v>
      </c>
      <c r="B185" s="381" t="s">
        <v>149</v>
      </c>
      <c r="C185" s="383">
        <v>540.79999999999995</v>
      </c>
      <c r="D185" s="384">
        <v>26</v>
      </c>
      <c r="E185" s="387">
        <v>1</v>
      </c>
      <c r="F185" s="388">
        <v>3215375.5700000003</v>
      </c>
      <c r="H185" s="1">
        <v>540.79999999999995</v>
      </c>
      <c r="I185" s="1">
        <v>15</v>
      </c>
      <c r="J185" s="1">
        <v>3215375.5700000003</v>
      </c>
    </row>
    <row r="186" spans="1:10" ht="20.25" x14ac:dyDescent="0.3">
      <c r="A186" s="386">
        <v>41</v>
      </c>
      <c r="B186" s="381" t="s">
        <v>150</v>
      </c>
      <c r="C186" s="383">
        <v>2550.6999999999998</v>
      </c>
      <c r="D186" s="384">
        <v>140</v>
      </c>
      <c r="E186" s="387">
        <v>3</v>
      </c>
      <c r="F186" s="388">
        <v>10672314.84</v>
      </c>
      <c r="H186" s="1">
        <v>2550.6999999999998</v>
      </c>
      <c r="I186" s="1">
        <v>119</v>
      </c>
      <c r="J186" s="1">
        <v>10672314.84</v>
      </c>
    </row>
    <row r="187" spans="1:10" ht="20.25" x14ac:dyDescent="0.3">
      <c r="A187" s="386">
        <v>42</v>
      </c>
      <c r="B187" s="381" t="s">
        <v>2246</v>
      </c>
      <c r="C187" s="383">
        <v>5523</v>
      </c>
      <c r="D187" s="384">
        <v>208</v>
      </c>
      <c r="E187" s="387">
        <v>1</v>
      </c>
      <c r="F187" s="388">
        <v>3912770.8299999996</v>
      </c>
      <c r="H187" s="1">
        <v>5727.7</v>
      </c>
      <c r="I187" s="1">
        <v>188</v>
      </c>
      <c r="J187" s="1">
        <v>6053192.4699999997</v>
      </c>
    </row>
    <row r="188" spans="1:10" ht="20.25" x14ac:dyDescent="0.3">
      <c r="A188" s="386">
        <v>43</v>
      </c>
      <c r="B188" s="381" t="s">
        <v>2249</v>
      </c>
      <c r="C188" s="383">
        <v>1046.8</v>
      </c>
      <c r="D188" s="384">
        <v>44</v>
      </c>
      <c r="E188" s="387">
        <v>1</v>
      </c>
      <c r="F188" s="388">
        <v>4804056</v>
      </c>
      <c r="H188" s="1">
        <v>1040.7</v>
      </c>
      <c r="I188" s="1">
        <v>44</v>
      </c>
      <c r="J188" s="1">
        <v>4804056</v>
      </c>
    </row>
    <row r="189" spans="1:10" ht="20.25" x14ac:dyDescent="0.3">
      <c r="A189" s="386">
        <v>44</v>
      </c>
      <c r="B189" s="381" t="s">
        <v>151</v>
      </c>
      <c r="C189" s="383">
        <v>3554.5</v>
      </c>
      <c r="D189" s="384">
        <v>158</v>
      </c>
      <c r="E189" s="387">
        <v>1</v>
      </c>
      <c r="F189" s="388">
        <v>7284801.9000000004</v>
      </c>
      <c r="H189" s="1">
        <v>3554.5</v>
      </c>
      <c r="I189" s="1">
        <v>145</v>
      </c>
      <c r="J189" s="1">
        <v>7284801.9000000004</v>
      </c>
    </row>
    <row r="190" spans="1:10" ht="20.25" x14ac:dyDescent="0.3">
      <c r="A190" s="386">
        <v>45</v>
      </c>
      <c r="B190" s="381" t="s">
        <v>2271</v>
      </c>
      <c r="C190" s="383">
        <v>2640.94</v>
      </c>
      <c r="D190" s="384">
        <v>92</v>
      </c>
      <c r="E190" s="387">
        <v>2</v>
      </c>
      <c r="F190" s="388">
        <v>4011881.02</v>
      </c>
      <c r="H190" s="1">
        <v>2640.94</v>
      </c>
      <c r="I190" s="1">
        <v>88</v>
      </c>
      <c r="J190" s="1">
        <v>4011881.02</v>
      </c>
    </row>
    <row r="191" spans="1:10" ht="20.25" x14ac:dyDescent="0.3">
      <c r="A191" s="386">
        <v>46</v>
      </c>
      <c r="B191" s="381" t="s">
        <v>152</v>
      </c>
      <c r="C191" s="383">
        <v>3872.1</v>
      </c>
      <c r="D191" s="384">
        <v>163</v>
      </c>
      <c r="E191" s="387">
        <v>3</v>
      </c>
      <c r="F191" s="388">
        <v>6079528.0199999996</v>
      </c>
      <c r="H191" s="1">
        <v>4173.7</v>
      </c>
      <c r="I191" s="1">
        <v>171</v>
      </c>
      <c r="J191" s="1">
        <v>6026117.5699999994</v>
      </c>
    </row>
    <row r="192" spans="1:10" ht="20.25" x14ac:dyDescent="0.3">
      <c r="A192" s="386">
        <v>47</v>
      </c>
      <c r="B192" s="381" t="s">
        <v>159</v>
      </c>
      <c r="C192" s="383">
        <v>13642.179999999998</v>
      </c>
      <c r="D192" s="384">
        <v>462</v>
      </c>
      <c r="E192" s="387">
        <v>3</v>
      </c>
      <c r="F192" s="388">
        <v>12459674.15</v>
      </c>
      <c r="H192" s="1">
        <v>8514.9</v>
      </c>
      <c r="I192" s="1">
        <v>327</v>
      </c>
      <c r="J192" s="1">
        <v>12459674.15</v>
      </c>
    </row>
    <row r="193" spans="1:10" ht="20.25" x14ac:dyDescent="0.3">
      <c r="A193" s="386">
        <v>48</v>
      </c>
      <c r="B193" s="381" t="s">
        <v>153</v>
      </c>
      <c r="C193" s="383">
        <v>10207.129999999999</v>
      </c>
      <c r="D193" s="384">
        <v>448</v>
      </c>
      <c r="E193" s="387">
        <v>3</v>
      </c>
      <c r="F193" s="388">
        <v>12269019.870000001</v>
      </c>
      <c r="H193" s="1">
        <v>14680.3</v>
      </c>
      <c r="I193" s="1">
        <v>685</v>
      </c>
      <c r="J193" s="1">
        <v>13993215.270000001</v>
      </c>
    </row>
    <row r="194" spans="1:10" ht="20.25" x14ac:dyDescent="0.3">
      <c r="A194" s="386">
        <v>49</v>
      </c>
      <c r="B194" s="381" t="s">
        <v>2253</v>
      </c>
      <c r="C194" s="383">
        <v>5101.2</v>
      </c>
      <c r="D194" s="384">
        <v>130</v>
      </c>
      <c r="E194" s="387">
        <v>2</v>
      </c>
      <c r="F194" s="388">
        <v>9221698.8000000007</v>
      </c>
      <c r="H194" s="1">
        <v>4947</v>
      </c>
      <c r="I194" s="1">
        <v>164</v>
      </c>
      <c r="J194" s="1">
        <v>9221698.8000000007</v>
      </c>
    </row>
    <row r="195" spans="1:10" ht="20.25" x14ac:dyDescent="0.3">
      <c r="A195" s="386">
        <v>50</v>
      </c>
      <c r="B195" s="381" t="s">
        <v>2254</v>
      </c>
      <c r="C195" s="383">
        <v>783.81</v>
      </c>
      <c r="D195" s="384">
        <v>16</v>
      </c>
      <c r="E195" s="387">
        <v>1</v>
      </c>
      <c r="F195" s="388">
        <v>3623929.1999999997</v>
      </c>
      <c r="H195" s="1">
        <v>726</v>
      </c>
      <c r="I195" s="1">
        <v>28</v>
      </c>
      <c r="J195" s="1">
        <v>3623929.1999999997</v>
      </c>
    </row>
    <row r="196" spans="1:10" ht="20.25" x14ac:dyDescent="0.3">
      <c r="A196" s="386">
        <v>51</v>
      </c>
      <c r="B196" s="381" t="s">
        <v>2255</v>
      </c>
      <c r="C196" s="383">
        <v>680.2</v>
      </c>
      <c r="D196" s="384">
        <v>33</v>
      </c>
      <c r="E196" s="387">
        <v>1</v>
      </c>
      <c r="F196" s="388">
        <v>3080862</v>
      </c>
      <c r="H196" s="1">
        <v>675.9</v>
      </c>
      <c r="I196" s="1">
        <v>32</v>
      </c>
      <c r="J196" s="1">
        <v>3080862</v>
      </c>
    </row>
    <row r="197" spans="1:10" ht="20.25" x14ac:dyDescent="0.3">
      <c r="A197" s="386">
        <v>52</v>
      </c>
      <c r="B197" s="381" t="s">
        <v>154</v>
      </c>
      <c r="C197" s="383">
        <v>646.4</v>
      </c>
      <c r="D197" s="384">
        <v>15</v>
      </c>
      <c r="E197" s="387">
        <v>2</v>
      </c>
      <c r="F197" s="388">
        <v>2610892.59</v>
      </c>
      <c r="H197" s="1">
        <v>611.5</v>
      </c>
      <c r="I197" s="1">
        <v>28</v>
      </c>
      <c r="J197" s="1">
        <v>2610892.59</v>
      </c>
    </row>
    <row r="198" spans="1:10" ht="20.25" x14ac:dyDescent="0.3">
      <c r="A198" s="386">
        <v>53</v>
      </c>
      <c r="B198" s="381" t="s">
        <v>155</v>
      </c>
      <c r="C198" s="383">
        <v>2009.6000000000001</v>
      </c>
      <c r="D198" s="384">
        <v>65</v>
      </c>
      <c r="E198" s="387">
        <v>3</v>
      </c>
      <c r="F198" s="388">
        <v>6332416.4000000004</v>
      </c>
      <c r="H198" s="1">
        <v>2373.5</v>
      </c>
      <c r="I198" s="1">
        <v>77</v>
      </c>
      <c r="J198" s="1">
        <v>6332416.4000000004</v>
      </c>
    </row>
    <row r="199" spans="1:10" ht="20.25" x14ac:dyDescent="0.3">
      <c r="A199" s="386">
        <v>54</v>
      </c>
      <c r="B199" s="381" t="s">
        <v>156</v>
      </c>
      <c r="C199" s="383">
        <v>814.6</v>
      </c>
      <c r="D199" s="384">
        <v>26</v>
      </c>
      <c r="E199" s="387">
        <v>1</v>
      </c>
      <c r="F199" s="388">
        <v>5584659.7400000002</v>
      </c>
      <c r="H199" s="1">
        <v>789</v>
      </c>
      <c r="I199" s="1">
        <v>64</v>
      </c>
      <c r="J199" s="1">
        <v>3026194.08</v>
      </c>
    </row>
    <row r="200" spans="1:10" ht="20.25" x14ac:dyDescent="0.3">
      <c r="A200" s="386">
        <v>55</v>
      </c>
      <c r="B200" s="381" t="s">
        <v>2257</v>
      </c>
      <c r="C200" s="383">
        <v>350.9</v>
      </c>
      <c r="D200" s="384">
        <v>18</v>
      </c>
      <c r="E200" s="387">
        <v>1</v>
      </c>
      <c r="F200" s="388">
        <v>3600600</v>
      </c>
      <c r="H200" s="1">
        <v>351</v>
      </c>
      <c r="I200" s="1">
        <v>18</v>
      </c>
      <c r="J200" s="1">
        <v>3600600</v>
      </c>
    </row>
    <row r="201" spans="1:10" ht="20.25" x14ac:dyDescent="0.3">
      <c r="A201" s="386">
        <v>56</v>
      </c>
      <c r="B201" s="381" t="s">
        <v>2279</v>
      </c>
      <c r="C201" s="383">
        <v>626</v>
      </c>
      <c r="D201" s="384">
        <v>31</v>
      </c>
      <c r="E201" s="387">
        <v>1</v>
      </c>
      <c r="F201" s="388">
        <v>2233993.96</v>
      </c>
      <c r="H201" s="1">
        <v>626</v>
      </c>
      <c r="I201" s="1">
        <v>23</v>
      </c>
      <c r="J201" s="1">
        <v>1917600</v>
      </c>
    </row>
    <row r="202" spans="1:10" ht="20.25" x14ac:dyDescent="0.3">
      <c r="A202" s="386">
        <v>57</v>
      </c>
      <c r="B202" s="381" t="s">
        <v>2258</v>
      </c>
      <c r="C202" s="383">
        <v>4977.3999999999996</v>
      </c>
      <c r="D202" s="384">
        <v>180</v>
      </c>
      <c r="E202" s="387">
        <v>3</v>
      </c>
      <c r="F202" s="388">
        <v>14392200</v>
      </c>
      <c r="H202" s="1">
        <v>4977.8</v>
      </c>
      <c r="I202" s="1">
        <v>158</v>
      </c>
      <c r="J202" s="1">
        <v>14392200</v>
      </c>
    </row>
    <row r="203" spans="1:10" ht="20.25" x14ac:dyDescent="0.3">
      <c r="A203" s="386">
        <v>58</v>
      </c>
      <c r="B203" s="381" t="s">
        <v>2259</v>
      </c>
      <c r="C203" s="383">
        <v>775.2</v>
      </c>
      <c r="D203" s="384">
        <v>35</v>
      </c>
      <c r="E203" s="387">
        <v>1</v>
      </c>
      <c r="F203" s="388">
        <v>3396600</v>
      </c>
    </row>
    <row r="204" spans="1:10" customFormat="1" ht="71.25" customHeight="1" x14ac:dyDescent="0.25">
      <c r="A204" s="394" t="s">
        <v>2280</v>
      </c>
      <c r="B204" s="394"/>
      <c r="C204" s="394"/>
      <c r="D204" s="394"/>
      <c r="E204" s="394"/>
      <c r="F204" s="394"/>
    </row>
    <row r="205" spans="1:10" customFormat="1" ht="18.75" x14ac:dyDescent="0.3">
      <c r="A205" s="395" t="s">
        <v>2281</v>
      </c>
      <c r="B205" s="396"/>
      <c r="C205" s="397">
        <f>SUM(C206:C208)</f>
        <v>3182.5</v>
      </c>
      <c r="D205" s="398">
        <f>SUM(D206:D208)</f>
        <v>134</v>
      </c>
      <c r="E205" s="398">
        <f>SUM(E206:E208)</f>
        <v>3</v>
      </c>
      <c r="F205" s="397">
        <f>SUM(F206:F208)</f>
        <v>7034201.7300000004</v>
      </c>
    </row>
    <row r="206" spans="1:10" customFormat="1" ht="20.25" x14ac:dyDescent="0.3">
      <c r="A206" s="399">
        <v>1</v>
      </c>
      <c r="B206" s="400" t="s">
        <v>2258</v>
      </c>
      <c r="C206" s="401">
        <v>522.9</v>
      </c>
      <c r="D206" s="402">
        <v>31</v>
      </c>
      <c r="E206" s="402">
        <v>1</v>
      </c>
      <c r="F206" s="401">
        <v>1836114.4000000001</v>
      </c>
    </row>
    <row r="207" spans="1:10" customFormat="1" ht="20.25" x14ac:dyDescent="0.3">
      <c r="A207" s="399">
        <v>2</v>
      </c>
      <c r="B207" s="400" t="s">
        <v>132</v>
      </c>
      <c r="C207" s="401">
        <v>1826</v>
      </c>
      <c r="D207" s="402">
        <v>73</v>
      </c>
      <c r="E207" s="402">
        <v>1</v>
      </c>
      <c r="F207" s="401">
        <v>2643881</v>
      </c>
    </row>
    <row r="208" spans="1:10" customFormat="1" ht="20.25" x14ac:dyDescent="0.3">
      <c r="A208" s="399">
        <v>3</v>
      </c>
      <c r="B208" s="381" t="s">
        <v>2275</v>
      </c>
      <c r="C208" s="401">
        <v>833.6</v>
      </c>
      <c r="D208" s="402">
        <v>30</v>
      </c>
      <c r="E208" s="402">
        <v>1</v>
      </c>
      <c r="F208" s="401">
        <v>2554206.33</v>
      </c>
    </row>
    <row r="209" spans="1:6" ht="72.75" customHeight="1" x14ac:dyDescent="0.25">
      <c r="A209" s="403" t="s">
        <v>2282</v>
      </c>
      <c r="B209" s="404"/>
      <c r="C209" s="404"/>
      <c r="D209" s="404"/>
      <c r="E209" s="404"/>
      <c r="F209" s="405"/>
    </row>
    <row r="210" spans="1:6" ht="18.75" x14ac:dyDescent="0.3">
      <c r="A210" s="395" t="s">
        <v>2283</v>
      </c>
      <c r="B210" s="396"/>
      <c r="C210" s="397">
        <f>SUM(C211:C213)</f>
        <v>9484.2999999999993</v>
      </c>
      <c r="D210" s="398">
        <f>SUM(D211:D213)</f>
        <v>424</v>
      </c>
      <c r="E210" s="398">
        <f>SUM(E211:E213)</f>
        <v>5</v>
      </c>
      <c r="F210" s="397">
        <f>SUM(F211:F213)</f>
        <v>17442384.329999998</v>
      </c>
    </row>
    <row r="211" spans="1:6" ht="20.25" x14ac:dyDescent="0.3">
      <c r="A211" s="399">
        <v>1</v>
      </c>
      <c r="B211" s="400" t="s">
        <v>144</v>
      </c>
      <c r="C211" s="401">
        <v>7491.9</v>
      </c>
      <c r="D211" s="402">
        <v>356</v>
      </c>
      <c r="E211" s="402">
        <v>3</v>
      </c>
      <c r="F211" s="401">
        <v>13632983.67</v>
      </c>
    </row>
    <row r="212" spans="1:6" ht="20.25" x14ac:dyDescent="0.3">
      <c r="A212" s="399">
        <v>2</v>
      </c>
      <c r="B212" s="400" t="s">
        <v>2243</v>
      </c>
      <c r="C212" s="401">
        <v>1298.5999999999999</v>
      </c>
      <c r="D212" s="402">
        <v>47</v>
      </c>
      <c r="E212" s="402">
        <v>1</v>
      </c>
      <c r="F212" s="401">
        <v>1833103.6099999999</v>
      </c>
    </row>
    <row r="213" spans="1:6" ht="20.25" x14ac:dyDescent="0.3">
      <c r="A213" s="399">
        <v>3</v>
      </c>
      <c r="B213" s="400" t="s">
        <v>2240</v>
      </c>
      <c r="C213" s="401">
        <v>693.8</v>
      </c>
      <c r="D213" s="402">
        <v>21</v>
      </c>
      <c r="E213" s="402">
        <v>1</v>
      </c>
      <c r="F213" s="401">
        <v>1976297.05</v>
      </c>
    </row>
    <row r="214" spans="1:6" x14ac:dyDescent="0.25">
      <c r="F214" s="385"/>
    </row>
    <row r="215" spans="1:6" x14ac:dyDescent="0.25">
      <c r="F215" s="385"/>
    </row>
    <row r="216" spans="1:6" x14ac:dyDescent="0.25">
      <c r="F216" s="385"/>
    </row>
    <row r="217" spans="1:6" x14ac:dyDescent="0.25">
      <c r="F217" s="385"/>
    </row>
    <row r="218" spans="1:6" x14ac:dyDescent="0.25">
      <c r="F218" s="385"/>
    </row>
    <row r="219" spans="1:6" x14ac:dyDescent="0.25">
      <c r="F219" s="385"/>
    </row>
    <row r="220" spans="1:6" x14ac:dyDescent="0.25">
      <c r="F220" s="385"/>
    </row>
    <row r="221" spans="1:6" x14ac:dyDescent="0.25">
      <c r="F221" s="406"/>
    </row>
    <row r="222" spans="1:6" x14ac:dyDescent="0.25">
      <c r="F222" s="406">
        <f>SUBTOTAL(9,F217:F221)</f>
        <v>0</v>
      </c>
    </row>
    <row r="223" spans="1:6" x14ac:dyDescent="0.25">
      <c r="F223" s="406"/>
    </row>
    <row r="224" spans="1:6" x14ac:dyDescent="0.25">
      <c r="F224" s="406"/>
    </row>
    <row r="225" spans="6:6" x14ac:dyDescent="0.25">
      <c r="F225" s="406"/>
    </row>
  </sheetData>
  <autoFilter ref="A9:K208"/>
  <mergeCells count="13">
    <mergeCell ref="A204:F204"/>
    <mergeCell ref="A205:B205"/>
    <mergeCell ref="A209:F209"/>
    <mergeCell ref="A210:B210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" right="0" top="0.39370078740157483" bottom="0" header="0" footer="0"/>
  <pageSetup paperSize="9" scale="51" fitToHeight="0" orientation="portrait" r:id="rId1"/>
  <headerFooter differentFirst="1">
    <oddHeader>&amp;C&amp;"Times New Roman,обычный"&amp;P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6"/>
  <sheetViews>
    <sheetView topLeftCell="B1" zoomScale="30" zoomScaleNormal="30" workbookViewId="0">
      <selection activeCell="B1" sqref="A1:XFD1048576"/>
    </sheetView>
  </sheetViews>
  <sheetFormatPr defaultRowHeight="15" x14ac:dyDescent="0.25"/>
  <cols>
    <col min="1" max="1" width="9.28515625" style="47" hidden="1" customWidth="1"/>
    <col min="2" max="2" width="12.85546875" style="47" customWidth="1"/>
    <col min="3" max="3" width="167.42578125" style="47" customWidth="1"/>
    <col min="4" max="4" width="27.85546875" style="47" customWidth="1"/>
    <col min="5" max="5" width="26.140625" style="47" customWidth="1"/>
    <col min="6" max="6" width="26.85546875" style="47" customWidth="1"/>
    <col min="7" max="7" width="34.5703125" style="47" customWidth="1"/>
    <col min="8" max="8" width="23.28515625" style="47" customWidth="1"/>
    <col min="9" max="9" width="25.140625" style="47" customWidth="1"/>
    <col min="10" max="10" width="24.85546875" style="47" customWidth="1"/>
    <col min="11" max="11" width="22" style="47" customWidth="1"/>
    <col min="12" max="12" width="25.7109375" style="47" customWidth="1"/>
    <col min="13" max="13" width="26.140625" style="47" customWidth="1"/>
    <col min="14" max="14" width="27.5703125" style="47" customWidth="1"/>
    <col min="15" max="15" width="27.140625" style="47" customWidth="1"/>
    <col min="16" max="16" width="32.85546875" style="47" customWidth="1"/>
    <col min="17" max="17" width="22.42578125" style="47" customWidth="1"/>
    <col min="18" max="18" width="28.140625" style="47" customWidth="1"/>
    <col min="19" max="19" width="52.42578125" style="47" customWidth="1"/>
    <col min="20" max="20" width="32.42578125" style="47" customWidth="1"/>
    <col min="21" max="21" width="24.5703125" style="47" customWidth="1"/>
    <col min="22" max="22" width="35" style="47" customWidth="1"/>
    <col min="23" max="23" width="35.140625" style="47" customWidth="1"/>
    <col min="24" max="24" width="41.140625" style="47" customWidth="1"/>
    <col min="25" max="25" width="16.42578125" style="47" customWidth="1"/>
    <col min="26" max="26" width="21.42578125" style="47" customWidth="1"/>
    <col min="27" max="27" width="31.42578125" style="47" customWidth="1"/>
    <col min="28" max="28" width="18.140625" style="47" customWidth="1"/>
    <col min="29" max="256" width="9.140625" style="47"/>
    <col min="257" max="257" width="9.28515625" style="47" customWidth="1"/>
    <col min="258" max="258" width="12.85546875" style="47" customWidth="1"/>
    <col min="259" max="259" width="167.42578125" style="47" customWidth="1"/>
    <col min="260" max="260" width="27.85546875" style="47" customWidth="1"/>
    <col min="261" max="261" width="26.140625" style="47" customWidth="1"/>
    <col min="262" max="262" width="26.85546875" style="47" customWidth="1"/>
    <col min="263" max="263" width="34.5703125" style="47" customWidth="1"/>
    <col min="264" max="264" width="23.28515625" style="47" customWidth="1"/>
    <col min="265" max="265" width="25.140625" style="47" customWidth="1"/>
    <col min="266" max="266" width="24.85546875" style="47" customWidth="1"/>
    <col min="267" max="267" width="22" style="47" customWidth="1"/>
    <col min="268" max="268" width="25.7109375" style="47" customWidth="1"/>
    <col min="269" max="269" width="26.140625" style="47" customWidth="1"/>
    <col min="270" max="270" width="27.5703125" style="47" customWidth="1"/>
    <col min="271" max="271" width="27.140625" style="47" customWidth="1"/>
    <col min="272" max="272" width="32.85546875" style="47" customWidth="1"/>
    <col min="273" max="273" width="22.42578125" style="47" customWidth="1"/>
    <col min="274" max="274" width="28.140625" style="47" customWidth="1"/>
    <col min="275" max="275" width="52.42578125" style="47" customWidth="1"/>
    <col min="276" max="276" width="32.42578125" style="47" customWidth="1"/>
    <col min="277" max="277" width="24.5703125" style="47" customWidth="1"/>
    <col min="278" max="278" width="35" style="47" customWidth="1"/>
    <col min="279" max="279" width="35.140625" style="47" customWidth="1"/>
    <col min="280" max="280" width="41.140625" style="47" customWidth="1"/>
    <col min="281" max="281" width="16.42578125" style="47" customWidth="1"/>
    <col min="282" max="282" width="21.42578125" style="47" customWidth="1"/>
    <col min="283" max="283" width="31.42578125" style="47" customWidth="1"/>
    <col min="284" max="284" width="18.140625" style="47" customWidth="1"/>
    <col min="285" max="512" width="9.140625" style="47"/>
    <col min="513" max="513" width="9.28515625" style="47" customWidth="1"/>
    <col min="514" max="514" width="12.85546875" style="47" customWidth="1"/>
    <col min="515" max="515" width="167.42578125" style="47" customWidth="1"/>
    <col min="516" max="516" width="27.85546875" style="47" customWidth="1"/>
    <col min="517" max="517" width="26.140625" style="47" customWidth="1"/>
    <col min="518" max="518" width="26.85546875" style="47" customWidth="1"/>
    <col min="519" max="519" width="34.5703125" style="47" customWidth="1"/>
    <col min="520" max="520" width="23.28515625" style="47" customWidth="1"/>
    <col min="521" max="521" width="25.140625" style="47" customWidth="1"/>
    <col min="522" max="522" width="24.85546875" style="47" customWidth="1"/>
    <col min="523" max="523" width="22" style="47" customWidth="1"/>
    <col min="524" max="524" width="25.7109375" style="47" customWidth="1"/>
    <col min="525" max="525" width="26.140625" style="47" customWidth="1"/>
    <col min="526" max="526" width="27.5703125" style="47" customWidth="1"/>
    <col min="527" max="527" width="27.140625" style="47" customWidth="1"/>
    <col min="528" max="528" width="32.85546875" style="47" customWidth="1"/>
    <col min="529" max="529" width="22.42578125" style="47" customWidth="1"/>
    <col min="530" max="530" width="28.140625" style="47" customWidth="1"/>
    <col min="531" max="531" width="52.42578125" style="47" customWidth="1"/>
    <col min="532" max="532" width="32.42578125" style="47" customWidth="1"/>
    <col min="533" max="533" width="24.5703125" style="47" customWidth="1"/>
    <col min="534" max="534" width="35" style="47" customWidth="1"/>
    <col min="535" max="535" width="35.140625" style="47" customWidth="1"/>
    <col min="536" max="536" width="41.140625" style="47" customWidth="1"/>
    <col min="537" max="537" width="16.42578125" style="47" customWidth="1"/>
    <col min="538" max="538" width="21.42578125" style="47" customWidth="1"/>
    <col min="539" max="539" width="31.42578125" style="47" customWidth="1"/>
    <col min="540" max="540" width="18.140625" style="47" customWidth="1"/>
    <col min="541" max="768" width="9.140625" style="47"/>
    <col min="769" max="769" width="9.28515625" style="47" customWidth="1"/>
    <col min="770" max="770" width="12.85546875" style="47" customWidth="1"/>
    <col min="771" max="771" width="167.42578125" style="47" customWidth="1"/>
    <col min="772" max="772" width="27.85546875" style="47" customWidth="1"/>
    <col min="773" max="773" width="26.140625" style="47" customWidth="1"/>
    <col min="774" max="774" width="26.85546875" style="47" customWidth="1"/>
    <col min="775" max="775" width="34.5703125" style="47" customWidth="1"/>
    <col min="776" max="776" width="23.28515625" style="47" customWidth="1"/>
    <col min="777" max="777" width="25.140625" style="47" customWidth="1"/>
    <col min="778" max="778" width="24.85546875" style="47" customWidth="1"/>
    <col min="779" max="779" width="22" style="47" customWidth="1"/>
    <col min="780" max="780" width="25.7109375" style="47" customWidth="1"/>
    <col min="781" max="781" width="26.140625" style="47" customWidth="1"/>
    <col min="782" max="782" width="27.5703125" style="47" customWidth="1"/>
    <col min="783" max="783" width="27.140625" style="47" customWidth="1"/>
    <col min="784" max="784" width="32.85546875" style="47" customWidth="1"/>
    <col min="785" max="785" width="22.42578125" style="47" customWidth="1"/>
    <col min="786" max="786" width="28.140625" style="47" customWidth="1"/>
    <col min="787" max="787" width="52.42578125" style="47" customWidth="1"/>
    <col min="788" max="788" width="32.42578125" style="47" customWidth="1"/>
    <col min="789" max="789" width="24.5703125" style="47" customWidth="1"/>
    <col min="790" max="790" width="35" style="47" customWidth="1"/>
    <col min="791" max="791" width="35.140625" style="47" customWidth="1"/>
    <col min="792" max="792" width="41.140625" style="47" customWidth="1"/>
    <col min="793" max="793" width="16.42578125" style="47" customWidth="1"/>
    <col min="794" max="794" width="21.42578125" style="47" customWidth="1"/>
    <col min="795" max="795" width="31.42578125" style="47" customWidth="1"/>
    <col min="796" max="796" width="18.140625" style="47" customWidth="1"/>
    <col min="797" max="1024" width="9.140625" style="47"/>
    <col min="1025" max="1025" width="9.28515625" style="47" customWidth="1"/>
    <col min="1026" max="1026" width="12.85546875" style="47" customWidth="1"/>
    <col min="1027" max="1027" width="167.42578125" style="47" customWidth="1"/>
    <col min="1028" max="1028" width="27.85546875" style="47" customWidth="1"/>
    <col min="1029" max="1029" width="26.140625" style="47" customWidth="1"/>
    <col min="1030" max="1030" width="26.85546875" style="47" customWidth="1"/>
    <col min="1031" max="1031" width="34.5703125" style="47" customWidth="1"/>
    <col min="1032" max="1032" width="23.28515625" style="47" customWidth="1"/>
    <col min="1033" max="1033" width="25.140625" style="47" customWidth="1"/>
    <col min="1034" max="1034" width="24.85546875" style="47" customWidth="1"/>
    <col min="1035" max="1035" width="22" style="47" customWidth="1"/>
    <col min="1036" max="1036" width="25.7109375" style="47" customWidth="1"/>
    <col min="1037" max="1037" width="26.140625" style="47" customWidth="1"/>
    <col min="1038" max="1038" width="27.5703125" style="47" customWidth="1"/>
    <col min="1039" max="1039" width="27.140625" style="47" customWidth="1"/>
    <col min="1040" max="1040" width="32.85546875" style="47" customWidth="1"/>
    <col min="1041" max="1041" width="22.42578125" style="47" customWidth="1"/>
    <col min="1042" max="1042" width="28.140625" style="47" customWidth="1"/>
    <col min="1043" max="1043" width="52.42578125" style="47" customWidth="1"/>
    <col min="1044" max="1044" width="32.42578125" style="47" customWidth="1"/>
    <col min="1045" max="1045" width="24.5703125" style="47" customWidth="1"/>
    <col min="1046" max="1046" width="35" style="47" customWidth="1"/>
    <col min="1047" max="1047" width="35.140625" style="47" customWidth="1"/>
    <col min="1048" max="1048" width="41.140625" style="47" customWidth="1"/>
    <col min="1049" max="1049" width="16.42578125" style="47" customWidth="1"/>
    <col min="1050" max="1050" width="21.42578125" style="47" customWidth="1"/>
    <col min="1051" max="1051" width="31.42578125" style="47" customWidth="1"/>
    <col min="1052" max="1052" width="18.140625" style="47" customWidth="1"/>
    <col min="1053" max="1280" width="9.140625" style="47"/>
    <col min="1281" max="1281" width="9.28515625" style="47" customWidth="1"/>
    <col min="1282" max="1282" width="12.85546875" style="47" customWidth="1"/>
    <col min="1283" max="1283" width="167.42578125" style="47" customWidth="1"/>
    <col min="1284" max="1284" width="27.85546875" style="47" customWidth="1"/>
    <col min="1285" max="1285" width="26.140625" style="47" customWidth="1"/>
    <col min="1286" max="1286" width="26.85546875" style="47" customWidth="1"/>
    <col min="1287" max="1287" width="34.5703125" style="47" customWidth="1"/>
    <col min="1288" max="1288" width="23.28515625" style="47" customWidth="1"/>
    <col min="1289" max="1289" width="25.140625" style="47" customWidth="1"/>
    <col min="1290" max="1290" width="24.85546875" style="47" customWidth="1"/>
    <col min="1291" max="1291" width="22" style="47" customWidth="1"/>
    <col min="1292" max="1292" width="25.7109375" style="47" customWidth="1"/>
    <col min="1293" max="1293" width="26.140625" style="47" customWidth="1"/>
    <col min="1294" max="1294" width="27.5703125" style="47" customWidth="1"/>
    <col min="1295" max="1295" width="27.140625" style="47" customWidth="1"/>
    <col min="1296" max="1296" width="32.85546875" style="47" customWidth="1"/>
    <col min="1297" max="1297" width="22.42578125" style="47" customWidth="1"/>
    <col min="1298" max="1298" width="28.140625" style="47" customWidth="1"/>
    <col min="1299" max="1299" width="52.42578125" style="47" customWidth="1"/>
    <col min="1300" max="1300" width="32.42578125" style="47" customWidth="1"/>
    <col min="1301" max="1301" width="24.5703125" style="47" customWidth="1"/>
    <col min="1302" max="1302" width="35" style="47" customWidth="1"/>
    <col min="1303" max="1303" width="35.140625" style="47" customWidth="1"/>
    <col min="1304" max="1304" width="41.140625" style="47" customWidth="1"/>
    <col min="1305" max="1305" width="16.42578125" style="47" customWidth="1"/>
    <col min="1306" max="1306" width="21.42578125" style="47" customWidth="1"/>
    <col min="1307" max="1307" width="31.42578125" style="47" customWidth="1"/>
    <col min="1308" max="1308" width="18.140625" style="47" customWidth="1"/>
    <col min="1309" max="1536" width="9.140625" style="47"/>
    <col min="1537" max="1537" width="9.28515625" style="47" customWidth="1"/>
    <col min="1538" max="1538" width="12.85546875" style="47" customWidth="1"/>
    <col min="1539" max="1539" width="167.42578125" style="47" customWidth="1"/>
    <col min="1540" max="1540" width="27.85546875" style="47" customWidth="1"/>
    <col min="1541" max="1541" width="26.140625" style="47" customWidth="1"/>
    <col min="1542" max="1542" width="26.85546875" style="47" customWidth="1"/>
    <col min="1543" max="1543" width="34.5703125" style="47" customWidth="1"/>
    <col min="1544" max="1544" width="23.28515625" style="47" customWidth="1"/>
    <col min="1545" max="1545" width="25.140625" style="47" customWidth="1"/>
    <col min="1546" max="1546" width="24.85546875" style="47" customWidth="1"/>
    <col min="1547" max="1547" width="22" style="47" customWidth="1"/>
    <col min="1548" max="1548" width="25.7109375" style="47" customWidth="1"/>
    <col min="1549" max="1549" width="26.140625" style="47" customWidth="1"/>
    <col min="1550" max="1550" width="27.5703125" style="47" customWidth="1"/>
    <col min="1551" max="1551" width="27.140625" style="47" customWidth="1"/>
    <col min="1552" max="1552" width="32.85546875" style="47" customWidth="1"/>
    <col min="1553" max="1553" width="22.42578125" style="47" customWidth="1"/>
    <col min="1554" max="1554" width="28.140625" style="47" customWidth="1"/>
    <col min="1555" max="1555" width="52.42578125" style="47" customWidth="1"/>
    <col min="1556" max="1556" width="32.42578125" style="47" customWidth="1"/>
    <col min="1557" max="1557" width="24.5703125" style="47" customWidth="1"/>
    <col min="1558" max="1558" width="35" style="47" customWidth="1"/>
    <col min="1559" max="1559" width="35.140625" style="47" customWidth="1"/>
    <col min="1560" max="1560" width="41.140625" style="47" customWidth="1"/>
    <col min="1561" max="1561" width="16.42578125" style="47" customWidth="1"/>
    <col min="1562" max="1562" width="21.42578125" style="47" customWidth="1"/>
    <col min="1563" max="1563" width="31.42578125" style="47" customWidth="1"/>
    <col min="1564" max="1564" width="18.140625" style="47" customWidth="1"/>
    <col min="1565" max="1792" width="9.140625" style="47"/>
    <col min="1793" max="1793" width="9.28515625" style="47" customWidth="1"/>
    <col min="1794" max="1794" width="12.85546875" style="47" customWidth="1"/>
    <col min="1795" max="1795" width="167.42578125" style="47" customWidth="1"/>
    <col min="1796" max="1796" width="27.85546875" style="47" customWidth="1"/>
    <col min="1797" max="1797" width="26.140625" style="47" customWidth="1"/>
    <col min="1798" max="1798" width="26.85546875" style="47" customWidth="1"/>
    <col min="1799" max="1799" width="34.5703125" style="47" customWidth="1"/>
    <col min="1800" max="1800" width="23.28515625" style="47" customWidth="1"/>
    <col min="1801" max="1801" width="25.140625" style="47" customWidth="1"/>
    <col min="1802" max="1802" width="24.85546875" style="47" customWidth="1"/>
    <col min="1803" max="1803" width="22" style="47" customWidth="1"/>
    <col min="1804" max="1804" width="25.7109375" style="47" customWidth="1"/>
    <col min="1805" max="1805" width="26.140625" style="47" customWidth="1"/>
    <col min="1806" max="1806" width="27.5703125" style="47" customWidth="1"/>
    <col min="1807" max="1807" width="27.140625" style="47" customWidth="1"/>
    <col min="1808" max="1808" width="32.85546875" style="47" customWidth="1"/>
    <col min="1809" max="1809" width="22.42578125" style="47" customWidth="1"/>
    <col min="1810" max="1810" width="28.140625" style="47" customWidth="1"/>
    <col min="1811" max="1811" width="52.42578125" style="47" customWidth="1"/>
    <col min="1812" max="1812" width="32.42578125" style="47" customWidth="1"/>
    <col min="1813" max="1813" width="24.5703125" style="47" customWidth="1"/>
    <col min="1814" max="1814" width="35" style="47" customWidth="1"/>
    <col min="1815" max="1815" width="35.140625" style="47" customWidth="1"/>
    <col min="1816" max="1816" width="41.140625" style="47" customWidth="1"/>
    <col min="1817" max="1817" width="16.42578125" style="47" customWidth="1"/>
    <col min="1818" max="1818" width="21.42578125" style="47" customWidth="1"/>
    <col min="1819" max="1819" width="31.42578125" style="47" customWidth="1"/>
    <col min="1820" max="1820" width="18.140625" style="47" customWidth="1"/>
    <col min="1821" max="2048" width="9.140625" style="47"/>
    <col min="2049" max="2049" width="9.28515625" style="47" customWidth="1"/>
    <col min="2050" max="2050" width="12.85546875" style="47" customWidth="1"/>
    <col min="2051" max="2051" width="167.42578125" style="47" customWidth="1"/>
    <col min="2052" max="2052" width="27.85546875" style="47" customWidth="1"/>
    <col min="2053" max="2053" width="26.140625" style="47" customWidth="1"/>
    <col min="2054" max="2054" width="26.85546875" style="47" customWidth="1"/>
    <col min="2055" max="2055" width="34.5703125" style="47" customWidth="1"/>
    <col min="2056" max="2056" width="23.28515625" style="47" customWidth="1"/>
    <col min="2057" max="2057" width="25.140625" style="47" customWidth="1"/>
    <col min="2058" max="2058" width="24.85546875" style="47" customWidth="1"/>
    <col min="2059" max="2059" width="22" style="47" customWidth="1"/>
    <col min="2060" max="2060" width="25.7109375" style="47" customWidth="1"/>
    <col min="2061" max="2061" width="26.140625" style="47" customWidth="1"/>
    <col min="2062" max="2062" width="27.5703125" style="47" customWidth="1"/>
    <col min="2063" max="2063" width="27.140625" style="47" customWidth="1"/>
    <col min="2064" max="2064" width="32.85546875" style="47" customWidth="1"/>
    <col min="2065" max="2065" width="22.42578125" style="47" customWidth="1"/>
    <col min="2066" max="2066" width="28.140625" style="47" customWidth="1"/>
    <col min="2067" max="2067" width="52.42578125" style="47" customWidth="1"/>
    <col min="2068" max="2068" width="32.42578125" style="47" customWidth="1"/>
    <col min="2069" max="2069" width="24.5703125" style="47" customWidth="1"/>
    <col min="2070" max="2070" width="35" style="47" customWidth="1"/>
    <col min="2071" max="2071" width="35.140625" style="47" customWidth="1"/>
    <col min="2072" max="2072" width="41.140625" style="47" customWidth="1"/>
    <col min="2073" max="2073" width="16.42578125" style="47" customWidth="1"/>
    <col min="2074" max="2074" width="21.42578125" style="47" customWidth="1"/>
    <col min="2075" max="2075" width="31.42578125" style="47" customWidth="1"/>
    <col min="2076" max="2076" width="18.140625" style="47" customWidth="1"/>
    <col min="2077" max="2304" width="9.140625" style="47"/>
    <col min="2305" max="2305" width="9.28515625" style="47" customWidth="1"/>
    <col min="2306" max="2306" width="12.85546875" style="47" customWidth="1"/>
    <col min="2307" max="2307" width="167.42578125" style="47" customWidth="1"/>
    <col min="2308" max="2308" width="27.85546875" style="47" customWidth="1"/>
    <col min="2309" max="2309" width="26.140625" style="47" customWidth="1"/>
    <col min="2310" max="2310" width="26.85546875" style="47" customWidth="1"/>
    <col min="2311" max="2311" width="34.5703125" style="47" customWidth="1"/>
    <col min="2312" max="2312" width="23.28515625" style="47" customWidth="1"/>
    <col min="2313" max="2313" width="25.140625" style="47" customWidth="1"/>
    <col min="2314" max="2314" width="24.85546875" style="47" customWidth="1"/>
    <col min="2315" max="2315" width="22" style="47" customWidth="1"/>
    <col min="2316" max="2316" width="25.7109375" style="47" customWidth="1"/>
    <col min="2317" max="2317" width="26.140625" style="47" customWidth="1"/>
    <col min="2318" max="2318" width="27.5703125" style="47" customWidth="1"/>
    <col min="2319" max="2319" width="27.140625" style="47" customWidth="1"/>
    <col min="2320" max="2320" width="32.85546875" style="47" customWidth="1"/>
    <col min="2321" max="2321" width="22.42578125" style="47" customWidth="1"/>
    <col min="2322" max="2322" width="28.140625" style="47" customWidth="1"/>
    <col min="2323" max="2323" width="52.42578125" style="47" customWidth="1"/>
    <col min="2324" max="2324" width="32.42578125" style="47" customWidth="1"/>
    <col min="2325" max="2325" width="24.5703125" style="47" customWidth="1"/>
    <col min="2326" max="2326" width="35" style="47" customWidth="1"/>
    <col min="2327" max="2327" width="35.140625" style="47" customWidth="1"/>
    <col min="2328" max="2328" width="41.140625" style="47" customWidth="1"/>
    <col min="2329" max="2329" width="16.42578125" style="47" customWidth="1"/>
    <col min="2330" max="2330" width="21.42578125" style="47" customWidth="1"/>
    <col min="2331" max="2331" width="31.42578125" style="47" customWidth="1"/>
    <col min="2332" max="2332" width="18.140625" style="47" customWidth="1"/>
    <col min="2333" max="2560" width="9.140625" style="47"/>
    <col min="2561" max="2561" width="9.28515625" style="47" customWidth="1"/>
    <col min="2562" max="2562" width="12.85546875" style="47" customWidth="1"/>
    <col min="2563" max="2563" width="167.42578125" style="47" customWidth="1"/>
    <col min="2564" max="2564" width="27.85546875" style="47" customWidth="1"/>
    <col min="2565" max="2565" width="26.140625" style="47" customWidth="1"/>
    <col min="2566" max="2566" width="26.85546875" style="47" customWidth="1"/>
    <col min="2567" max="2567" width="34.5703125" style="47" customWidth="1"/>
    <col min="2568" max="2568" width="23.28515625" style="47" customWidth="1"/>
    <col min="2569" max="2569" width="25.140625" style="47" customWidth="1"/>
    <col min="2570" max="2570" width="24.85546875" style="47" customWidth="1"/>
    <col min="2571" max="2571" width="22" style="47" customWidth="1"/>
    <col min="2572" max="2572" width="25.7109375" style="47" customWidth="1"/>
    <col min="2573" max="2573" width="26.140625" style="47" customWidth="1"/>
    <col min="2574" max="2574" width="27.5703125" style="47" customWidth="1"/>
    <col min="2575" max="2575" width="27.140625" style="47" customWidth="1"/>
    <col min="2576" max="2576" width="32.85546875" style="47" customWidth="1"/>
    <col min="2577" max="2577" width="22.42578125" style="47" customWidth="1"/>
    <col min="2578" max="2578" width="28.140625" style="47" customWidth="1"/>
    <col min="2579" max="2579" width="52.42578125" style="47" customWidth="1"/>
    <col min="2580" max="2580" width="32.42578125" style="47" customWidth="1"/>
    <col min="2581" max="2581" width="24.5703125" style="47" customWidth="1"/>
    <col min="2582" max="2582" width="35" style="47" customWidth="1"/>
    <col min="2583" max="2583" width="35.140625" style="47" customWidth="1"/>
    <col min="2584" max="2584" width="41.140625" style="47" customWidth="1"/>
    <col min="2585" max="2585" width="16.42578125" style="47" customWidth="1"/>
    <col min="2586" max="2586" width="21.42578125" style="47" customWidth="1"/>
    <col min="2587" max="2587" width="31.42578125" style="47" customWidth="1"/>
    <col min="2588" max="2588" width="18.140625" style="47" customWidth="1"/>
    <col min="2589" max="2816" width="9.140625" style="47"/>
    <col min="2817" max="2817" width="9.28515625" style="47" customWidth="1"/>
    <col min="2818" max="2818" width="12.85546875" style="47" customWidth="1"/>
    <col min="2819" max="2819" width="167.42578125" style="47" customWidth="1"/>
    <col min="2820" max="2820" width="27.85546875" style="47" customWidth="1"/>
    <col min="2821" max="2821" width="26.140625" style="47" customWidth="1"/>
    <col min="2822" max="2822" width="26.85546875" style="47" customWidth="1"/>
    <col min="2823" max="2823" width="34.5703125" style="47" customWidth="1"/>
    <col min="2824" max="2824" width="23.28515625" style="47" customWidth="1"/>
    <col min="2825" max="2825" width="25.140625" style="47" customWidth="1"/>
    <col min="2826" max="2826" width="24.85546875" style="47" customWidth="1"/>
    <col min="2827" max="2827" width="22" style="47" customWidth="1"/>
    <col min="2828" max="2828" width="25.7109375" style="47" customWidth="1"/>
    <col min="2829" max="2829" width="26.140625" style="47" customWidth="1"/>
    <col min="2830" max="2830" width="27.5703125" style="47" customWidth="1"/>
    <col min="2831" max="2831" width="27.140625" style="47" customWidth="1"/>
    <col min="2832" max="2832" width="32.85546875" style="47" customWidth="1"/>
    <col min="2833" max="2833" width="22.42578125" style="47" customWidth="1"/>
    <col min="2834" max="2834" width="28.140625" style="47" customWidth="1"/>
    <col min="2835" max="2835" width="52.42578125" style="47" customWidth="1"/>
    <col min="2836" max="2836" width="32.42578125" style="47" customWidth="1"/>
    <col min="2837" max="2837" width="24.5703125" style="47" customWidth="1"/>
    <col min="2838" max="2838" width="35" style="47" customWidth="1"/>
    <col min="2839" max="2839" width="35.140625" style="47" customWidth="1"/>
    <col min="2840" max="2840" width="41.140625" style="47" customWidth="1"/>
    <col min="2841" max="2841" width="16.42578125" style="47" customWidth="1"/>
    <col min="2842" max="2842" width="21.42578125" style="47" customWidth="1"/>
    <col min="2843" max="2843" width="31.42578125" style="47" customWidth="1"/>
    <col min="2844" max="2844" width="18.140625" style="47" customWidth="1"/>
    <col min="2845" max="3072" width="9.140625" style="47"/>
    <col min="3073" max="3073" width="9.28515625" style="47" customWidth="1"/>
    <col min="3074" max="3074" width="12.85546875" style="47" customWidth="1"/>
    <col min="3075" max="3075" width="167.42578125" style="47" customWidth="1"/>
    <col min="3076" max="3076" width="27.85546875" style="47" customWidth="1"/>
    <col min="3077" max="3077" width="26.140625" style="47" customWidth="1"/>
    <col min="3078" max="3078" width="26.85546875" style="47" customWidth="1"/>
    <col min="3079" max="3079" width="34.5703125" style="47" customWidth="1"/>
    <col min="3080" max="3080" width="23.28515625" style="47" customWidth="1"/>
    <col min="3081" max="3081" width="25.140625" style="47" customWidth="1"/>
    <col min="3082" max="3082" width="24.85546875" style="47" customWidth="1"/>
    <col min="3083" max="3083" width="22" style="47" customWidth="1"/>
    <col min="3084" max="3084" width="25.7109375" style="47" customWidth="1"/>
    <col min="3085" max="3085" width="26.140625" style="47" customWidth="1"/>
    <col min="3086" max="3086" width="27.5703125" style="47" customWidth="1"/>
    <col min="3087" max="3087" width="27.140625" style="47" customWidth="1"/>
    <col min="3088" max="3088" width="32.85546875" style="47" customWidth="1"/>
    <col min="3089" max="3089" width="22.42578125" style="47" customWidth="1"/>
    <col min="3090" max="3090" width="28.140625" style="47" customWidth="1"/>
    <col min="3091" max="3091" width="52.42578125" style="47" customWidth="1"/>
    <col min="3092" max="3092" width="32.42578125" style="47" customWidth="1"/>
    <col min="3093" max="3093" width="24.5703125" style="47" customWidth="1"/>
    <col min="3094" max="3094" width="35" style="47" customWidth="1"/>
    <col min="3095" max="3095" width="35.140625" style="47" customWidth="1"/>
    <col min="3096" max="3096" width="41.140625" style="47" customWidth="1"/>
    <col min="3097" max="3097" width="16.42578125" style="47" customWidth="1"/>
    <col min="3098" max="3098" width="21.42578125" style="47" customWidth="1"/>
    <col min="3099" max="3099" width="31.42578125" style="47" customWidth="1"/>
    <col min="3100" max="3100" width="18.140625" style="47" customWidth="1"/>
    <col min="3101" max="3328" width="9.140625" style="47"/>
    <col min="3329" max="3329" width="9.28515625" style="47" customWidth="1"/>
    <col min="3330" max="3330" width="12.85546875" style="47" customWidth="1"/>
    <col min="3331" max="3331" width="167.42578125" style="47" customWidth="1"/>
    <col min="3332" max="3332" width="27.85546875" style="47" customWidth="1"/>
    <col min="3333" max="3333" width="26.140625" style="47" customWidth="1"/>
    <col min="3334" max="3334" width="26.85546875" style="47" customWidth="1"/>
    <col min="3335" max="3335" width="34.5703125" style="47" customWidth="1"/>
    <col min="3336" max="3336" width="23.28515625" style="47" customWidth="1"/>
    <col min="3337" max="3337" width="25.140625" style="47" customWidth="1"/>
    <col min="3338" max="3338" width="24.85546875" style="47" customWidth="1"/>
    <col min="3339" max="3339" width="22" style="47" customWidth="1"/>
    <col min="3340" max="3340" width="25.7109375" style="47" customWidth="1"/>
    <col min="3341" max="3341" width="26.140625" style="47" customWidth="1"/>
    <col min="3342" max="3342" width="27.5703125" style="47" customWidth="1"/>
    <col min="3343" max="3343" width="27.140625" style="47" customWidth="1"/>
    <col min="3344" max="3344" width="32.85546875" style="47" customWidth="1"/>
    <col min="3345" max="3345" width="22.42578125" style="47" customWidth="1"/>
    <col min="3346" max="3346" width="28.140625" style="47" customWidth="1"/>
    <col min="3347" max="3347" width="52.42578125" style="47" customWidth="1"/>
    <col min="3348" max="3348" width="32.42578125" style="47" customWidth="1"/>
    <col min="3349" max="3349" width="24.5703125" style="47" customWidth="1"/>
    <col min="3350" max="3350" width="35" style="47" customWidth="1"/>
    <col min="3351" max="3351" width="35.140625" style="47" customWidth="1"/>
    <col min="3352" max="3352" width="41.140625" style="47" customWidth="1"/>
    <col min="3353" max="3353" width="16.42578125" style="47" customWidth="1"/>
    <col min="3354" max="3354" width="21.42578125" style="47" customWidth="1"/>
    <col min="3355" max="3355" width="31.42578125" style="47" customWidth="1"/>
    <col min="3356" max="3356" width="18.140625" style="47" customWidth="1"/>
    <col min="3357" max="3584" width="9.140625" style="47"/>
    <col min="3585" max="3585" width="9.28515625" style="47" customWidth="1"/>
    <col min="3586" max="3586" width="12.85546875" style="47" customWidth="1"/>
    <col min="3587" max="3587" width="167.42578125" style="47" customWidth="1"/>
    <col min="3588" max="3588" width="27.85546875" style="47" customWidth="1"/>
    <col min="3589" max="3589" width="26.140625" style="47" customWidth="1"/>
    <col min="3590" max="3590" width="26.85546875" style="47" customWidth="1"/>
    <col min="3591" max="3591" width="34.5703125" style="47" customWidth="1"/>
    <col min="3592" max="3592" width="23.28515625" style="47" customWidth="1"/>
    <col min="3593" max="3593" width="25.140625" style="47" customWidth="1"/>
    <col min="3594" max="3594" width="24.85546875" style="47" customWidth="1"/>
    <col min="3595" max="3595" width="22" style="47" customWidth="1"/>
    <col min="3596" max="3596" width="25.7109375" style="47" customWidth="1"/>
    <col min="3597" max="3597" width="26.140625" style="47" customWidth="1"/>
    <col min="3598" max="3598" width="27.5703125" style="47" customWidth="1"/>
    <col min="3599" max="3599" width="27.140625" style="47" customWidth="1"/>
    <col min="3600" max="3600" width="32.85546875" style="47" customWidth="1"/>
    <col min="3601" max="3601" width="22.42578125" style="47" customWidth="1"/>
    <col min="3602" max="3602" width="28.140625" style="47" customWidth="1"/>
    <col min="3603" max="3603" width="52.42578125" style="47" customWidth="1"/>
    <col min="3604" max="3604" width="32.42578125" style="47" customWidth="1"/>
    <col min="3605" max="3605" width="24.5703125" style="47" customWidth="1"/>
    <col min="3606" max="3606" width="35" style="47" customWidth="1"/>
    <col min="3607" max="3607" width="35.140625" style="47" customWidth="1"/>
    <col min="3608" max="3608" width="41.140625" style="47" customWidth="1"/>
    <col min="3609" max="3609" width="16.42578125" style="47" customWidth="1"/>
    <col min="3610" max="3610" width="21.42578125" style="47" customWidth="1"/>
    <col min="3611" max="3611" width="31.42578125" style="47" customWidth="1"/>
    <col min="3612" max="3612" width="18.140625" style="47" customWidth="1"/>
    <col min="3613" max="3840" width="9.140625" style="47"/>
    <col min="3841" max="3841" width="9.28515625" style="47" customWidth="1"/>
    <col min="3842" max="3842" width="12.85546875" style="47" customWidth="1"/>
    <col min="3843" max="3843" width="167.42578125" style="47" customWidth="1"/>
    <col min="3844" max="3844" width="27.85546875" style="47" customWidth="1"/>
    <col min="3845" max="3845" width="26.140625" style="47" customWidth="1"/>
    <col min="3846" max="3846" width="26.85546875" style="47" customWidth="1"/>
    <col min="3847" max="3847" width="34.5703125" style="47" customWidth="1"/>
    <col min="3848" max="3848" width="23.28515625" style="47" customWidth="1"/>
    <col min="3849" max="3849" width="25.140625" style="47" customWidth="1"/>
    <col min="3850" max="3850" width="24.85546875" style="47" customWidth="1"/>
    <col min="3851" max="3851" width="22" style="47" customWidth="1"/>
    <col min="3852" max="3852" width="25.7109375" style="47" customWidth="1"/>
    <col min="3853" max="3853" width="26.140625" style="47" customWidth="1"/>
    <col min="3854" max="3854" width="27.5703125" style="47" customWidth="1"/>
    <col min="3855" max="3855" width="27.140625" style="47" customWidth="1"/>
    <col min="3856" max="3856" width="32.85546875" style="47" customWidth="1"/>
    <col min="3857" max="3857" width="22.42578125" style="47" customWidth="1"/>
    <col min="3858" max="3858" width="28.140625" style="47" customWidth="1"/>
    <col min="3859" max="3859" width="52.42578125" style="47" customWidth="1"/>
    <col min="3860" max="3860" width="32.42578125" style="47" customWidth="1"/>
    <col min="3861" max="3861" width="24.5703125" style="47" customWidth="1"/>
    <col min="3862" max="3862" width="35" style="47" customWidth="1"/>
    <col min="3863" max="3863" width="35.140625" style="47" customWidth="1"/>
    <col min="3864" max="3864" width="41.140625" style="47" customWidth="1"/>
    <col min="3865" max="3865" width="16.42578125" style="47" customWidth="1"/>
    <col min="3866" max="3866" width="21.42578125" style="47" customWidth="1"/>
    <col min="3867" max="3867" width="31.42578125" style="47" customWidth="1"/>
    <col min="3868" max="3868" width="18.140625" style="47" customWidth="1"/>
    <col min="3869" max="4096" width="9.140625" style="47"/>
    <col min="4097" max="4097" width="9.28515625" style="47" customWidth="1"/>
    <col min="4098" max="4098" width="12.85546875" style="47" customWidth="1"/>
    <col min="4099" max="4099" width="167.42578125" style="47" customWidth="1"/>
    <col min="4100" max="4100" width="27.85546875" style="47" customWidth="1"/>
    <col min="4101" max="4101" width="26.140625" style="47" customWidth="1"/>
    <col min="4102" max="4102" width="26.85546875" style="47" customWidth="1"/>
    <col min="4103" max="4103" width="34.5703125" style="47" customWidth="1"/>
    <col min="4104" max="4104" width="23.28515625" style="47" customWidth="1"/>
    <col min="4105" max="4105" width="25.140625" style="47" customWidth="1"/>
    <col min="4106" max="4106" width="24.85546875" style="47" customWidth="1"/>
    <col min="4107" max="4107" width="22" style="47" customWidth="1"/>
    <col min="4108" max="4108" width="25.7109375" style="47" customWidth="1"/>
    <col min="4109" max="4109" width="26.140625" style="47" customWidth="1"/>
    <col min="4110" max="4110" width="27.5703125" style="47" customWidth="1"/>
    <col min="4111" max="4111" width="27.140625" style="47" customWidth="1"/>
    <col min="4112" max="4112" width="32.85546875" style="47" customWidth="1"/>
    <col min="4113" max="4113" width="22.42578125" style="47" customWidth="1"/>
    <col min="4114" max="4114" width="28.140625" style="47" customWidth="1"/>
    <col min="4115" max="4115" width="52.42578125" style="47" customWidth="1"/>
    <col min="4116" max="4116" width="32.42578125" style="47" customWidth="1"/>
    <col min="4117" max="4117" width="24.5703125" style="47" customWidth="1"/>
    <col min="4118" max="4118" width="35" style="47" customWidth="1"/>
    <col min="4119" max="4119" width="35.140625" style="47" customWidth="1"/>
    <col min="4120" max="4120" width="41.140625" style="47" customWidth="1"/>
    <col min="4121" max="4121" width="16.42578125" style="47" customWidth="1"/>
    <col min="4122" max="4122" width="21.42578125" style="47" customWidth="1"/>
    <col min="4123" max="4123" width="31.42578125" style="47" customWidth="1"/>
    <col min="4124" max="4124" width="18.140625" style="47" customWidth="1"/>
    <col min="4125" max="4352" width="9.140625" style="47"/>
    <col min="4353" max="4353" width="9.28515625" style="47" customWidth="1"/>
    <col min="4354" max="4354" width="12.85546875" style="47" customWidth="1"/>
    <col min="4355" max="4355" width="167.42578125" style="47" customWidth="1"/>
    <col min="4356" max="4356" width="27.85546875" style="47" customWidth="1"/>
    <col min="4357" max="4357" width="26.140625" style="47" customWidth="1"/>
    <col min="4358" max="4358" width="26.85546875" style="47" customWidth="1"/>
    <col min="4359" max="4359" width="34.5703125" style="47" customWidth="1"/>
    <col min="4360" max="4360" width="23.28515625" style="47" customWidth="1"/>
    <col min="4361" max="4361" width="25.140625" style="47" customWidth="1"/>
    <col min="4362" max="4362" width="24.85546875" style="47" customWidth="1"/>
    <col min="4363" max="4363" width="22" style="47" customWidth="1"/>
    <col min="4364" max="4364" width="25.7109375" style="47" customWidth="1"/>
    <col min="4365" max="4365" width="26.140625" style="47" customWidth="1"/>
    <col min="4366" max="4366" width="27.5703125" style="47" customWidth="1"/>
    <col min="4367" max="4367" width="27.140625" style="47" customWidth="1"/>
    <col min="4368" max="4368" width="32.85546875" style="47" customWidth="1"/>
    <col min="4369" max="4369" width="22.42578125" style="47" customWidth="1"/>
    <col min="4370" max="4370" width="28.140625" style="47" customWidth="1"/>
    <col min="4371" max="4371" width="52.42578125" style="47" customWidth="1"/>
    <col min="4372" max="4372" width="32.42578125" style="47" customWidth="1"/>
    <col min="4373" max="4373" width="24.5703125" style="47" customWidth="1"/>
    <col min="4374" max="4374" width="35" style="47" customWidth="1"/>
    <col min="4375" max="4375" width="35.140625" style="47" customWidth="1"/>
    <col min="4376" max="4376" width="41.140625" style="47" customWidth="1"/>
    <col min="4377" max="4377" width="16.42578125" style="47" customWidth="1"/>
    <col min="4378" max="4378" width="21.42578125" style="47" customWidth="1"/>
    <col min="4379" max="4379" width="31.42578125" style="47" customWidth="1"/>
    <col min="4380" max="4380" width="18.140625" style="47" customWidth="1"/>
    <col min="4381" max="4608" width="9.140625" style="47"/>
    <col min="4609" max="4609" width="9.28515625" style="47" customWidth="1"/>
    <col min="4610" max="4610" width="12.85546875" style="47" customWidth="1"/>
    <col min="4611" max="4611" width="167.42578125" style="47" customWidth="1"/>
    <col min="4612" max="4612" width="27.85546875" style="47" customWidth="1"/>
    <col min="4613" max="4613" width="26.140625" style="47" customWidth="1"/>
    <col min="4614" max="4614" width="26.85546875" style="47" customWidth="1"/>
    <col min="4615" max="4615" width="34.5703125" style="47" customWidth="1"/>
    <col min="4616" max="4616" width="23.28515625" style="47" customWidth="1"/>
    <col min="4617" max="4617" width="25.140625" style="47" customWidth="1"/>
    <col min="4618" max="4618" width="24.85546875" style="47" customWidth="1"/>
    <col min="4619" max="4619" width="22" style="47" customWidth="1"/>
    <col min="4620" max="4620" width="25.7109375" style="47" customWidth="1"/>
    <col min="4621" max="4621" width="26.140625" style="47" customWidth="1"/>
    <col min="4622" max="4622" width="27.5703125" style="47" customWidth="1"/>
    <col min="4623" max="4623" width="27.140625" style="47" customWidth="1"/>
    <col min="4624" max="4624" width="32.85546875" style="47" customWidth="1"/>
    <col min="4625" max="4625" width="22.42578125" style="47" customWidth="1"/>
    <col min="4626" max="4626" width="28.140625" style="47" customWidth="1"/>
    <col min="4627" max="4627" width="52.42578125" style="47" customWidth="1"/>
    <col min="4628" max="4628" width="32.42578125" style="47" customWidth="1"/>
    <col min="4629" max="4629" width="24.5703125" style="47" customWidth="1"/>
    <col min="4630" max="4630" width="35" style="47" customWidth="1"/>
    <col min="4631" max="4631" width="35.140625" style="47" customWidth="1"/>
    <col min="4632" max="4632" width="41.140625" style="47" customWidth="1"/>
    <col min="4633" max="4633" width="16.42578125" style="47" customWidth="1"/>
    <col min="4634" max="4634" width="21.42578125" style="47" customWidth="1"/>
    <col min="4635" max="4635" width="31.42578125" style="47" customWidth="1"/>
    <col min="4636" max="4636" width="18.140625" style="47" customWidth="1"/>
    <col min="4637" max="4864" width="9.140625" style="47"/>
    <col min="4865" max="4865" width="9.28515625" style="47" customWidth="1"/>
    <col min="4866" max="4866" width="12.85546875" style="47" customWidth="1"/>
    <col min="4867" max="4867" width="167.42578125" style="47" customWidth="1"/>
    <col min="4868" max="4868" width="27.85546875" style="47" customWidth="1"/>
    <col min="4869" max="4869" width="26.140625" style="47" customWidth="1"/>
    <col min="4870" max="4870" width="26.85546875" style="47" customWidth="1"/>
    <col min="4871" max="4871" width="34.5703125" style="47" customWidth="1"/>
    <col min="4872" max="4872" width="23.28515625" style="47" customWidth="1"/>
    <col min="4873" max="4873" width="25.140625" style="47" customWidth="1"/>
    <col min="4874" max="4874" width="24.85546875" style="47" customWidth="1"/>
    <col min="4875" max="4875" width="22" style="47" customWidth="1"/>
    <col min="4876" max="4876" width="25.7109375" style="47" customWidth="1"/>
    <col min="4877" max="4877" width="26.140625" style="47" customWidth="1"/>
    <col min="4878" max="4878" width="27.5703125" style="47" customWidth="1"/>
    <col min="4879" max="4879" width="27.140625" style="47" customWidth="1"/>
    <col min="4880" max="4880" width="32.85546875" style="47" customWidth="1"/>
    <col min="4881" max="4881" width="22.42578125" style="47" customWidth="1"/>
    <col min="4882" max="4882" width="28.140625" style="47" customWidth="1"/>
    <col min="4883" max="4883" width="52.42578125" style="47" customWidth="1"/>
    <col min="4884" max="4884" width="32.42578125" style="47" customWidth="1"/>
    <col min="4885" max="4885" width="24.5703125" style="47" customWidth="1"/>
    <col min="4886" max="4886" width="35" style="47" customWidth="1"/>
    <col min="4887" max="4887" width="35.140625" style="47" customWidth="1"/>
    <col min="4888" max="4888" width="41.140625" style="47" customWidth="1"/>
    <col min="4889" max="4889" width="16.42578125" style="47" customWidth="1"/>
    <col min="4890" max="4890" width="21.42578125" style="47" customWidth="1"/>
    <col min="4891" max="4891" width="31.42578125" style="47" customWidth="1"/>
    <col min="4892" max="4892" width="18.140625" style="47" customWidth="1"/>
    <col min="4893" max="5120" width="9.140625" style="47"/>
    <col min="5121" max="5121" width="9.28515625" style="47" customWidth="1"/>
    <col min="5122" max="5122" width="12.85546875" style="47" customWidth="1"/>
    <col min="5123" max="5123" width="167.42578125" style="47" customWidth="1"/>
    <col min="5124" max="5124" width="27.85546875" style="47" customWidth="1"/>
    <col min="5125" max="5125" width="26.140625" style="47" customWidth="1"/>
    <col min="5126" max="5126" width="26.85546875" style="47" customWidth="1"/>
    <col min="5127" max="5127" width="34.5703125" style="47" customWidth="1"/>
    <col min="5128" max="5128" width="23.28515625" style="47" customWidth="1"/>
    <col min="5129" max="5129" width="25.140625" style="47" customWidth="1"/>
    <col min="5130" max="5130" width="24.85546875" style="47" customWidth="1"/>
    <col min="5131" max="5131" width="22" style="47" customWidth="1"/>
    <col min="5132" max="5132" width="25.7109375" style="47" customWidth="1"/>
    <col min="5133" max="5133" width="26.140625" style="47" customWidth="1"/>
    <col min="5134" max="5134" width="27.5703125" style="47" customWidth="1"/>
    <col min="5135" max="5135" width="27.140625" style="47" customWidth="1"/>
    <col min="5136" max="5136" width="32.85546875" style="47" customWidth="1"/>
    <col min="5137" max="5137" width="22.42578125" style="47" customWidth="1"/>
    <col min="5138" max="5138" width="28.140625" style="47" customWidth="1"/>
    <col min="5139" max="5139" width="52.42578125" style="47" customWidth="1"/>
    <col min="5140" max="5140" width="32.42578125" style="47" customWidth="1"/>
    <col min="5141" max="5141" width="24.5703125" style="47" customWidth="1"/>
    <col min="5142" max="5142" width="35" style="47" customWidth="1"/>
    <col min="5143" max="5143" width="35.140625" style="47" customWidth="1"/>
    <col min="5144" max="5144" width="41.140625" style="47" customWidth="1"/>
    <col min="5145" max="5145" width="16.42578125" style="47" customWidth="1"/>
    <col min="5146" max="5146" width="21.42578125" style="47" customWidth="1"/>
    <col min="5147" max="5147" width="31.42578125" style="47" customWidth="1"/>
    <col min="5148" max="5148" width="18.140625" style="47" customWidth="1"/>
    <col min="5149" max="5376" width="9.140625" style="47"/>
    <col min="5377" max="5377" width="9.28515625" style="47" customWidth="1"/>
    <col min="5378" max="5378" width="12.85546875" style="47" customWidth="1"/>
    <col min="5379" max="5379" width="167.42578125" style="47" customWidth="1"/>
    <col min="5380" max="5380" width="27.85546875" style="47" customWidth="1"/>
    <col min="5381" max="5381" width="26.140625" style="47" customWidth="1"/>
    <col min="5382" max="5382" width="26.85546875" style="47" customWidth="1"/>
    <col min="5383" max="5383" width="34.5703125" style="47" customWidth="1"/>
    <col min="5384" max="5384" width="23.28515625" style="47" customWidth="1"/>
    <col min="5385" max="5385" width="25.140625" style="47" customWidth="1"/>
    <col min="5386" max="5386" width="24.85546875" style="47" customWidth="1"/>
    <col min="5387" max="5387" width="22" style="47" customWidth="1"/>
    <col min="5388" max="5388" width="25.7109375" style="47" customWidth="1"/>
    <col min="5389" max="5389" width="26.140625" style="47" customWidth="1"/>
    <col min="5390" max="5390" width="27.5703125" style="47" customWidth="1"/>
    <col min="5391" max="5391" width="27.140625" style="47" customWidth="1"/>
    <col min="5392" max="5392" width="32.85546875" style="47" customWidth="1"/>
    <col min="5393" max="5393" width="22.42578125" style="47" customWidth="1"/>
    <col min="5394" max="5394" width="28.140625" style="47" customWidth="1"/>
    <col min="5395" max="5395" width="52.42578125" style="47" customWidth="1"/>
    <col min="5396" max="5396" width="32.42578125" style="47" customWidth="1"/>
    <col min="5397" max="5397" width="24.5703125" style="47" customWidth="1"/>
    <col min="5398" max="5398" width="35" style="47" customWidth="1"/>
    <col min="5399" max="5399" width="35.140625" style="47" customWidth="1"/>
    <col min="5400" max="5400" width="41.140625" style="47" customWidth="1"/>
    <col min="5401" max="5401" width="16.42578125" style="47" customWidth="1"/>
    <col min="5402" max="5402" width="21.42578125" style="47" customWidth="1"/>
    <col min="5403" max="5403" width="31.42578125" style="47" customWidth="1"/>
    <col min="5404" max="5404" width="18.140625" style="47" customWidth="1"/>
    <col min="5405" max="5632" width="9.140625" style="47"/>
    <col min="5633" max="5633" width="9.28515625" style="47" customWidth="1"/>
    <col min="5634" max="5634" width="12.85546875" style="47" customWidth="1"/>
    <col min="5635" max="5635" width="167.42578125" style="47" customWidth="1"/>
    <col min="5636" max="5636" width="27.85546875" style="47" customWidth="1"/>
    <col min="5637" max="5637" width="26.140625" style="47" customWidth="1"/>
    <col min="5638" max="5638" width="26.85546875" style="47" customWidth="1"/>
    <col min="5639" max="5639" width="34.5703125" style="47" customWidth="1"/>
    <col min="5640" max="5640" width="23.28515625" style="47" customWidth="1"/>
    <col min="5641" max="5641" width="25.140625" style="47" customWidth="1"/>
    <col min="5642" max="5642" width="24.85546875" style="47" customWidth="1"/>
    <col min="5643" max="5643" width="22" style="47" customWidth="1"/>
    <col min="5644" max="5644" width="25.7109375" style="47" customWidth="1"/>
    <col min="5645" max="5645" width="26.140625" style="47" customWidth="1"/>
    <col min="5646" max="5646" width="27.5703125" style="47" customWidth="1"/>
    <col min="5647" max="5647" width="27.140625" style="47" customWidth="1"/>
    <col min="5648" max="5648" width="32.85546875" style="47" customWidth="1"/>
    <col min="5649" max="5649" width="22.42578125" style="47" customWidth="1"/>
    <col min="5650" max="5650" width="28.140625" style="47" customWidth="1"/>
    <col min="5651" max="5651" width="52.42578125" style="47" customWidth="1"/>
    <col min="5652" max="5652" width="32.42578125" style="47" customWidth="1"/>
    <col min="5653" max="5653" width="24.5703125" style="47" customWidth="1"/>
    <col min="5654" max="5654" width="35" style="47" customWidth="1"/>
    <col min="5655" max="5655" width="35.140625" style="47" customWidth="1"/>
    <col min="5656" max="5656" width="41.140625" style="47" customWidth="1"/>
    <col min="5657" max="5657" width="16.42578125" style="47" customWidth="1"/>
    <col min="5658" max="5658" width="21.42578125" style="47" customWidth="1"/>
    <col min="5659" max="5659" width="31.42578125" style="47" customWidth="1"/>
    <col min="5660" max="5660" width="18.140625" style="47" customWidth="1"/>
    <col min="5661" max="5888" width="9.140625" style="47"/>
    <col min="5889" max="5889" width="9.28515625" style="47" customWidth="1"/>
    <col min="5890" max="5890" width="12.85546875" style="47" customWidth="1"/>
    <col min="5891" max="5891" width="167.42578125" style="47" customWidth="1"/>
    <col min="5892" max="5892" width="27.85546875" style="47" customWidth="1"/>
    <col min="5893" max="5893" width="26.140625" style="47" customWidth="1"/>
    <col min="5894" max="5894" width="26.85546875" style="47" customWidth="1"/>
    <col min="5895" max="5895" width="34.5703125" style="47" customWidth="1"/>
    <col min="5896" max="5896" width="23.28515625" style="47" customWidth="1"/>
    <col min="5897" max="5897" width="25.140625" style="47" customWidth="1"/>
    <col min="5898" max="5898" width="24.85546875" style="47" customWidth="1"/>
    <col min="5899" max="5899" width="22" style="47" customWidth="1"/>
    <col min="5900" max="5900" width="25.7109375" style="47" customWidth="1"/>
    <col min="5901" max="5901" width="26.140625" style="47" customWidth="1"/>
    <col min="5902" max="5902" width="27.5703125" style="47" customWidth="1"/>
    <col min="5903" max="5903" width="27.140625" style="47" customWidth="1"/>
    <col min="5904" max="5904" width="32.85546875" style="47" customWidth="1"/>
    <col min="5905" max="5905" width="22.42578125" style="47" customWidth="1"/>
    <col min="5906" max="5906" width="28.140625" style="47" customWidth="1"/>
    <col min="5907" max="5907" width="52.42578125" style="47" customWidth="1"/>
    <col min="5908" max="5908" width="32.42578125" style="47" customWidth="1"/>
    <col min="5909" max="5909" width="24.5703125" style="47" customWidth="1"/>
    <col min="5910" max="5910" width="35" style="47" customWidth="1"/>
    <col min="5911" max="5911" width="35.140625" style="47" customWidth="1"/>
    <col min="5912" max="5912" width="41.140625" style="47" customWidth="1"/>
    <col min="5913" max="5913" width="16.42578125" style="47" customWidth="1"/>
    <col min="5914" max="5914" width="21.42578125" style="47" customWidth="1"/>
    <col min="5915" max="5915" width="31.42578125" style="47" customWidth="1"/>
    <col min="5916" max="5916" width="18.140625" style="47" customWidth="1"/>
    <col min="5917" max="6144" width="9.140625" style="47"/>
    <col min="6145" max="6145" width="9.28515625" style="47" customWidth="1"/>
    <col min="6146" max="6146" width="12.85546875" style="47" customWidth="1"/>
    <col min="6147" max="6147" width="167.42578125" style="47" customWidth="1"/>
    <col min="6148" max="6148" width="27.85546875" style="47" customWidth="1"/>
    <col min="6149" max="6149" width="26.140625" style="47" customWidth="1"/>
    <col min="6150" max="6150" width="26.85546875" style="47" customWidth="1"/>
    <col min="6151" max="6151" width="34.5703125" style="47" customWidth="1"/>
    <col min="6152" max="6152" width="23.28515625" style="47" customWidth="1"/>
    <col min="6153" max="6153" width="25.140625" style="47" customWidth="1"/>
    <col min="6154" max="6154" width="24.85546875" style="47" customWidth="1"/>
    <col min="6155" max="6155" width="22" style="47" customWidth="1"/>
    <col min="6156" max="6156" width="25.7109375" style="47" customWidth="1"/>
    <col min="6157" max="6157" width="26.140625" style="47" customWidth="1"/>
    <col min="6158" max="6158" width="27.5703125" style="47" customWidth="1"/>
    <col min="6159" max="6159" width="27.140625" style="47" customWidth="1"/>
    <col min="6160" max="6160" width="32.85546875" style="47" customWidth="1"/>
    <col min="6161" max="6161" width="22.42578125" style="47" customWidth="1"/>
    <col min="6162" max="6162" width="28.140625" style="47" customWidth="1"/>
    <col min="6163" max="6163" width="52.42578125" style="47" customWidth="1"/>
    <col min="6164" max="6164" width="32.42578125" style="47" customWidth="1"/>
    <col min="6165" max="6165" width="24.5703125" style="47" customWidth="1"/>
    <col min="6166" max="6166" width="35" style="47" customWidth="1"/>
    <col min="6167" max="6167" width="35.140625" style="47" customWidth="1"/>
    <col min="6168" max="6168" width="41.140625" style="47" customWidth="1"/>
    <col min="6169" max="6169" width="16.42578125" style="47" customWidth="1"/>
    <col min="6170" max="6170" width="21.42578125" style="47" customWidth="1"/>
    <col min="6171" max="6171" width="31.42578125" style="47" customWidth="1"/>
    <col min="6172" max="6172" width="18.140625" style="47" customWidth="1"/>
    <col min="6173" max="6400" width="9.140625" style="47"/>
    <col min="6401" max="6401" width="9.28515625" style="47" customWidth="1"/>
    <col min="6402" max="6402" width="12.85546875" style="47" customWidth="1"/>
    <col min="6403" max="6403" width="167.42578125" style="47" customWidth="1"/>
    <col min="6404" max="6404" width="27.85546875" style="47" customWidth="1"/>
    <col min="6405" max="6405" width="26.140625" style="47" customWidth="1"/>
    <col min="6406" max="6406" width="26.85546875" style="47" customWidth="1"/>
    <col min="6407" max="6407" width="34.5703125" style="47" customWidth="1"/>
    <col min="6408" max="6408" width="23.28515625" style="47" customWidth="1"/>
    <col min="6409" max="6409" width="25.140625" style="47" customWidth="1"/>
    <col min="6410" max="6410" width="24.85546875" style="47" customWidth="1"/>
    <col min="6411" max="6411" width="22" style="47" customWidth="1"/>
    <col min="6412" max="6412" width="25.7109375" style="47" customWidth="1"/>
    <col min="6413" max="6413" width="26.140625" style="47" customWidth="1"/>
    <col min="6414" max="6414" width="27.5703125" style="47" customWidth="1"/>
    <col min="6415" max="6415" width="27.140625" style="47" customWidth="1"/>
    <col min="6416" max="6416" width="32.85546875" style="47" customWidth="1"/>
    <col min="6417" max="6417" width="22.42578125" style="47" customWidth="1"/>
    <col min="6418" max="6418" width="28.140625" style="47" customWidth="1"/>
    <col min="6419" max="6419" width="52.42578125" style="47" customWidth="1"/>
    <col min="6420" max="6420" width="32.42578125" style="47" customWidth="1"/>
    <col min="6421" max="6421" width="24.5703125" style="47" customWidth="1"/>
    <col min="6422" max="6422" width="35" style="47" customWidth="1"/>
    <col min="6423" max="6423" width="35.140625" style="47" customWidth="1"/>
    <col min="6424" max="6424" width="41.140625" style="47" customWidth="1"/>
    <col min="6425" max="6425" width="16.42578125" style="47" customWidth="1"/>
    <col min="6426" max="6426" width="21.42578125" style="47" customWidth="1"/>
    <col min="6427" max="6427" width="31.42578125" style="47" customWidth="1"/>
    <col min="6428" max="6428" width="18.140625" style="47" customWidth="1"/>
    <col min="6429" max="6656" width="9.140625" style="47"/>
    <col min="6657" max="6657" width="9.28515625" style="47" customWidth="1"/>
    <col min="6658" max="6658" width="12.85546875" style="47" customWidth="1"/>
    <col min="6659" max="6659" width="167.42578125" style="47" customWidth="1"/>
    <col min="6660" max="6660" width="27.85546875" style="47" customWidth="1"/>
    <col min="6661" max="6661" width="26.140625" style="47" customWidth="1"/>
    <col min="6662" max="6662" width="26.85546875" style="47" customWidth="1"/>
    <col min="6663" max="6663" width="34.5703125" style="47" customWidth="1"/>
    <col min="6664" max="6664" width="23.28515625" style="47" customWidth="1"/>
    <col min="6665" max="6665" width="25.140625" style="47" customWidth="1"/>
    <col min="6666" max="6666" width="24.85546875" style="47" customWidth="1"/>
    <col min="6667" max="6667" width="22" style="47" customWidth="1"/>
    <col min="6668" max="6668" width="25.7109375" style="47" customWidth="1"/>
    <col min="6669" max="6669" width="26.140625" style="47" customWidth="1"/>
    <col min="6670" max="6670" width="27.5703125" style="47" customWidth="1"/>
    <col min="6671" max="6671" width="27.140625" style="47" customWidth="1"/>
    <col min="6672" max="6672" width="32.85546875" style="47" customWidth="1"/>
    <col min="6673" max="6673" width="22.42578125" style="47" customWidth="1"/>
    <col min="6674" max="6674" width="28.140625" style="47" customWidth="1"/>
    <col min="6675" max="6675" width="52.42578125" style="47" customWidth="1"/>
    <col min="6676" max="6676" width="32.42578125" style="47" customWidth="1"/>
    <col min="6677" max="6677" width="24.5703125" style="47" customWidth="1"/>
    <col min="6678" max="6678" width="35" style="47" customWidth="1"/>
    <col min="6679" max="6679" width="35.140625" style="47" customWidth="1"/>
    <col min="6680" max="6680" width="41.140625" style="47" customWidth="1"/>
    <col min="6681" max="6681" width="16.42578125" style="47" customWidth="1"/>
    <col min="6682" max="6682" width="21.42578125" style="47" customWidth="1"/>
    <col min="6683" max="6683" width="31.42578125" style="47" customWidth="1"/>
    <col min="6684" max="6684" width="18.140625" style="47" customWidth="1"/>
    <col min="6685" max="6912" width="9.140625" style="47"/>
    <col min="6913" max="6913" width="9.28515625" style="47" customWidth="1"/>
    <col min="6914" max="6914" width="12.85546875" style="47" customWidth="1"/>
    <col min="6915" max="6915" width="167.42578125" style="47" customWidth="1"/>
    <col min="6916" max="6916" width="27.85546875" style="47" customWidth="1"/>
    <col min="6917" max="6917" width="26.140625" style="47" customWidth="1"/>
    <col min="6918" max="6918" width="26.85546875" style="47" customWidth="1"/>
    <col min="6919" max="6919" width="34.5703125" style="47" customWidth="1"/>
    <col min="6920" max="6920" width="23.28515625" style="47" customWidth="1"/>
    <col min="6921" max="6921" width="25.140625" style="47" customWidth="1"/>
    <col min="6922" max="6922" width="24.85546875" style="47" customWidth="1"/>
    <col min="6923" max="6923" width="22" style="47" customWidth="1"/>
    <col min="6924" max="6924" width="25.7109375" style="47" customWidth="1"/>
    <col min="6925" max="6925" width="26.140625" style="47" customWidth="1"/>
    <col min="6926" max="6926" width="27.5703125" style="47" customWidth="1"/>
    <col min="6927" max="6927" width="27.140625" style="47" customWidth="1"/>
    <col min="6928" max="6928" width="32.85546875" style="47" customWidth="1"/>
    <col min="6929" max="6929" width="22.42578125" style="47" customWidth="1"/>
    <col min="6930" max="6930" width="28.140625" style="47" customWidth="1"/>
    <col min="6931" max="6931" width="52.42578125" style="47" customWidth="1"/>
    <col min="6932" max="6932" width="32.42578125" style="47" customWidth="1"/>
    <col min="6933" max="6933" width="24.5703125" style="47" customWidth="1"/>
    <col min="6934" max="6934" width="35" style="47" customWidth="1"/>
    <col min="6935" max="6935" width="35.140625" style="47" customWidth="1"/>
    <col min="6936" max="6936" width="41.140625" style="47" customWidth="1"/>
    <col min="6937" max="6937" width="16.42578125" style="47" customWidth="1"/>
    <col min="6938" max="6938" width="21.42578125" style="47" customWidth="1"/>
    <col min="6939" max="6939" width="31.42578125" style="47" customWidth="1"/>
    <col min="6940" max="6940" width="18.140625" style="47" customWidth="1"/>
    <col min="6941" max="7168" width="9.140625" style="47"/>
    <col min="7169" max="7169" width="9.28515625" style="47" customWidth="1"/>
    <col min="7170" max="7170" width="12.85546875" style="47" customWidth="1"/>
    <col min="7171" max="7171" width="167.42578125" style="47" customWidth="1"/>
    <col min="7172" max="7172" width="27.85546875" style="47" customWidth="1"/>
    <col min="7173" max="7173" width="26.140625" style="47" customWidth="1"/>
    <col min="7174" max="7174" width="26.85546875" style="47" customWidth="1"/>
    <col min="7175" max="7175" width="34.5703125" style="47" customWidth="1"/>
    <col min="7176" max="7176" width="23.28515625" style="47" customWidth="1"/>
    <col min="7177" max="7177" width="25.140625" style="47" customWidth="1"/>
    <col min="7178" max="7178" width="24.85546875" style="47" customWidth="1"/>
    <col min="7179" max="7179" width="22" style="47" customWidth="1"/>
    <col min="7180" max="7180" width="25.7109375" style="47" customWidth="1"/>
    <col min="7181" max="7181" width="26.140625" style="47" customWidth="1"/>
    <col min="7182" max="7182" width="27.5703125" style="47" customWidth="1"/>
    <col min="7183" max="7183" width="27.140625" style="47" customWidth="1"/>
    <col min="7184" max="7184" width="32.85546875" style="47" customWidth="1"/>
    <col min="7185" max="7185" width="22.42578125" style="47" customWidth="1"/>
    <col min="7186" max="7186" width="28.140625" style="47" customWidth="1"/>
    <col min="7187" max="7187" width="52.42578125" style="47" customWidth="1"/>
    <col min="7188" max="7188" width="32.42578125" style="47" customWidth="1"/>
    <col min="7189" max="7189" width="24.5703125" style="47" customWidth="1"/>
    <col min="7190" max="7190" width="35" style="47" customWidth="1"/>
    <col min="7191" max="7191" width="35.140625" style="47" customWidth="1"/>
    <col min="7192" max="7192" width="41.140625" style="47" customWidth="1"/>
    <col min="7193" max="7193" width="16.42578125" style="47" customWidth="1"/>
    <col min="7194" max="7194" width="21.42578125" style="47" customWidth="1"/>
    <col min="7195" max="7195" width="31.42578125" style="47" customWidth="1"/>
    <col min="7196" max="7196" width="18.140625" style="47" customWidth="1"/>
    <col min="7197" max="7424" width="9.140625" style="47"/>
    <col min="7425" max="7425" width="9.28515625" style="47" customWidth="1"/>
    <col min="7426" max="7426" width="12.85546875" style="47" customWidth="1"/>
    <col min="7427" max="7427" width="167.42578125" style="47" customWidth="1"/>
    <col min="7428" max="7428" width="27.85546875" style="47" customWidth="1"/>
    <col min="7429" max="7429" width="26.140625" style="47" customWidth="1"/>
    <col min="7430" max="7430" width="26.85546875" style="47" customWidth="1"/>
    <col min="7431" max="7431" width="34.5703125" style="47" customWidth="1"/>
    <col min="7432" max="7432" width="23.28515625" style="47" customWidth="1"/>
    <col min="7433" max="7433" width="25.140625" style="47" customWidth="1"/>
    <col min="7434" max="7434" width="24.85546875" style="47" customWidth="1"/>
    <col min="7435" max="7435" width="22" style="47" customWidth="1"/>
    <col min="7436" max="7436" width="25.7109375" style="47" customWidth="1"/>
    <col min="7437" max="7437" width="26.140625" style="47" customWidth="1"/>
    <col min="7438" max="7438" width="27.5703125" style="47" customWidth="1"/>
    <col min="7439" max="7439" width="27.140625" style="47" customWidth="1"/>
    <col min="7440" max="7440" width="32.85546875" style="47" customWidth="1"/>
    <col min="7441" max="7441" width="22.42578125" style="47" customWidth="1"/>
    <col min="7442" max="7442" width="28.140625" style="47" customWidth="1"/>
    <col min="7443" max="7443" width="52.42578125" style="47" customWidth="1"/>
    <col min="7444" max="7444" width="32.42578125" style="47" customWidth="1"/>
    <col min="7445" max="7445" width="24.5703125" style="47" customWidth="1"/>
    <col min="7446" max="7446" width="35" style="47" customWidth="1"/>
    <col min="7447" max="7447" width="35.140625" style="47" customWidth="1"/>
    <col min="7448" max="7448" width="41.140625" style="47" customWidth="1"/>
    <col min="7449" max="7449" width="16.42578125" style="47" customWidth="1"/>
    <col min="7450" max="7450" width="21.42578125" style="47" customWidth="1"/>
    <col min="7451" max="7451" width="31.42578125" style="47" customWidth="1"/>
    <col min="7452" max="7452" width="18.140625" style="47" customWidth="1"/>
    <col min="7453" max="7680" width="9.140625" style="47"/>
    <col min="7681" max="7681" width="9.28515625" style="47" customWidth="1"/>
    <col min="7682" max="7682" width="12.85546875" style="47" customWidth="1"/>
    <col min="7683" max="7683" width="167.42578125" style="47" customWidth="1"/>
    <col min="7684" max="7684" width="27.85546875" style="47" customWidth="1"/>
    <col min="7685" max="7685" width="26.140625" style="47" customWidth="1"/>
    <col min="7686" max="7686" width="26.85546875" style="47" customWidth="1"/>
    <col min="7687" max="7687" width="34.5703125" style="47" customWidth="1"/>
    <col min="7688" max="7688" width="23.28515625" style="47" customWidth="1"/>
    <col min="7689" max="7689" width="25.140625" style="47" customWidth="1"/>
    <col min="7690" max="7690" width="24.85546875" style="47" customWidth="1"/>
    <col min="7691" max="7691" width="22" style="47" customWidth="1"/>
    <col min="7692" max="7692" width="25.7109375" style="47" customWidth="1"/>
    <col min="7693" max="7693" width="26.140625" style="47" customWidth="1"/>
    <col min="7694" max="7694" width="27.5703125" style="47" customWidth="1"/>
    <col min="7695" max="7695" width="27.140625" style="47" customWidth="1"/>
    <col min="7696" max="7696" width="32.85546875" style="47" customWidth="1"/>
    <col min="7697" max="7697" width="22.42578125" style="47" customWidth="1"/>
    <col min="7698" max="7698" width="28.140625" style="47" customWidth="1"/>
    <col min="7699" max="7699" width="52.42578125" style="47" customWidth="1"/>
    <col min="7700" max="7700" width="32.42578125" style="47" customWidth="1"/>
    <col min="7701" max="7701" width="24.5703125" style="47" customWidth="1"/>
    <col min="7702" max="7702" width="35" style="47" customWidth="1"/>
    <col min="7703" max="7703" width="35.140625" style="47" customWidth="1"/>
    <col min="7704" max="7704" width="41.140625" style="47" customWidth="1"/>
    <col min="7705" max="7705" width="16.42578125" style="47" customWidth="1"/>
    <col min="7706" max="7706" width="21.42578125" style="47" customWidth="1"/>
    <col min="7707" max="7707" width="31.42578125" style="47" customWidth="1"/>
    <col min="7708" max="7708" width="18.140625" style="47" customWidth="1"/>
    <col min="7709" max="7936" width="9.140625" style="47"/>
    <col min="7937" max="7937" width="9.28515625" style="47" customWidth="1"/>
    <col min="7938" max="7938" width="12.85546875" style="47" customWidth="1"/>
    <col min="7939" max="7939" width="167.42578125" style="47" customWidth="1"/>
    <col min="7940" max="7940" width="27.85546875" style="47" customWidth="1"/>
    <col min="7941" max="7941" width="26.140625" style="47" customWidth="1"/>
    <col min="7942" max="7942" width="26.85546875" style="47" customWidth="1"/>
    <col min="7943" max="7943" width="34.5703125" style="47" customWidth="1"/>
    <col min="7944" max="7944" width="23.28515625" style="47" customWidth="1"/>
    <col min="7945" max="7945" width="25.140625" style="47" customWidth="1"/>
    <col min="7946" max="7946" width="24.85546875" style="47" customWidth="1"/>
    <col min="7947" max="7947" width="22" style="47" customWidth="1"/>
    <col min="7948" max="7948" width="25.7109375" style="47" customWidth="1"/>
    <col min="7949" max="7949" width="26.140625" style="47" customWidth="1"/>
    <col min="7950" max="7950" width="27.5703125" style="47" customWidth="1"/>
    <col min="7951" max="7951" width="27.140625" style="47" customWidth="1"/>
    <col min="7952" max="7952" width="32.85546875" style="47" customWidth="1"/>
    <col min="7953" max="7953" width="22.42578125" style="47" customWidth="1"/>
    <col min="7954" max="7954" width="28.140625" style="47" customWidth="1"/>
    <col min="7955" max="7955" width="52.42578125" style="47" customWidth="1"/>
    <col min="7956" max="7956" width="32.42578125" style="47" customWidth="1"/>
    <col min="7957" max="7957" width="24.5703125" style="47" customWidth="1"/>
    <col min="7958" max="7958" width="35" style="47" customWidth="1"/>
    <col min="7959" max="7959" width="35.140625" style="47" customWidth="1"/>
    <col min="7960" max="7960" width="41.140625" style="47" customWidth="1"/>
    <col min="7961" max="7961" width="16.42578125" style="47" customWidth="1"/>
    <col min="7962" max="7962" width="21.42578125" style="47" customWidth="1"/>
    <col min="7963" max="7963" width="31.42578125" style="47" customWidth="1"/>
    <col min="7964" max="7964" width="18.140625" style="47" customWidth="1"/>
    <col min="7965" max="8192" width="9.140625" style="47"/>
    <col min="8193" max="8193" width="9.28515625" style="47" customWidth="1"/>
    <col min="8194" max="8194" width="12.85546875" style="47" customWidth="1"/>
    <col min="8195" max="8195" width="167.42578125" style="47" customWidth="1"/>
    <col min="8196" max="8196" width="27.85546875" style="47" customWidth="1"/>
    <col min="8197" max="8197" width="26.140625" style="47" customWidth="1"/>
    <col min="8198" max="8198" width="26.85546875" style="47" customWidth="1"/>
    <col min="8199" max="8199" width="34.5703125" style="47" customWidth="1"/>
    <col min="8200" max="8200" width="23.28515625" style="47" customWidth="1"/>
    <col min="8201" max="8201" width="25.140625" style="47" customWidth="1"/>
    <col min="8202" max="8202" width="24.85546875" style="47" customWidth="1"/>
    <col min="8203" max="8203" width="22" style="47" customWidth="1"/>
    <col min="8204" max="8204" width="25.7109375" style="47" customWidth="1"/>
    <col min="8205" max="8205" width="26.140625" style="47" customWidth="1"/>
    <col min="8206" max="8206" width="27.5703125" style="47" customWidth="1"/>
    <col min="8207" max="8207" width="27.140625" style="47" customWidth="1"/>
    <col min="8208" max="8208" width="32.85546875" style="47" customWidth="1"/>
    <col min="8209" max="8209" width="22.42578125" style="47" customWidth="1"/>
    <col min="8210" max="8210" width="28.140625" style="47" customWidth="1"/>
    <col min="8211" max="8211" width="52.42578125" style="47" customWidth="1"/>
    <col min="8212" max="8212" width="32.42578125" style="47" customWidth="1"/>
    <col min="8213" max="8213" width="24.5703125" style="47" customWidth="1"/>
    <col min="8214" max="8214" width="35" style="47" customWidth="1"/>
    <col min="8215" max="8215" width="35.140625" style="47" customWidth="1"/>
    <col min="8216" max="8216" width="41.140625" style="47" customWidth="1"/>
    <col min="8217" max="8217" width="16.42578125" style="47" customWidth="1"/>
    <col min="8218" max="8218" width="21.42578125" style="47" customWidth="1"/>
    <col min="8219" max="8219" width="31.42578125" style="47" customWidth="1"/>
    <col min="8220" max="8220" width="18.140625" style="47" customWidth="1"/>
    <col min="8221" max="8448" width="9.140625" style="47"/>
    <col min="8449" max="8449" width="9.28515625" style="47" customWidth="1"/>
    <col min="8450" max="8450" width="12.85546875" style="47" customWidth="1"/>
    <col min="8451" max="8451" width="167.42578125" style="47" customWidth="1"/>
    <col min="8452" max="8452" width="27.85546875" style="47" customWidth="1"/>
    <col min="8453" max="8453" width="26.140625" style="47" customWidth="1"/>
    <col min="8454" max="8454" width="26.85546875" style="47" customWidth="1"/>
    <col min="8455" max="8455" width="34.5703125" style="47" customWidth="1"/>
    <col min="8456" max="8456" width="23.28515625" style="47" customWidth="1"/>
    <col min="8457" max="8457" width="25.140625" style="47" customWidth="1"/>
    <col min="8458" max="8458" width="24.85546875" style="47" customWidth="1"/>
    <col min="8459" max="8459" width="22" style="47" customWidth="1"/>
    <col min="8460" max="8460" width="25.7109375" style="47" customWidth="1"/>
    <col min="8461" max="8461" width="26.140625" style="47" customWidth="1"/>
    <col min="8462" max="8462" width="27.5703125" style="47" customWidth="1"/>
    <col min="8463" max="8463" width="27.140625" style="47" customWidth="1"/>
    <col min="8464" max="8464" width="32.85546875" style="47" customWidth="1"/>
    <col min="8465" max="8465" width="22.42578125" style="47" customWidth="1"/>
    <col min="8466" max="8466" width="28.140625" style="47" customWidth="1"/>
    <col min="8467" max="8467" width="52.42578125" style="47" customWidth="1"/>
    <col min="8468" max="8468" width="32.42578125" style="47" customWidth="1"/>
    <col min="8469" max="8469" width="24.5703125" style="47" customWidth="1"/>
    <col min="8470" max="8470" width="35" style="47" customWidth="1"/>
    <col min="8471" max="8471" width="35.140625" style="47" customWidth="1"/>
    <col min="8472" max="8472" width="41.140625" style="47" customWidth="1"/>
    <col min="8473" max="8473" width="16.42578125" style="47" customWidth="1"/>
    <col min="8474" max="8474" width="21.42578125" style="47" customWidth="1"/>
    <col min="8475" max="8475" width="31.42578125" style="47" customWidth="1"/>
    <col min="8476" max="8476" width="18.140625" style="47" customWidth="1"/>
    <col min="8477" max="8704" width="9.140625" style="47"/>
    <col min="8705" max="8705" width="9.28515625" style="47" customWidth="1"/>
    <col min="8706" max="8706" width="12.85546875" style="47" customWidth="1"/>
    <col min="8707" max="8707" width="167.42578125" style="47" customWidth="1"/>
    <col min="8708" max="8708" width="27.85546875" style="47" customWidth="1"/>
    <col min="8709" max="8709" width="26.140625" style="47" customWidth="1"/>
    <col min="8710" max="8710" width="26.85546875" style="47" customWidth="1"/>
    <col min="8711" max="8711" width="34.5703125" style="47" customWidth="1"/>
    <col min="8712" max="8712" width="23.28515625" style="47" customWidth="1"/>
    <col min="8713" max="8713" width="25.140625" style="47" customWidth="1"/>
    <col min="8714" max="8714" width="24.85546875" style="47" customWidth="1"/>
    <col min="8715" max="8715" width="22" style="47" customWidth="1"/>
    <col min="8716" max="8716" width="25.7109375" style="47" customWidth="1"/>
    <col min="8717" max="8717" width="26.140625" style="47" customWidth="1"/>
    <col min="8718" max="8718" width="27.5703125" style="47" customWidth="1"/>
    <col min="8719" max="8719" width="27.140625" style="47" customWidth="1"/>
    <col min="8720" max="8720" width="32.85546875" style="47" customWidth="1"/>
    <col min="8721" max="8721" width="22.42578125" style="47" customWidth="1"/>
    <col min="8722" max="8722" width="28.140625" style="47" customWidth="1"/>
    <col min="8723" max="8723" width="52.42578125" style="47" customWidth="1"/>
    <col min="8724" max="8724" width="32.42578125" style="47" customWidth="1"/>
    <col min="8725" max="8725" width="24.5703125" style="47" customWidth="1"/>
    <col min="8726" max="8726" width="35" style="47" customWidth="1"/>
    <col min="8727" max="8727" width="35.140625" style="47" customWidth="1"/>
    <col min="8728" max="8728" width="41.140625" style="47" customWidth="1"/>
    <col min="8729" max="8729" width="16.42578125" style="47" customWidth="1"/>
    <col min="8730" max="8730" width="21.42578125" style="47" customWidth="1"/>
    <col min="8731" max="8731" width="31.42578125" style="47" customWidth="1"/>
    <col min="8732" max="8732" width="18.140625" style="47" customWidth="1"/>
    <col min="8733" max="8960" width="9.140625" style="47"/>
    <col min="8961" max="8961" width="9.28515625" style="47" customWidth="1"/>
    <col min="8962" max="8962" width="12.85546875" style="47" customWidth="1"/>
    <col min="8963" max="8963" width="167.42578125" style="47" customWidth="1"/>
    <col min="8964" max="8964" width="27.85546875" style="47" customWidth="1"/>
    <col min="8965" max="8965" width="26.140625" style="47" customWidth="1"/>
    <col min="8966" max="8966" width="26.85546875" style="47" customWidth="1"/>
    <col min="8967" max="8967" width="34.5703125" style="47" customWidth="1"/>
    <col min="8968" max="8968" width="23.28515625" style="47" customWidth="1"/>
    <col min="8969" max="8969" width="25.140625" style="47" customWidth="1"/>
    <col min="8970" max="8970" width="24.85546875" style="47" customWidth="1"/>
    <col min="8971" max="8971" width="22" style="47" customWidth="1"/>
    <col min="8972" max="8972" width="25.7109375" style="47" customWidth="1"/>
    <col min="8973" max="8973" width="26.140625" style="47" customWidth="1"/>
    <col min="8974" max="8974" width="27.5703125" style="47" customWidth="1"/>
    <col min="8975" max="8975" width="27.140625" style="47" customWidth="1"/>
    <col min="8976" max="8976" width="32.85546875" style="47" customWidth="1"/>
    <col min="8977" max="8977" width="22.42578125" style="47" customWidth="1"/>
    <col min="8978" max="8978" width="28.140625" style="47" customWidth="1"/>
    <col min="8979" max="8979" width="52.42578125" style="47" customWidth="1"/>
    <col min="8980" max="8980" width="32.42578125" style="47" customWidth="1"/>
    <col min="8981" max="8981" width="24.5703125" style="47" customWidth="1"/>
    <col min="8982" max="8982" width="35" style="47" customWidth="1"/>
    <col min="8983" max="8983" width="35.140625" style="47" customWidth="1"/>
    <col min="8984" max="8984" width="41.140625" style="47" customWidth="1"/>
    <col min="8985" max="8985" width="16.42578125" style="47" customWidth="1"/>
    <col min="8986" max="8986" width="21.42578125" style="47" customWidth="1"/>
    <col min="8987" max="8987" width="31.42578125" style="47" customWidth="1"/>
    <col min="8988" max="8988" width="18.140625" style="47" customWidth="1"/>
    <col min="8989" max="9216" width="9.140625" style="47"/>
    <col min="9217" max="9217" width="9.28515625" style="47" customWidth="1"/>
    <col min="9218" max="9218" width="12.85546875" style="47" customWidth="1"/>
    <col min="9219" max="9219" width="167.42578125" style="47" customWidth="1"/>
    <col min="9220" max="9220" width="27.85546875" style="47" customWidth="1"/>
    <col min="9221" max="9221" width="26.140625" style="47" customWidth="1"/>
    <col min="9222" max="9222" width="26.85546875" style="47" customWidth="1"/>
    <col min="9223" max="9223" width="34.5703125" style="47" customWidth="1"/>
    <col min="9224" max="9224" width="23.28515625" style="47" customWidth="1"/>
    <col min="9225" max="9225" width="25.140625" style="47" customWidth="1"/>
    <col min="9226" max="9226" width="24.85546875" style="47" customWidth="1"/>
    <col min="9227" max="9227" width="22" style="47" customWidth="1"/>
    <col min="9228" max="9228" width="25.7109375" style="47" customWidth="1"/>
    <col min="9229" max="9229" width="26.140625" style="47" customWidth="1"/>
    <col min="9230" max="9230" width="27.5703125" style="47" customWidth="1"/>
    <col min="9231" max="9231" width="27.140625" style="47" customWidth="1"/>
    <col min="9232" max="9232" width="32.85546875" style="47" customWidth="1"/>
    <col min="9233" max="9233" width="22.42578125" style="47" customWidth="1"/>
    <col min="9234" max="9234" width="28.140625" style="47" customWidth="1"/>
    <col min="9235" max="9235" width="52.42578125" style="47" customWidth="1"/>
    <col min="9236" max="9236" width="32.42578125" style="47" customWidth="1"/>
    <col min="9237" max="9237" width="24.5703125" style="47" customWidth="1"/>
    <col min="9238" max="9238" width="35" style="47" customWidth="1"/>
    <col min="9239" max="9239" width="35.140625" style="47" customWidth="1"/>
    <col min="9240" max="9240" width="41.140625" style="47" customWidth="1"/>
    <col min="9241" max="9241" width="16.42578125" style="47" customWidth="1"/>
    <col min="9242" max="9242" width="21.42578125" style="47" customWidth="1"/>
    <col min="9243" max="9243" width="31.42578125" style="47" customWidth="1"/>
    <col min="9244" max="9244" width="18.140625" style="47" customWidth="1"/>
    <col min="9245" max="9472" width="9.140625" style="47"/>
    <col min="9473" max="9473" width="9.28515625" style="47" customWidth="1"/>
    <col min="9474" max="9474" width="12.85546875" style="47" customWidth="1"/>
    <col min="9475" max="9475" width="167.42578125" style="47" customWidth="1"/>
    <col min="9476" max="9476" width="27.85546875" style="47" customWidth="1"/>
    <col min="9477" max="9477" width="26.140625" style="47" customWidth="1"/>
    <col min="9478" max="9478" width="26.85546875" style="47" customWidth="1"/>
    <col min="9479" max="9479" width="34.5703125" style="47" customWidth="1"/>
    <col min="9480" max="9480" width="23.28515625" style="47" customWidth="1"/>
    <col min="9481" max="9481" width="25.140625" style="47" customWidth="1"/>
    <col min="9482" max="9482" width="24.85546875" style="47" customWidth="1"/>
    <col min="9483" max="9483" width="22" style="47" customWidth="1"/>
    <col min="9484" max="9484" width="25.7109375" style="47" customWidth="1"/>
    <col min="9485" max="9485" width="26.140625" style="47" customWidth="1"/>
    <col min="9486" max="9486" width="27.5703125" style="47" customWidth="1"/>
    <col min="9487" max="9487" width="27.140625" style="47" customWidth="1"/>
    <col min="9488" max="9488" width="32.85546875" style="47" customWidth="1"/>
    <col min="9489" max="9489" width="22.42578125" style="47" customWidth="1"/>
    <col min="9490" max="9490" width="28.140625" style="47" customWidth="1"/>
    <col min="9491" max="9491" width="52.42578125" style="47" customWidth="1"/>
    <col min="9492" max="9492" width="32.42578125" style="47" customWidth="1"/>
    <col min="9493" max="9493" width="24.5703125" style="47" customWidth="1"/>
    <col min="9494" max="9494" width="35" style="47" customWidth="1"/>
    <col min="9495" max="9495" width="35.140625" style="47" customWidth="1"/>
    <col min="9496" max="9496" width="41.140625" style="47" customWidth="1"/>
    <col min="9497" max="9497" width="16.42578125" style="47" customWidth="1"/>
    <col min="9498" max="9498" width="21.42578125" style="47" customWidth="1"/>
    <col min="9499" max="9499" width="31.42578125" style="47" customWidth="1"/>
    <col min="9500" max="9500" width="18.140625" style="47" customWidth="1"/>
    <col min="9501" max="9728" width="9.140625" style="47"/>
    <col min="9729" max="9729" width="9.28515625" style="47" customWidth="1"/>
    <col min="9730" max="9730" width="12.85546875" style="47" customWidth="1"/>
    <col min="9731" max="9731" width="167.42578125" style="47" customWidth="1"/>
    <col min="9732" max="9732" width="27.85546875" style="47" customWidth="1"/>
    <col min="9733" max="9733" width="26.140625" style="47" customWidth="1"/>
    <col min="9734" max="9734" width="26.85546875" style="47" customWidth="1"/>
    <col min="9735" max="9735" width="34.5703125" style="47" customWidth="1"/>
    <col min="9736" max="9736" width="23.28515625" style="47" customWidth="1"/>
    <col min="9737" max="9737" width="25.140625" style="47" customWidth="1"/>
    <col min="9738" max="9738" width="24.85546875" style="47" customWidth="1"/>
    <col min="9739" max="9739" width="22" style="47" customWidth="1"/>
    <col min="9740" max="9740" width="25.7109375" style="47" customWidth="1"/>
    <col min="9741" max="9741" width="26.140625" style="47" customWidth="1"/>
    <col min="9742" max="9742" width="27.5703125" style="47" customWidth="1"/>
    <col min="9743" max="9743" width="27.140625" style="47" customWidth="1"/>
    <col min="9744" max="9744" width="32.85546875" style="47" customWidth="1"/>
    <col min="9745" max="9745" width="22.42578125" style="47" customWidth="1"/>
    <col min="9746" max="9746" width="28.140625" style="47" customWidth="1"/>
    <col min="9747" max="9747" width="52.42578125" style="47" customWidth="1"/>
    <col min="9748" max="9748" width="32.42578125" style="47" customWidth="1"/>
    <col min="9749" max="9749" width="24.5703125" style="47" customWidth="1"/>
    <col min="9750" max="9750" width="35" style="47" customWidth="1"/>
    <col min="9751" max="9751" width="35.140625" style="47" customWidth="1"/>
    <col min="9752" max="9752" width="41.140625" style="47" customWidth="1"/>
    <col min="9753" max="9753" width="16.42578125" style="47" customWidth="1"/>
    <col min="9754" max="9754" width="21.42578125" style="47" customWidth="1"/>
    <col min="9755" max="9755" width="31.42578125" style="47" customWidth="1"/>
    <col min="9756" max="9756" width="18.140625" style="47" customWidth="1"/>
    <col min="9757" max="9984" width="9.140625" style="47"/>
    <col min="9985" max="9985" width="9.28515625" style="47" customWidth="1"/>
    <col min="9986" max="9986" width="12.85546875" style="47" customWidth="1"/>
    <col min="9987" max="9987" width="167.42578125" style="47" customWidth="1"/>
    <col min="9988" max="9988" width="27.85546875" style="47" customWidth="1"/>
    <col min="9989" max="9989" width="26.140625" style="47" customWidth="1"/>
    <col min="9990" max="9990" width="26.85546875" style="47" customWidth="1"/>
    <col min="9991" max="9991" width="34.5703125" style="47" customWidth="1"/>
    <col min="9992" max="9992" width="23.28515625" style="47" customWidth="1"/>
    <col min="9993" max="9993" width="25.140625" style="47" customWidth="1"/>
    <col min="9994" max="9994" width="24.85546875" style="47" customWidth="1"/>
    <col min="9995" max="9995" width="22" style="47" customWidth="1"/>
    <col min="9996" max="9996" width="25.7109375" style="47" customWidth="1"/>
    <col min="9997" max="9997" width="26.140625" style="47" customWidth="1"/>
    <col min="9998" max="9998" width="27.5703125" style="47" customWidth="1"/>
    <col min="9999" max="9999" width="27.140625" style="47" customWidth="1"/>
    <col min="10000" max="10000" width="32.85546875" style="47" customWidth="1"/>
    <col min="10001" max="10001" width="22.42578125" style="47" customWidth="1"/>
    <col min="10002" max="10002" width="28.140625" style="47" customWidth="1"/>
    <col min="10003" max="10003" width="52.42578125" style="47" customWidth="1"/>
    <col min="10004" max="10004" width="32.42578125" style="47" customWidth="1"/>
    <col min="10005" max="10005" width="24.5703125" style="47" customWidth="1"/>
    <col min="10006" max="10006" width="35" style="47" customWidth="1"/>
    <col min="10007" max="10007" width="35.140625" style="47" customWidth="1"/>
    <col min="10008" max="10008" width="41.140625" style="47" customWidth="1"/>
    <col min="10009" max="10009" width="16.42578125" style="47" customWidth="1"/>
    <col min="10010" max="10010" width="21.42578125" style="47" customWidth="1"/>
    <col min="10011" max="10011" width="31.42578125" style="47" customWidth="1"/>
    <col min="10012" max="10012" width="18.140625" style="47" customWidth="1"/>
    <col min="10013" max="10240" width="9.140625" style="47"/>
    <col min="10241" max="10241" width="9.28515625" style="47" customWidth="1"/>
    <col min="10242" max="10242" width="12.85546875" style="47" customWidth="1"/>
    <col min="10243" max="10243" width="167.42578125" style="47" customWidth="1"/>
    <col min="10244" max="10244" width="27.85546875" style="47" customWidth="1"/>
    <col min="10245" max="10245" width="26.140625" style="47" customWidth="1"/>
    <col min="10246" max="10246" width="26.85546875" style="47" customWidth="1"/>
    <col min="10247" max="10247" width="34.5703125" style="47" customWidth="1"/>
    <col min="10248" max="10248" width="23.28515625" style="47" customWidth="1"/>
    <col min="10249" max="10249" width="25.140625" style="47" customWidth="1"/>
    <col min="10250" max="10250" width="24.85546875" style="47" customWidth="1"/>
    <col min="10251" max="10251" width="22" style="47" customWidth="1"/>
    <col min="10252" max="10252" width="25.7109375" style="47" customWidth="1"/>
    <col min="10253" max="10253" width="26.140625" style="47" customWidth="1"/>
    <col min="10254" max="10254" width="27.5703125" style="47" customWidth="1"/>
    <col min="10255" max="10255" width="27.140625" style="47" customWidth="1"/>
    <col min="10256" max="10256" width="32.85546875" style="47" customWidth="1"/>
    <col min="10257" max="10257" width="22.42578125" style="47" customWidth="1"/>
    <col min="10258" max="10258" width="28.140625" style="47" customWidth="1"/>
    <col min="10259" max="10259" width="52.42578125" style="47" customWidth="1"/>
    <col min="10260" max="10260" width="32.42578125" style="47" customWidth="1"/>
    <col min="10261" max="10261" width="24.5703125" style="47" customWidth="1"/>
    <col min="10262" max="10262" width="35" style="47" customWidth="1"/>
    <col min="10263" max="10263" width="35.140625" style="47" customWidth="1"/>
    <col min="10264" max="10264" width="41.140625" style="47" customWidth="1"/>
    <col min="10265" max="10265" width="16.42578125" style="47" customWidth="1"/>
    <col min="10266" max="10266" width="21.42578125" style="47" customWidth="1"/>
    <col min="10267" max="10267" width="31.42578125" style="47" customWidth="1"/>
    <col min="10268" max="10268" width="18.140625" style="47" customWidth="1"/>
    <col min="10269" max="10496" width="9.140625" style="47"/>
    <col min="10497" max="10497" width="9.28515625" style="47" customWidth="1"/>
    <col min="10498" max="10498" width="12.85546875" style="47" customWidth="1"/>
    <col min="10499" max="10499" width="167.42578125" style="47" customWidth="1"/>
    <col min="10500" max="10500" width="27.85546875" style="47" customWidth="1"/>
    <col min="10501" max="10501" width="26.140625" style="47" customWidth="1"/>
    <col min="10502" max="10502" width="26.85546875" style="47" customWidth="1"/>
    <col min="10503" max="10503" width="34.5703125" style="47" customWidth="1"/>
    <col min="10504" max="10504" width="23.28515625" style="47" customWidth="1"/>
    <col min="10505" max="10505" width="25.140625" style="47" customWidth="1"/>
    <col min="10506" max="10506" width="24.85546875" style="47" customWidth="1"/>
    <col min="10507" max="10507" width="22" style="47" customWidth="1"/>
    <col min="10508" max="10508" width="25.7109375" style="47" customWidth="1"/>
    <col min="10509" max="10509" width="26.140625" style="47" customWidth="1"/>
    <col min="10510" max="10510" width="27.5703125" style="47" customWidth="1"/>
    <col min="10511" max="10511" width="27.140625" style="47" customWidth="1"/>
    <col min="10512" max="10512" width="32.85546875" style="47" customWidth="1"/>
    <col min="10513" max="10513" width="22.42578125" style="47" customWidth="1"/>
    <col min="10514" max="10514" width="28.140625" style="47" customWidth="1"/>
    <col min="10515" max="10515" width="52.42578125" style="47" customWidth="1"/>
    <col min="10516" max="10516" width="32.42578125" style="47" customWidth="1"/>
    <col min="10517" max="10517" width="24.5703125" style="47" customWidth="1"/>
    <col min="10518" max="10518" width="35" style="47" customWidth="1"/>
    <col min="10519" max="10519" width="35.140625" style="47" customWidth="1"/>
    <col min="10520" max="10520" width="41.140625" style="47" customWidth="1"/>
    <col min="10521" max="10521" width="16.42578125" style="47" customWidth="1"/>
    <col min="10522" max="10522" width="21.42578125" style="47" customWidth="1"/>
    <col min="10523" max="10523" width="31.42578125" style="47" customWidth="1"/>
    <col min="10524" max="10524" width="18.140625" style="47" customWidth="1"/>
    <col min="10525" max="10752" width="9.140625" style="47"/>
    <col min="10753" max="10753" width="9.28515625" style="47" customWidth="1"/>
    <col min="10754" max="10754" width="12.85546875" style="47" customWidth="1"/>
    <col min="10755" max="10755" width="167.42578125" style="47" customWidth="1"/>
    <col min="10756" max="10756" width="27.85546875" style="47" customWidth="1"/>
    <col min="10757" max="10757" width="26.140625" style="47" customWidth="1"/>
    <col min="10758" max="10758" width="26.85546875" style="47" customWidth="1"/>
    <col min="10759" max="10759" width="34.5703125" style="47" customWidth="1"/>
    <col min="10760" max="10760" width="23.28515625" style="47" customWidth="1"/>
    <col min="10761" max="10761" width="25.140625" style="47" customWidth="1"/>
    <col min="10762" max="10762" width="24.85546875" style="47" customWidth="1"/>
    <col min="10763" max="10763" width="22" style="47" customWidth="1"/>
    <col min="10764" max="10764" width="25.7109375" style="47" customWidth="1"/>
    <col min="10765" max="10765" width="26.140625" style="47" customWidth="1"/>
    <col min="10766" max="10766" width="27.5703125" style="47" customWidth="1"/>
    <col min="10767" max="10767" width="27.140625" style="47" customWidth="1"/>
    <col min="10768" max="10768" width="32.85546875" style="47" customWidth="1"/>
    <col min="10769" max="10769" width="22.42578125" style="47" customWidth="1"/>
    <col min="10770" max="10770" width="28.140625" style="47" customWidth="1"/>
    <col min="10771" max="10771" width="52.42578125" style="47" customWidth="1"/>
    <col min="10772" max="10772" width="32.42578125" style="47" customWidth="1"/>
    <col min="10773" max="10773" width="24.5703125" style="47" customWidth="1"/>
    <col min="10774" max="10774" width="35" style="47" customWidth="1"/>
    <col min="10775" max="10775" width="35.140625" style="47" customWidth="1"/>
    <col min="10776" max="10776" width="41.140625" style="47" customWidth="1"/>
    <col min="10777" max="10777" width="16.42578125" style="47" customWidth="1"/>
    <col min="10778" max="10778" width="21.42578125" style="47" customWidth="1"/>
    <col min="10779" max="10779" width="31.42578125" style="47" customWidth="1"/>
    <col min="10780" max="10780" width="18.140625" style="47" customWidth="1"/>
    <col min="10781" max="11008" width="9.140625" style="47"/>
    <col min="11009" max="11009" width="9.28515625" style="47" customWidth="1"/>
    <col min="11010" max="11010" width="12.85546875" style="47" customWidth="1"/>
    <col min="11011" max="11011" width="167.42578125" style="47" customWidth="1"/>
    <col min="11012" max="11012" width="27.85546875" style="47" customWidth="1"/>
    <col min="11013" max="11013" width="26.140625" style="47" customWidth="1"/>
    <col min="11014" max="11014" width="26.85546875" style="47" customWidth="1"/>
    <col min="11015" max="11015" width="34.5703125" style="47" customWidth="1"/>
    <col min="11016" max="11016" width="23.28515625" style="47" customWidth="1"/>
    <col min="11017" max="11017" width="25.140625" style="47" customWidth="1"/>
    <col min="11018" max="11018" width="24.85546875" style="47" customWidth="1"/>
    <col min="11019" max="11019" width="22" style="47" customWidth="1"/>
    <col min="11020" max="11020" width="25.7109375" style="47" customWidth="1"/>
    <col min="11021" max="11021" width="26.140625" style="47" customWidth="1"/>
    <col min="11022" max="11022" width="27.5703125" style="47" customWidth="1"/>
    <col min="11023" max="11023" width="27.140625" style="47" customWidth="1"/>
    <col min="11024" max="11024" width="32.85546875" style="47" customWidth="1"/>
    <col min="11025" max="11025" width="22.42578125" style="47" customWidth="1"/>
    <col min="11026" max="11026" width="28.140625" style="47" customWidth="1"/>
    <col min="11027" max="11027" width="52.42578125" style="47" customWidth="1"/>
    <col min="11028" max="11028" width="32.42578125" style="47" customWidth="1"/>
    <col min="11029" max="11029" width="24.5703125" style="47" customWidth="1"/>
    <col min="11030" max="11030" width="35" style="47" customWidth="1"/>
    <col min="11031" max="11031" width="35.140625" style="47" customWidth="1"/>
    <col min="11032" max="11032" width="41.140625" style="47" customWidth="1"/>
    <col min="11033" max="11033" width="16.42578125" style="47" customWidth="1"/>
    <col min="11034" max="11034" width="21.42578125" style="47" customWidth="1"/>
    <col min="11035" max="11035" width="31.42578125" style="47" customWidth="1"/>
    <col min="11036" max="11036" width="18.140625" style="47" customWidth="1"/>
    <col min="11037" max="11264" width="9.140625" style="47"/>
    <col min="11265" max="11265" width="9.28515625" style="47" customWidth="1"/>
    <col min="11266" max="11266" width="12.85546875" style="47" customWidth="1"/>
    <col min="11267" max="11267" width="167.42578125" style="47" customWidth="1"/>
    <col min="11268" max="11268" width="27.85546875" style="47" customWidth="1"/>
    <col min="11269" max="11269" width="26.140625" style="47" customWidth="1"/>
    <col min="11270" max="11270" width="26.85546875" style="47" customWidth="1"/>
    <col min="11271" max="11271" width="34.5703125" style="47" customWidth="1"/>
    <col min="11272" max="11272" width="23.28515625" style="47" customWidth="1"/>
    <col min="11273" max="11273" width="25.140625" style="47" customWidth="1"/>
    <col min="11274" max="11274" width="24.85546875" style="47" customWidth="1"/>
    <col min="11275" max="11275" width="22" style="47" customWidth="1"/>
    <col min="11276" max="11276" width="25.7109375" style="47" customWidth="1"/>
    <col min="11277" max="11277" width="26.140625" style="47" customWidth="1"/>
    <col min="11278" max="11278" width="27.5703125" style="47" customWidth="1"/>
    <col min="11279" max="11279" width="27.140625" style="47" customWidth="1"/>
    <col min="11280" max="11280" width="32.85546875" style="47" customWidth="1"/>
    <col min="11281" max="11281" width="22.42578125" style="47" customWidth="1"/>
    <col min="11282" max="11282" width="28.140625" style="47" customWidth="1"/>
    <col min="11283" max="11283" width="52.42578125" style="47" customWidth="1"/>
    <col min="11284" max="11284" width="32.42578125" style="47" customWidth="1"/>
    <col min="11285" max="11285" width="24.5703125" style="47" customWidth="1"/>
    <col min="11286" max="11286" width="35" style="47" customWidth="1"/>
    <col min="11287" max="11287" width="35.140625" style="47" customWidth="1"/>
    <col min="11288" max="11288" width="41.140625" style="47" customWidth="1"/>
    <col min="11289" max="11289" width="16.42578125" style="47" customWidth="1"/>
    <col min="11290" max="11290" width="21.42578125" style="47" customWidth="1"/>
    <col min="11291" max="11291" width="31.42578125" style="47" customWidth="1"/>
    <col min="11292" max="11292" width="18.140625" style="47" customWidth="1"/>
    <col min="11293" max="11520" width="9.140625" style="47"/>
    <col min="11521" max="11521" width="9.28515625" style="47" customWidth="1"/>
    <col min="11522" max="11522" width="12.85546875" style="47" customWidth="1"/>
    <col min="11523" max="11523" width="167.42578125" style="47" customWidth="1"/>
    <col min="11524" max="11524" width="27.85546875" style="47" customWidth="1"/>
    <col min="11525" max="11525" width="26.140625" style="47" customWidth="1"/>
    <col min="11526" max="11526" width="26.85546875" style="47" customWidth="1"/>
    <col min="11527" max="11527" width="34.5703125" style="47" customWidth="1"/>
    <col min="11528" max="11528" width="23.28515625" style="47" customWidth="1"/>
    <col min="11529" max="11529" width="25.140625" style="47" customWidth="1"/>
    <col min="11530" max="11530" width="24.85546875" style="47" customWidth="1"/>
    <col min="11531" max="11531" width="22" style="47" customWidth="1"/>
    <col min="11532" max="11532" width="25.7109375" style="47" customWidth="1"/>
    <col min="11533" max="11533" width="26.140625" style="47" customWidth="1"/>
    <col min="11534" max="11534" width="27.5703125" style="47" customWidth="1"/>
    <col min="11535" max="11535" width="27.140625" style="47" customWidth="1"/>
    <col min="11536" max="11536" width="32.85546875" style="47" customWidth="1"/>
    <col min="11537" max="11537" width="22.42578125" style="47" customWidth="1"/>
    <col min="11538" max="11538" width="28.140625" style="47" customWidth="1"/>
    <col min="11539" max="11539" width="52.42578125" style="47" customWidth="1"/>
    <col min="11540" max="11540" width="32.42578125" style="47" customWidth="1"/>
    <col min="11541" max="11541" width="24.5703125" style="47" customWidth="1"/>
    <col min="11542" max="11542" width="35" style="47" customWidth="1"/>
    <col min="11543" max="11543" width="35.140625" style="47" customWidth="1"/>
    <col min="11544" max="11544" width="41.140625" style="47" customWidth="1"/>
    <col min="11545" max="11545" width="16.42578125" style="47" customWidth="1"/>
    <col min="11546" max="11546" width="21.42578125" style="47" customWidth="1"/>
    <col min="11547" max="11547" width="31.42578125" style="47" customWidth="1"/>
    <col min="11548" max="11548" width="18.140625" style="47" customWidth="1"/>
    <col min="11549" max="11776" width="9.140625" style="47"/>
    <col min="11777" max="11777" width="9.28515625" style="47" customWidth="1"/>
    <col min="11778" max="11778" width="12.85546875" style="47" customWidth="1"/>
    <col min="11779" max="11779" width="167.42578125" style="47" customWidth="1"/>
    <col min="11780" max="11780" width="27.85546875" style="47" customWidth="1"/>
    <col min="11781" max="11781" width="26.140625" style="47" customWidth="1"/>
    <col min="11782" max="11782" width="26.85546875" style="47" customWidth="1"/>
    <col min="11783" max="11783" width="34.5703125" style="47" customWidth="1"/>
    <col min="11784" max="11784" width="23.28515625" style="47" customWidth="1"/>
    <col min="11785" max="11785" width="25.140625" style="47" customWidth="1"/>
    <col min="11786" max="11786" width="24.85546875" style="47" customWidth="1"/>
    <col min="11787" max="11787" width="22" style="47" customWidth="1"/>
    <col min="11788" max="11788" width="25.7109375" style="47" customWidth="1"/>
    <col min="11789" max="11789" width="26.140625" style="47" customWidth="1"/>
    <col min="11790" max="11790" width="27.5703125" style="47" customWidth="1"/>
    <col min="11791" max="11791" width="27.140625" style="47" customWidth="1"/>
    <col min="11792" max="11792" width="32.85546875" style="47" customWidth="1"/>
    <col min="11793" max="11793" width="22.42578125" style="47" customWidth="1"/>
    <col min="11794" max="11794" width="28.140625" style="47" customWidth="1"/>
    <col min="11795" max="11795" width="52.42578125" style="47" customWidth="1"/>
    <col min="11796" max="11796" width="32.42578125" style="47" customWidth="1"/>
    <col min="11797" max="11797" width="24.5703125" style="47" customWidth="1"/>
    <col min="11798" max="11798" width="35" style="47" customWidth="1"/>
    <col min="11799" max="11799" width="35.140625" style="47" customWidth="1"/>
    <col min="11800" max="11800" width="41.140625" style="47" customWidth="1"/>
    <col min="11801" max="11801" width="16.42578125" style="47" customWidth="1"/>
    <col min="11802" max="11802" width="21.42578125" style="47" customWidth="1"/>
    <col min="11803" max="11803" width="31.42578125" style="47" customWidth="1"/>
    <col min="11804" max="11804" width="18.140625" style="47" customWidth="1"/>
    <col min="11805" max="12032" width="9.140625" style="47"/>
    <col min="12033" max="12033" width="9.28515625" style="47" customWidth="1"/>
    <col min="12034" max="12034" width="12.85546875" style="47" customWidth="1"/>
    <col min="12035" max="12035" width="167.42578125" style="47" customWidth="1"/>
    <col min="12036" max="12036" width="27.85546875" style="47" customWidth="1"/>
    <col min="12037" max="12037" width="26.140625" style="47" customWidth="1"/>
    <col min="12038" max="12038" width="26.85546875" style="47" customWidth="1"/>
    <col min="12039" max="12039" width="34.5703125" style="47" customWidth="1"/>
    <col min="12040" max="12040" width="23.28515625" style="47" customWidth="1"/>
    <col min="12041" max="12041" width="25.140625" style="47" customWidth="1"/>
    <col min="12042" max="12042" width="24.85546875" style="47" customWidth="1"/>
    <col min="12043" max="12043" width="22" style="47" customWidth="1"/>
    <col min="12044" max="12044" width="25.7109375" style="47" customWidth="1"/>
    <col min="12045" max="12045" width="26.140625" style="47" customWidth="1"/>
    <col min="12046" max="12046" width="27.5703125" style="47" customWidth="1"/>
    <col min="12047" max="12047" width="27.140625" style="47" customWidth="1"/>
    <col min="12048" max="12048" width="32.85546875" style="47" customWidth="1"/>
    <col min="12049" max="12049" width="22.42578125" style="47" customWidth="1"/>
    <col min="12050" max="12050" width="28.140625" style="47" customWidth="1"/>
    <col min="12051" max="12051" width="52.42578125" style="47" customWidth="1"/>
    <col min="12052" max="12052" width="32.42578125" style="47" customWidth="1"/>
    <col min="12053" max="12053" width="24.5703125" style="47" customWidth="1"/>
    <col min="12054" max="12054" width="35" style="47" customWidth="1"/>
    <col min="12055" max="12055" width="35.140625" style="47" customWidth="1"/>
    <col min="12056" max="12056" width="41.140625" style="47" customWidth="1"/>
    <col min="12057" max="12057" width="16.42578125" style="47" customWidth="1"/>
    <col min="12058" max="12058" width="21.42578125" style="47" customWidth="1"/>
    <col min="12059" max="12059" width="31.42578125" style="47" customWidth="1"/>
    <col min="12060" max="12060" width="18.140625" style="47" customWidth="1"/>
    <col min="12061" max="12288" width="9.140625" style="47"/>
    <col min="12289" max="12289" width="9.28515625" style="47" customWidth="1"/>
    <col min="12290" max="12290" width="12.85546875" style="47" customWidth="1"/>
    <col min="12291" max="12291" width="167.42578125" style="47" customWidth="1"/>
    <col min="12292" max="12292" width="27.85546875" style="47" customWidth="1"/>
    <col min="12293" max="12293" width="26.140625" style="47" customWidth="1"/>
    <col min="12294" max="12294" width="26.85546875" style="47" customWidth="1"/>
    <col min="12295" max="12295" width="34.5703125" style="47" customWidth="1"/>
    <col min="12296" max="12296" width="23.28515625" style="47" customWidth="1"/>
    <col min="12297" max="12297" width="25.140625" style="47" customWidth="1"/>
    <col min="12298" max="12298" width="24.85546875" style="47" customWidth="1"/>
    <col min="12299" max="12299" width="22" style="47" customWidth="1"/>
    <col min="12300" max="12300" width="25.7109375" style="47" customWidth="1"/>
    <col min="12301" max="12301" width="26.140625" style="47" customWidth="1"/>
    <col min="12302" max="12302" width="27.5703125" style="47" customWidth="1"/>
    <col min="12303" max="12303" width="27.140625" style="47" customWidth="1"/>
    <col min="12304" max="12304" width="32.85546875" style="47" customWidth="1"/>
    <col min="12305" max="12305" width="22.42578125" style="47" customWidth="1"/>
    <col min="12306" max="12306" width="28.140625" style="47" customWidth="1"/>
    <col min="12307" max="12307" width="52.42578125" style="47" customWidth="1"/>
    <col min="12308" max="12308" width="32.42578125" style="47" customWidth="1"/>
    <col min="12309" max="12309" width="24.5703125" style="47" customWidth="1"/>
    <col min="12310" max="12310" width="35" style="47" customWidth="1"/>
    <col min="12311" max="12311" width="35.140625" style="47" customWidth="1"/>
    <col min="12312" max="12312" width="41.140625" style="47" customWidth="1"/>
    <col min="12313" max="12313" width="16.42578125" style="47" customWidth="1"/>
    <col min="12314" max="12314" width="21.42578125" style="47" customWidth="1"/>
    <col min="12315" max="12315" width="31.42578125" style="47" customWidth="1"/>
    <col min="12316" max="12316" width="18.140625" style="47" customWidth="1"/>
    <col min="12317" max="12544" width="9.140625" style="47"/>
    <col min="12545" max="12545" width="9.28515625" style="47" customWidth="1"/>
    <col min="12546" max="12546" width="12.85546875" style="47" customWidth="1"/>
    <col min="12547" max="12547" width="167.42578125" style="47" customWidth="1"/>
    <col min="12548" max="12548" width="27.85546875" style="47" customWidth="1"/>
    <col min="12549" max="12549" width="26.140625" style="47" customWidth="1"/>
    <col min="12550" max="12550" width="26.85546875" style="47" customWidth="1"/>
    <col min="12551" max="12551" width="34.5703125" style="47" customWidth="1"/>
    <col min="12552" max="12552" width="23.28515625" style="47" customWidth="1"/>
    <col min="12553" max="12553" width="25.140625" style="47" customWidth="1"/>
    <col min="12554" max="12554" width="24.85546875" style="47" customWidth="1"/>
    <col min="12555" max="12555" width="22" style="47" customWidth="1"/>
    <col min="12556" max="12556" width="25.7109375" style="47" customWidth="1"/>
    <col min="12557" max="12557" width="26.140625" style="47" customWidth="1"/>
    <col min="12558" max="12558" width="27.5703125" style="47" customWidth="1"/>
    <col min="12559" max="12559" width="27.140625" style="47" customWidth="1"/>
    <col min="12560" max="12560" width="32.85546875" style="47" customWidth="1"/>
    <col min="12561" max="12561" width="22.42578125" style="47" customWidth="1"/>
    <col min="12562" max="12562" width="28.140625" style="47" customWidth="1"/>
    <col min="12563" max="12563" width="52.42578125" style="47" customWidth="1"/>
    <col min="12564" max="12564" width="32.42578125" style="47" customWidth="1"/>
    <col min="12565" max="12565" width="24.5703125" style="47" customWidth="1"/>
    <col min="12566" max="12566" width="35" style="47" customWidth="1"/>
    <col min="12567" max="12567" width="35.140625" style="47" customWidth="1"/>
    <col min="12568" max="12568" width="41.140625" style="47" customWidth="1"/>
    <col min="12569" max="12569" width="16.42578125" style="47" customWidth="1"/>
    <col min="12570" max="12570" width="21.42578125" style="47" customWidth="1"/>
    <col min="12571" max="12571" width="31.42578125" style="47" customWidth="1"/>
    <col min="12572" max="12572" width="18.140625" style="47" customWidth="1"/>
    <col min="12573" max="12800" width="9.140625" style="47"/>
    <col min="12801" max="12801" width="9.28515625" style="47" customWidth="1"/>
    <col min="12802" max="12802" width="12.85546875" style="47" customWidth="1"/>
    <col min="12803" max="12803" width="167.42578125" style="47" customWidth="1"/>
    <col min="12804" max="12804" width="27.85546875" style="47" customWidth="1"/>
    <col min="12805" max="12805" width="26.140625" style="47" customWidth="1"/>
    <col min="12806" max="12806" width="26.85546875" style="47" customWidth="1"/>
    <col min="12807" max="12807" width="34.5703125" style="47" customWidth="1"/>
    <col min="12808" max="12808" width="23.28515625" style="47" customWidth="1"/>
    <col min="12809" max="12809" width="25.140625" style="47" customWidth="1"/>
    <col min="12810" max="12810" width="24.85546875" style="47" customWidth="1"/>
    <col min="12811" max="12811" width="22" style="47" customWidth="1"/>
    <col min="12812" max="12812" width="25.7109375" style="47" customWidth="1"/>
    <col min="12813" max="12813" width="26.140625" style="47" customWidth="1"/>
    <col min="12814" max="12814" width="27.5703125" style="47" customWidth="1"/>
    <col min="12815" max="12815" width="27.140625" style="47" customWidth="1"/>
    <col min="12816" max="12816" width="32.85546875" style="47" customWidth="1"/>
    <col min="12817" max="12817" width="22.42578125" style="47" customWidth="1"/>
    <col min="12818" max="12818" width="28.140625" style="47" customWidth="1"/>
    <col min="12819" max="12819" width="52.42578125" style="47" customWidth="1"/>
    <col min="12820" max="12820" width="32.42578125" style="47" customWidth="1"/>
    <col min="12821" max="12821" width="24.5703125" style="47" customWidth="1"/>
    <col min="12822" max="12822" width="35" style="47" customWidth="1"/>
    <col min="12823" max="12823" width="35.140625" style="47" customWidth="1"/>
    <col min="12824" max="12824" width="41.140625" style="47" customWidth="1"/>
    <col min="12825" max="12825" width="16.42578125" style="47" customWidth="1"/>
    <col min="12826" max="12826" width="21.42578125" style="47" customWidth="1"/>
    <col min="12827" max="12827" width="31.42578125" style="47" customWidth="1"/>
    <col min="12828" max="12828" width="18.140625" style="47" customWidth="1"/>
    <col min="12829" max="13056" width="9.140625" style="47"/>
    <col min="13057" max="13057" width="9.28515625" style="47" customWidth="1"/>
    <col min="13058" max="13058" width="12.85546875" style="47" customWidth="1"/>
    <col min="13059" max="13059" width="167.42578125" style="47" customWidth="1"/>
    <col min="13060" max="13060" width="27.85546875" style="47" customWidth="1"/>
    <col min="13061" max="13061" width="26.140625" style="47" customWidth="1"/>
    <col min="13062" max="13062" width="26.85546875" style="47" customWidth="1"/>
    <col min="13063" max="13063" width="34.5703125" style="47" customWidth="1"/>
    <col min="13064" max="13064" width="23.28515625" style="47" customWidth="1"/>
    <col min="13065" max="13065" width="25.140625" style="47" customWidth="1"/>
    <col min="13066" max="13066" width="24.85546875" style="47" customWidth="1"/>
    <col min="13067" max="13067" width="22" style="47" customWidth="1"/>
    <col min="13068" max="13068" width="25.7109375" style="47" customWidth="1"/>
    <col min="13069" max="13069" width="26.140625" style="47" customWidth="1"/>
    <col min="13070" max="13070" width="27.5703125" style="47" customWidth="1"/>
    <col min="13071" max="13071" width="27.140625" style="47" customWidth="1"/>
    <col min="13072" max="13072" width="32.85546875" style="47" customWidth="1"/>
    <col min="13073" max="13073" width="22.42578125" style="47" customWidth="1"/>
    <col min="13074" max="13074" width="28.140625" style="47" customWidth="1"/>
    <col min="13075" max="13075" width="52.42578125" style="47" customWidth="1"/>
    <col min="13076" max="13076" width="32.42578125" style="47" customWidth="1"/>
    <col min="13077" max="13077" width="24.5703125" style="47" customWidth="1"/>
    <col min="13078" max="13078" width="35" style="47" customWidth="1"/>
    <col min="13079" max="13079" width="35.140625" style="47" customWidth="1"/>
    <col min="13080" max="13080" width="41.140625" style="47" customWidth="1"/>
    <col min="13081" max="13081" width="16.42578125" style="47" customWidth="1"/>
    <col min="13082" max="13082" width="21.42578125" style="47" customWidth="1"/>
    <col min="13083" max="13083" width="31.42578125" style="47" customWidth="1"/>
    <col min="13084" max="13084" width="18.140625" style="47" customWidth="1"/>
    <col min="13085" max="13312" width="9.140625" style="47"/>
    <col min="13313" max="13313" width="9.28515625" style="47" customWidth="1"/>
    <col min="13314" max="13314" width="12.85546875" style="47" customWidth="1"/>
    <col min="13315" max="13315" width="167.42578125" style="47" customWidth="1"/>
    <col min="13316" max="13316" width="27.85546875" style="47" customWidth="1"/>
    <col min="13317" max="13317" width="26.140625" style="47" customWidth="1"/>
    <col min="13318" max="13318" width="26.85546875" style="47" customWidth="1"/>
    <col min="13319" max="13319" width="34.5703125" style="47" customWidth="1"/>
    <col min="13320" max="13320" width="23.28515625" style="47" customWidth="1"/>
    <col min="13321" max="13321" width="25.140625" style="47" customWidth="1"/>
    <col min="13322" max="13322" width="24.85546875" style="47" customWidth="1"/>
    <col min="13323" max="13323" width="22" style="47" customWidth="1"/>
    <col min="13324" max="13324" width="25.7109375" style="47" customWidth="1"/>
    <col min="13325" max="13325" width="26.140625" style="47" customWidth="1"/>
    <col min="13326" max="13326" width="27.5703125" style="47" customWidth="1"/>
    <col min="13327" max="13327" width="27.140625" style="47" customWidth="1"/>
    <col min="13328" max="13328" width="32.85546875" style="47" customWidth="1"/>
    <col min="13329" max="13329" width="22.42578125" style="47" customWidth="1"/>
    <col min="13330" max="13330" width="28.140625" style="47" customWidth="1"/>
    <col min="13331" max="13331" width="52.42578125" style="47" customWidth="1"/>
    <col min="13332" max="13332" width="32.42578125" style="47" customWidth="1"/>
    <col min="13333" max="13333" width="24.5703125" style="47" customWidth="1"/>
    <col min="13334" max="13334" width="35" style="47" customWidth="1"/>
    <col min="13335" max="13335" width="35.140625" style="47" customWidth="1"/>
    <col min="13336" max="13336" width="41.140625" style="47" customWidth="1"/>
    <col min="13337" max="13337" width="16.42578125" style="47" customWidth="1"/>
    <col min="13338" max="13338" width="21.42578125" style="47" customWidth="1"/>
    <col min="13339" max="13339" width="31.42578125" style="47" customWidth="1"/>
    <col min="13340" max="13340" width="18.140625" style="47" customWidth="1"/>
    <col min="13341" max="13568" width="9.140625" style="47"/>
    <col min="13569" max="13569" width="9.28515625" style="47" customWidth="1"/>
    <col min="13570" max="13570" width="12.85546875" style="47" customWidth="1"/>
    <col min="13571" max="13571" width="167.42578125" style="47" customWidth="1"/>
    <col min="13572" max="13572" width="27.85546875" style="47" customWidth="1"/>
    <col min="13573" max="13573" width="26.140625" style="47" customWidth="1"/>
    <col min="13574" max="13574" width="26.85546875" style="47" customWidth="1"/>
    <col min="13575" max="13575" width="34.5703125" style="47" customWidth="1"/>
    <col min="13576" max="13576" width="23.28515625" style="47" customWidth="1"/>
    <col min="13577" max="13577" width="25.140625" style="47" customWidth="1"/>
    <col min="13578" max="13578" width="24.85546875" style="47" customWidth="1"/>
    <col min="13579" max="13579" width="22" style="47" customWidth="1"/>
    <col min="13580" max="13580" width="25.7109375" style="47" customWidth="1"/>
    <col min="13581" max="13581" width="26.140625" style="47" customWidth="1"/>
    <col min="13582" max="13582" width="27.5703125" style="47" customWidth="1"/>
    <col min="13583" max="13583" width="27.140625" style="47" customWidth="1"/>
    <col min="13584" max="13584" width="32.85546875" style="47" customWidth="1"/>
    <col min="13585" max="13585" width="22.42578125" style="47" customWidth="1"/>
    <col min="13586" max="13586" width="28.140625" style="47" customWidth="1"/>
    <col min="13587" max="13587" width="52.42578125" style="47" customWidth="1"/>
    <col min="13588" max="13588" width="32.42578125" style="47" customWidth="1"/>
    <col min="13589" max="13589" width="24.5703125" style="47" customWidth="1"/>
    <col min="13590" max="13590" width="35" style="47" customWidth="1"/>
    <col min="13591" max="13591" width="35.140625" style="47" customWidth="1"/>
    <col min="13592" max="13592" width="41.140625" style="47" customWidth="1"/>
    <col min="13593" max="13593" width="16.42578125" style="47" customWidth="1"/>
    <col min="13594" max="13594" width="21.42578125" style="47" customWidth="1"/>
    <col min="13595" max="13595" width="31.42578125" style="47" customWidth="1"/>
    <col min="13596" max="13596" width="18.140625" style="47" customWidth="1"/>
    <col min="13597" max="13824" width="9.140625" style="47"/>
    <col min="13825" max="13825" width="9.28515625" style="47" customWidth="1"/>
    <col min="13826" max="13826" width="12.85546875" style="47" customWidth="1"/>
    <col min="13827" max="13827" width="167.42578125" style="47" customWidth="1"/>
    <col min="13828" max="13828" width="27.85546875" style="47" customWidth="1"/>
    <col min="13829" max="13829" width="26.140625" style="47" customWidth="1"/>
    <col min="13830" max="13830" width="26.85546875" style="47" customWidth="1"/>
    <col min="13831" max="13831" width="34.5703125" style="47" customWidth="1"/>
    <col min="13832" max="13832" width="23.28515625" style="47" customWidth="1"/>
    <col min="13833" max="13833" width="25.140625" style="47" customWidth="1"/>
    <col min="13834" max="13834" width="24.85546875" style="47" customWidth="1"/>
    <col min="13835" max="13835" width="22" style="47" customWidth="1"/>
    <col min="13836" max="13836" width="25.7109375" style="47" customWidth="1"/>
    <col min="13837" max="13837" width="26.140625" style="47" customWidth="1"/>
    <col min="13838" max="13838" width="27.5703125" style="47" customWidth="1"/>
    <col min="13839" max="13839" width="27.140625" style="47" customWidth="1"/>
    <col min="13840" max="13840" width="32.85546875" style="47" customWidth="1"/>
    <col min="13841" max="13841" width="22.42578125" style="47" customWidth="1"/>
    <col min="13842" max="13842" width="28.140625" style="47" customWidth="1"/>
    <col min="13843" max="13843" width="52.42578125" style="47" customWidth="1"/>
    <col min="13844" max="13844" width="32.42578125" style="47" customWidth="1"/>
    <col min="13845" max="13845" width="24.5703125" style="47" customWidth="1"/>
    <col min="13846" max="13846" width="35" style="47" customWidth="1"/>
    <col min="13847" max="13847" width="35.140625" style="47" customWidth="1"/>
    <col min="13848" max="13848" width="41.140625" style="47" customWidth="1"/>
    <col min="13849" max="13849" width="16.42578125" style="47" customWidth="1"/>
    <col min="13850" max="13850" width="21.42578125" style="47" customWidth="1"/>
    <col min="13851" max="13851" width="31.42578125" style="47" customWidth="1"/>
    <col min="13852" max="13852" width="18.140625" style="47" customWidth="1"/>
    <col min="13853" max="14080" width="9.140625" style="47"/>
    <col min="14081" max="14081" width="9.28515625" style="47" customWidth="1"/>
    <col min="14082" max="14082" width="12.85546875" style="47" customWidth="1"/>
    <col min="14083" max="14083" width="167.42578125" style="47" customWidth="1"/>
    <col min="14084" max="14084" width="27.85546875" style="47" customWidth="1"/>
    <col min="14085" max="14085" width="26.140625" style="47" customWidth="1"/>
    <col min="14086" max="14086" width="26.85546875" style="47" customWidth="1"/>
    <col min="14087" max="14087" width="34.5703125" style="47" customWidth="1"/>
    <col min="14088" max="14088" width="23.28515625" style="47" customWidth="1"/>
    <col min="14089" max="14089" width="25.140625" style="47" customWidth="1"/>
    <col min="14090" max="14090" width="24.85546875" style="47" customWidth="1"/>
    <col min="14091" max="14091" width="22" style="47" customWidth="1"/>
    <col min="14092" max="14092" width="25.7109375" style="47" customWidth="1"/>
    <col min="14093" max="14093" width="26.140625" style="47" customWidth="1"/>
    <col min="14094" max="14094" width="27.5703125" style="47" customWidth="1"/>
    <col min="14095" max="14095" width="27.140625" style="47" customWidth="1"/>
    <col min="14096" max="14096" width="32.85546875" style="47" customWidth="1"/>
    <col min="14097" max="14097" width="22.42578125" style="47" customWidth="1"/>
    <col min="14098" max="14098" width="28.140625" style="47" customWidth="1"/>
    <col min="14099" max="14099" width="52.42578125" style="47" customWidth="1"/>
    <col min="14100" max="14100" width="32.42578125" style="47" customWidth="1"/>
    <col min="14101" max="14101" width="24.5703125" style="47" customWidth="1"/>
    <col min="14102" max="14102" width="35" style="47" customWidth="1"/>
    <col min="14103" max="14103" width="35.140625" style="47" customWidth="1"/>
    <col min="14104" max="14104" width="41.140625" style="47" customWidth="1"/>
    <col min="14105" max="14105" width="16.42578125" style="47" customWidth="1"/>
    <col min="14106" max="14106" width="21.42578125" style="47" customWidth="1"/>
    <col min="14107" max="14107" width="31.42578125" style="47" customWidth="1"/>
    <col min="14108" max="14108" width="18.140625" style="47" customWidth="1"/>
    <col min="14109" max="14336" width="9.140625" style="47"/>
    <col min="14337" max="14337" width="9.28515625" style="47" customWidth="1"/>
    <col min="14338" max="14338" width="12.85546875" style="47" customWidth="1"/>
    <col min="14339" max="14339" width="167.42578125" style="47" customWidth="1"/>
    <col min="14340" max="14340" width="27.85546875" style="47" customWidth="1"/>
    <col min="14341" max="14341" width="26.140625" style="47" customWidth="1"/>
    <col min="14342" max="14342" width="26.85546875" style="47" customWidth="1"/>
    <col min="14343" max="14343" width="34.5703125" style="47" customWidth="1"/>
    <col min="14344" max="14344" width="23.28515625" style="47" customWidth="1"/>
    <col min="14345" max="14345" width="25.140625" style="47" customWidth="1"/>
    <col min="14346" max="14346" width="24.85546875" style="47" customWidth="1"/>
    <col min="14347" max="14347" width="22" style="47" customWidth="1"/>
    <col min="14348" max="14348" width="25.7109375" style="47" customWidth="1"/>
    <col min="14349" max="14349" width="26.140625" style="47" customWidth="1"/>
    <col min="14350" max="14350" width="27.5703125" style="47" customWidth="1"/>
    <col min="14351" max="14351" width="27.140625" style="47" customWidth="1"/>
    <col min="14352" max="14352" width="32.85546875" style="47" customWidth="1"/>
    <col min="14353" max="14353" width="22.42578125" style="47" customWidth="1"/>
    <col min="14354" max="14354" width="28.140625" style="47" customWidth="1"/>
    <col min="14355" max="14355" width="52.42578125" style="47" customWidth="1"/>
    <col min="14356" max="14356" width="32.42578125" style="47" customWidth="1"/>
    <col min="14357" max="14357" width="24.5703125" style="47" customWidth="1"/>
    <col min="14358" max="14358" width="35" style="47" customWidth="1"/>
    <col min="14359" max="14359" width="35.140625" style="47" customWidth="1"/>
    <col min="14360" max="14360" width="41.140625" style="47" customWidth="1"/>
    <col min="14361" max="14361" width="16.42578125" style="47" customWidth="1"/>
    <col min="14362" max="14362" width="21.42578125" style="47" customWidth="1"/>
    <col min="14363" max="14363" width="31.42578125" style="47" customWidth="1"/>
    <col min="14364" max="14364" width="18.140625" style="47" customWidth="1"/>
    <col min="14365" max="14592" width="9.140625" style="47"/>
    <col min="14593" max="14593" width="9.28515625" style="47" customWidth="1"/>
    <col min="14594" max="14594" width="12.85546875" style="47" customWidth="1"/>
    <col min="14595" max="14595" width="167.42578125" style="47" customWidth="1"/>
    <col min="14596" max="14596" width="27.85546875" style="47" customWidth="1"/>
    <col min="14597" max="14597" width="26.140625" style="47" customWidth="1"/>
    <col min="14598" max="14598" width="26.85546875" style="47" customWidth="1"/>
    <col min="14599" max="14599" width="34.5703125" style="47" customWidth="1"/>
    <col min="14600" max="14600" width="23.28515625" style="47" customWidth="1"/>
    <col min="14601" max="14601" width="25.140625" style="47" customWidth="1"/>
    <col min="14602" max="14602" width="24.85546875" style="47" customWidth="1"/>
    <col min="14603" max="14603" width="22" style="47" customWidth="1"/>
    <col min="14604" max="14604" width="25.7109375" style="47" customWidth="1"/>
    <col min="14605" max="14605" width="26.140625" style="47" customWidth="1"/>
    <col min="14606" max="14606" width="27.5703125" style="47" customWidth="1"/>
    <col min="14607" max="14607" width="27.140625" style="47" customWidth="1"/>
    <col min="14608" max="14608" width="32.85546875" style="47" customWidth="1"/>
    <col min="14609" max="14609" width="22.42578125" style="47" customWidth="1"/>
    <col min="14610" max="14610" width="28.140625" style="47" customWidth="1"/>
    <col min="14611" max="14611" width="52.42578125" style="47" customWidth="1"/>
    <col min="14612" max="14612" width="32.42578125" style="47" customWidth="1"/>
    <col min="14613" max="14613" width="24.5703125" style="47" customWidth="1"/>
    <col min="14614" max="14614" width="35" style="47" customWidth="1"/>
    <col min="14615" max="14615" width="35.140625" style="47" customWidth="1"/>
    <col min="14616" max="14616" width="41.140625" style="47" customWidth="1"/>
    <col min="14617" max="14617" width="16.42578125" style="47" customWidth="1"/>
    <col min="14618" max="14618" width="21.42578125" style="47" customWidth="1"/>
    <col min="14619" max="14619" width="31.42578125" style="47" customWidth="1"/>
    <col min="14620" max="14620" width="18.140625" style="47" customWidth="1"/>
    <col min="14621" max="14848" width="9.140625" style="47"/>
    <col min="14849" max="14849" width="9.28515625" style="47" customWidth="1"/>
    <col min="14850" max="14850" width="12.85546875" style="47" customWidth="1"/>
    <col min="14851" max="14851" width="167.42578125" style="47" customWidth="1"/>
    <col min="14852" max="14852" width="27.85546875" style="47" customWidth="1"/>
    <col min="14853" max="14853" width="26.140625" style="47" customWidth="1"/>
    <col min="14854" max="14854" width="26.85546875" style="47" customWidth="1"/>
    <col min="14855" max="14855" width="34.5703125" style="47" customWidth="1"/>
    <col min="14856" max="14856" width="23.28515625" style="47" customWidth="1"/>
    <col min="14857" max="14857" width="25.140625" style="47" customWidth="1"/>
    <col min="14858" max="14858" width="24.85546875" style="47" customWidth="1"/>
    <col min="14859" max="14859" width="22" style="47" customWidth="1"/>
    <col min="14860" max="14860" width="25.7109375" style="47" customWidth="1"/>
    <col min="14861" max="14861" width="26.140625" style="47" customWidth="1"/>
    <col min="14862" max="14862" width="27.5703125" style="47" customWidth="1"/>
    <col min="14863" max="14863" width="27.140625" style="47" customWidth="1"/>
    <col min="14864" max="14864" width="32.85546875" style="47" customWidth="1"/>
    <col min="14865" max="14865" width="22.42578125" style="47" customWidth="1"/>
    <col min="14866" max="14866" width="28.140625" style="47" customWidth="1"/>
    <col min="14867" max="14867" width="52.42578125" style="47" customWidth="1"/>
    <col min="14868" max="14868" width="32.42578125" style="47" customWidth="1"/>
    <col min="14869" max="14869" width="24.5703125" style="47" customWidth="1"/>
    <col min="14870" max="14870" width="35" style="47" customWidth="1"/>
    <col min="14871" max="14871" width="35.140625" style="47" customWidth="1"/>
    <col min="14872" max="14872" width="41.140625" style="47" customWidth="1"/>
    <col min="14873" max="14873" width="16.42578125" style="47" customWidth="1"/>
    <col min="14874" max="14874" width="21.42578125" style="47" customWidth="1"/>
    <col min="14875" max="14875" width="31.42578125" style="47" customWidth="1"/>
    <col min="14876" max="14876" width="18.140625" style="47" customWidth="1"/>
    <col min="14877" max="15104" width="9.140625" style="47"/>
    <col min="15105" max="15105" width="9.28515625" style="47" customWidth="1"/>
    <col min="15106" max="15106" width="12.85546875" style="47" customWidth="1"/>
    <col min="15107" max="15107" width="167.42578125" style="47" customWidth="1"/>
    <col min="15108" max="15108" width="27.85546875" style="47" customWidth="1"/>
    <col min="15109" max="15109" width="26.140625" style="47" customWidth="1"/>
    <col min="15110" max="15110" width="26.85546875" style="47" customWidth="1"/>
    <col min="15111" max="15111" width="34.5703125" style="47" customWidth="1"/>
    <col min="15112" max="15112" width="23.28515625" style="47" customWidth="1"/>
    <col min="15113" max="15113" width="25.140625" style="47" customWidth="1"/>
    <col min="15114" max="15114" width="24.85546875" style="47" customWidth="1"/>
    <col min="15115" max="15115" width="22" style="47" customWidth="1"/>
    <col min="15116" max="15116" width="25.7109375" style="47" customWidth="1"/>
    <col min="15117" max="15117" width="26.140625" style="47" customWidth="1"/>
    <col min="15118" max="15118" width="27.5703125" style="47" customWidth="1"/>
    <col min="15119" max="15119" width="27.140625" style="47" customWidth="1"/>
    <col min="15120" max="15120" width="32.85546875" style="47" customWidth="1"/>
    <col min="15121" max="15121" width="22.42578125" style="47" customWidth="1"/>
    <col min="15122" max="15122" width="28.140625" style="47" customWidth="1"/>
    <col min="15123" max="15123" width="52.42578125" style="47" customWidth="1"/>
    <col min="15124" max="15124" width="32.42578125" style="47" customWidth="1"/>
    <col min="15125" max="15125" width="24.5703125" style="47" customWidth="1"/>
    <col min="15126" max="15126" width="35" style="47" customWidth="1"/>
    <col min="15127" max="15127" width="35.140625" style="47" customWidth="1"/>
    <col min="15128" max="15128" width="41.140625" style="47" customWidth="1"/>
    <col min="15129" max="15129" width="16.42578125" style="47" customWidth="1"/>
    <col min="15130" max="15130" width="21.42578125" style="47" customWidth="1"/>
    <col min="15131" max="15131" width="31.42578125" style="47" customWidth="1"/>
    <col min="15132" max="15132" width="18.140625" style="47" customWidth="1"/>
    <col min="15133" max="15360" width="9.140625" style="47"/>
    <col min="15361" max="15361" width="9.28515625" style="47" customWidth="1"/>
    <col min="15362" max="15362" width="12.85546875" style="47" customWidth="1"/>
    <col min="15363" max="15363" width="167.42578125" style="47" customWidth="1"/>
    <col min="15364" max="15364" width="27.85546875" style="47" customWidth="1"/>
    <col min="15365" max="15365" width="26.140625" style="47" customWidth="1"/>
    <col min="15366" max="15366" width="26.85546875" style="47" customWidth="1"/>
    <col min="15367" max="15367" width="34.5703125" style="47" customWidth="1"/>
    <col min="15368" max="15368" width="23.28515625" style="47" customWidth="1"/>
    <col min="15369" max="15369" width="25.140625" style="47" customWidth="1"/>
    <col min="15370" max="15370" width="24.85546875" style="47" customWidth="1"/>
    <col min="15371" max="15371" width="22" style="47" customWidth="1"/>
    <col min="15372" max="15372" width="25.7109375" style="47" customWidth="1"/>
    <col min="15373" max="15373" width="26.140625" style="47" customWidth="1"/>
    <col min="15374" max="15374" width="27.5703125" style="47" customWidth="1"/>
    <col min="15375" max="15375" width="27.140625" style="47" customWidth="1"/>
    <col min="15376" max="15376" width="32.85546875" style="47" customWidth="1"/>
    <col min="15377" max="15377" width="22.42578125" style="47" customWidth="1"/>
    <col min="15378" max="15378" width="28.140625" style="47" customWidth="1"/>
    <col min="15379" max="15379" width="52.42578125" style="47" customWidth="1"/>
    <col min="15380" max="15380" width="32.42578125" style="47" customWidth="1"/>
    <col min="15381" max="15381" width="24.5703125" style="47" customWidth="1"/>
    <col min="15382" max="15382" width="35" style="47" customWidth="1"/>
    <col min="15383" max="15383" width="35.140625" style="47" customWidth="1"/>
    <col min="15384" max="15384" width="41.140625" style="47" customWidth="1"/>
    <col min="15385" max="15385" width="16.42578125" style="47" customWidth="1"/>
    <col min="15386" max="15386" width="21.42578125" style="47" customWidth="1"/>
    <col min="15387" max="15387" width="31.42578125" style="47" customWidth="1"/>
    <col min="15388" max="15388" width="18.140625" style="47" customWidth="1"/>
    <col min="15389" max="15616" width="9.140625" style="47"/>
    <col min="15617" max="15617" width="9.28515625" style="47" customWidth="1"/>
    <col min="15618" max="15618" width="12.85546875" style="47" customWidth="1"/>
    <col min="15619" max="15619" width="167.42578125" style="47" customWidth="1"/>
    <col min="15620" max="15620" width="27.85546875" style="47" customWidth="1"/>
    <col min="15621" max="15621" width="26.140625" style="47" customWidth="1"/>
    <col min="15622" max="15622" width="26.85546875" style="47" customWidth="1"/>
    <col min="15623" max="15623" width="34.5703125" style="47" customWidth="1"/>
    <col min="15624" max="15624" width="23.28515625" style="47" customWidth="1"/>
    <col min="15625" max="15625" width="25.140625" style="47" customWidth="1"/>
    <col min="15626" max="15626" width="24.85546875" style="47" customWidth="1"/>
    <col min="15627" max="15627" width="22" style="47" customWidth="1"/>
    <col min="15628" max="15628" width="25.7109375" style="47" customWidth="1"/>
    <col min="15629" max="15629" width="26.140625" style="47" customWidth="1"/>
    <col min="15630" max="15630" width="27.5703125" style="47" customWidth="1"/>
    <col min="15631" max="15631" width="27.140625" style="47" customWidth="1"/>
    <col min="15632" max="15632" width="32.85546875" style="47" customWidth="1"/>
    <col min="15633" max="15633" width="22.42578125" style="47" customWidth="1"/>
    <col min="15634" max="15634" width="28.140625" style="47" customWidth="1"/>
    <col min="15635" max="15635" width="52.42578125" style="47" customWidth="1"/>
    <col min="15636" max="15636" width="32.42578125" style="47" customWidth="1"/>
    <col min="15637" max="15637" width="24.5703125" style="47" customWidth="1"/>
    <col min="15638" max="15638" width="35" style="47" customWidth="1"/>
    <col min="15639" max="15639" width="35.140625" style="47" customWidth="1"/>
    <col min="15640" max="15640" width="41.140625" style="47" customWidth="1"/>
    <col min="15641" max="15641" width="16.42578125" style="47" customWidth="1"/>
    <col min="15642" max="15642" width="21.42578125" style="47" customWidth="1"/>
    <col min="15643" max="15643" width="31.42578125" style="47" customWidth="1"/>
    <col min="15644" max="15644" width="18.140625" style="47" customWidth="1"/>
    <col min="15645" max="15872" width="9.140625" style="47"/>
    <col min="15873" max="15873" width="9.28515625" style="47" customWidth="1"/>
    <col min="15874" max="15874" width="12.85546875" style="47" customWidth="1"/>
    <col min="15875" max="15875" width="167.42578125" style="47" customWidth="1"/>
    <col min="15876" max="15876" width="27.85546875" style="47" customWidth="1"/>
    <col min="15877" max="15877" width="26.140625" style="47" customWidth="1"/>
    <col min="15878" max="15878" width="26.85546875" style="47" customWidth="1"/>
    <col min="15879" max="15879" width="34.5703125" style="47" customWidth="1"/>
    <col min="15880" max="15880" width="23.28515625" style="47" customWidth="1"/>
    <col min="15881" max="15881" width="25.140625" style="47" customWidth="1"/>
    <col min="15882" max="15882" width="24.85546875" style="47" customWidth="1"/>
    <col min="15883" max="15883" width="22" style="47" customWidth="1"/>
    <col min="15884" max="15884" width="25.7109375" style="47" customWidth="1"/>
    <col min="15885" max="15885" width="26.140625" style="47" customWidth="1"/>
    <col min="15886" max="15886" width="27.5703125" style="47" customWidth="1"/>
    <col min="15887" max="15887" width="27.140625" style="47" customWidth="1"/>
    <col min="15888" max="15888" width="32.85546875" style="47" customWidth="1"/>
    <col min="15889" max="15889" width="22.42578125" style="47" customWidth="1"/>
    <col min="15890" max="15890" width="28.140625" style="47" customWidth="1"/>
    <col min="15891" max="15891" width="52.42578125" style="47" customWidth="1"/>
    <col min="15892" max="15892" width="32.42578125" style="47" customWidth="1"/>
    <col min="15893" max="15893" width="24.5703125" style="47" customWidth="1"/>
    <col min="15894" max="15894" width="35" style="47" customWidth="1"/>
    <col min="15895" max="15895" width="35.140625" style="47" customWidth="1"/>
    <col min="15896" max="15896" width="41.140625" style="47" customWidth="1"/>
    <col min="15897" max="15897" width="16.42578125" style="47" customWidth="1"/>
    <col min="15898" max="15898" width="21.42578125" style="47" customWidth="1"/>
    <col min="15899" max="15899" width="31.42578125" style="47" customWidth="1"/>
    <col min="15900" max="15900" width="18.140625" style="47" customWidth="1"/>
    <col min="15901" max="16128" width="9.140625" style="47"/>
    <col min="16129" max="16129" width="9.28515625" style="47" customWidth="1"/>
    <col min="16130" max="16130" width="12.85546875" style="47" customWidth="1"/>
    <col min="16131" max="16131" width="167.42578125" style="47" customWidth="1"/>
    <col min="16132" max="16132" width="27.85546875" style="47" customWidth="1"/>
    <col min="16133" max="16133" width="26.140625" style="47" customWidth="1"/>
    <col min="16134" max="16134" width="26.85546875" style="47" customWidth="1"/>
    <col min="16135" max="16135" width="34.5703125" style="47" customWidth="1"/>
    <col min="16136" max="16136" width="23.28515625" style="47" customWidth="1"/>
    <col min="16137" max="16137" width="25.140625" style="47" customWidth="1"/>
    <col min="16138" max="16138" width="24.85546875" style="47" customWidth="1"/>
    <col min="16139" max="16139" width="22" style="47" customWidth="1"/>
    <col min="16140" max="16140" width="25.7109375" style="47" customWidth="1"/>
    <col min="16141" max="16141" width="26.140625" style="47" customWidth="1"/>
    <col min="16142" max="16142" width="27.5703125" style="47" customWidth="1"/>
    <col min="16143" max="16143" width="27.140625" style="47" customWidth="1"/>
    <col min="16144" max="16144" width="32.85546875" style="47" customWidth="1"/>
    <col min="16145" max="16145" width="22.42578125" style="47" customWidth="1"/>
    <col min="16146" max="16146" width="28.140625" style="47" customWidth="1"/>
    <col min="16147" max="16147" width="52.42578125" style="47" customWidth="1"/>
    <col min="16148" max="16148" width="32.42578125" style="47" customWidth="1"/>
    <col min="16149" max="16149" width="24.5703125" style="47" customWidth="1"/>
    <col min="16150" max="16150" width="35" style="47" customWidth="1"/>
    <col min="16151" max="16151" width="35.140625" style="47" customWidth="1"/>
    <col min="16152" max="16152" width="41.140625" style="47" customWidth="1"/>
    <col min="16153" max="16153" width="16.42578125" style="47" customWidth="1"/>
    <col min="16154" max="16154" width="21.42578125" style="47" customWidth="1"/>
    <col min="16155" max="16155" width="31.42578125" style="47" customWidth="1"/>
    <col min="16156" max="16156" width="18.140625" style="47" customWidth="1"/>
    <col min="16157" max="16384" width="9.140625" style="47"/>
  </cols>
  <sheetData>
    <row r="1" spans="1:29" s="77" customFormat="1" ht="59.25" customHeight="1" x14ac:dyDescent="0.75">
      <c r="N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B1" s="79" t="s">
        <v>898</v>
      </c>
      <c r="AC1" s="80"/>
    </row>
    <row r="2" spans="1:29" s="77" customFormat="1" ht="59.25" customHeight="1" x14ac:dyDescent="0.75"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B2" s="82" t="s">
        <v>891</v>
      </c>
      <c r="AC2" s="80"/>
    </row>
    <row r="3" spans="1:29" s="77" customFormat="1" ht="59.25" customHeight="1" x14ac:dyDescent="0.75"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B3" s="82" t="s">
        <v>163</v>
      </c>
      <c r="AC3" s="80"/>
    </row>
    <row r="4" spans="1:29" ht="126.75" customHeight="1" x14ac:dyDescent="0.5"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74"/>
      <c r="AB4" s="84"/>
      <c r="AC4" s="8"/>
    </row>
    <row r="5" spans="1:29" s="40" customFormat="1" ht="186.75" customHeight="1" x14ac:dyDescent="0.25">
      <c r="A5" s="197" t="s">
        <v>552</v>
      </c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</row>
    <row r="6" spans="1:29" s="41" customFormat="1" ht="63.75" customHeight="1" x14ac:dyDescent="0.4">
      <c r="B6" s="198" t="s">
        <v>0</v>
      </c>
      <c r="C6" s="198" t="s">
        <v>1</v>
      </c>
      <c r="D6" s="199" t="s">
        <v>2</v>
      </c>
      <c r="E6" s="198" t="s">
        <v>167</v>
      </c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202" t="s">
        <v>3</v>
      </c>
      <c r="R6" s="203"/>
      <c r="S6" s="203"/>
      <c r="T6" s="203"/>
      <c r="U6" s="203"/>
      <c r="V6" s="203"/>
      <c r="W6" s="203"/>
      <c r="X6" s="203"/>
      <c r="Y6" s="203"/>
      <c r="Z6" s="203"/>
      <c r="AA6" s="204"/>
      <c r="AB6" s="205" t="s">
        <v>401</v>
      </c>
    </row>
    <row r="7" spans="1:29" s="41" customFormat="1" ht="40.5" customHeight="1" x14ac:dyDescent="0.4">
      <c r="B7" s="198"/>
      <c r="C7" s="198"/>
      <c r="D7" s="200"/>
      <c r="E7" s="198" t="s">
        <v>7</v>
      </c>
      <c r="F7" s="198"/>
      <c r="G7" s="198"/>
      <c r="H7" s="198"/>
      <c r="I7" s="198"/>
      <c r="J7" s="198"/>
      <c r="K7" s="206" t="s">
        <v>8</v>
      </c>
      <c r="L7" s="206"/>
      <c r="M7" s="206" t="s">
        <v>9</v>
      </c>
      <c r="N7" s="206" t="s">
        <v>10</v>
      </c>
      <c r="O7" s="206" t="s">
        <v>11</v>
      </c>
      <c r="P7" s="206" t="s">
        <v>12</v>
      </c>
      <c r="Q7" s="196" t="s">
        <v>402</v>
      </c>
      <c r="R7" s="196" t="s">
        <v>14</v>
      </c>
      <c r="S7" s="196" t="s">
        <v>403</v>
      </c>
      <c r="T7" s="196" t="s">
        <v>16</v>
      </c>
      <c r="U7" s="196" t="s">
        <v>17</v>
      </c>
      <c r="V7" s="196" t="s">
        <v>18</v>
      </c>
      <c r="W7" s="196" t="s">
        <v>404</v>
      </c>
      <c r="X7" s="196" t="s">
        <v>405</v>
      </c>
      <c r="Y7" s="196" t="s">
        <v>19</v>
      </c>
      <c r="Z7" s="196" t="s">
        <v>20</v>
      </c>
      <c r="AA7" s="196" t="s">
        <v>406</v>
      </c>
      <c r="AB7" s="205"/>
    </row>
    <row r="8" spans="1:29" s="41" customFormat="1" ht="409.6" customHeight="1" x14ac:dyDescent="0.4">
      <c r="B8" s="198"/>
      <c r="C8" s="198"/>
      <c r="D8" s="201"/>
      <c r="E8" s="42" t="s">
        <v>21</v>
      </c>
      <c r="F8" s="42" t="s">
        <v>22</v>
      </c>
      <c r="G8" s="42" t="s">
        <v>23</v>
      </c>
      <c r="H8" s="42" t="s">
        <v>24</v>
      </c>
      <c r="I8" s="42" t="s">
        <v>25</v>
      </c>
      <c r="J8" s="42" t="s">
        <v>26</v>
      </c>
      <c r="K8" s="206"/>
      <c r="L8" s="206"/>
      <c r="M8" s="206"/>
      <c r="N8" s="206"/>
      <c r="O8" s="206"/>
      <c r="P8" s="20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205"/>
    </row>
    <row r="9" spans="1:29" s="43" customFormat="1" ht="39.75" customHeight="1" x14ac:dyDescent="0.25">
      <c r="B9" s="198"/>
      <c r="C9" s="198"/>
      <c r="D9" s="44" t="s">
        <v>27</v>
      </c>
      <c r="E9" s="63" t="s">
        <v>27</v>
      </c>
      <c r="F9" s="63" t="s">
        <v>27</v>
      </c>
      <c r="G9" s="63" t="s">
        <v>27</v>
      </c>
      <c r="H9" s="63" t="s">
        <v>27</v>
      </c>
      <c r="I9" s="63" t="s">
        <v>27</v>
      </c>
      <c r="J9" s="63" t="s">
        <v>27</v>
      </c>
      <c r="K9" s="63" t="s">
        <v>28</v>
      </c>
      <c r="L9" s="63" t="s">
        <v>27</v>
      </c>
      <c r="M9" s="63" t="s">
        <v>27</v>
      </c>
      <c r="N9" s="63" t="s">
        <v>27</v>
      </c>
      <c r="O9" s="63" t="s">
        <v>27</v>
      </c>
      <c r="P9" s="63" t="s">
        <v>27</v>
      </c>
      <c r="Q9" s="63" t="s">
        <v>27</v>
      </c>
      <c r="R9" s="63" t="s">
        <v>27</v>
      </c>
      <c r="S9" s="63" t="s">
        <v>27</v>
      </c>
      <c r="T9" s="63" t="s">
        <v>27</v>
      </c>
      <c r="U9" s="63" t="s">
        <v>27</v>
      </c>
      <c r="V9" s="63" t="s">
        <v>27</v>
      </c>
      <c r="W9" s="63" t="s">
        <v>27</v>
      </c>
      <c r="X9" s="63" t="s">
        <v>27</v>
      </c>
      <c r="Y9" s="63" t="s">
        <v>27</v>
      </c>
      <c r="Z9" s="63" t="s">
        <v>27</v>
      </c>
      <c r="AA9" s="63" t="s">
        <v>27</v>
      </c>
      <c r="AB9" s="205"/>
    </row>
    <row r="10" spans="1:29" s="41" customFormat="1" ht="26.25" x14ac:dyDescent="0.4">
      <c r="B10" s="45">
        <v>1</v>
      </c>
      <c r="C10" s="45">
        <v>2</v>
      </c>
      <c r="D10" s="45">
        <f>C10+1</f>
        <v>3</v>
      </c>
      <c r="E10" s="45">
        <f>D10+1</f>
        <v>4</v>
      </c>
      <c r="F10" s="45">
        <v>5</v>
      </c>
      <c r="G10" s="45">
        <v>6</v>
      </c>
      <c r="H10" s="45">
        <v>7</v>
      </c>
      <c r="I10" s="45">
        <v>8</v>
      </c>
      <c r="J10" s="45">
        <v>9</v>
      </c>
      <c r="K10" s="45">
        <v>10</v>
      </c>
      <c r="L10" s="45">
        <v>11</v>
      </c>
      <c r="M10" s="45">
        <v>12</v>
      </c>
      <c r="N10" s="45">
        <v>13</v>
      </c>
      <c r="O10" s="45">
        <v>14</v>
      </c>
      <c r="P10" s="45">
        <v>15</v>
      </c>
      <c r="Q10" s="45">
        <v>16</v>
      </c>
      <c r="R10" s="45">
        <v>17</v>
      </c>
      <c r="S10" s="45">
        <v>18</v>
      </c>
      <c r="T10" s="45">
        <v>19</v>
      </c>
      <c r="U10" s="45">
        <v>20</v>
      </c>
      <c r="V10" s="45">
        <v>21</v>
      </c>
      <c r="W10" s="45">
        <v>22</v>
      </c>
      <c r="X10" s="45">
        <v>23</v>
      </c>
      <c r="Y10" s="45">
        <v>24</v>
      </c>
      <c r="Z10" s="45">
        <v>25</v>
      </c>
      <c r="AA10" s="45">
        <v>26</v>
      </c>
      <c r="AB10" s="46">
        <v>27</v>
      </c>
    </row>
    <row r="11" spans="1:29" s="1" customFormat="1" ht="35.25" x14ac:dyDescent="0.5">
      <c r="B11" s="85" t="s">
        <v>399</v>
      </c>
      <c r="C11" s="86"/>
      <c r="D11" s="87">
        <f>D12+D184+D200+D220+D326+D333+D335+D368+D413+D415+D417+D420+D428+D435+D442+D446+D331+D449+D451+D453+D457+D465+D469+D474+D481+D484</f>
        <v>326069159.25999999</v>
      </c>
      <c r="E11" s="87">
        <f t="shared" ref="E11:AA11" si="0">E12+E184+E200+E220+E326+E333+E335+E368+E413+E415+E417</f>
        <v>6749524.3400000008</v>
      </c>
      <c r="F11" s="87">
        <f t="shared" si="0"/>
        <v>10448873.149999999</v>
      </c>
      <c r="G11" s="87">
        <f t="shared" si="0"/>
        <v>23120371.759999998</v>
      </c>
      <c r="H11" s="87">
        <f t="shared" si="0"/>
        <v>2038544.88</v>
      </c>
      <c r="I11" s="87">
        <f t="shared" si="0"/>
        <v>7890956.3800000008</v>
      </c>
      <c r="J11" s="87">
        <f t="shared" si="0"/>
        <v>88420.66</v>
      </c>
      <c r="K11" s="88">
        <f t="shared" si="0"/>
        <v>61</v>
      </c>
      <c r="L11" s="87">
        <f t="shared" si="0"/>
        <v>69104300.299999997</v>
      </c>
      <c r="M11" s="87">
        <f t="shared" si="0"/>
        <v>106193666.75</v>
      </c>
      <c r="N11" s="87">
        <f t="shared" si="0"/>
        <v>6073487.46</v>
      </c>
      <c r="O11" s="87">
        <f t="shared" si="0"/>
        <v>57231105.270000011</v>
      </c>
      <c r="P11" s="87">
        <f t="shared" si="0"/>
        <v>3909823.97</v>
      </c>
      <c r="Q11" s="87">
        <f t="shared" si="0"/>
        <v>0</v>
      </c>
      <c r="R11" s="87">
        <f t="shared" si="0"/>
        <v>0</v>
      </c>
      <c r="S11" s="87">
        <f t="shared" si="0"/>
        <v>0</v>
      </c>
      <c r="T11" s="87">
        <f t="shared" si="0"/>
        <v>0</v>
      </c>
      <c r="U11" s="87">
        <f t="shared" si="0"/>
        <v>0</v>
      </c>
      <c r="V11" s="87">
        <f t="shared" si="0"/>
        <v>0</v>
      </c>
      <c r="W11" s="87">
        <f t="shared" si="0"/>
        <v>0</v>
      </c>
      <c r="X11" s="87">
        <f t="shared" si="0"/>
        <v>0</v>
      </c>
      <c r="Y11" s="87">
        <f t="shared" si="0"/>
        <v>0</v>
      </c>
      <c r="Z11" s="87">
        <f t="shared" si="0"/>
        <v>139000</v>
      </c>
      <c r="AA11" s="87">
        <f t="shared" si="0"/>
        <v>0</v>
      </c>
      <c r="AB11" s="89" t="s">
        <v>131</v>
      </c>
    </row>
    <row r="12" spans="1:29" s="1" customFormat="1" ht="35.25" customHeight="1" x14ac:dyDescent="0.5">
      <c r="B12" s="85" t="s">
        <v>209</v>
      </c>
      <c r="C12" s="86"/>
      <c r="D12" s="87">
        <f t="shared" ref="D12:AA12" si="1">SUM(D13:D183)</f>
        <v>124582667.07999994</v>
      </c>
      <c r="E12" s="87">
        <f t="shared" si="1"/>
        <v>4810750.66</v>
      </c>
      <c r="F12" s="87">
        <f t="shared" si="1"/>
        <v>7885160.2000000002</v>
      </c>
      <c r="G12" s="87">
        <f t="shared" si="1"/>
        <v>6175323.2000000002</v>
      </c>
      <c r="H12" s="87">
        <f t="shared" si="1"/>
        <v>740861.25</v>
      </c>
      <c r="I12" s="87">
        <f t="shared" si="1"/>
        <v>3034020.53</v>
      </c>
      <c r="J12" s="87">
        <f t="shared" si="1"/>
        <v>0</v>
      </c>
      <c r="K12" s="88">
        <f t="shared" si="1"/>
        <v>34</v>
      </c>
      <c r="L12" s="87">
        <f t="shared" si="1"/>
        <v>19409037.299999997</v>
      </c>
      <c r="M12" s="87">
        <f t="shared" si="1"/>
        <v>52950929.969999999</v>
      </c>
      <c r="N12" s="87">
        <f t="shared" si="1"/>
        <v>3156145.79</v>
      </c>
      <c r="O12" s="87">
        <f t="shared" si="1"/>
        <v>24127492.560000002</v>
      </c>
      <c r="P12" s="87">
        <f t="shared" si="1"/>
        <v>2153945.62</v>
      </c>
      <c r="Q12" s="87">
        <f t="shared" si="1"/>
        <v>0</v>
      </c>
      <c r="R12" s="87">
        <f t="shared" si="1"/>
        <v>0</v>
      </c>
      <c r="S12" s="87">
        <f t="shared" si="1"/>
        <v>0</v>
      </c>
      <c r="T12" s="87">
        <f t="shared" si="1"/>
        <v>0</v>
      </c>
      <c r="U12" s="87">
        <f t="shared" si="1"/>
        <v>0</v>
      </c>
      <c r="V12" s="87">
        <f t="shared" si="1"/>
        <v>0</v>
      </c>
      <c r="W12" s="87">
        <f t="shared" si="1"/>
        <v>0</v>
      </c>
      <c r="X12" s="87">
        <f t="shared" si="1"/>
        <v>0</v>
      </c>
      <c r="Y12" s="87">
        <f t="shared" si="1"/>
        <v>0</v>
      </c>
      <c r="Z12" s="87">
        <f t="shared" si="1"/>
        <v>139000</v>
      </c>
      <c r="AA12" s="87">
        <f t="shared" si="1"/>
        <v>0</v>
      </c>
      <c r="AB12" s="89" t="s">
        <v>131</v>
      </c>
    </row>
    <row r="13" spans="1:29" s="1" customFormat="1" ht="35.25" customHeight="1" x14ac:dyDescent="0.5">
      <c r="A13" s="1">
        <v>1</v>
      </c>
      <c r="B13" s="39">
        <f>SUBTOTAL(103,$A$11:A13)</f>
        <v>1</v>
      </c>
      <c r="C13" s="86" t="s">
        <v>408</v>
      </c>
      <c r="D13" s="87">
        <f t="shared" ref="D13:D32" si="2">E13+F13+G13+H13+I13+J13+L13+M13+N13+O13+P13+Q13+R13+S13+T13+U13+V13+W13+X13+Y13+Z13+AA13</f>
        <v>259217</v>
      </c>
      <c r="E13" s="90">
        <v>0</v>
      </c>
      <c r="F13" s="90">
        <v>0</v>
      </c>
      <c r="G13" s="90">
        <v>259217</v>
      </c>
      <c r="H13" s="90">
        <v>0</v>
      </c>
      <c r="I13" s="90">
        <v>0</v>
      </c>
      <c r="J13" s="90">
        <v>0</v>
      </c>
      <c r="K13" s="91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2">
        <v>2020</v>
      </c>
    </row>
    <row r="14" spans="1:29" s="1" customFormat="1" ht="35.25" customHeight="1" x14ac:dyDescent="0.5">
      <c r="A14" s="1">
        <v>1</v>
      </c>
      <c r="B14" s="39">
        <f>SUBTOTAL(103,$A$11:A14)</f>
        <v>2</v>
      </c>
      <c r="C14" s="86" t="s">
        <v>409</v>
      </c>
      <c r="D14" s="87">
        <f t="shared" si="2"/>
        <v>389342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4">
        <v>0</v>
      </c>
      <c r="L14" s="93">
        <v>0</v>
      </c>
      <c r="M14" s="93">
        <v>0</v>
      </c>
      <c r="N14" s="93">
        <v>0</v>
      </c>
      <c r="O14" s="93">
        <f>116802.6+272539.4</f>
        <v>389342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0</v>
      </c>
      <c r="V14" s="93">
        <v>0</v>
      </c>
      <c r="W14" s="93">
        <v>0</v>
      </c>
      <c r="X14" s="93">
        <v>0</v>
      </c>
      <c r="Y14" s="93">
        <v>0</v>
      </c>
      <c r="Z14" s="93">
        <v>0</v>
      </c>
      <c r="AA14" s="93">
        <v>0</v>
      </c>
      <c r="AB14" s="92">
        <v>2020</v>
      </c>
    </row>
    <row r="15" spans="1:29" s="1" customFormat="1" ht="35.25" customHeight="1" x14ac:dyDescent="0.5">
      <c r="A15" s="1">
        <v>1</v>
      </c>
      <c r="B15" s="39">
        <f>SUBTOTAL(103,$A$11:A15)</f>
        <v>3</v>
      </c>
      <c r="C15" s="86" t="s">
        <v>410</v>
      </c>
      <c r="D15" s="87">
        <f t="shared" si="2"/>
        <v>611403</v>
      </c>
      <c r="E15" s="90">
        <v>0</v>
      </c>
      <c r="F15" s="90">
        <v>0</v>
      </c>
      <c r="G15" s="90">
        <v>0</v>
      </c>
      <c r="H15" s="90">
        <v>0</v>
      </c>
      <c r="I15" s="90">
        <v>0</v>
      </c>
      <c r="J15" s="90">
        <v>0</v>
      </c>
      <c r="K15" s="91">
        <v>0</v>
      </c>
      <c r="L15" s="90">
        <v>0</v>
      </c>
      <c r="M15" s="90">
        <v>0</v>
      </c>
      <c r="N15" s="90">
        <v>0</v>
      </c>
      <c r="O15" s="90">
        <f>90148+521255</f>
        <v>611403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2">
        <v>2020</v>
      </c>
    </row>
    <row r="16" spans="1:29" s="1" customFormat="1" ht="35.25" customHeight="1" x14ac:dyDescent="0.5">
      <c r="A16" s="1">
        <v>1</v>
      </c>
      <c r="B16" s="39">
        <f>SUBTOTAL(103,$A$11:A16)</f>
        <v>4</v>
      </c>
      <c r="C16" s="86" t="s">
        <v>411</v>
      </c>
      <c r="D16" s="87">
        <f t="shared" si="2"/>
        <v>238788.19999999998</v>
      </c>
      <c r="E16" s="90">
        <v>0</v>
      </c>
      <c r="F16" s="90">
        <v>0</v>
      </c>
      <c r="G16" s="90">
        <v>0</v>
      </c>
      <c r="H16" s="90">
        <v>0</v>
      </c>
      <c r="I16" s="90">
        <v>0</v>
      </c>
      <c r="J16" s="90">
        <v>0</v>
      </c>
      <c r="K16" s="91">
        <v>0</v>
      </c>
      <c r="L16" s="90">
        <v>0</v>
      </c>
      <c r="M16" s="90">
        <v>0</v>
      </c>
      <c r="N16" s="90">
        <v>150788.79999999999</v>
      </c>
      <c r="O16" s="90">
        <v>87999.4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2">
        <v>2020</v>
      </c>
    </row>
    <row r="17" spans="1:28" s="1" customFormat="1" ht="35.25" customHeight="1" x14ac:dyDescent="0.5">
      <c r="A17" s="1">
        <v>1</v>
      </c>
      <c r="B17" s="39">
        <f>SUBTOTAL(103,$A$11:A17)</f>
        <v>5</v>
      </c>
      <c r="C17" s="86" t="s">
        <v>412</v>
      </c>
      <c r="D17" s="87">
        <f t="shared" si="2"/>
        <v>620000</v>
      </c>
      <c r="E17" s="90">
        <v>0</v>
      </c>
      <c r="F17" s="90">
        <v>0</v>
      </c>
      <c r="G17" s="90">
        <v>0</v>
      </c>
      <c r="H17" s="90">
        <v>0</v>
      </c>
      <c r="I17" s="90">
        <f>210000+410000</f>
        <v>620000</v>
      </c>
      <c r="J17" s="90">
        <v>0</v>
      </c>
      <c r="K17" s="91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2">
        <v>2020</v>
      </c>
    </row>
    <row r="18" spans="1:28" s="1" customFormat="1" ht="35.25" customHeight="1" x14ac:dyDescent="0.5">
      <c r="A18" s="1">
        <v>1</v>
      </c>
      <c r="B18" s="39">
        <f>SUBTOTAL(103,$A$11:A18)</f>
        <v>6</v>
      </c>
      <c r="C18" s="86" t="s">
        <v>413</v>
      </c>
      <c r="D18" s="87">
        <f t="shared" si="2"/>
        <v>120500</v>
      </c>
      <c r="E18" s="90">
        <v>0</v>
      </c>
      <c r="F18" s="90">
        <v>0</v>
      </c>
      <c r="G18" s="90">
        <v>0</v>
      </c>
      <c r="H18" s="90">
        <v>0</v>
      </c>
      <c r="I18" s="90">
        <v>0</v>
      </c>
      <c r="J18" s="90">
        <v>0</v>
      </c>
      <c r="K18" s="91">
        <v>0</v>
      </c>
      <c r="L18" s="90">
        <v>0</v>
      </c>
      <c r="M18" s="90">
        <f>31500+89000</f>
        <v>120500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2">
        <v>2020</v>
      </c>
    </row>
    <row r="19" spans="1:28" s="1" customFormat="1" ht="35.25" customHeight="1" x14ac:dyDescent="0.5">
      <c r="A19" s="1">
        <v>1</v>
      </c>
      <c r="B19" s="39">
        <f>SUBTOTAL(103,$A$11:A19)</f>
        <v>7</v>
      </c>
      <c r="C19" s="86" t="s">
        <v>414</v>
      </c>
      <c r="D19" s="87">
        <f t="shared" si="2"/>
        <v>102980</v>
      </c>
      <c r="E19" s="90">
        <v>0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1">
        <v>0</v>
      </c>
      <c r="L19" s="90">
        <v>0</v>
      </c>
      <c r="M19" s="90">
        <v>0</v>
      </c>
      <c r="N19" s="90">
        <v>0</v>
      </c>
      <c r="O19" s="90">
        <v>102980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2">
        <v>2020</v>
      </c>
    </row>
    <row r="20" spans="1:28" s="1" customFormat="1" ht="35.25" customHeight="1" x14ac:dyDescent="0.5">
      <c r="A20" s="1">
        <v>1</v>
      </c>
      <c r="B20" s="39">
        <f>SUBTOTAL(103,$A$11:A20)</f>
        <v>8</v>
      </c>
      <c r="C20" s="86" t="s">
        <v>415</v>
      </c>
      <c r="D20" s="87">
        <f t="shared" si="2"/>
        <v>548443</v>
      </c>
      <c r="E20" s="90">
        <v>0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1">
        <v>0</v>
      </c>
      <c r="L20" s="90">
        <v>0</v>
      </c>
      <c r="M20" s="90">
        <v>0</v>
      </c>
      <c r="N20" s="90">
        <v>0</v>
      </c>
      <c r="O20" s="90">
        <v>548443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2">
        <v>2020</v>
      </c>
    </row>
    <row r="21" spans="1:28" s="1" customFormat="1" ht="35.25" customHeight="1" x14ac:dyDescent="0.5">
      <c r="A21" s="1">
        <v>1</v>
      </c>
      <c r="B21" s="39">
        <f>SUBTOTAL(103,$A$11:A21)</f>
        <v>9</v>
      </c>
      <c r="C21" s="86" t="s">
        <v>416</v>
      </c>
      <c r="D21" s="87">
        <f t="shared" si="2"/>
        <v>302478.55</v>
      </c>
      <c r="E21" s="90">
        <v>0</v>
      </c>
      <c r="F21" s="90">
        <v>0</v>
      </c>
      <c r="G21" s="90">
        <v>0</v>
      </c>
      <c r="H21" s="90">
        <v>0</v>
      </c>
      <c r="I21" s="90">
        <v>0</v>
      </c>
      <c r="J21" s="90">
        <v>0</v>
      </c>
      <c r="K21" s="91">
        <v>0</v>
      </c>
      <c r="L21" s="90">
        <v>0</v>
      </c>
      <c r="M21" s="90">
        <v>0</v>
      </c>
      <c r="N21" s="90">
        <v>106078.31</v>
      </c>
      <c r="O21" s="90">
        <f>81255.24+34543.5</f>
        <v>115798.74</v>
      </c>
      <c r="P21" s="90">
        <v>80601.5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2">
        <v>2020</v>
      </c>
    </row>
    <row r="22" spans="1:28" s="1" customFormat="1" ht="35.25" customHeight="1" x14ac:dyDescent="0.5">
      <c r="A22" s="1">
        <v>1</v>
      </c>
      <c r="B22" s="39">
        <f>SUBTOTAL(103,$A$11:A22)</f>
        <v>10</v>
      </c>
      <c r="C22" s="86" t="s">
        <v>417</v>
      </c>
      <c r="D22" s="87">
        <f t="shared" si="2"/>
        <v>302059.34000000003</v>
      </c>
      <c r="E22" s="90">
        <v>0</v>
      </c>
      <c r="F22" s="90">
        <v>0</v>
      </c>
      <c r="G22" s="90">
        <f>75345.7+175806.64</f>
        <v>251152.34000000003</v>
      </c>
      <c r="H22" s="90">
        <v>0</v>
      </c>
      <c r="I22" s="90">
        <v>0</v>
      </c>
      <c r="J22" s="90">
        <v>0</v>
      </c>
      <c r="K22" s="91">
        <v>1</v>
      </c>
      <c r="L22" s="90">
        <v>50907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2">
        <v>2020</v>
      </c>
    </row>
    <row r="23" spans="1:28" s="1" customFormat="1" ht="35.25" customHeight="1" x14ac:dyDescent="0.5">
      <c r="A23" s="1">
        <v>1</v>
      </c>
      <c r="B23" s="39">
        <f>SUBTOTAL(103,$A$11:A23)</f>
        <v>11</v>
      </c>
      <c r="C23" s="86" t="s">
        <v>419</v>
      </c>
      <c r="D23" s="87">
        <f t="shared" si="2"/>
        <v>1208460</v>
      </c>
      <c r="E23" s="90">
        <v>0</v>
      </c>
      <c r="F23" s="90">
        <v>0</v>
      </c>
      <c r="G23" s="90">
        <v>0</v>
      </c>
      <c r="H23" s="90">
        <v>0</v>
      </c>
      <c r="I23" s="90">
        <v>0</v>
      </c>
      <c r="J23" s="90">
        <v>0</v>
      </c>
      <c r="K23" s="91">
        <v>0</v>
      </c>
      <c r="L23" s="90">
        <v>0</v>
      </c>
      <c r="M23" s="90">
        <v>0</v>
      </c>
      <c r="N23" s="90">
        <v>0</v>
      </c>
      <c r="O23" s="90">
        <v>1208460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2">
        <v>2020</v>
      </c>
    </row>
    <row r="24" spans="1:28" s="1" customFormat="1" ht="35.25" customHeight="1" x14ac:dyDescent="0.5">
      <c r="A24" s="1">
        <v>1</v>
      </c>
      <c r="B24" s="39">
        <f>SUBTOTAL(103,$A$11:A24)</f>
        <v>12</v>
      </c>
      <c r="C24" s="86" t="s">
        <v>420</v>
      </c>
      <c r="D24" s="87">
        <f t="shared" si="2"/>
        <v>120351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1">
        <v>1</v>
      </c>
      <c r="L24" s="90">
        <f>36105.3+84245.7</f>
        <v>120351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2">
        <v>2020</v>
      </c>
    </row>
    <row r="25" spans="1:28" s="1" customFormat="1" ht="35.25" customHeight="1" x14ac:dyDescent="0.5">
      <c r="A25" s="1">
        <v>1</v>
      </c>
      <c r="B25" s="39">
        <f>SUBTOTAL(103,$A$11:A25)</f>
        <v>13</v>
      </c>
      <c r="C25" s="86" t="s">
        <v>421</v>
      </c>
      <c r="D25" s="87">
        <f t="shared" si="2"/>
        <v>224568</v>
      </c>
      <c r="E25" s="90">
        <v>0</v>
      </c>
      <c r="F25" s="90">
        <v>0</v>
      </c>
      <c r="G25" s="90">
        <v>224568</v>
      </c>
      <c r="H25" s="90">
        <v>0</v>
      </c>
      <c r="I25" s="90">
        <v>0</v>
      </c>
      <c r="J25" s="90">
        <v>0</v>
      </c>
      <c r="K25" s="91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2">
        <v>2020</v>
      </c>
    </row>
    <row r="26" spans="1:28" s="1" customFormat="1" ht="35.25" customHeight="1" x14ac:dyDescent="0.5">
      <c r="A26" s="1">
        <v>1</v>
      </c>
      <c r="B26" s="39">
        <f>SUBTOTAL(103,$A$11:A26)</f>
        <v>14</v>
      </c>
      <c r="C26" s="86" t="s">
        <v>422</v>
      </c>
      <c r="D26" s="87">
        <f>E26+F26+G26+H26+I26+J26+L26+M26+N26+O26+P26+Q26+R26+S26+T26+U26+V26+W26+X26+Y26+Z26+AA26</f>
        <v>107933</v>
      </c>
      <c r="E26" s="90">
        <v>0</v>
      </c>
      <c r="F26" s="90">
        <v>0</v>
      </c>
      <c r="G26" s="90">
        <v>0</v>
      </c>
      <c r="H26" s="90">
        <v>0</v>
      </c>
      <c r="I26" s="90">
        <v>0</v>
      </c>
      <c r="J26" s="90">
        <v>0</v>
      </c>
      <c r="K26" s="91">
        <v>1</v>
      </c>
      <c r="L26" s="90">
        <v>107933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2">
        <v>2020</v>
      </c>
    </row>
    <row r="27" spans="1:28" s="1" customFormat="1" ht="35.25" customHeight="1" x14ac:dyDescent="0.5">
      <c r="A27" s="1">
        <v>1</v>
      </c>
      <c r="B27" s="39">
        <f>SUBTOTAL(103,$A$11:A27)</f>
        <v>15</v>
      </c>
      <c r="C27" s="86" t="s">
        <v>423</v>
      </c>
      <c r="D27" s="87">
        <f t="shared" si="2"/>
        <v>869766.7</v>
      </c>
      <c r="E27" s="90">
        <v>0</v>
      </c>
      <c r="F27" s="90">
        <v>677767</v>
      </c>
      <c r="G27" s="90">
        <v>0</v>
      </c>
      <c r="H27" s="90">
        <v>0</v>
      </c>
      <c r="I27" s="90">
        <v>0</v>
      </c>
      <c r="J27" s="90">
        <v>0</v>
      </c>
      <c r="K27" s="91">
        <v>0</v>
      </c>
      <c r="L27" s="90">
        <v>0</v>
      </c>
      <c r="M27" s="90">
        <v>0</v>
      </c>
      <c r="N27" s="90">
        <v>0</v>
      </c>
      <c r="O27" s="90">
        <v>0</v>
      </c>
      <c r="P27" s="90">
        <v>191999.7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2">
        <v>2020</v>
      </c>
    </row>
    <row r="28" spans="1:28" s="1" customFormat="1" ht="35.25" customHeight="1" x14ac:dyDescent="0.5">
      <c r="A28" s="1">
        <v>1</v>
      </c>
      <c r="B28" s="39">
        <f>SUBTOTAL(103,$A$11:A28)</f>
        <v>16</v>
      </c>
      <c r="C28" s="86" t="s">
        <v>424</v>
      </c>
      <c r="D28" s="87">
        <f t="shared" si="2"/>
        <v>54271</v>
      </c>
      <c r="E28" s="90">
        <v>0</v>
      </c>
      <c r="F28" s="90">
        <v>0</v>
      </c>
      <c r="G28" s="90">
        <v>0</v>
      </c>
      <c r="H28" s="90">
        <v>0</v>
      </c>
      <c r="I28" s="90">
        <v>0</v>
      </c>
      <c r="J28" s="90">
        <v>0</v>
      </c>
      <c r="K28" s="91">
        <v>1</v>
      </c>
      <c r="L28" s="90">
        <f>11188+43083</f>
        <v>54271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2">
        <v>2020</v>
      </c>
    </row>
    <row r="29" spans="1:28" s="1" customFormat="1" ht="35.25" customHeight="1" x14ac:dyDescent="0.5">
      <c r="A29" s="1">
        <v>1</v>
      </c>
      <c r="B29" s="39">
        <f>SUBTOTAL(103,$A$11:A29)</f>
        <v>17</v>
      </c>
      <c r="C29" s="86" t="s">
        <v>426</v>
      </c>
      <c r="D29" s="87">
        <f t="shared" si="2"/>
        <v>922851</v>
      </c>
      <c r="E29" s="90">
        <v>0</v>
      </c>
      <c r="F29" s="90">
        <v>0</v>
      </c>
      <c r="G29" s="90">
        <f>226595.6+581473</f>
        <v>808068.6</v>
      </c>
      <c r="H29" s="90">
        <v>0</v>
      </c>
      <c r="I29" s="90">
        <v>0</v>
      </c>
      <c r="J29" s="90">
        <v>0</v>
      </c>
      <c r="K29" s="91">
        <v>0</v>
      </c>
      <c r="L29" s="90">
        <v>0</v>
      </c>
      <c r="M29" s="90">
        <v>0</v>
      </c>
      <c r="N29" s="90">
        <v>0</v>
      </c>
      <c r="O29" s="90">
        <v>114782.39999999999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2">
        <v>2020</v>
      </c>
    </row>
    <row r="30" spans="1:28" s="1" customFormat="1" ht="35.25" customHeight="1" x14ac:dyDescent="0.5">
      <c r="A30" s="1">
        <v>1</v>
      </c>
      <c r="B30" s="39">
        <f>SUBTOTAL(103,$A$11:A30)</f>
        <v>18</v>
      </c>
      <c r="C30" s="86" t="s">
        <v>427</v>
      </c>
      <c r="D30" s="87">
        <f>E30+F30+G30+H30+I30+J30+L30+M30+N30+O30+P30+Q30+R30+S30+T30+U30+V30+W30+X30+Y30+Z30+AA30</f>
        <v>144000</v>
      </c>
      <c r="E30" s="90">
        <v>0</v>
      </c>
      <c r="F30" s="90">
        <v>0</v>
      </c>
      <c r="G30" s="90">
        <v>0</v>
      </c>
      <c r="H30" s="90">
        <v>0</v>
      </c>
      <c r="I30" s="90">
        <v>0</v>
      </c>
      <c r="J30" s="90">
        <v>0</v>
      </c>
      <c r="K30" s="91">
        <v>3</v>
      </c>
      <c r="L30" s="90">
        <f>43200+100800</f>
        <v>144000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2">
        <v>2020</v>
      </c>
    </row>
    <row r="31" spans="1:28" s="1" customFormat="1" ht="35.25" customHeight="1" x14ac:dyDescent="0.5">
      <c r="A31" s="1">
        <v>1</v>
      </c>
      <c r="B31" s="39">
        <f>SUBTOTAL(103,$A$11:A31)</f>
        <v>19</v>
      </c>
      <c r="C31" s="86" t="s">
        <v>428</v>
      </c>
      <c r="D31" s="87">
        <f t="shared" si="2"/>
        <v>1488582.1</v>
      </c>
      <c r="E31" s="90">
        <v>0</v>
      </c>
      <c r="F31" s="90">
        <v>0</v>
      </c>
      <c r="G31" s="90">
        <v>394253</v>
      </c>
      <c r="H31" s="90">
        <v>0</v>
      </c>
      <c r="I31" s="90">
        <v>60029.1</v>
      </c>
      <c r="J31" s="90">
        <v>0</v>
      </c>
      <c r="K31" s="91">
        <v>1</v>
      </c>
      <c r="L31" s="90">
        <v>180000</v>
      </c>
      <c r="M31" s="90">
        <v>854300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0</v>
      </c>
      <c r="AB31" s="92">
        <v>2020</v>
      </c>
    </row>
    <row r="32" spans="1:28" s="1" customFormat="1" ht="35.25" customHeight="1" x14ac:dyDescent="0.5">
      <c r="A32" s="1">
        <v>1</v>
      </c>
      <c r="B32" s="39">
        <f>SUBTOTAL(103,$A$11:A32)</f>
        <v>20</v>
      </c>
      <c r="C32" s="86" t="s">
        <v>429</v>
      </c>
      <c r="D32" s="87">
        <f t="shared" si="2"/>
        <v>939723.6</v>
      </c>
      <c r="E32" s="90">
        <v>0</v>
      </c>
      <c r="F32" s="90">
        <v>0</v>
      </c>
      <c r="G32" s="90">
        <v>0</v>
      </c>
      <c r="H32" s="90">
        <v>0</v>
      </c>
      <c r="I32" s="90">
        <v>0</v>
      </c>
      <c r="J32" s="90">
        <v>0</v>
      </c>
      <c r="K32" s="91">
        <v>1</v>
      </c>
      <c r="L32" s="90">
        <v>357151.2</v>
      </c>
      <c r="M32" s="90">
        <v>0</v>
      </c>
      <c r="N32" s="90">
        <v>240306</v>
      </c>
      <c r="O32" s="90">
        <v>342266.4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0</v>
      </c>
      <c r="AB32" s="92">
        <v>2020</v>
      </c>
    </row>
    <row r="33" spans="1:28" s="1" customFormat="1" ht="35.25" customHeight="1" x14ac:dyDescent="0.5">
      <c r="A33" s="1">
        <v>1</v>
      </c>
      <c r="B33" s="39">
        <f>SUBTOTAL(103,$A$11:A33)</f>
        <v>21</v>
      </c>
      <c r="C33" s="86" t="s">
        <v>430</v>
      </c>
      <c r="D33" s="87">
        <f>E33+F33+G33+H33+I33+J33+L33+M33+N33+O33+P33+Q33+R33+S33+T33+U33+V33+W33+X33+Y33+Z33+AA33</f>
        <v>5100000</v>
      </c>
      <c r="E33" s="90">
        <v>0</v>
      </c>
      <c r="F33" s="90">
        <v>0</v>
      </c>
      <c r="G33" s="90">
        <v>0</v>
      </c>
      <c r="H33" s="90">
        <v>0</v>
      </c>
      <c r="I33" s="90">
        <v>0</v>
      </c>
      <c r="J33" s="90">
        <v>0</v>
      </c>
      <c r="K33" s="91">
        <v>3</v>
      </c>
      <c r="L33" s="90">
        <v>5100000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0</v>
      </c>
      <c r="AB33" s="92">
        <v>2020</v>
      </c>
    </row>
    <row r="34" spans="1:28" s="1" customFormat="1" ht="35.25" customHeight="1" x14ac:dyDescent="0.5">
      <c r="A34" s="1">
        <v>1</v>
      </c>
      <c r="B34" s="39">
        <f>SUBTOTAL(103,$A$11:A34)</f>
        <v>22</v>
      </c>
      <c r="C34" s="86" t="s">
        <v>431</v>
      </c>
      <c r="D34" s="87">
        <f t="shared" ref="D34:D78" si="3">E34+F34+G34+H34+I34+J34+L34+M34+N34+O34+P34+Q34+R34+S34+T34+U34+V34+W34+X34+Y34+Z34+AA34</f>
        <v>333729</v>
      </c>
      <c r="E34" s="90">
        <v>0</v>
      </c>
      <c r="F34" s="90">
        <v>0</v>
      </c>
      <c r="G34" s="90">
        <v>333729</v>
      </c>
      <c r="H34" s="90">
        <v>0</v>
      </c>
      <c r="I34" s="90">
        <v>0</v>
      </c>
      <c r="J34" s="90">
        <v>0</v>
      </c>
      <c r="K34" s="91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0</v>
      </c>
      <c r="AB34" s="92">
        <v>2020</v>
      </c>
    </row>
    <row r="35" spans="1:28" s="1" customFormat="1" ht="35.25" customHeight="1" x14ac:dyDescent="0.5">
      <c r="A35" s="1">
        <v>1</v>
      </c>
      <c r="B35" s="39">
        <f>SUBTOTAL(103,$A$11:A35)</f>
        <v>23</v>
      </c>
      <c r="C35" s="86" t="s">
        <v>432</v>
      </c>
      <c r="D35" s="87">
        <f t="shared" si="3"/>
        <v>562422.5</v>
      </c>
      <c r="E35" s="90">
        <v>195422.5</v>
      </c>
      <c r="F35" s="90">
        <v>0</v>
      </c>
      <c r="G35" s="90">
        <v>322000</v>
      </c>
      <c r="H35" s="90">
        <v>45000</v>
      </c>
      <c r="I35" s="90">
        <v>0</v>
      </c>
      <c r="J35" s="90">
        <v>0</v>
      </c>
      <c r="K35" s="91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0</v>
      </c>
      <c r="AB35" s="92">
        <v>2020</v>
      </c>
    </row>
    <row r="36" spans="1:28" s="1" customFormat="1" ht="35.25" customHeight="1" x14ac:dyDescent="0.5">
      <c r="A36" s="1">
        <v>1</v>
      </c>
      <c r="B36" s="39">
        <f>SUBTOTAL(103,$A$11:A36)</f>
        <v>24</v>
      </c>
      <c r="C36" s="86" t="s">
        <v>433</v>
      </c>
      <c r="D36" s="87">
        <f t="shared" si="3"/>
        <v>162333.46</v>
      </c>
      <c r="E36" s="90">
        <f>119000+7516.64</f>
        <v>126516.64</v>
      </c>
      <c r="F36" s="90">
        <v>0</v>
      </c>
      <c r="G36" s="90">
        <v>0</v>
      </c>
      <c r="H36" s="90">
        <v>21109.82</v>
      </c>
      <c r="I36" s="90">
        <v>0</v>
      </c>
      <c r="J36" s="90">
        <v>0</v>
      </c>
      <c r="K36" s="91">
        <v>1</v>
      </c>
      <c r="L36" s="90">
        <v>14707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0</v>
      </c>
      <c r="AB36" s="92">
        <v>2020</v>
      </c>
    </row>
    <row r="37" spans="1:28" s="1" customFormat="1" ht="35.25" customHeight="1" x14ac:dyDescent="0.5">
      <c r="A37" s="1">
        <v>1</v>
      </c>
      <c r="B37" s="39">
        <f>SUBTOTAL(103,$A$11:A37)</f>
        <v>25</v>
      </c>
      <c r="C37" s="86" t="s">
        <v>434</v>
      </c>
      <c r="D37" s="87">
        <f t="shared" si="3"/>
        <v>375942</v>
      </c>
      <c r="E37" s="90">
        <v>0</v>
      </c>
      <c r="F37" s="90">
        <v>0</v>
      </c>
      <c r="G37" s="90">
        <v>375942</v>
      </c>
      <c r="H37" s="90">
        <v>0</v>
      </c>
      <c r="I37" s="90">
        <v>0</v>
      </c>
      <c r="J37" s="90">
        <v>0</v>
      </c>
      <c r="K37" s="91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90">
        <v>0</v>
      </c>
      <c r="AA37" s="90">
        <v>0</v>
      </c>
      <c r="AB37" s="92">
        <v>2020</v>
      </c>
    </row>
    <row r="38" spans="1:28" s="1" customFormat="1" ht="35.25" customHeight="1" x14ac:dyDescent="0.5">
      <c r="A38" s="1">
        <v>1</v>
      </c>
      <c r="B38" s="39">
        <f>SUBTOTAL(103,$A$11:A38)</f>
        <v>26</v>
      </c>
      <c r="C38" s="86" t="s">
        <v>435</v>
      </c>
      <c r="D38" s="87">
        <f t="shared" si="3"/>
        <v>116700.38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1">
        <v>0</v>
      </c>
      <c r="L38" s="90">
        <v>0</v>
      </c>
      <c r="M38" s="90">
        <v>0</v>
      </c>
      <c r="N38" s="90">
        <v>0</v>
      </c>
      <c r="O38" s="90">
        <v>116700.38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0</v>
      </c>
      <c r="AB38" s="92">
        <v>2020</v>
      </c>
    </row>
    <row r="39" spans="1:28" s="1" customFormat="1" ht="35.25" customHeight="1" x14ac:dyDescent="0.5">
      <c r="A39" s="1">
        <v>1</v>
      </c>
      <c r="B39" s="39">
        <f>SUBTOTAL(103,$A$11:A39)</f>
        <v>27</v>
      </c>
      <c r="C39" s="86" t="s">
        <v>437</v>
      </c>
      <c r="D39" s="87">
        <f t="shared" si="3"/>
        <v>659488</v>
      </c>
      <c r="E39" s="90">
        <v>0</v>
      </c>
      <c r="F39" s="90">
        <v>0</v>
      </c>
      <c r="G39" s="90">
        <v>0</v>
      </c>
      <c r="H39" s="90">
        <v>0</v>
      </c>
      <c r="I39" s="90">
        <v>0</v>
      </c>
      <c r="J39" s="90">
        <v>0</v>
      </c>
      <c r="K39" s="91">
        <v>0</v>
      </c>
      <c r="L39" s="90">
        <v>0</v>
      </c>
      <c r="M39" s="90">
        <v>659488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0</v>
      </c>
      <c r="AB39" s="92">
        <v>2020</v>
      </c>
    </row>
    <row r="40" spans="1:28" s="1" customFormat="1" ht="35.25" customHeight="1" x14ac:dyDescent="0.5">
      <c r="A40" s="1">
        <v>1</v>
      </c>
      <c r="B40" s="39">
        <f>SUBTOTAL(103,$A$11:A40)</f>
        <v>28</v>
      </c>
      <c r="C40" s="86" t="s">
        <v>438</v>
      </c>
      <c r="D40" s="87">
        <f t="shared" si="3"/>
        <v>177700</v>
      </c>
      <c r="E40" s="90">
        <v>0</v>
      </c>
      <c r="F40" s="90">
        <v>0</v>
      </c>
      <c r="G40" s="90">
        <v>0</v>
      </c>
      <c r="H40" s="90">
        <v>0</v>
      </c>
      <c r="I40" s="90">
        <v>0</v>
      </c>
      <c r="J40" s="90">
        <v>0</v>
      </c>
      <c r="K40" s="91">
        <v>1</v>
      </c>
      <c r="L40" s="90">
        <v>177700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0</v>
      </c>
      <c r="AB40" s="92">
        <v>2020</v>
      </c>
    </row>
    <row r="41" spans="1:28" s="1" customFormat="1" ht="35.25" customHeight="1" x14ac:dyDescent="0.5">
      <c r="A41" s="1">
        <v>1</v>
      </c>
      <c r="B41" s="39">
        <f>SUBTOTAL(103,$A$11:A41)</f>
        <v>29</v>
      </c>
      <c r="C41" s="86" t="s">
        <v>439</v>
      </c>
      <c r="D41" s="87">
        <f t="shared" si="3"/>
        <v>3600000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1">
        <v>2</v>
      </c>
      <c r="L41" s="90">
        <v>3600000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90">
        <v>0</v>
      </c>
      <c r="Z41" s="90">
        <v>0</v>
      </c>
      <c r="AA41" s="90">
        <v>0</v>
      </c>
      <c r="AB41" s="92">
        <v>2020</v>
      </c>
    </row>
    <row r="42" spans="1:28" s="1" customFormat="1" ht="35.25" customHeight="1" x14ac:dyDescent="0.5">
      <c r="A42" s="1">
        <v>1</v>
      </c>
      <c r="B42" s="39">
        <f>SUBTOTAL(103,$A$11:A42)</f>
        <v>30</v>
      </c>
      <c r="C42" s="86" t="s">
        <v>440</v>
      </c>
      <c r="D42" s="87">
        <f t="shared" si="3"/>
        <v>132450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  <c r="K42" s="91">
        <v>0</v>
      </c>
      <c r="L42" s="90">
        <v>0</v>
      </c>
      <c r="M42" s="90">
        <v>132450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0</v>
      </c>
      <c r="AB42" s="92">
        <v>2020</v>
      </c>
    </row>
    <row r="43" spans="1:28" s="1" customFormat="1" ht="35.25" customHeight="1" x14ac:dyDescent="0.5">
      <c r="A43" s="1">
        <v>1</v>
      </c>
      <c r="B43" s="39">
        <f>SUBTOTAL(103,$A$11:A43)</f>
        <v>31</v>
      </c>
      <c r="C43" s="86" t="s">
        <v>442</v>
      </c>
      <c r="D43" s="87">
        <f t="shared" si="3"/>
        <v>1039214</v>
      </c>
      <c r="E43" s="90">
        <v>0</v>
      </c>
      <c r="F43" s="90">
        <v>0</v>
      </c>
      <c r="G43" s="90">
        <f>20464.2+47749.8</f>
        <v>68214</v>
      </c>
      <c r="H43" s="90">
        <v>0</v>
      </c>
      <c r="I43" s="90">
        <v>0</v>
      </c>
      <c r="J43" s="90">
        <v>0</v>
      </c>
      <c r="K43" s="91">
        <v>0</v>
      </c>
      <c r="L43" s="90">
        <v>0</v>
      </c>
      <c r="M43" s="90">
        <f>172650+402850</f>
        <v>575500</v>
      </c>
      <c r="N43" s="90">
        <f>118650+276850</f>
        <v>395500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0</v>
      </c>
      <c r="AB43" s="92">
        <v>2020</v>
      </c>
    </row>
    <row r="44" spans="1:28" s="1" customFormat="1" ht="35.25" customHeight="1" x14ac:dyDescent="0.5">
      <c r="A44" s="1">
        <v>1</v>
      </c>
      <c r="B44" s="39">
        <f>SUBTOTAL(103,$A$11:A44)</f>
        <v>32</v>
      </c>
      <c r="C44" s="86" t="s">
        <v>443</v>
      </c>
      <c r="D44" s="87">
        <f>E44+F44+G44+H44+I44+J44+L44+M44+N44+O44+P44+Q44+R44+S44+T44+U44+V44+W44+X44+Y44+Z44+AA44</f>
        <v>580372</v>
      </c>
      <c r="E44" s="90">
        <v>0</v>
      </c>
      <c r="F44" s="90">
        <v>0</v>
      </c>
      <c r="G44" s="90">
        <v>0</v>
      </c>
      <c r="H44" s="90">
        <v>0</v>
      </c>
      <c r="I44" s="90">
        <v>0</v>
      </c>
      <c r="J44" s="90">
        <v>0</v>
      </c>
      <c r="K44" s="91">
        <v>1</v>
      </c>
      <c r="L44" s="90">
        <v>174530</v>
      </c>
      <c r="M44" s="90">
        <v>0</v>
      </c>
      <c r="N44" s="90">
        <v>0</v>
      </c>
      <c r="O44" s="90">
        <v>405842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0</v>
      </c>
      <c r="AB44" s="92">
        <v>2020</v>
      </c>
    </row>
    <row r="45" spans="1:28" s="1" customFormat="1" ht="35.25" customHeight="1" x14ac:dyDescent="0.5">
      <c r="A45" s="1">
        <v>1</v>
      </c>
      <c r="B45" s="39">
        <f>SUBTOTAL(103,$A$11:A45)</f>
        <v>33</v>
      </c>
      <c r="C45" s="86" t="s">
        <v>444</v>
      </c>
      <c r="D45" s="87">
        <f t="shared" si="3"/>
        <v>1750000</v>
      </c>
      <c r="E45" s="90">
        <v>0</v>
      </c>
      <c r="F45" s="90">
        <v>0</v>
      </c>
      <c r="G45" s="90">
        <v>0</v>
      </c>
      <c r="H45" s="90">
        <v>0</v>
      </c>
      <c r="I45" s="90">
        <v>0</v>
      </c>
      <c r="J45" s="90">
        <v>0</v>
      </c>
      <c r="K45" s="91">
        <v>1</v>
      </c>
      <c r="L45" s="90">
        <v>1750000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2">
        <v>2020</v>
      </c>
    </row>
    <row r="46" spans="1:28" s="1" customFormat="1" ht="35.25" customHeight="1" x14ac:dyDescent="0.5">
      <c r="A46" s="1">
        <v>1</v>
      </c>
      <c r="B46" s="39">
        <f>SUBTOTAL(103,$A$11:A46)</f>
        <v>34</v>
      </c>
      <c r="C46" s="86" t="s">
        <v>448</v>
      </c>
      <c r="D46" s="87">
        <f t="shared" si="3"/>
        <v>550000</v>
      </c>
      <c r="E46" s="90">
        <v>0</v>
      </c>
      <c r="F46" s="90">
        <v>0</v>
      </c>
      <c r="G46" s="90">
        <v>0</v>
      </c>
      <c r="H46" s="90">
        <v>0</v>
      </c>
      <c r="I46" s="90">
        <v>0</v>
      </c>
      <c r="J46" s="90">
        <v>0</v>
      </c>
      <c r="K46" s="91">
        <v>0</v>
      </c>
      <c r="L46" s="90">
        <v>0</v>
      </c>
      <c r="M46" s="90">
        <v>0</v>
      </c>
      <c r="N46" s="90">
        <v>0</v>
      </c>
      <c r="O46" s="90">
        <v>550000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2">
        <v>2020</v>
      </c>
    </row>
    <row r="47" spans="1:28" s="1" customFormat="1" ht="35.25" customHeight="1" x14ac:dyDescent="0.5">
      <c r="A47" s="1">
        <v>1</v>
      </c>
      <c r="B47" s="39">
        <f>SUBTOTAL(103,$A$11:A47)</f>
        <v>35</v>
      </c>
      <c r="C47" s="86" t="s">
        <v>449</v>
      </c>
      <c r="D47" s="87">
        <f t="shared" si="3"/>
        <v>767597.9</v>
      </c>
      <c r="E47" s="90">
        <v>261568.6</v>
      </c>
      <c r="F47" s="90">
        <v>353140.57</v>
      </c>
      <c r="G47" s="90">
        <v>0</v>
      </c>
      <c r="H47" s="90">
        <v>152888.73000000001</v>
      </c>
      <c r="I47" s="90">
        <v>0</v>
      </c>
      <c r="J47" s="90">
        <v>0</v>
      </c>
      <c r="K47" s="91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2">
        <v>2020</v>
      </c>
    </row>
    <row r="48" spans="1:28" s="1" customFormat="1" ht="35.25" customHeight="1" x14ac:dyDescent="0.5">
      <c r="A48" s="1">
        <v>1</v>
      </c>
      <c r="B48" s="39">
        <f>SUBTOTAL(103,$A$11:A48)</f>
        <v>36</v>
      </c>
      <c r="C48" s="86" t="s">
        <v>450</v>
      </c>
      <c r="D48" s="87">
        <f t="shared" si="3"/>
        <v>1459045.55</v>
      </c>
      <c r="E48" s="90">
        <v>0</v>
      </c>
      <c r="F48" s="90">
        <v>0</v>
      </c>
      <c r="G48" s="90">
        <v>0</v>
      </c>
      <c r="H48" s="90">
        <v>0</v>
      </c>
      <c r="I48" s="90">
        <v>0</v>
      </c>
      <c r="J48" s="90">
        <v>0</v>
      </c>
      <c r="K48" s="91">
        <v>0</v>
      </c>
      <c r="L48" s="90">
        <v>0</v>
      </c>
      <c r="M48" s="90">
        <v>1459045.55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2">
        <v>2020</v>
      </c>
    </row>
    <row r="49" spans="1:28" s="1" customFormat="1" ht="35.25" customHeight="1" x14ac:dyDescent="0.5">
      <c r="A49" s="1">
        <v>1</v>
      </c>
      <c r="B49" s="39">
        <f>SUBTOTAL(103,$A$11:A49)</f>
        <v>37</v>
      </c>
      <c r="C49" s="86" t="s">
        <v>451</v>
      </c>
      <c r="D49" s="87">
        <f t="shared" si="3"/>
        <v>293676</v>
      </c>
      <c r="E49" s="90">
        <v>0</v>
      </c>
      <c r="F49" s="90">
        <v>0</v>
      </c>
      <c r="G49" s="90">
        <v>0</v>
      </c>
      <c r="H49" s="90">
        <v>0</v>
      </c>
      <c r="I49" s="90">
        <v>0</v>
      </c>
      <c r="J49" s="90">
        <v>0</v>
      </c>
      <c r="K49" s="91">
        <v>1</v>
      </c>
      <c r="L49" s="90">
        <v>293676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2">
        <v>2020</v>
      </c>
    </row>
    <row r="50" spans="1:28" s="1" customFormat="1" ht="35.25" customHeight="1" x14ac:dyDescent="0.5">
      <c r="A50" s="1">
        <v>1</v>
      </c>
      <c r="B50" s="39">
        <f>SUBTOTAL(103,$A$11:A50)</f>
        <v>38</v>
      </c>
      <c r="C50" s="86" t="s">
        <v>452</v>
      </c>
      <c r="D50" s="87">
        <f t="shared" si="3"/>
        <v>2123411</v>
      </c>
      <c r="E50" s="90">
        <v>0</v>
      </c>
      <c r="F50" s="90">
        <v>0</v>
      </c>
      <c r="G50" s="90">
        <v>0</v>
      </c>
      <c r="H50" s="90">
        <v>0</v>
      </c>
      <c r="I50" s="90">
        <v>0</v>
      </c>
      <c r="J50" s="90">
        <v>0</v>
      </c>
      <c r="K50" s="91">
        <v>0</v>
      </c>
      <c r="L50" s="90">
        <v>0</v>
      </c>
      <c r="M50" s="90">
        <v>2123411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2">
        <v>2020</v>
      </c>
    </row>
    <row r="51" spans="1:28" s="1" customFormat="1" ht="35.25" customHeight="1" x14ac:dyDescent="0.5">
      <c r="A51" s="1">
        <v>1</v>
      </c>
      <c r="B51" s="39">
        <f>SUBTOTAL(103,$A$11:A51)</f>
        <v>39</v>
      </c>
      <c r="C51" s="86" t="s">
        <v>453</v>
      </c>
      <c r="D51" s="87">
        <f t="shared" si="3"/>
        <v>230447</v>
      </c>
      <c r="E51" s="90">
        <v>0</v>
      </c>
      <c r="F51" s="90">
        <v>0</v>
      </c>
      <c r="G51" s="90">
        <v>0</v>
      </c>
      <c r="H51" s="90">
        <v>0</v>
      </c>
      <c r="I51" s="90">
        <v>0</v>
      </c>
      <c r="J51" s="90">
        <v>0</v>
      </c>
      <c r="K51" s="91">
        <v>0</v>
      </c>
      <c r="L51" s="90">
        <v>0</v>
      </c>
      <c r="M51" s="90">
        <v>0</v>
      </c>
      <c r="N51" s="90">
        <v>0</v>
      </c>
      <c r="O51" s="90">
        <v>230447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2">
        <v>2020</v>
      </c>
    </row>
    <row r="52" spans="1:28" s="1" customFormat="1" ht="35.25" customHeight="1" x14ac:dyDescent="0.5">
      <c r="A52" s="1">
        <v>1</v>
      </c>
      <c r="B52" s="39">
        <f>SUBTOTAL(103,$A$11:A52)</f>
        <v>40</v>
      </c>
      <c r="C52" s="86" t="s">
        <v>454</v>
      </c>
      <c r="D52" s="87">
        <f t="shared" si="3"/>
        <v>532382.57999999996</v>
      </c>
      <c r="E52" s="90">
        <v>0</v>
      </c>
      <c r="F52" s="90">
        <v>0</v>
      </c>
      <c r="G52" s="90">
        <v>0</v>
      </c>
      <c r="H52" s="90">
        <v>0</v>
      </c>
      <c r="I52" s="90">
        <v>532382.57999999996</v>
      </c>
      <c r="J52" s="90">
        <v>0</v>
      </c>
      <c r="K52" s="91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2">
        <v>2020</v>
      </c>
    </row>
    <row r="53" spans="1:28" s="1" customFormat="1" ht="35.25" customHeight="1" x14ac:dyDescent="0.5">
      <c r="A53" s="1">
        <v>1</v>
      </c>
      <c r="B53" s="39">
        <f>SUBTOTAL(103,$A$11:A53)</f>
        <v>41</v>
      </c>
      <c r="C53" s="86" t="s">
        <v>455</v>
      </c>
      <c r="D53" s="87">
        <f t="shared" si="3"/>
        <v>368373.54000000004</v>
      </c>
      <c r="E53" s="90">
        <v>175244.79</v>
      </c>
      <c r="F53" s="90">
        <v>193128.75</v>
      </c>
      <c r="G53" s="90">
        <v>0</v>
      </c>
      <c r="H53" s="90">
        <v>0</v>
      </c>
      <c r="I53" s="90">
        <v>0</v>
      </c>
      <c r="J53" s="90">
        <v>0</v>
      </c>
      <c r="K53" s="91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2">
        <v>2020</v>
      </c>
    </row>
    <row r="54" spans="1:28" s="1" customFormat="1" ht="35.25" customHeight="1" x14ac:dyDescent="0.5">
      <c r="A54" s="1">
        <v>1</v>
      </c>
      <c r="B54" s="39">
        <f>SUBTOTAL(103,$A$11:A54)</f>
        <v>42</v>
      </c>
      <c r="C54" s="86" t="s">
        <v>456</v>
      </c>
      <c r="D54" s="87">
        <f t="shared" si="3"/>
        <v>454448</v>
      </c>
      <c r="E54" s="90">
        <v>0</v>
      </c>
      <c r="F54" s="90">
        <v>0</v>
      </c>
      <c r="G54" s="90">
        <v>404448</v>
      </c>
      <c r="H54" s="90">
        <v>0</v>
      </c>
      <c r="I54" s="90">
        <v>0</v>
      </c>
      <c r="J54" s="90">
        <v>0</v>
      </c>
      <c r="K54" s="91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50000</v>
      </c>
      <c r="AA54" s="90">
        <v>0</v>
      </c>
      <c r="AB54" s="92">
        <v>2020</v>
      </c>
    </row>
    <row r="55" spans="1:28" s="1" customFormat="1" ht="35.25" customHeight="1" x14ac:dyDescent="0.5">
      <c r="A55" s="1">
        <v>1</v>
      </c>
      <c r="B55" s="39">
        <f>SUBTOTAL(103,$A$11:A55)</f>
        <v>43</v>
      </c>
      <c r="C55" s="86" t="s">
        <v>457</v>
      </c>
      <c r="D55" s="87">
        <f t="shared" si="3"/>
        <v>1164297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91">
        <v>0</v>
      </c>
      <c r="L55" s="90">
        <v>0</v>
      </c>
      <c r="M55" s="90">
        <v>1164297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2">
        <v>2020</v>
      </c>
    </row>
    <row r="56" spans="1:28" s="1" customFormat="1" ht="35.25" customHeight="1" x14ac:dyDescent="0.5">
      <c r="A56" s="1">
        <v>1</v>
      </c>
      <c r="B56" s="39">
        <f>SUBTOTAL(103,$A$11:A56)</f>
        <v>44</v>
      </c>
      <c r="C56" s="86" t="s">
        <v>458</v>
      </c>
      <c r="D56" s="87">
        <f t="shared" si="3"/>
        <v>2377591.96</v>
      </c>
      <c r="E56" s="90">
        <v>877591.96</v>
      </c>
      <c r="F56" s="90">
        <v>1500000</v>
      </c>
      <c r="G56" s="90">
        <v>0</v>
      </c>
      <c r="H56" s="90">
        <v>0</v>
      </c>
      <c r="I56" s="90">
        <v>0</v>
      </c>
      <c r="J56" s="90">
        <v>0</v>
      </c>
      <c r="K56" s="91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2">
        <v>2020</v>
      </c>
    </row>
    <row r="57" spans="1:28" s="1" customFormat="1" ht="35.25" customHeight="1" x14ac:dyDescent="0.5">
      <c r="A57" s="1">
        <v>1</v>
      </c>
      <c r="B57" s="39">
        <f>SUBTOTAL(103,$A$11:A57)</f>
        <v>45</v>
      </c>
      <c r="C57" s="86" t="s">
        <v>459</v>
      </c>
      <c r="D57" s="87">
        <f t="shared" si="3"/>
        <v>659346.14</v>
      </c>
      <c r="E57" s="90">
        <v>0</v>
      </c>
      <c r="F57" s="90">
        <v>659346.14</v>
      </c>
      <c r="G57" s="90">
        <v>0</v>
      </c>
      <c r="H57" s="90">
        <v>0</v>
      </c>
      <c r="I57" s="90">
        <v>0</v>
      </c>
      <c r="J57" s="90">
        <v>0</v>
      </c>
      <c r="K57" s="91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2">
        <v>2020</v>
      </c>
    </row>
    <row r="58" spans="1:28" s="1" customFormat="1" ht="35.25" customHeight="1" x14ac:dyDescent="0.5">
      <c r="A58" s="1">
        <v>1</v>
      </c>
      <c r="B58" s="39">
        <f>SUBTOTAL(103,$A$11:A58)</f>
        <v>46</v>
      </c>
      <c r="C58" s="86" t="s">
        <v>460</v>
      </c>
      <c r="D58" s="87">
        <f t="shared" si="3"/>
        <v>441089</v>
      </c>
      <c r="E58" s="90">
        <v>0</v>
      </c>
      <c r="F58" s="90">
        <v>441089</v>
      </c>
      <c r="G58" s="90">
        <v>0</v>
      </c>
      <c r="H58" s="90">
        <v>0</v>
      </c>
      <c r="I58" s="90">
        <v>0</v>
      </c>
      <c r="J58" s="90">
        <v>0</v>
      </c>
      <c r="K58" s="91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2">
        <v>2020</v>
      </c>
    </row>
    <row r="59" spans="1:28" s="1" customFormat="1" ht="35.25" customHeight="1" x14ac:dyDescent="0.5">
      <c r="A59" s="1">
        <v>1</v>
      </c>
      <c r="B59" s="39">
        <f>SUBTOTAL(103,$A$11:A59)</f>
        <v>47</v>
      </c>
      <c r="C59" s="86" t="s">
        <v>461</v>
      </c>
      <c r="D59" s="87">
        <f t="shared" si="3"/>
        <v>190756</v>
      </c>
      <c r="E59" s="90">
        <v>0</v>
      </c>
      <c r="F59" s="90">
        <v>0</v>
      </c>
      <c r="G59" s="90">
        <v>0</v>
      </c>
      <c r="H59" s="90">
        <v>0</v>
      </c>
      <c r="I59" s="90">
        <v>0</v>
      </c>
      <c r="J59" s="90">
        <v>0</v>
      </c>
      <c r="K59" s="91">
        <v>1</v>
      </c>
      <c r="L59" s="90">
        <v>190756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2">
        <v>2020</v>
      </c>
    </row>
    <row r="60" spans="1:28" s="1" customFormat="1" ht="35.25" customHeight="1" x14ac:dyDescent="0.5">
      <c r="A60" s="1">
        <v>1</v>
      </c>
      <c r="B60" s="39">
        <f>SUBTOTAL(103,$A$11:A60)</f>
        <v>48</v>
      </c>
      <c r="C60" s="86" t="s">
        <v>462</v>
      </c>
      <c r="D60" s="87">
        <f t="shared" si="3"/>
        <v>141772</v>
      </c>
      <c r="E60" s="90">
        <v>0</v>
      </c>
      <c r="F60" s="90">
        <v>0</v>
      </c>
      <c r="G60" s="90">
        <v>0</v>
      </c>
      <c r="H60" s="90">
        <v>0</v>
      </c>
      <c r="I60" s="90">
        <v>0</v>
      </c>
      <c r="J60" s="90">
        <v>0</v>
      </c>
      <c r="K60" s="91">
        <v>0</v>
      </c>
      <c r="L60" s="90">
        <v>0</v>
      </c>
      <c r="M60" s="90">
        <v>0</v>
      </c>
      <c r="N60" s="90">
        <v>0</v>
      </c>
      <c r="O60" s="90">
        <v>141772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2">
        <v>2020</v>
      </c>
    </row>
    <row r="61" spans="1:28" s="1" customFormat="1" ht="35.25" customHeight="1" x14ac:dyDescent="0.5">
      <c r="A61" s="1">
        <v>1</v>
      </c>
      <c r="B61" s="39">
        <f>SUBTOTAL(103,$A$11:A61)</f>
        <v>49</v>
      </c>
      <c r="C61" s="86" t="s">
        <v>463</v>
      </c>
      <c r="D61" s="87">
        <f t="shared" si="3"/>
        <v>32843</v>
      </c>
      <c r="E61" s="90">
        <v>0</v>
      </c>
      <c r="F61" s="90">
        <v>0</v>
      </c>
      <c r="G61" s="90">
        <v>0</v>
      </c>
      <c r="H61" s="90">
        <v>0</v>
      </c>
      <c r="I61" s="90">
        <v>0</v>
      </c>
      <c r="J61" s="90">
        <v>0</v>
      </c>
      <c r="K61" s="91">
        <v>0</v>
      </c>
      <c r="L61" s="90">
        <v>0</v>
      </c>
      <c r="M61" s="90">
        <v>0</v>
      </c>
      <c r="N61" s="90">
        <v>32843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2">
        <v>2020</v>
      </c>
    </row>
    <row r="62" spans="1:28" s="1" customFormat="1" ht="35.25" customHeight="1" x14ac:dyDescent="0.5">
      <c r="A62" s="1">
        <v>1</v>
      </c>
      <c r="B62" s="39">
        <f>SUBTOTAL(103,$A$11:A62)</f>
        <v>50</v>
      </c>
      <c r="C62" s="86" t="s">
        <v>464</v>
      </c>
      <c r="D62" s="87">
        <f t="shared" si="3"/>
        <v>69666</v>
      </c>
      <c r="E62" s="90">
        <v>0</v>
      </c>
      <c r="F62" s="90">
        <v>0</v>
      </c>
      <c r="G62" s="90">
        <v>0</v>
      </c>
      <c r="H62" s="90">
        <v>0</v>
      </c>
      <c r="I62" s="90">
        <v>0</v>
      </c>
      <c r="J62" s="90">
        <v>0</v>
      </c>
      <c r="K62" s="91">
        <v>0</v>
      </c>
      <c r="L62" s="90">
        <v>0</v>
      </c>
      <c r="M62" s="90">
        <v>0</v>
      </c>
      <c r="N62" s="90">
        <v>69666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2">
        <v>2020</v>
      </c>
    </row>
    <row r="63" spans="1:28" s="1" customFormat="1" ht="35.25" customHeight="1" x14ac:dyDescent="0.5">
      <c r="A63" s="1">
        <v>1</v>
      </c>
      <c r="B63" s="39">
        <f>SUBTOTAL(103,$A$11:A63)</f>
        <v>51</v>
      </c>
      <c r="C63" s="86" t="s">
        <v>465</v>
      </c>
      <c r="D63" s="87">
        <f t="shared" si="3"/>
        <v>452575.38</v>
      </c>
      <c r="E63" s="90">
        <v>222826.38</v>
      </c>
      <c r="F63" s="90">
        <v>0</v>
      </c>
      <c r="G63" s="90">
        <v>0</v>
      </c>
      <c r="H63" s="90">
        <v>0</v>
      </c>
      <c r="I63" s="90">
        <v>0</v>
      </c>
      <c r="J63" s="90">
        <v>0</v>
      </c>
      <c r="K63" s="91">
        <v>0</v>
      </c>
      <c r="L63" s="90">
        <v>0</v>
      </c>
      <c r="M63" s="90">
        <v>0</v>
      </c>
      <c r="N63" s="90">
        <v>152567</v>
      </c>
      <c r="O63" s="90">
        <v>77182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2">
        <v>2020</v>
      </c>
    </row>
    <row r="64" spans="1:28" s="1" customFormat="1" ht="35.25" customHeight="1" x14ac:dyDescent="0.5">
      <c r="A64" s="1">
        <v>1</v>
      </c>
      <c r="B64" s="39">
        <f>SUBTOTAL(103,$A$11:A64)</f>
        <v>52</v>
      </c>
      <c r="C64" s="86" t="s">
        <v>466</v>
      </c>
      <c r="D64" s="87">
        <f t="shared" si="3"/>
        <v>1654683.92</v>
      </c>
      <c r="E64" s="90">
        <v>0</v>
      </c>
      <c r="F64" s="90">
        <v>0</v>
      </c>
      <c r="G64" s="90">
        <v>0</v>
      </c>
      <c r="H64" s="90">
        <v>0</v>
      </c>
      <c r="I64" s="90">
        <v>0</v>
      </c>
      <c r="J64" s="90">
        <v>0</v>
      </c>
      <c r="K64" s="91">
        <v>0</v>
      </c>
      <c r="L64" s="90">
        <v>0</v>
      </c>
      <c r="M64" s="90">
        <v>1624695.92</v>
      </c>
      <c r="N64" s="90">
        <v>29988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2">
        <v>2020</v>
      </c>
    </row>
    <row r="65" spans="1:28" s="1" customFormat="1" ht="35.25" customHeight="1" x14ac:dyDescent="0.5">
      <c r="A65" s="1">
        <v>1</v>
      </c>
      <c r="B65" s="39">
        <f>SUBTOTAL(103,$A$11:A65)</f>
        <v>53</v>
      </c>
      <c r="C65" s="86" t="s">
        <v>467</v>
      </c>
      <c r="D65" s="87">
        <f t="shared" si="3"/>
        <v>131422</v>
      </c>
      <c r="E65" s="90">
        <v>0</v>
      </c>
      <c r="F65" s="90">
        <v>0</v>
      </c>
      <c r="G65" s="90">
        <v>0</v>
      </c>
      <c r="H65" s="90">
        <v>0</v>
      </c>
      <c r="I65" s="90">
        <v>0</v>
      </c>
      <c r="J65" s="90">
        <v>0</v>
      </c>
      <c r="K65" s="91">
        <v>0</v>
      </c>
      <c r="L65" s="90">
        <v>0</v>
      </c>
      <c r="M65" s="90">
        <v>0</v>
      </c>
      <c r="N65" s="90">
        <v>0</v>
      </c>
      <c r="O65" s="90">
        <v>131422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2">
        <v>2020</v>
      </c>
    </row>
    <row r="66" spans="1:28" s="1" customFormat="1" ht="35.25" customHeight="1" x14ac:dyDescent="0.5">
      <c r="A66" s="1">
        <v>1</v>
      </c>
      <c r="B66" s="39">
        <f>SUBTOTAL(103,$A$11:A66)</f>
        <v>54</v>
      </c>
      <c r="C66" s="86" t="s">
        <v>468</v>
      </c>
      <c r="D66" s="87">
        <f t="shared" si="3"/>
        <v>232205.73</v>
      </c>
      <c r="E66" s="90">
        <v>0</v>
      </c>
      <c r="F66" s="90">
        <v>0</v>
      </c>
      <c r="G66" s="90">
        <v>0</v>
      </c>
      <c r="H66" s="90">
        <v>0</v>
      </c>
      <c r="I66" s="90">
        <v>0</v>
      </c>
      <c r="J66" s="90">
        <v>0</v>
      </c>
      <c r="K66" s="91">
        <v>0</v>
      </c>
      <c r="L66" s="90">
        <v>0</v>
      </c>
      <c r="M66" s="90">
        <v>0</v>
      </c>
      <c r="N66" s="90">
        <v>0</v>
      </c>
      <c r="O66" s="90">
        <v>232205.73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2">
        <v>2020</v>
      </c>
    </row>
    <row r="67" spans="1:28" s="1" customFormat="1" ht="35.25" customHeight="1" x14ac:dyDescent="0.5">
      <c r="A67" s="1">
        <v>1</v>
      </c>
      <c r="B67" s="39">
        <f>SUBTOTAL(103,$A$11:A67)</f>
        <v>55</v>
      </c>
      <c r="C67" s="86" t="s">
        <v>469</v>
      </c>
      <c r="D67" s="87">
        <f t="shared" si="3"/>
        <v>664946.64</v>
      </c>
      <c r="E67" s="90">
        <v>281247.58</v>
      </c>
      <c r="F67" s="90">
        <v>383699.06</v>
      </c>
      <c r="G67" s="90">
        <v>0</v>
      </c>
      <c r="H67" s="90">
        <v>0</v>
      </c>
      <c r="I67" s="90">
        <v>0</v>
      </c>
      <c r="J67" s="90">
        <v>0</v>
      </c>
      <c r="K67" s="91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2">
        <v>2020</v>
      </c>
    </row>
    <row r="68" spans="1:28" s="1" customFormat="1" ht="35.25" customHeight="1" x14ac:dyDescent="0.5">
      <c r="A68" s="1">
        <v>1</v>
      </c>
      <c r="B68" s="39">
        <f>SUBTOTAL(103,$A$11:A68)</f>
        <v>56</v>
      </c>
      <c r="C68" s="86" t="s">
        <v>470</v>
      </c>
      <c r="D68" s="87">
        <f t="shared" si="3"/>
        <v>967198</v>
      </c>
      <c r="E68" s="90">
        <v>0</v>
      </c>
      <c r="F68" s="90">
        <v>0</v>
      </c>
      <c r="G68" s="90">
        <v>0</v>
      </c>
      <c r="H68" s="90">
        <v>0</v>
      </c>
      <c r="I68" s="90">
        <v>0</v>
      </c>
      <c r="J68" s="90">
        <v>0</v>
      </c>
      <c r="K68" s="91">
        <v>0</v>
      </c>
      <c r="L68" s="90">
        <v>0</v>
      </c>
      <c r="M68" s="90">
        <v>967198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2">
        <v>2020</v>
      </c>
    </row>
    <row r="69" spans="1:28" s="1" customFormat="1" ht="35.25" customHeight="1" x14ac:dyDescent="0.5">
      <c r="A69" s="1">
        <v>1</v>
      </c>
      <c r="B69" s="39">
        <f>SUBTOTAL(103,$A$11:A69)</f>
        <v>57</v>
      </c>
      <c r="C69" s="86" t="s">
        <v>471</v>
      </c>
      <c r="D69" s="87">
        <f t="shared" si="3"/>
        <v>1503268</v>
      </c>
      <c r="E69" s="90">
        <v>0</v>
      </c>
      <c r="F69" s="90">
        <v>0</v>
      </c>
      <c r="G69" s="90">
        <v>0</v>
      </c>
      <c r="H69" s="90">
        <v>0</v>
      </c>
      <c r="I69" s="90">
        <v>0</v>
      </c>
      <c r="J69" s="90">
        <v>0</v>
      </c>
      <c r="K69" s="91">
        <v>0</v>
      </c>
      <c r="L69" s="90">
        <v>0</v>
      </c>
      <c r="M69" s="90">
        <v>1503268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2">
        <v>2020</v>
      </c>
    </row>
    <row r="70" spans="1:28" s="1" customFormat="1" ht="35.25" customHeight="1" x14ac:dyDescent="0.5">
      <c r="A70" s="1">
        <v>1</v>
      </c>
      <c r="B70" s="39">
        <f>SUBTOTAL(103,$A$11:A70)</f>
        <v>58</v>
      </c>
      <c r="C70" s="86" t="s">
        <v>472</v>
      </c>
      <c r="D70" s="87">
        <f t="shared" si="3"/>
        <v>493206.56</v>
      </c>
      <c r="E70" s="90">
        <v>0</v>
      </c>
      <c r="F70" s="90">
        <v>0</v>
      </c>
      <c r="G70" s="90">
        <v>493206.56</v>
      </c>
      <c r="H70" s="90">
        <v>0</v>
      </c>
      <c r="I70" s="90">
        <v>0</v>
      </c>
      <c r="J70" s="90">
        <v>0</v>
      </c>
      <c r="K70" s="91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2">
        <v>2020</v>
      </c>
    </row>
    <row r="71" spans="1:28" s="1" customFormat="1" ht="35.25" customHeight="1" x14ac:dyDescent="0.5">
      <c r="A71" s="1">
        <v>1</v>
      </c>
      <c r="B71" s="39">
        <f>SUBTOTAL(103,$A$11:A71)</f>
        <v>59</v>
      </c>
      <c r="C71" s="86" t="s">
        <v>473</v>
      </c>
      <c r="D71" s="87">
        <f t="shared" si="3"/>
        <v>685246.23</v>
      </c>
      <c r="E71" s="90">
        <v>0</v>
      </c>
      <c r="F71" s="90">
        <v>0</v>
      </c>
      <c r="G71" s="90">
        <v>0</v>
      </c>
      <c r="H71" s="90">
        <v>0</v>
      </c>
      <c r="I71" s="90">
        <v>0</v>
      </c>
      <c r="J71" s="90">
        <v>0</v>
      </c>
      <c r="K71" s="91">
        <v>0</v>
      </c>
      <c r="L71" s="90">
        <v>0</v>
      </c>
      <c r="M71" s="90">
        <v>0</v>
      </c>
      <c r="N71" s="90">
        <v>0</v>
      </c>
      <c r="O71" s="90">
        <f>265246.23+420000</f>
        <v>685246.23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2">
        <v>2020</v>
      </c>
    </row>
    <row r="72" spans="1:28" s="1" customFormat="1" ht="35.25" customHeight="1" x14ac:dyDescent="0.5">
      <c r="A72" s="1">
        <v>1</v>
      </c>
      <c r="B72" s="39">
        <f>SUBTOTAL(103,$A$11:A72)</f>
        <v>60</v>
      </c>
      <c r="C72" s="86" t="s">
        <v>474</v>
      </c>
      <c r="D72" s="87">
        <f t="shared" si="3"/>
        <v>1312347.23</v>
      </c>
      <c r="E72" s="90">
        <v>0</v>
      </c>
      <c r="F72" s="90">
        <v>0</v>
      </c>
      <c r="G72" s="90">
        <v>0</v>
      </c>
      <c r="H72" s="90">
        <v>0</v>
      </c>
      <c r="I72" s="90">
        <v>0</v>
      </c>
      <c r="J72" s="90">
        <v>0</v>
      </c>
      <c r="K72" s="91">
        <v>0</v>
      </c>
      <c r="L72" s="90">
        <v>0</v>
      </c>
      <c r="M72" s="90">
        <v>1312347.23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2">
        <v>2020</v>
      </c>
    </row>
    <row r="73" spans="1:28" s="1" customFormat="1" ht="35.25" customHeight="1" x14ac:dyDescent="0.5">
      <c r="A73" s="1">
        <v>1</v>
      </c>
      <c r="B73" s="39">
        <f>SUBTOTAL(103,$A$11:A73)</f>
        <v>61</v>
      </c>
      <c r="C73" s="86" t="s">
        <v>475</v>
      </c>
      <c r="D73" s="87">
        <f t="shared" si="3"/>
        <v>823785</v>
      </c>
      <c r="E73" s="90">
        <v>240259</v>
      </c>
      <c r="F73" s="90">
        <v>340000</v>
      </c>
      <c r="G73" s="90">
        <v>0</v>
      </c>
      <c r="H73" s="90">
        <v>243526</v>
      </c>
      <c r="I73" s="90">
        <v>0</v>
      </c>
      <c r="J73" s="90">
        <v>0</v>
      </c>
      <c r="K73" s="91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2">
        <v>2020</v>
      </c>
    </row>
    <row r="74" spans="1:28" s="1" customFormat="1" ht="35.25" customHeight="1" x14ac:dyDescent="0.5">
      <c r="A74" s="1">
        <v>1</v>
      </c>
      <c r="B74" s="39">
        <f>SUBTOTAL(103,$A$11:A74)</f>
        <v>62</v>
      </c>
      <c r="C74" s="86" t="s">
        <v>476</v>
      </c>
      <c r="D74" s="87">
        <f t="shared" si="3"/>
        <v>1088631</v>
      </c>
      <c r="E74" s="90">
        <v>403161</v>
      </c>
      <c r="F74" s="90">
        <v>685470</v>
      </c>
      <c r="G74" s="90">
        <v>0</v>
      </c>
      <c r="H74" s="90">
        <v>0</v>
      </c>
      <c r="I74" s="90">
        <v>0</v>
      </c>
      <c r="J74" s="90">
        <v>0</v>
      </c>
      <c r="K74" s="91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2">
        <v>2020</v>
      </c>
    </row>
    <row r="75" spans="1:28" s="1" customFormat="1" ht="35.25" customHeight="1" x14ac:dyDescent="0.5">
      <c r="A75" s="1">
        <v>1</v>
      </c>
      <c r="B75" s="39">
        <f>SUBTOTAL(103,$A$11:A75)</f>
        <v>63</v>
      </c>
      <c r="C75" s="86" t="s">
        <v>477</v>
      </c>
      <c r="D75" s="87">
        <f t="shared" si="3"/>
        <v>246963</v>
      </c>
      <c r="E75" s="90">
        <v>0</v>
      </c>
      <c r="F75" s="90">
        <v>246963</v>
      </c>
      <c r="G75" s="90">
        <v>0</v>
      </c>
      <c r="H75" s="90">
        <v>0</v>
      </c>
      <c r="I75" s="90">
        <v>0</v>
      </c>
      <c r="J75" s="90">
        <v>0</v>
      </c>
      <c r="K75" s="91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2">
        <v>2020</v>
      </c>
    </row>
    <row r="76" spans="1:28" s="1" customFormat="1" ht="35.25" customHeight="1" x14ac:dyDescent="0.5">
      <c r="A76" s="1">
        <v>1</v>
      </c>
      <c r="B76" s="39">
        <f>SUBTOTAL(103,$A$11:A76)</f>
        <v>64</v>
      </c>
      <c r="C76" s="86" t="s">
        <v>478</v>
      </c>
      <c r="D76" s="87">
        <f t="shared" si="3"/>
        <v>1291286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0</v>
      </c>
      <c r="K76" s="91">
        <v>0</v>
      </c>
      <c r="L76" s="90">
        <v>0</v>
      </c>
      <c r="M76" s="90">
        <v>1291286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2">
        <v>2020</v>
      </c>
    </row>
    <row r="77" spans="1:28" s="1" customFormat="1" ht="35.25" customHeight="1" x14ac:dyDescent="0.5">
      <c r="A77" s="1">
        <v>1</v>
      </c>
      <c r="B77" s="39">
        <f>SUBTOTAL(103,$A$11:A77)</f>
        <v>65</v>
      </c>
      <c r="C77" s="86" t="s">
        <v>479</v>
      </c>
      <c r="D77" s="87">
        <f t="shared" si="3"/>
        <v>543017.86</v>
      </c>
      <c r="E77" s="90">
        <v>0</v>
      </c>
      <c r="F77" s="90">
        <v>0</v>
      </c>
      <c r="G77" s="90">
        <v>0</v>
      </c>
      <c r="H77" s="90">
        <v>0</v>
      </c>
      <c r="I77" s="90">
        <v>0</v>
      </c>
      <c r="J77" s="90">
        <v>0</v>
      </c>
      <c r="K77" s="91">
        <v>0</v>
      </c>
      <c r="L77" s="90">
        <v>0</v>
      </c>
      <c r="M77" s="90">
        <v>0</v>
      </c>
      <c r="N77" s="90">
        <v>0</v>
      </c>
      <c r="O77" s="90">
        <v>543017.86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2">
        <v>2020</v>
      </c>
    </row>
    <row r="78" spans="1:28" s="1" customFormat="1" ht="35.25" customHeight="1" x14ac:dyDescent="0.5">
      <c r="A78" s="1">
        <v>1</v>
      </c>
      <c r="B78" s="39">
        <f>SUBTOTAL(103,$A$11:A78)</f>
        <v>66</v>
      </c>
      <c r="C78" s="86" t="s">
        <v>480</v>
      </c>
      <c r="D78" s="87">
        <f t="shared" si="3"/>
        <v>866755.67</v>
      </c>
      <c r="E78" s="90">
        <v>179437.21</v>
      </c>
      <c r="F78" s="90">
        <v>297679.21000000002</v>
      </c>
      <c r="G78" s="90">
        <v>0</v>
      </c>
      <c r="H78" s="90">
        <v>0</v>
      </c>
      <c r="I78" s="90">
        <v>0</v>
      </c>
      <c r="J78" s="90">
        <v>0</v>
      </c>
      <c r="K78" s="91">
        <v>0</v>
      </c>
      <c r="L78" s="90">
        <v>0</v>
      </c>
      <c r="M78" s="90">
        <v>0</v>
      </c>
      <c r="N78" s="90">
        <v>0</v>
      </c>
      <c r="O78" s="90">
        <v>389639.25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2">
        <v>2020</v>
      </c>
    </row>
    <row r="79" spans="1:28" s="1" customFormat="1" ht="35.25" customHeight="1" x14ac:dyDescent="0.5">
      <c r="A79" s="1">
        <v>1</v>
      </c>
      <c r="B79" s="39">
        <f>SUBTOTAL(103,$A$11:A79)</f>
        <v>67</v>
      </c>
      <c r="C79" s="95" t="s">
        <v>585</v>
      </c>
      <c r="D79" s="87">
        <v>1468076</v>
      </c>
      <c r="E79" s="93">
        <v>0</v>
      </c>
      <c r="F79" s="93">
        <v>0</v>
      </c>
      <c r="G79" s="93">
        <v>0</v>
      </c>
      <c r="H79" s="93">
        <v>0</v>
      </c>
      <c r="I79" s="93">
        <v>0</v>
      </c>
      <c r="J79" s="93">
        <v>0</v>
      </c>
      <c r="K79" s="94">
        <v>0</v>
      </c>
      <c r="L79" s="93">
        <v>0</v>
      </c>
      <c r="M79" s="93">
        <v>1468076</v>
      </c>
      <c r="N79" s="93">
        <v>0</v>
      </c>
      <c r="O79" s="93">
        <v>0</v>
      </c>
      <c r="P79" s="93">
        <v>0</v>
      </c>
      <c r="Q79" s="93">
        <v>0</v>
      </c>
      <c r="R79" s="93">
        <v>0</v>
      </c>
      <c r="S79" s="93">
        <v>0</v>
      </c>
      <c r="T79" s="93">
        <v>0</v>
      </c>
      <c r="U79" s="93">
        <v>0</v>
      </c>
      <c r="V79" s="93">
        <v>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2">
        <v>2020</v>
      </c>
    </row>
    <row r="80" spans="1:28" s="1" customFormat="1" ht="35.25" customHeight="1" x14ac:dyDescent="0.5">
      <c r="A80" s="1">
        <v>1</v>
      </c>
      <c r="B80" s="39">
        <f>SUBTOTAL(103,$A$11:A80)</f>
        <v>68</v>
      </c>
      <c r="C80" s="95" t="s">
        <v>586</v>
      </c>
      <c r="D80" s="87">
        <v>364586</v>
      </c>
      <c r="E80" s="93">
        <v>0</v>
      </c>
      <c r="F80" s="93">
        <v>0</v>
      </c>
      <c r="G80" s="93">
        <v>0</v>
      </c>
      <c r="H80" s="93">
        <v>0</v>
      </c>
      <c r="I80" s="93">
        <v>0</v>
      </c>
      <c r="J80" s="93">
        <v>0</v>
      </c>
      <c r="K80" s="94">
        <v>0</v>
      </c>
      <c r="L80" s="93">
        <v>0</v>
      </c>
      <c r="M80" s="93">
        <v>0</v>
      </c>
      <c r="N80" s="93">
        <v>0</v>
      </c>
      <c r="O80" s="93">
        <v>364586</v>
      </c>
      <c r="P80" s="93">
        <v>0</v>
      </c>
      <c r="Q80" s="93">
        <v>0</v>
      </c>
      <c r="R80" s="93">
        <v>0</v>
      </c>
      <c r="S80" s="93">
        <v>0</v>
      </c>
      <c r="T80" s="93">
        <v>0</v>
      </c>
      <c r="U80" s="93">
        <v>0</v>
      </c>
      <c r="V80" s="93">
        <v>0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2">
        <v>2020</v>
      </c>
    </row>
    <row r="81" spans="1:28" s="1" customFormat="1" ht="35.25" customHeight="1" x14ac:dyDescent="0.5">
      <c r="A81" s="1">
        <v>1</v>
      </c>
      <c r="B81" s="39">
        <f>SUBTOTAL(103,$A$11:A81)</f>
        <v>69</v>
      </c>
      <c r="C81" s="95" t="s">
        <v>587</v>
      </c>
      <c r="D81" s="87">
        <v>216731.11</v>
      </c>
      <c r="E81" s="93">
        <v>0</v>
      </c>
      <c r="F81" s="93">
        <v>216731.11</v>
      </c>
      <c r="G81" s="93">
        <v>0</v>
      </c>
      <c r="H81" s="93">
        <v>0</v>
      </c>
      <c r="I81" s="93">
        <v>0</v>
      </c>
      <c r="J81" s="93">
        <v>0</v>
      </c>
      <c r="K81" s="94">
        <v>0</v>
      </c>
      <c r="L81" s="93">
        <v>0</v>
      </c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>
        <v>0</v>
      </c>
      <c r="V81" s="93">
        <v>0</v>
      </c>
      <c r="W81" s="93">
        <v>0</v>
      </c>
      <c r="X81" s="93">
        <v>0</v>
      </c>
      <c r="Y81" s="93">
        <v>0</v>
      </c>
      <c r="Z81" s="93">
        <v>0</v>
      </c>
      <c r="AA81" s="93">
        <v>0</v>
      </c>
      <c r="AB81" s="92">
        <v>2020</v>
      </c>
    </row>
    <row r="82" spans="1:28" s="1" customFormat="1" ht="35.25" customHeight="1" x14ac:dyDescent="0.5">
      <c r="A82" s="1">
        <v>1</v>
      </c>
      <c r="B82" s="39">
        <f>SUBTOTAL(103,$A$11:A82)</f>
        <v>70</v>
      </c>
      <c r="C82" s="95" t="s">
        <v>588</v>
      </c>
      <c r="D82" s="87">
        <v>610300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4">
        <v>0</v>
      </c>
      <c r="L82" s="93">
        <v>0</v>
      </c>
      <c r="M82" s="93">
        <v>0</v>
      </c>
      <c r="N82" s="93">
        <v>0</v>
      </c>
      <c r="O82" s="93">
        <v>610300</v>
      </c>
      <c r="P82" s="93">
        <v>0</v>
      </c>
      <c r="Q82" s="93">
        <v>0</v>
      </c>
      <c r="R82" s="93">
        <v>0</v>
      </c>
      <c r="S82" s="93">
        <v>0</v>
      </c>
      <c r="T82" s="93">
        <v>0</v>
      </c>
      <c r="U82" s="93">
        <v>0</v>
      </c>
      <c r="V82" s="93">
        <v>0</v>
      </c>
      <c r="W82" s="93">
        <v>0</v>
      </c>
      <c r="X82" s="93">
        <v>0</v>
      </c>
      <c r="Y82" s="93">
        <v>0</v>
      </c>
      <c r="Z82" s="93">
        <v>0</v>
      </c>
      <c r="AA82" s="93">
        <v>0</v>
      </c>
      <c r="AB82" s="92">
        <v>2020</v>
      </c>
    </row>
    <row r="83" spans="1:28" s="1" customFormat="1" ht="35.25" customHeight="1" x14ac:dyDescent="0.5">
      <c r="A83" s="1">
        <v>1</v>
      </c>
      <c r="B83" s="39">
        <f>SUBTOTAL(103,$A$11:A83)</f>
        <v>71</v>
      </c>
      <c r="C83" s="95" t="s">
        <v>589</v>
      </c>
      <c r="D83" s="87">
        <v>57079.75</v>
      </c>
      <c r="E83" s="93">
        <v>0</v>
      </c>
      <c r="F83" s="93">
        <v>57079.75</v>
      </c>
      <c r="G83" s="93">
        <v>0</v>
      </c>
      <c r="H83" s="93">
        <v>0</v>
      </c>
      <c r="I83" s="93">
        <v>0</v>
      </c>
      <c r="J83" s="93">
        <v>0</v>
      </c>
      <c r="K83" s="94">
        <v>0</v>
      </c>
      <c r="L83" s="93">
        <v>0</v>
      </c>
      <c r="M83" s="93">
        <v>0</v>
      </c>
      <c r="N83" s="93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>
        <v>0</v>
      </c>
      <c r="V83" s="93">
        <v>0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2">
        <v>2020</v>
      </c>
    </row>
    <row r="84" spans="1:28" s="1" customFormat="1" ht="35.25" customHeight="1" x14ac:dyDescent="0.5">
      <c r="A84" s="1">
        <v>1</v>
      </c>
      <c r="B84" s="39">
        <f>SUBTOTAL(103,$A$11:A84)</f>
        <v>72</v>
      </c>
      <c r="C84" s="95" t="s">
        <v>590</v>
      </c>
      <c r="D84" s="87">
        <v>1394395.75</v>
      </c>
      <c r="E84" s="93">
        <v>0</v>
      </c>
      <c r="F84" s="93">
        <v>0</v>
      </c>
      <c r="G84" s="93">
        <v>0</v>
      </c>
      <c r="H84" s="93">
        <v>0</v>
      </c>
      <c r="I84" s="93">
        <v>0</v>
      </c>
      <c r="J84" s="93">
        <v>0</v>
      </c>
      <c r="K84" s="94">
        <v>0</v>
      </c>
      <c r="L84" s="93">
        <v>0</v>
      </c>
      <c r="M84" s="93">
        <v>1394395.75</v>
      </c>
      <c r="N84" s="93">
        <v>0</v>
      </c>
      <c r="O84" s="93">
        <v>0</v>
      </c>
      <c r="P84" s="93">
        <v>0</v>
      </c>
      <c r="Q84" s="93">
        <v>0</v>
      </c>
      <c r="R84" s="93">
        <v>0</v>
      </c>
      <c r="S84" s="93">
        <v>0</v>
      </c>
      <c r="T84" s="93">
        <v>0</v>
      </c>
      <c r="U84" s="93">
        <v>0</v>
      </c>
      <c r="V84" s="93">
        <v>0</v>
      </c>
      <c r="W84" s="93">
        <v>0</v>
      </c>
      <c r="X84" s="93">
        <v>0</v>
      </c>
      <c r="Y84" s="93">
        <v>0</v>
      </c>
      <c r="Z84" s="93">
        <v>0</v>
      </c>
      <c r="AA84" s="93">
        <v>0</v>
      </c>
      <c r="AB84" s="92">
        <v>2020</v>
      </c>
    </row>
    <row r="85" spans="1:28" s="1" customFormat="1" ht="35.25" customHeight="1" x14ac:dyDescent="0.5">
      <c r="A85" s="1">
        <v>1</v>
      </c>
      <c r="B85" s="39">
        <f>SUBTOTAL(103,$A$11:A85)</f>
        <v>73</v>
      </c>
      <c r="C85" s="95" t="s">
        <v>591</v>
      </c>
      <c r="D85" s="87">
        <v>592148.92000000004</v>
      </c>
      <c r="E85" s="93">
        <v>592148.92000000004</v>
      </c>
      <c r="F85" s="93">
        <v>0</v>
      </c>
      <c r="G85" s="93">
        <v>0</v>
      </c>
      <c r="H85" s="93">
        <v>0</v>
      </c>
      <c r="I85" s="93">
        <v>0</v>
      </c>
      <c r="J85" s="93">
        <v>0</v>
      </c>
      <c r="K85" s="94">
        <v>0</v>
      </c>
      <c r="L85" s="93">
        <v>0</v>
      </c>
      <c r="M85" s="93">
        <v>0</v>
      </c>
      <c r="N85" s="93">
        <v>0</v>
      </c>
      <c r="O85" s="93">
        <v>0</v>
      </c>
      <c r="P85" s="93">
        <v>0</v>
      </c>
      <c r="Q85" s="93">
        <v>0</v>
      </c>
      <c r="R85" s="93">
        <v>0</v>
      </c>
      <c r="S85" s="93">
        <v>0</v>
      </c>
      <c r="T85" s="93">
        <v>0</v>
      </c>
      <c r="U85" s="93">
        <v>0</v>
      </c>
      <c r="V85" s="93">
        <v>0</v>
      </c>
      <c r="W85" s="93">
        <v>0</v>
      </c>
      <c r="X85" s="93">
        <v>0</v>
      </c>
      <c r="Y85" s="93">
        <v>0</v>
      </c>
      <c r="Z85" s="93">
        <v>0</v>
      </c>
      <c r="AA85" s="93">
        <v>0</v>
      </c>
      <c r="AB85" s="92">
        <v>2020</v>
      </c>
    </row>
    <row r="86" spans="1:28" s="1" customFormat="1" ht="35.25" customHeight="1" x14ac:dyDescent="0.5">
      <c r="A86" s="1">
        <v>1</v>
      </c>
      <c r="B86" s="39">
        <f>SUBTOTAL(103,$A$11:A86)</f>
        <v>74</v>
      </c>
      <c r="C86" s="95" t="s">
        <v>592</v>
      </c>
      <c r="D86" s="87">
        <v>3000000</v>
      </c>
      <c r="E86" s="93">
        <v>0</v>
      </c>
      <c r="F86" s="93">
        <v>0</v>
      </c>
      <c r="G86" s="93">
        <v>0</v>
      </c>
      <c r="H86" s="93">
        <v>0</v>
      </c>
      <c r="I86" s="93">
        <v>0</v>
      </c>
      <c r="J86" s="93">
        <v>0</v>
      </c>
      <c r="K86" s="94">
        <v>0</v>
      </c>
      <c r="L86" s="93">
        <v>0</v>
      </c>
      <c r="M86" s="93">
        <v>3000000</v>
      </c>
      <c r="N86" s="93">
        <v>0</v>
      </c>
      <c r="O86" s="93">
        <v>0</v>
      </c>
      <c r="P86" s="93">
        <v>0</v>
      </c>
      <c r="Q86" s="93">
        <v>0</v>
      </c>
      <c r="R86" s="93">
        <v>0</v>
      </c>
      <c r="S86" s="93">
        <v>0</v>
      </c>
      <c r="T86" s="93">
        <v>0</v>
      </c>
      <c r="U86" s="93">
        <v>0</v>
      </c>
      <c r="V86" s="93">
        <v>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2">
        <v>2020</v>
      </c>
    </row>
    <row r="87" spans="1:28" s="1" customFormat="1" ht="35.25" customHeight="1" x14ac:dyDescent="0.5">
      <c r="A87" s="1">
        <v>1</v>
      </c>
      <c r="B87" s="39">
        <f>SUBTOTAL(103,$A$11:A87)</f>
        <v>75</v>
      </c>
      <c r="C87" s="95" t="s">
        <v>593</v>
      </c>
      <c r="D87" s="87">
        <v>1004458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4">
        <v>0</v>
      </c>
      <c r="L87" s="93">
        <v>0</v>
      </c>
      <c r="M87" s="93">
        <v>1004458</v>
      </c>
      <c r="N87" s="93">
        <v>0</v>
      </c>
      <c r="O87" s="93">
        <v>0</v>
      </c>
      <c r="P87" s="93">
        <v>0</v>
      </c>
      <c r="Q87" s="93">
        <v>0</v>
      </c>
      <c r="R87" s="93">
        <v>0</v>
      </c>
      <c r="S87" s="93">
        <v>0</v>
      </c>
      <c r="T87" s="93">
        <v>0</v>
      </c>
      <c r="U87" s="93">
        <v>0</v>
      </c>
      <c r="V87" s="93">
        <v>0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2">
        <v>2020</v>
      </c>
    </row>
    <row r="88" spans="1:28" s="1" customFormat="1" ht="35.25" customHeight="1" x14ac:dyDescent="0.5">
      <c r="A88" s="1">
        <v>1</v>
      </c>
      <c r="B88" s="39">
        <f>SUBTOTAL(103,$A$11:A88)</f>
        <v>76</v>
      </c>
      <c r="C88" s="95" t="s">
        <v>594</v>
      </c>
      <c r="D88" s="87">
        <v>897668.63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4">
        <v>0</v>
      </c>
      <c r="L88" s="93">
        <v>0</v>
      </c>
      <c r="M88" s="93">
        <v>811166.63</v>
      </c>
      <c r="N88" s="93">
        <v>0</v>
      </c>
      <c r="O88" s="93">
        <v>86502</v>
      </c>
      <c r="P88" s="93">
        <v>0</v>
      </c>
      <c r="Q88" s="93">
        <v>0</v>
      </c>
      <c r="R88" s="93">
        <v>0</v>
      </c>
      <c r="S88" s="93">
        <v>0</v>
      </c>
      <c r="T88" s="93">
        <v>0</v>
      </c>
      <c r="U88" s="93">
        <v>0</v>
      </c>
      <c r="V88" s="93">
        <v>0</v>
      </c>
      <c r="W88" s="93">
        <v>0</v>
      </c>
      <c r="X88" s="93">
        <v>0</v>
      </c>
      <c r="Y88" s="93">
        <v>0</v>
      </c>
      <c r="Z88" s="93">
        <v>0</v>
      </c>
      <c r="AA88" s="93">
        <v>0</v>
      </c>
      <c r="AB88" s="92">
        <v>2020</v>
      </c>
    </row>
    <row r="89" spans="1:28" s="1" customFormat="1" ht="35.25" customHeight="1" x14ac:dyDescent="0.5">
      <c r="A89" s="1">
        <v>1</v>
      </c>
      <c r="B89" s="39">
        <f>SUBTOTAL(103,$A$11:A89)</f>
        <v>77</v>
      </c>
      <c r="C89" s="95" t="s">
        <v>595</v>
      </c>
      <c r="D89" s="87">
        <v>1450004</v>
      </c>
      <c r="E89" s="93">
        <v>0</v>
      </c>
      <c r="F89" s="93">
        <v>0</v>
      </c>
      <c r="G89" s="93">
        <v>0</v>
      </c>
      <c r="H89" s="93">
        <v>0</v>
      </c>
      <c r="I89" s="93">
        <v>0</v>
      </c>
      <c r="J89" s="93">
        <v>0</v>
      </c>
      <c r="K89" s="94">
        <v>0</v>
      </c>
      <c r="L89" s="93">
        <v>0</v>
      </c>
      <c r="M89" s="93">
        <v>1450004</v>
      </c>
      <c r="N89" s="93">
        <v>0</v>
      </c>
      <c r="O89" s="93">
        <v>0</v>
      </c>
      <c r="P89" s="93">
        <v>0</v>
      </c>
      <c r="Q89" s="93">
        <v>0</v>
      </c>
      <c r="R89" s="93">
        <v>0</v>
      </c>
      <c r="S89" s="93">
        <v>0</v>
      </c>
      <c r="T89" s="93">
        <v>0</v>
      </c>
      <c r="U89" s="93">
        <v>0</v>
      </c>
      <c r="V89" s="93">
        <v>0</v>
      </c>
      <c r="W89" s="93">
        <v>0</v>
      </c>
      <c r="X89" s="93">
        <v>0</v>
      </c>
      <c r="Y89" s="93">
        <v>0</v>
      </c>
      <c r="Z89" s="93">
        <v>0</v>
      </c>
      <c r="AA89" s="93">
        <v>0</v>
      </c>
      <c r="AB89" s="92">
        <v>2020</v>
      </c>
    </row>
    <row r="90" spans="1:28" s="1" customFormat="1" ht="35.25" customHeight="1" x14ac:dyDescent="0.5">
      <c r="A90" s="1">
        <v>1</v>
      </c>
      <c r="B90" s="39">
        <f>SUBTOTAL(103,$A$11:A90)</f>
        <v>78</v>
      </c>
      <c r="C90" s="95" t="s">
        <v>596</v>
      </c>
      <c r="D90" s="87">
        <v>448868</v>
      </c>
      <c r="E90" s="93">
        <v>130822</v>
      </c>
      <c r="F90" s="93">
        <v>130822</v>
      </c>
      <c r="G90" s="93">
        <v>0</v>
      </c>
      <c r="H90" s="93">
        <v>0</v>
      </c>
      <c r="I90" s="93">
        <v>0</v>
      </c>
      <c r="J90" s="93">
        <v>0</v>
      </c>
      <c r="K90" s="94">
        <v>0</v>
      </c>
      <c r="L90" s="93">
        <v>0</v>
      </c>
      <c r="M90" s="93">
        <v>0</v>
      </c>
      <c r="N90" s="93">
        <v>0</v>
      </c>
      <c r="O90" s="93">
        <v>187224</v>
      </c>
      <c r="P90" s="93">
        <v>0</v>
      </c>
      <c r="Q90" s="93">
        <v>0</v>
      </c>
      <c r="R90" s="93">
        <v>0</v>
      </c>
      <c r="S90" s="93">
        <v>0</v>
      </c>
      <c r="T90" s="93">
        <v>0</v>
      </c>
      <c r="U90" s="93">
        <v>0</v>
      </c>
      <c r="V90" s="93">
        <v>0</v>
      </c>
      <c r="W90" s="93">
        <v>0</v>
      </c>
      <c r="X90" s="93">
        <v>0</v>
      </c>
      <c r="Y90" s="93">
        <v>0</v>
      </c>
      <c r="Z90" s="93">
        <v>0</v>
      </c>
      <c r="AA90" s="93">
        <v>0</v>
      </c>
      <c r="AB90" s="92">
        <v>2020</v>
      </c>
    </row>
    <row r="91" spans="1:28" s="1" customFormat="1" ht="35.25" customHeight="1" x14ac:dyDescent="0.5">
      <c r="A91" s="1">
        <v>1</v>
      </c>
      <c r="B91" s="39">
        <f>SUBTOTAL(103,$A$11:A91)</f>
        <v>79</v>
      </c>
      <c r="C91" s="95" t="s">
        <v>597</v>
      </c>
      <c r="D91" s="87">
        <v>1111226.33</v>
      </c>
      <c r="E91" s="93">
        <v>0</v>
      </c>
      <c r="F91" s="93">
        <v>0</v>
      </c>
      <c r="G91" s="93">
        <v>0</v>
      </c>
      <c r="H91" s="93">
        <v>0</v>
      </c>
      <c r="I91" s="93">
        <v>0</v>
      </c>
      <c r="J91" s="93">
        <v>0</v>
      </c>
      <c r="K91" s="94">
        <v>0</v>
      </c>
      <c r="L91" s="93">
        <v>0</v>
      </c>
      <c r="M91" s="93">
        <v>1111226.33</v>
      </c>
      <c r="N91" s="93">
        <v>0</v>
      </c>
      <c r="O91" s="93">
        <v>0</v>
      </c>
      <c r="P91" s="93">
        <v>0</v>
      </c>
      <c r="Q91" s="93">
        <v>0</v>
      </c>
      <c r="R91" s="93">
        <v>0</v>
      </c>
      <c r="S91" s="93">
        <v>0</v>
      </c>
      <c r="T91" s="93">
        <v>0</v>
      </c>
      <c r="U91" s="93">
        <v>0</v>
      </c>
      <c r="V91" s="93">
        <v>0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2">
        <v>2020</v>
      </c>
    </row>
    <row r="92" spans="1:28" s="1" customFormat="1" ht="35.25" customHeight="1" x14ac:dyDescent="0.5">
      <c r="A92" s="1">
        <v>1</v>
      </c>
      <c r="B92" s="39">
        <f>SUBTOTAL(103,$A$11:A92)</f>
        <v>80</v>
      </c>
      <c r="C92" s="95" t="s">
        <v>598</v>
      </c>
      <c r="D92" s="87">
        <v>252000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4">
        <v>0</v>
      </c>
      <c r="L92" s="93">
        <v>0</v>
      </c>
      <c r="M92" s="93">
        <v>0</v>
      </c>
      <c r="N92" s="93">
        <v>0</v>
      </c>
      <c r="O92" s="93">
        <v>252000</v>
      </c>
      <c r="P92" s="93">
        <v>0</v>
      </c>
      <c r="Q92" s="93">
        <v>0</v>
      </c>
      <c r="R92" s="93">
        <v>0</v>
      </c>
      <c r="S92" s="93">
        <v>0</v>
      </c>
      <c r="T92" s="93">
        <v>0</v>
      </c>
      <c r="U92" s="93">
        <v>0</v>
      </c>
      <c r="V92" s="93">
        <v>0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2">
        <v>2020</v>
      </c>
    </row>
    <row r="93" spans="1:28" s="1" customFormat="1" ht="35.25" customHeight="1" x14ac:dyDescent="0.5">
      <c r="A93" s="1">
        <v>1</v>
      </c>
      <c r="B93" s="39">
        <f>SUBTOTAL(103,$A$11:A93)</f>
        <v>81</v>
      </c>
      <c r="C93" s="95" t="s">
        <v>599</v>
      </c>
      <c r="D93" s="87">
        <v>1736821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4">
        <v>0</v>
      </c>
      <c r="L93" s="93">
        <v>0</v>
      </c>
      <c r="M93" s="93">
        <v>1736821</v>
      </c>
      <c r="N93" s="93">
        <v>0</v>
      </c>
      <c r="O93" s="93">
        <v>0</v>
      </c>
      <c r="P93" s="93">
        <v>0</v>
      </c>
      <c r="Q93" s="93">
        <v>0</v>
      </c>
      <c r="R93" s="93">
        <v>0</v>
      </c>
      <c r="S93" s="93">
        <v>0</v>
      </c>
      <c r="T93" s="93">
        <v>0</v>
      </c>
      <c r="U93" s="93">
        <v>0</v>
      </c>
      <c r="V93" s="93">
        <v>0</v>
      </c>
      <c r="W93" s="93">
        <v>0</v>
      </c>
      <c r="X93" s="93">
        <v>0</v>
      </c>
      <c r="Y93" s="93">
        <v>0</v>
      </c>
      <c r="Z93" s="93">
        <v>0</v>
      </c>
      <c r="AA93" s="93">
        <v>0</v>
      </c>
      <c r="AB93" s="92">
        <v>2020</v>
      </c>
    </row>
    <row r="94" spans="1:28" s="1" customFormat="1" ht="35.25" customHeight="1" x14ac:dyDescent="0.5">
      <c r="A94" s="1">
        <v>1</v>
      </c>
      <c r="B94" s="39">
        <f>SUBTOTAL(103,$A$11:A94)</f>
        <v>82</v>
      </c>
      <c r="C94" s="95" t="s">
        <v>600</v>
      </c>
      <c r="D94" s="87">
        <v>1164297</v>
      </c>
      <c r="E94" s="93">
        <v>0</v>
      </c>
      <c r="F94" s="93">
        <v>0</v>
      </c>
      <c r="G94" s="93">
        <v>0</v>
      </c>
      <c r="H94" s="93">
        <v>0</v>
      </c>
      <c r="I94" s="93">
        <v>0</v>
      </c>
      <c r="J94" s="93">
        <v>0</v>
      </c>
      <c r="K94" s="94">
        <v>0</v>
      </c>
      <c r="L94" s="93">
        <v>0</v>
      </c>
      <c r="M94" s="93">
        <v>1164297</v>
      </c>
      <c r="N94" s="93">
        <v>0</v>
      </c>
      <c r="O94" s="93">
        <v>0</v>
      </c>
      <c r="P94" s="93">
        <v>0</v>
      </c>
      <c r="Q94" s="93">
        <v>0</v>
      </c>
      <c r="R94" s="93">
        <v>0</v>
      </c>
      <c r="S94" s="93">
        <v>0</v>
      </c>
      <c r="T94" s="93">
        <v>0</v>
      </c>
      <c r="U94" s="93">
        <v>0</v>
      </c>
      <c r="V94" s="93">
        <v>0</v>
      </c>
      <c r="W94" s="93">
        <v>0</v>
      </c>
      <c r="X94" s="93">
        <v>0</v>
      </c>
      <c r="Y94" s="93">
        <v>0</v>
      </c>
      <c r="Z94" s="93">
        <v>0</v>
      </c>
      <c r="AA94" s="93">
        <v>0</v>
      </c>
      <c r="AB94" s="92">
        <v>2020</v>
      </c>
    </row>
    <row r="95" spans="1:28" s="1" customFormat="1" ht="35.25" customHeight="1" x14ac:dyDescent="0.5">
      <c r="A95" s="1">
        <v>1</v>
      </c>
      <c r="B95" s="39">
        <f>SUBTOTAL(103,$A$11:A95)</f>
        <v>83</v>
      </c>
      <c r="C95" s="95" t="s">
        <v>601</v>
      </c>
      <c r="D95" s="87">
        <v>1475513.91</v>
      </c>
      <c r="E95" s="93">
        <v>0</v>
      </c>
      <c r="F95" s="93">
        <v>0</v>
      </c>
      <c r="G95" s="93">
        <v>0</v>
      </c>
      <c r="H95" s="93">
        <v>0</v>
      </c>
      <c r="I95" s="93">
        <v>0</v>
      </c>
      <c r="J95" s="93">
        <v>0</v>
      </c>
      <c r="K95" s="94">
        <v>0</v>
      </c>
      <c r="L95" s="93">
        <v>0</v>
      </c>
      <c r="M95" s="93">
        <v>1475513.91</v>
      </c>
      <c r="N95" s="93">
        <v>0</v>
      </c>
      <c r="O95" s="93">
        <v>0</v>
      </c>
      <c r="P95" s="93">
        <v>0</v>
      </c>
      <c r="Q95" s="93">
        <v>0</v>
      </c>
      <c r="R95" s="93">
        <v>0</v>
      </c>
      <c r="S95" s="93">
        <v>0</v>
      </c>
      <c r="T95" s="93">
        <v>0</v>
      </c>
      <c r="U95" s="93">
        <v>0</v>
      </c>
      <c r="V95" s="93">
        <v>0</v>
      </c>
      <c r="W95" s="93">
        <v>0</v>
      </c>
      <c r="X95" s="93">
        <v>0</v>
      </c>
      <c r="Y95" s="93">
        <v>0</v>
      </c>
      <c r="Z95" s="93">
        <v>0</v>
      </c>
      <c r="AA95" s="93">
        <v>0</v>
      </c>
      <c r="AB95" s="92">
        <v>2020</v>
      </c>
    </row>
    <row r="96" spans="1:28" s="1" customFormat="1" ht="35.25" customHeight="1" x14ac:dyDescent="0.5">
      <c r="A96" s="1">
        <v>1</v>
      </c>
      <c r="B96" s="39">
        <f>SUBTOTAL(103,$A$11:A96)</f>
        <v>84</v>
      </c>
      <c r="C96" s="95" t="s">
        <v>602</v>
      </c>
      <c r="D96" s="87">
        <v>256701.14</v>
      </c>
      <c r="E96" s="93">
        <v>0</v>
      </c>
      <c r="F96" s="93">
        <v>0</v>
      </c>
      <c r="G96" s="93">
        <v>0</v>
      </c>
      <c r="H96" s="93">
        <v>0</v>
      </c>
      <c r="I96" s="93">
        <v>0</v>
      </c>
      <c r="J96" s="93">
        <v>0</v>
      </c>
      <c r="K96" s="94">
        <v>0</v>
      </c>
      <c r="L96" s="93">
        <v>0</v>
      </c>
      <c r="M96" s="93">
        <v>0</v>
      </c>
      <c r="N96" s="93">
        <v>0</v>
      </c>
      <c r="O96" s="93">
        <v>256701.14</v>
      </c>
      <c r="P96" s="93">
        <v>0</v>
      </c>
      <c r="Q96" s="93">
        <v>0</v>
      </c>
      <c r="R96" s="93">
        <v>0</v>
      </c>
      <c r="S96" s="93">
        <v>0</v>
      </c>
      <c r="T96" s="93">
        <v>0</v>
      </c>
      <c r="U96" s="93">
        <v>0</v>
      </c>
      <c r="V96" s="93">
        <v>0</v>
      </c>
      <c r="W96" s="93">
        <v>0</v>
      </c>
      <c r="X96" s="93">
        <v>0</v>
      </c>
      <c r="Y96" s="93">
        <v>0</v>
      </c>
      <c r="Z96" s="93">
        <v>0</v>
      </c>
      <c r="AA96" s="93">
        <v>0</v>
      </c>
      <c r="AB96" s="92">
        <v>2020</v>
      </c>
    </row>
    <row r="97" spans="1:28" s="1" customFormat="1" ht="35.25" customHeight="1" x14ac:dyDescent="0.5">
      <c r="A97" s="1">
        <v>1</v>
      </c>
      <c r="B97" s="39">
        <f>SUBTOTAL(103,$A$11:A97)</f>
        <v>85</v>
      </c>
      <c r="C97" s="95" t="s">
        <v>603</v>
      </c>
      <c r="D97" s="87">
        <v>428327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4">
        <v>0</v>
      </c>
      <c r="L97" s="93">
        <v>0</v>
      </c>
      <c r="M97" s="93">
        <v>0</v>
      </c>
      <c r="N97" s="93">
        <v>35600</v>
      </c>
      <c r="O97" s="93">
        <v>392727</v>
      </c>
      <c r="P97" s="93">
        <v>0</v>
      </c>
      <c r="Q97" s="93">
        <v>0</v>
      </c>
      <c r="R97" s="93">
        <v>0</v>
      </c>
      <c r="S97" s="93">
        <v>0</v>
      </c>
      <c r="T97" s="93">
        <v>0</v>
      </c>
      <c r="U97" s="93">
        <v>0</v>
      </c>
      <c r="V97" s="93">
        <v>0</v>
      </c>
      <c r="W97" s="93">
        <v>0</v>
      </c>
      <c r="X97" s="93">
        <v>0</v>
      </c>
      <c r="Y97" s="93">
        <v>0</v>
      </c>
      <c r="Z97" s="93">
        <v>0</v>
      </c>
      <c r="AA97" s="93">
        <v>0</v>
      </c>
      <c r="AB97" s="92">
        <v>2020</v>
      </c>
    </row>
    <row r="98" spans="1:28" s="1" customFormat="1" ht="35.25" customHeight="1" x14ac:dyDescent="0.5">
      <c r="A98" s="1">
        <v>1</v>
      </c>
      <c r="B98" s="39">
        <f>SUBTOTAL(103,$A$11:A98)</f>
        <v>86</v>
      </c>
      <c r="C98" s="95" t="s">
        <v>604</v>
      </c>
      <c r="D98" s="87">
        <v>351887.78</v>
      </c>
      <c r="E98" s="93">
        <v>0</v>
      </c>
      <c r="F98" s="93">
        <v>0</v>
      </c>
      <c r="G98" s="93">
        <v>351887.78</v>
      </c>
      <c r="H98" s="93">
        <v>0</v>
      </c>
      <c r="I98" s="93">
        <v>0</v>
      </c>
      <c r="J98" s="93">
        <v>0</v>
      </c>
      <c r="K98" s="94">
        <v>0</v>
      </c>
      <c r="L98" s="93">
        <v>0</v>
      </c>
      <c r="M98" s="93">
        <v>0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</v>
      </c>
      <c r="U98" s="93">
        <v>0</v>
      </c>
      <c r="V98" s="93">
        <v>0</v>
      </c>
      <c r="W98" s="93">
        <v>0</v>
      </c>
      <c r="X98" s="93">
        <v>0</v>
      </c>
      <c r="Y98" s="93">
        <v>0</v>
      </c>
      <c r="Z98" s="93">
        <v>0</v>
      </c>
      <c r="AA98" s="93">
        <v>0</v>
      </c>
      <c r="AB98" s="92">
        <v>2020</v>
      </c>
    </row>
    <row r="99" spans="1:28" s="1" customFormat="1" ht="35.25" customHeight="1" x14ac:dyDescent="0.5">
      <c r="A99" s="1">
        <v>1</v>
      </c>
      <c r="B99" s="39">
        <f>SUBTOTAL(103,$A$11:A99)</f>
        <v>87</v>
      </c>
      <c r="C99" s="95" t="s">
        <v>605</v>
      </c>
      <c r="D99" s="87">
        <v>459499</v>
      </c>
      <c r="E99" s="93">
        <v>0</v>
      </c>
      <c r="F99" s="93">
        <v>370499</v>
      </c>
      <c r="G99" s="93">
        <v>0</v>
      </c>
      <c r="H99" s="93">
        <v>0</v>
      </c>
      <c r="I99" s="93">
        <v>0</v>
      </c>
      <c r="J99" s="93">
        <v>0</v>
      </c>
      <c r="K99" s="94">
        <v>0</v>
      </c>
      <c r="L99" s="93">
        <v>0</v>
      </c>
      <c r="M99" s="93">
        <v>0</v>
      </c>
      <c r="N99" s="93">
        <v>0</v>
      </c>
      <c r="O99" s="93">
        <v>0</v>
      </c>
      <c r="P99" s="93">
        <v>0</v>
      </c>
      <c r="Q99" s="93">
        <v>0</v>
      </c>
      <c r="R99" s="93">
        <v>0</v>
      </c>
      <c r="S99" s="93">
        <v>0</v>
      </c>
      <c r="T99" s="93">
        <v>0</v>
      </c>
      <c r="U99" s="93">
        <v>0</v>
      </c>
      <c r="V99" s="93">
        <v>0</v>
      </c>
      <c r="W99" s="93">
        <v>0</v>
      </c>
      <c r="X99" s="93">
        <v>0</v>
      </c>
      <c r="Y99" s="93">
        <v>0</v>
      </c>
      <c r="Z99" s="93">
        <v>89000</v>
      </c>
      <c r="AA99" s="93">
        <v>0</v>
      </c>
      <c r="AB99" s="92">
        <v>2020</v>
      </c>
    </row>
    <row r="100" spans="1:28" s="1" customFormat="1" ht="35.25" customHeight="1" x14ac:dyDescent="0.5">
      <c r="A100" s="1">
        <v>1</v>
      </c>
      <c r="B100" s="39">
        <f>SUBTOTAL(103,$A$11:A100)</f>
        <v>88</v>
      </c>
      <c r="C100" s="95" t="s">
        <v>606</v>
      </c>
      <c r="D100" s="87">
        <v>349658</v>
      </c>
      <c r="E100" s="93">
        <v>0</v>
      </c>
      <c r="F100" s="93">
        <v>0</v>
      </c>
      <c r="G100" s="93">
        <v>0</v>
      </c>
      <c r="H100" s="93">
        <v>0</v>
      </c>
      <c r="I100" s="93">
        <v>0</v>
      </c>
      <c r="J100" s="93">
        <v>0</v>
      </c>
      <c r="K100" s="94">
        <v>0</v>
      </c>
      <c r="L100" s="93">
        <v>0</v>
      </c>
      <c r="M100" s="93">
        <v>349658</v>
      </c>
      <c r="N100" s="93">
        <v>0</v>
      </c>
      <c r="O100" s="93">
        <v>0</v>
      </c>
      <c r="P100" s="93">
        <v>0</v>
      </c>
      <c r="Q100" s="93">
        <v>0</v>
      </c>
      <c r="R100" s="93">
        <v>0</v>
      </c>
      <c r="S100" s="93">
        <v>0</v>
      </c>
      <c r="T100" s="93">
        <v>0</v>
      </c>
      <c r="U100" s="93">
        <v>0</v>
      </c>
      <c r="V100" s="93">
        <v>0</v>
      </c>
      <c r="W100" s="93">
        <v>0</v>
      </c>
      <c r="X100" s="93">
        <v>0</v>
      </c>
      <c r="Y100" s="93">
        <v>0</v>
      </c>
      <c r="Z100" s="93">
        <v>0</v>
      </c>
      <c r="AA100" s="93">
        <v>0</v>
      </c>
      <c r="AB100" s="92">
        <v>2020</v>
      </c>
    </row>
    <row r="101" spans="1:28" s="1" customFormat="1" ht="35.25" customHeight="1" x14ac:dyDescent="0.5">
      <c r="A101" s="1">
        <v>1</v>
      </c>
      <c r="B101" s="39">
        <f>SUBTOTAL(103,$A$11:A101)</f>
        <v>89</v>
      </c>
      <c r="C101" s="95" t="s">
        <v>607</v>
      </c>
      <c r="D101" s="87">
        <v>883385</v>
      </c>
      <c r="E101" s="93">
        <v>0</v>
      </c>
      <c r="F101" s="93">
        <v>0</v>
      </c>
      <c r="G101" s="93">
        <v>0</v>
      </c>
      <c r="H101" s="93">
        <v>0</v>
      </c>
      <c r="I101" s="93">
        <v>883385</v>
      </c>
      <c r="J101" s="93">
        <v>0</v>
      </c>
      <c r="K101" s="94">
        <v>0</v>
      </c>
      <c r="L101" s="93">
        <v>0</v>
      </c>
      <c r="M101" s="93">
        <v>0</v>
      </c>
      <c r="N101" s="93">
        <v>0</v>
      </c>
      <c r="O101" s="93">
        <v>0</v>
      </c>
      <c r="P101" s="93">
        <v>0</v>
      </c>
      <c r="Q101" s="93">
        <v>0</v>
      </c>
      <c r="R101" s="93">
        <v>0</v>
      </c>
      <c r="S101" s="93">
        <v>0</v>
      </c>
      <c r="T101" s="93">
        <v>0</v>
      </c>
      <c r="U101" s="93">
        <v>0</v>
      </c>
      <c r="V101" s="93">
        <v>0</v>
      </c>
      <c r="W101" s="93">
        <v>0</v>
      </c>
      <c r="X101" s="93">
        <v>0</v>
      </c>
      <c r="Y101" s="93">
        <v>0</v>
      </c>
      <c r="Z101" s="93">
        <v>0</v>
      </c>
      <c r="AA101" s="93">
        <v>0</v>
      </c>
      <c r="AB101" s="92">
        <v>2020</v>
      </c>
    </row>
    <row r="102" spans="1:28" s="1" customFormat="1" ht="35.25" customHeight="1" x14ac:dyDescent="0.5">
      <c r="A102" s="1">
        <v>1</v>
      </c>
      <c r="B102" s="39">
        <f>SUBTOTAL(103,$A$11:A102)</f>
        <v>90</v>
      </c>
      <c r="C102" s="95" t="s">
        <v>608</v>
      </c>
      <c r="D102" s="87">
        <v>1287000</v>
      </c>
      <c r="E102" s="93">
        <v>0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4">
        <v>0</v>
      </c>
      <c r="L102" s="93">
        <v>0</v>
      </c>
      <c r="M102" s="93">
        <v>1287000</v>
      </c>
      <c r="N102" s="93">
        <v>0</v>
      </c>
      <c r="O102" s="93">
        <v>0</v>
      </c>
      <c r="P102" s="93">
        <v>0</v>
      </c>
      <c r="Q102" s="93">
        <v>0</v>
      </c>
      <c r="R102" s="93">
        <v>0</v>
      </c>
      <c r="S102" s="93">
        <v>0</v>
      </c>
      <c r="T102" s="93">
        <v>0</v>
      </c>
      <c r="U102" s="93">
        <v>0</v>
      </c>
      <c r="V102" s="93">
        <v>0</v>
      </c>
      <c r="W102" s="93">
        <v>0</v>
      </c>
      <c r="X102" s="93">
        <v>0</v>
      </c>
      <c r="Y102" s="93">
        <v>0</v>
      </c>
      <c r="Z102" s="93">
        <v>0</v>
      </c>
      <c r="AA102" s="93">
        <v>0</v>
      </c>
      <c r="AB102" s="92">
        <v>2020</v>
      </c>
    </row>
    <row r="103" spans="1:28" s="1" customFormat="1" ht="35.25" customHeight="1" x14ac:dyDescent="0.5">
      <c r="A103" s="1">
        <v>1</v>
      </c>
      <c r="B103" s="39">
        <f>SUBTOTAL(103,$A$11:A103)</f>
        <v>91</v>
      </c>
      <c r="C103" s="95" t="s">
        <v>609</v>
      </c>
      <c r="D103" s="87">
        <v>1372008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4">
        <v>0</v>
      </c>
      <c r="L103" s="93">
        <v>0</v>
      </c>
      <c r="M103" s="93">
        <v>0</v>
      </c>
      <c r="N103" s="93">
        <v>0</v>
      </c>
      <c r="O103" s="93">
        <v>1372008</v>
      </c>
      <c r="P103" s="93">
        <v>0</v>
      </c>
      <c r="Q103" s="93">
        <v>0</v>
      </c>
      <c r="R103" s="93">
        <v>0</v>
      </c>
      <c r="S103" s="93">
        <v>0</v>
      </c>
      <c r="T103" s="93">
        <v>0</v>
      </c>
      <c r="U103" s="93">
        <v>0</v>
      </c>
      <c r="V103" s="93">
        <v>0</v>
      </c>
      <c r="W103" s="93">
        <v>0</v>
      </c>
      <c r="X103" s="93">
        <v>0</v>
      </c>
      <c r="Y103" s="93">
        <v>0</v>
      </c>
      <c r="Z103" s="93">
        <v>0</v>
      </c>
      <c r="AA103" s="93">
        <v>0</v>
      </c>
      <c r="AB103" s="92">
        <v>2020</v>
      </c>
    </row>
    <row r="104" spans="1:28" s="1" customFormat="1" ht="35.25" customHeight="1" x14ac:dyDescent="0.5">
      <c r="A104" s="1">
        <v>1</v>
      </c>
      <c r="B104" s="39">
        <f>SUBTOTAL(103,$A$11:A104)</f>
        <v>92</v>
      </c>
      <c r="C104" s="95" t="s">
        <v>610</v>
      </c>
      <c r="D104" s="87">
        <v>478936.86</v>
      </c>
      <c r="E104" s="93">
        <v>0</v>
      </c>
      <c r="F104" s="93">
        <v>0</v>
      </c>
      <c r="G104" s="93">
        <v>0</v>
      </c>
      <c r="H104" s="93">
        <v>0</v>
      </c>
      <c r="I104" s="93">
        <v>0</v>
      </c>
      <c r="J104" s="93">
        <v>0</v>
      </c>
      <c r="K104" s="94">
        <v>0</v>
      </c>
      <c r="L104" s="93">
        <v>0</v>
      </c>
      <c r="M104" s="93">
        <v>0</v>
      </c>
      <c r="N104" s="93">
        <v>0</v>
      </c>
      <c r="O104" s="93">
        <v>478936.86</v>
      </c>
      <c r="P104" s="93">
        <v>0</v>
      </c>
      <c r="Q104" s="93">
        <v>0</v>
      </c>
      <c r="R104" s="93">
        <v>0</v>
      </c>
      <c r="S104" s="93">
        <v>0</v>
      </c>
      <c r="T104" s="93">
        <v>0</v>
      </c>
      <c r="U104" s="93">
        <v>0</v>
      </c>
      <c r="V104" s="93">
        <v>0</v>
      </c>
      <c r="W104" s="93">
        <v>0</v>
      </c>
      <c r="X104" s="93">
        <v>0</v>
      </c>
      <c r="Y104" s="93">
        <v>0</v>
      </c>
      <c r="Z104" s="93">
        <v>0</v>
      </c>
      <c r="AA104" s="93">
        <v>0</v>
      </c>
      <c r="AB104" s="92">
        <v>2020</v>
      </c>
    </row>
    <row r="105" spans="1:28" s="1" customFormat="1" ht="35.25" customHeight="1" x14ac:dyDescent="0.5">
      <c r="A105" s="1">
        <v>1</v>
      </c>
      <c r="B105" s="39">
        <f>SUBTOTAL(103,$A$11:A105)</f>
        <v>93</v>
      </c>
      <c r="C105" s="95" t="s">
        <v>611</v>
      </c>
      <c r="D105" s="87">
        <v>2071816</v>
      </c>
      <c r="E105" s="93">
        <v>0</v>
      </c>
      <c r="F105" s="93">
        <v>0</v>
      </c>
      <c r="G105" s="93">
        <v>0</v>
      </c>
      <c r="H105" s="93">
        <v>0</v>
      </c>
      <c r="I105" s="93">
        <v>0</v>
      </c>
      <c r="J105" s="93">
        <v>0</v>
      </c>
      <c r="K105" s="94">
        <v>1</v>
      </c>
      <c r="L105" s="93">
        <v>2071816</v>
      </c>
      <c r="M105" s="93">
        <v>0</v>
      </c>
      <c r="N105" s="93">
        <v>0</v>
      </c>
      <c r="O105" s="93">
        <v>0</v>
      </c>
      <c r="P105" s="93">
        <v>0</v>
      </c>
      <c r="Q105" s="93">
        <v>0</v>
      </c>
      <c r="R105" s="93">
        <v>0</v>
      </c>
      <c r="S105" s="93">
        <v>0</v>
      </c>
      <c r="T105" s="93">
        <v>0</v>
      </c>
      <c r="U105" s="93">
        <v>0</v>
      </c>
      <c r="V105" s="93">
        <v>0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2">
        <v>2020</v>
      </c>
    </row>
    <row r="106" spans="1:28" s="1" customFormat="1" ht="35.25" customHeight="1" x14ac:dyDescent="0.5">
      <c r="A106" s="1">
        <v>1</v>
      </c>
      <c r="B106" s="39">
        <f>SUBTOTAL(103,$A$11:A106)</f>
        <v>94</v>
      </c>
      <c r="C106" s="95" t="s">
        <v>612</v>
      </c>
      <c r="D106" s="87">
        <v>137165.94</v>
      </c>
      <c r="E106" s="93">
        <v>0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4">
        <v>0</v>
      </c>
      <c r="L106" s="93">
        <v>0</v>
      </c>
      <c r="M106" s="93">
        <v>0</v>
      </c>
      <c r="N106" s="93">
        <v>0</v>
      </c>
      <c r="O106" s="93">
        <v>137165.94</v>
      </c>
      <c r="P106" s="93">
        <v>0</v>
      </c>
      <c r="Q106" s="93">
        <v>0</v>
      </c>
      <c r="R106" s="93">
        <v>0</v>
      </c>
      <c r="S106" s="93">
        <v>0</v>
      </c>
      <c r="T106" s="93">
        <v>0</v>
      </c>
      <c r="U106" s="93">
        <v>0</v>
      </c>
      <c r="V106" s="93">
        <v>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2">
        <v>2020</v>
      </c>
    </row>
    <row r="107" spans="1:28" s="1" customFormat="1" ht="35.25" customHeight="1" x14ac:dyDescent="0.5">
      <c r="A107" s="1">
        <v>1</v>
      </c>
      <c r="B107" s="39">
        <f>SUBTOTAL(103,$A$11:A107)</f>
        <v>95</v>
      </c>
      <c r="C107" s="95" t="s">
        <v>613</v>
      </c>
      <c r="D107" s="87">
        <v>455847</v>
      </c>
      <c r="E107" s="93">
        <v>0</v>
      </c>
      <c r="F107" s="93">
        <v>0</v>
      </c>
      <c r="G107" s="93">
        <v>0</v>
      </c>
      <c r="H107" s="93">
        <v>0</v>
      </c>
      <c r="I107" s="93">
        <v>0</v>
      </c>
      <c r="J107" s="93">
        <v>0</v>
      </c>
      <c r="K107" s="94">
        <v>0</v>
      </c>
      <c r="L107" s="93">
        <v>0</v>
      </c>
      <c r="M107" s="93">
        <v>0</v>
      </c>
      <c r="N107" s="93">
        <v>455847</v>
      </c>
      <c r="O107" s="93">
        <v>0</v>
      </c>
      <c r="P107" s="93">
        <v>0</v>
      </c>
      <c r="Q107" s="93">
        <v>0</v>
      </c>
      <c r="R107" s="93">
        <v>0</v>
      </c>
      <c r="S107" s="93">
        <v>0</v>
      </c>
      <c r="T107" s="93">
        <v>0</v>
      </c>
      <c r="U107" s="93">
        <v>0</v>
      </c>
      <c r="V107" s="93">
        <v>0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2">
        <v>2020</v>
      </c>
    </row>
    <row r="108" spans="1:28" s="1" customFormat="1" ht="35.25" customHeight="1" x14ac:dyDescent="0.5">
      <c r="A108" s="1">
        <v>1</v>
      </c>
      <c r="B108" s="39">
        <f>SUBTOTAL(103,$A$11:A108)</f>
        <v>96</v>
      </c>
      <c r="C108" s="95" t="s">
        <v>614</v>
      </c>
      <c r="D108" s="87">
        <v>1902802</v>
      </c>
      <c r="E108" s="93">
        <v>0</v>
      </c>
      <c r="F108" s="93">
        <v>0</v>
      </c>
      <c r="G108" s="93">
        <v>0</v>
      </c>
      <c r="H108" s="93">
        <v>0</v>
      </c>
      <c r="I108" s="93">
        <v>0</v>
      </c>
      <c r="J108" s="93">
        <v>0</v>
      </c>
      <c r="K108" s="94">
        <v>0</v>
      </c>
      <c r="L108" s="93">
        <v>0</v>
      </c>
      <c r="M108" s="93">
        <v>0</v>
      </c>
      <c r="N108" s="93">
        <v>0</v>
      </c>
      <c r="O108" s="93">
        <v>1902802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2">
        <v>2020</v>
      </c>
    </row>
    <row r="109" spans="1:28" s="1" customFormat="1" ht="35.25" customHeight="1" x14ac:dyDescent="0.5">
      <c r="A109" s="1">
        <v>1</v>
      </c>
      <c r="B109" s="39">
        <f>SUBTOTAL(103,$A$11:A109)</f>
        <v>97</v>
      </c>
      <c r="C109" s="86" t="s">
        <v>615</v>
      </c>
      <c r="D109" s="87">
        <f t="shared" ref="D109:D172" si="4">E109+F109+G109+H109+I109+J109+L109+M109+N109+O109+P109+Q109+R109+S109+T109+U109+V109+W109+X109+Y109+Z109+AA109</f>
        <v>625651.6</v>
      </c>
      <c r="E109" s="90">
        <v>0</v>
      </c>
      <c r="F109" s="90">
        <v>0</v>
      </c>
      <c r="G109" s="90">
        <v>0</v>
      </c>
      <c r="H109" s="90">
        <v>0</v>
      </c>
      <c r="I109" s="90">
        <v>0</v>
      </c>
      <c r="J109" s="90">
        <v>0</v>
      </c>
      <c r="K109" s="91">
        <v>0</v>
      </c>
      <c r="L109" s="90">
        <v>0</v>
      </c>
      <c r="M109" s="90">
        <v>625651.6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0</v>
      </c>
      <c r="AB109" s="92">
        <v>2020</v>
      </c>
    </row>
    <row r="110" spans="1:28" s="1" customFormat="1" ht="35.25" customHeight="1" x14ac:dyDescent="0.5">
      <c r="A110" s="1">
        <v>1</v>
      </c>
      <c r="B110" s="39">
        <f>SUBTOTAL(103,$A$11:A110)</f>
        <v>98</v>
      </c>
      <c r="C110" s="86" t="s">
        <v>616</v>
      </c>
      <c r="D110" s="87">
        <f t="shared" si="4"/>
        <v>791665.1</v>
      </c>
      <c r="E110" s="90">
        <v>96000</v>
      </c>
      <c r="F110" s="90">
        <v>0</v>
      </c>
      <c r="G110" s="90">
        <v>152312</v>
      </c>
      <c r="H110" s="90">
        <v>0</v>
      </c>
      <c r="I110" s="90">
        <v>0</v>
      </c>
      <c r="J110" s="90">
        <v>0</v>
      </c>
      <c r="K110" s="91">
        <v>1</v>
      </c>
      <c r="L110" s="90">
        <v>24353.1</v>
      </c>
      <c r="M110" s="90">
        <v>0</v>
      </c>
      <c r="N110" s="90">
        <v>0</v>
      </c>
      <c r="O110" s="90">
        <v>519000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0</v>
      </c>
      <c r="AB110" s="92">
        <v>2020</v>
      </c>
    </row>
    <row r="111" spans="1:28" s="1" customFormat="1" ht="35.25" customHeight="1" x14ac:dyDescent="0.5">
      <c r="A111" s="1">
        <v>1</v>
      </c>
      <c r="B111" s="39">
        <f>SUBTOTAL(103,$A$11:A111)</f>
        <v>99</v>
      </c>
      <c r="C111" s="86" t="s">
        <v>617</v>
      </c>
      <c r="D111" s="87">
        <f t="shared" si="4"/>
        <v>279192.32000000001</v>
      </c>
      <c r="E111" s="90">
        <v>0</v>
      </c>
      <c r="F111" s="90">
        <v>0</v>
      </c>
      <c r="G111" s="90">
        <v>0</v>
      </c>
      <c r="H111" s="90">
        <v>0</v>
      </c>
      <c r="I111" s="90">
        <v>0</v>
      </c>
      <c r="J111" s="90">
        <v>0</v>
      </c>
      <c r="K111" s="91">
        <v>0</v>
      </c>
      <c r="L111" s="90">
        <v>0</v>
      </c>
      <c r="M111" s="90">
        <v>0</v>
      </c>
      <c r="N111" s="90">
        <v>0</v>
      </c>
      <c r="O111" s="90">
        <v>279192.32000000001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0</v>
      </c>
      <c r="AB111" s="92">
        <v>2020</v>
      </c>
    </row>
    <row r="112" spans="1:28" s="1" customFormat="1" ht="35.25" customHeight="1" x14ac:dyDescent="0.5">
      <c r="A112" s="1">
        <v>1</v>
      </c>
      <c r="B112" s="39">
        <f>SUBTOTAL(103,$A$11:A112)</f>
        <v>100</v>
      </c>
      <c r="C112" s="86" t="s">
        <v>618</v>
      </c>
      <c r="D112" s="87">
        <f t="shared" si="4"/>
        <v>170090</v>
      </c>
      <c r="E112" s="90">
        <v>0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1">
        <v>0</v>
      </c>
      <c r="L112" s="90">
        <v>0</v>
      </c>
      <c r="M112" s="90">
        <v>0</v>
      </c>
      <c r="N112" s="90">
        <v>170090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0</v>
      </c>
      <c r="AB112" s="92">
        <v>2020</v>
      </c>
    </row>
    <row r="113" spans="1:28" s="1" customFormat="1" ht="35.25" customHeight="1" x14ac:dyDescent="0.5">
      <c r="A113" s="1">
        <v>1</v>
      </c>
      <c r="B113" s="39">
        <f>SUBTOTAL(103,$A$11:A113)</f>
        <v>101</v>
      </c>
      <c r="C113" s="86" t="s">
        <v>619</v>
      </c>
      <c r="D113" s="87">
        <f t="shared" si="4"/>
        <v>902421</v>
      </c>
      <c r="E113" s="90">
        <v>0</v>
      </c>
      <c r="F113" s="90">
        <v>0</v>
      </c>
      <c r="G113" s="90">
        <v>0</v>
      </c>
      <c r="H113" s="90">
        <v>0</v>
      </c>
      <c r="I113" s="90">
        <v>0</v>
      </c>
      <c r="J113" s="90">
        <v>0</v>
      </c>
      <c r="K113" s="91">
        <v>0</v>
      </c>
      <c r="L113" s="90">
        <v>0</v>
      </c>
      <c r="M113" s="90">
        <v>863636</v>
      </c>
      <c r="N113" s="90">
        <v>0</v>
      </c>
      <c r="O113" s="90">
        <v>38785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0</v>
      </c>
      <c r="AB113" s="92">
        <v>2020</v>
      </c>
    </row>
    <row r="114" spans="1:28" s="1" customFormat="1" ht="35.25" customHeight="1" x14ac:dyDescent="0.5">
      <c r="A114" s="1">
        <v>1</v>
      </c>
      <c r="B114" s="39">
        <f>SUBTOTAL(103,$A$11:A114)</f>
        <v>102</v>
      </c>
      <c r="C114" s="86" t="s">
        <v>620</v>
      </c>
      <c r="D114" s="87">
        <f t="shared" si="4"/>
        <v>277962</v>
      </c>
      <c r="E114" s="90">
        <v>0</v>
      </c>
      <c r="F114" s="90">
        <v>0</v>
      </c>
      <c r="G114" s="90">
        <v>0</v>
      </c>
      <c r="H114" s="90">
        <v>0</v>
      </c>
      <c r="I114" s="90">
        <v>0</v>
      </c>
      <c r="J114" s="90">
        <v>0</v>
      </c>
      <c r="K114" s="91">
        <v>0</v>
      </c>
      <c r="L114" s="90">
        <v>0</v>
      </c>
      <c r="M114" s="90">
        <v>0</v>
      </c>
      <c r="N114" s="90">
        <v>0</v>
      </c>
      <c r="O114" s="90">
        <v>277962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0</v>
      </c>
      <c r="AB114" s="92">
        <v>2020</v>
      </c>
    </row>
    <row r="115" spans="1:28" s="1" customFormat="1" ht="35.25" customHeight="1" x14ac:dyDescent="0.5">
      <c r="A115" s="1">
        <v>1</v>
      </c>
      <c r="B115" s="39">
        <f>SUBTOTAL(103,$A$11:A115)</f>
        <v>103</v>
      </c>
      <c r="C115" s="86" t="s">
        <v>621</v>
      </c>
      <c r="D115" s="87">
        <f t="shared" si="4"/>
        <v>167576.1</v>
      </c>
      <c r="E115" s="90">
        <v>0</v>
      </c>
      <c r="F115" s="90">
        <v>0</v>
      </c>
      <c r="G115" s="90">
        <v>0</v>
      </c>
      <c r="H115" s="90">
        <v>0</v>
      </c>
      <c r="I115" s="90">
        <v>0</v>
      </c>
      <c r="J115" s="90">
        <v>0</v>
      </c>
      <c r="K115" s="91">
        <v>0</v>
      </c>
      <c r="L115" s="90">
        <v>0</v>
      </c>
      <c r="M115" s="90">
        <v>167576.1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2">
        <v>2020</v>
      </c>
    </row>
    <row r="116" spans="1:28" s="1" customFormat="1" ht="35.25" customHeight="1" x14ac:dyDescent="0.5">
      <c r="A116" s="1">
        <v>1</v>
      </c>
      <c r="B116" s="39">
        <f>SUBTOTAL(103,$A$11:A116)</f>
        <v>104</v>
      </c>
      <c r="C116" s="86" t="s">
        <v>622</v>
      </c>
      <c r="D116" s="87">
        <f t="shared" si="4"/>
        <v>1903864.69</v>
      </c>
      <c r="E116" s="90">
        <v>0</v>
      </c>
      <c r="F116" s="90">
        <v>0</v>
      </c>
      <c r="G116" s="90">
        <v>0</v>
      </c>
      <c r="H116" s="90">
        <v>0</v>
      </c>
      <c r="I116" s="90">
        <v>0</v>
      </c>
      <c r="J116" s="90">
        <v>0</v>
      </c>
      <c r="K116" s="91">
        <v>0</v>
      </c>
      <c r="L116" s="90">
        <v>0</v>
      </c>
      <c r="M116" s="90">
        <v>1903864.69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0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0</v>
      </c>
      <c r="AB116" s="92">
        <v>2020</v>
      </c>
    </row>
    <row r="117" spans="1:28" s="1" customFormat="1" ht="35.25" customHeight="1" x14ac:dyDescent="0.5">
      <c r="A117" s="1">
        <v>1</v>
      </c>
      <c r="B117" s="39">
        <f>SUBTOTAL(103,$A$11:A117)</f>
        <v>105</v>
      </c>
      <c r="C117" s="86" t="s">
        <v>623</v>
      </c>
      <c r="D117" s="87">
        <f t="shared" si="4"/>
        <v>169304</v>
      </c>
      <c r="E117" s="90">
        <v>0</v>
      </c>
      <c r="F117" s="90">
        <v>0</v>
      </c>
      <c r="G117" s="90">
        <v>0</v>
      </c>
      <c r="H117" s="90">
        <v>0</v>
      </c>
      <c r="I117" s="90">
        <v>0</v>
      </c>
      <c r="J117" s="90">
        <v>0</v>
      </c>
      <c r="K117" s="91">
        <v>0</v>
      </c>
      <c r="L117" s="90">
        <v>0</v>
      </c>
      <c r="M117" s="90">
        <v>0</v>
      </c>
      <c r="N117" s="90">
        <v>0</v>
      </c>
      <c r="O117" s="90">
        <v>169304</v>
      </c>
      <c r="P117" s="90">
        <v>0</v>
      </c>
      <c r="Q117" s="90">
        <v>0</v>
      </c>
      <c r="R117" s="90">
        <v>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2">
        <v>2020</v>
      </c>
    </row>
    <row r="118" spans="1:28" s="1" customFormat="1" ht="35.25" customHeight="1" x14ac:dyDescent="0.5">
      <c r="A118" s="1">
        <v>1</v>
      </c>
      <c r="B118" s="39">
        <f>SUBTOTAL(103,$A$11:A118)</f>
        <v>106</v>
      </c>
      <c r="C118" s="86" t="s">
        <v>624</v>
      </c>
      <c r="D118" s="87">
        <f t="shared" si="4"/>
        <v>312022</v>
      </c>
      <c r="E118" s="90">
        <v>0</v>
      </c>
      <c r="F118" s="90">
        <v>0</v>
      </c>
      <c r="G118" s="90">
        <v>0</v>
      </c>
      <c r="H118" s="90">
        <v>0</v>
      </c>
      <c r="I118" s="90">
        <v>0</v>
      </c>
      <c r="J118" s="90">
        <v>0</v>
      </c>
      <c r="K118" s="91">
        <v>0</v>
      </c>
      <c r="L118" s="90">
        <v>0</v>
      </c>
      <c r="M118" s="90">
        <v>0</v>
      </c>
      <c r="N118" s="90">
        <v>0</v>
      </c>
      <c r="O118" s="90">
        <v>312022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0</v>
      </c>
      <c r="AB118" s="92">
        <v>2020</v>
      </c>
    </row>
    <row r="119" spans="1:28" s="1" customFormat="1" ht="35.25" customHeight="1" x14ac:dyDescent="0.5">
      <c r="A119" s="1">
        <v>1</v>
      </c>
      <c r="B119" s="39">
        <f>SUBTOTAL(103,$A$11:A119)</f>
        <v>107</v>
      </c>
      <c r="C119" s="86" t="s">
        <v>625</v>
      </c>
      <c r="D119" s="87">
        <f t="shared" si="4"/>
        <v>75000</v>
      </c>
      <c r="E119" s="90">
        <v>0</v>
      </c>
      <c r="F119" s="90">
        <v>0</v>
      </c>
      <c r="G119" s="90">
        <v>0</v>
      </c>
      <c r="H119" s="90">
        <v>0</v>
      </c>
      <c r="I119" s="90">
        <v>0</v>
      </c>
      <c r="J119" s="90">
        <v>0</v>
      </c>
      <c r="K119" s="91">
        <v>0</v>
      </c>
      <c r="L119" s="90">
        <v>0</v>
      </c>
      <c r="M119" s="90">
        <v>0</v>
      </c>
      <c r="N119" s="90">
        <v>75000</v>
      </c>
      <c r="O119" s="90">
        <v>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0</v>
      </c>
      <c r="AB119" s="92">
        <v>2020</v>
      </c>
    </row>
    <row r="120" spans="1:28" s="1" customFormat="1" ht="35.25" customHeight="1" x14ac:dyDescent="0.5">
      <c r="A120" s="1">
        <v>1</v>
      </c>
      <c r="B120" s="39">
        <f>SUBTOTAL(103,$A$11:A120)</f>
        <v>108</v>
      </c>
      <c r="C120" s="86" t="s">
        <v>418</v>
      </c>
      <c r="D120" s="87">
        <f t="shared" si="4"/>
        <v>1850000</v>
      </c>
      <c r="E120" s="90">
        <v>0</v>
      </c>
      <c r="F120" s="90">
        <v>0</v>
      </c>
      <c r="G120" s="90">
        <v>0</v>
      </c>
      <c r="H120" s="90">
        <v>0</v>
      </c>
      <c r="I120" s="90">
        <v>0</v>
      </c>
      <c r="J120" s="90">
        <v>0</v>
      </c>
      <c r="K120" s="91">
        <v>1</v>
      </c>
      <c r="L120" s="90">
        <v>1850000</v>
      </c>
      <c r="M120" s="90">
        <v>0</v>
      </c>
      <c r="N120" s="90">
        <v>0</v>
      </c>
      <c r="O120" s="90">
        <v>0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0</v>
      </c>
      <c r="AB120" s="92">
        <v>2020</v>
      </c>
    </row>
    <row r="121" spans="1:28" s="1" customFormat="1" ht="35.25" customHeight="1" x14ac:dyDescent="0.5">
      <c r="A121" s="1">
        <v>1</v>
      </c>
      <c r="B121" s="39">
        <f>SUBTOTAL(103,$A$11:A121)</f>
        <v>109</v>
      </c>
      <c r="C121" s="86" t="s">
        <v>626</v>
      </c>
      <c r="D121" s="87">
        <f t="shared" si="4"/>
        <v>527974.02</v>
      </c>
      <c r="E121" s="90">
        <v>0</v>
      </c>
      <c r="F121" s="90">
        <v>0</v>
      </c>
      <c r="G121" s="90">
        <v>0</v>
      </c>
      <c r="H121" s="90">
        <v>0</v>
      </c>
      <c r="I121" s="90">
        <v>0</v>
      </c>
      <c r="J121" s="90">
        <v>0</v>
      </c>
      <c r="K121" s="91">
        <v>0</v>
      </c>
      <c r="L121" s="90">
        <v>0</v>
      </c>
      <c r="M121" s="90">
        <v>0</v>
      </c>
      <c r="N121" s="90">
        <v>0</v>
      </c>
      <c r="O121" s="90">
        <v>239435.8</v>
      </c>
      <c r="P121" s="90">
        <v>288538.21999999997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90">
        <v>0</v>
      </c>
      <c r="W121" s="90">
        <v>0</v>
      </c>
      <c r="X121" s="90">
        <v>0</v>
      </c>
      <c r="Y121" s="90">
        <v>0</v>
      </c>
      <c r="Z121" s="90">
        <v>0</v>
      </c>
      <c r="AA121" s="90">
        <v>0</v>
      </c>
      <c r="AB121" s="92">
        <v>2020</v>
      </c>
    </row>
    <row r="122" spans="1:28" s="1" customFormat="1" ht="35.25" customHeight="1" x14ac:dyDescent="0.5">
      <c r="A122" s="1">
        <v>1</v>
      </c>
      <c r="B122" s="39">
        <f>SUBTOTAL(103,$A$11:A122)</f>
        <v>110</v>
      </c>
      <c r="C122" s="86" t="s">
        <v>627</v>
      </c>
      <c r="D122" s="87">
        <f t="shared" si="4"/>
        <v>382402.8</v>
      </c>
      <c r="E122" s="90">
        <v>0</v>
      </c>
      <c r="F122" s="90">
        <v>0</v>
      </c>
      <c r="G122" s="90">
        <v>0</v>
      </c>
      <c r="H122" s="90">
        <v>0</v>
      </c>
      <c r="I122" s="90">
        <v>0</v>
      </c>
      <c r="J122" s="90">
        <v>0</v>
      </c>
      <c r="K122" s="91">
        <v>0</v>
      </c>
      <c r="L122" s="90">
        <v>0</v>
      </c>
      <c r="M122" s="90">
        <v>185479.3</v>
      </c>
      <c r="N122" s="90">
        <v>0</v>
      </c>
      <c r="O122" s="90">
        <v>196923.5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0</v>
      </c>
      <c r="AB122" s="92">
        <v>2020</v>
      </c>
    </row>
    <row r="123" spans="1:28" s="1" customFormat="1" ht="35.25" customHeight="1" x14ac:dyDescent="0.5">
      <c r="A123" s="1">
        <v>1</v>
      </c>
      <c r="B123" s="39">
        <f>SUBTOTAL(103,$A$11:A123)</f>
        <v>111</v>
      </c>
      <c r="C123" s="86" t="s">
        <v>628</v>
      </c>
      <c r="D123" s="87">
        <f t="shared" si="4"/>
        <v>1134646</v>
      </c>
      <c r="E123" s="90">
        <v>0</v>
      </c>
      <c r="F123" s="90">
        <v>0</v>
      </c>
      <c r="G123" s="90">
        <v>0</v>
      </c>
      <c r="H123" s="90">
        <v>0</v>
      </c>
      <c r="I123" s="90">
        <v>0</v>
      </c>
      <c r="J123" s="90">
        <v>0</v>
      </c>
      <c r="K123" s="91">
        <v>0</v>
      </c>
      <c r="L123" s="90">
        <v>0</v>
      </c>
      <c r="M123" s="90">
        <v>1134646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2">
        <v>2020</v>
      </c>
    </row>
    <row r="124" spans="1:28" s="1" customFormat="1" ht="35.25" customHeight="1" x14ac:dyDescent="0.5">
      <c r="A124" s="1">
        <v>1</v>
      </c>
      <c r="B124" s="39">
        <f>SUBTOTAL(103,$A$11:A124)</f>
        <v>112</v>
      </c>
      <c r="C124" s="86" t="s">
        <v>629</v>
      </c>
      <c r="D124" s="87">
        <f t="shared" si="4"/>
        <v>437000</v>
      </c>
      <c r="E124" s="90">
        <v>0</v>
      </c>
      <c r="F124" s="90">
        <v>0</v>
      </c>
      <c r="G124" s="90">
        <v>0</v>
      </c>
      <c r="H124" s="90">
        <v>0</v>
      </c>
      <c r="I124" s="90">
        <v>0</v>
      </c>
      <c r="J124" s="90">
        <v>0</v>
      </c>
      <c r="K124" s="91">
        <v>0</v>
      </c>
      <c r="L124" s="90">
        <v>0</v>
      </c>
      <c r="M124" s="90">
        <v>0</v>
      </c>
      <c r="N124" s="90">
        <v>0</v>
      </c>
      <c r="O124" s="90">
        <v>437000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0</v>
      </c>
      <c r="AB124" s="92">
        <v>2020</v>
      </c>
    </row>
    <row r="125" spans="1:28" s="1" customFormat="1" ht="35.25" customHeight="1" x14ac:dyDescent="0.5">
      <c r="A125" s="1">
        <v>1</v>
      </c>
      <c r="B125" s="39">
        <f>SUBTOTAL(103,$A$11:A125)</f>
        <v>113</v>
      </c>
      <c r="C125" s="86" t="s">
        <v>630</v>
      </c>
      <c r="D125" s="87">
        <f t="shared" si="4"/>
        <v>38391.56</v>
      </c>
      <c r="E125" s="90">
        <v>0</v>
      </c>
      <c r="F125" s="90">
        <v>0</v>
      </c>
      <c r="G125" s="90">
        <v>38391.56</v>
      </c>
      <c r="H125" s="90">
        <v>0</v>
      </c>
      <c r="I125" s="90">
        <v>0</v>
      </c>
      <c r="J125" s="90">
        <v>0</v>
      </c>
      <c r="K125" s="91">
        <v>0</v>
      </c>
      <c r="L125" s="90">
        <v>0</v>
      </c>
      <c r="M125" s="90">
        <v>0</v>
      </c>
      <c r="N125" s="90">
        <v>0</v>
      </c>
      <c r="O125" s="90">
        <v>0</v>
      </c>
      <c r="P125" s="90">
        <v>0</v>
      </c>
      <c r="Q125" s="90">
        <v>0</v>
      </c>
      <c r="R125" s="90">
        <v>0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2">
        <v>2020</v>
      </c>
    </row>
    <row r="126" spans="1:28" s="1" customFormat="1" ht="35.25" customHeight="1" x14ac:dyDescent="0.5">
      <c r="A126" s="1">
        <v>1</v>
      </c>
      <c r="B126" s="39">
        <f>SUBTOTAL(103,$A$11:A126)</f>
        <v>114</v>
      </c>
      <c r="C126" s="86" t="s">
        <v>631</v>
      </c>
      <c r="D126" s="87">
        <f t="shared" si="4"/>
        <v>95313.83</v>
      </c>
      <c r="E126" s="90">
        <v>95313.83</v>
      </c>
      <c r="F126" s="90">
        <v>0</v>
      </c>
      <c r="G126" s="90">
        <v>0</v>
      </c>
      <c r="H126" s="90">
        <v>0</v>
      </c>
      <c r="I126" s="90">
        <v>0</v>
      </c>
      <c r="J126" s="90">
        <v>0</v>
      </c>
      <c r="K126" s="91">
        <v>0</v>
      </c>
      <c r="L126" s="90">
        <v>0</v>
      </c>
      <c r="M126" s="90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0</v>
      </c>
      <c r="AB126" s="92">
        <v>2020</v>
      </c>
    </row>
    <row r="127" spans="1:28" s="1" customFormat="1" ht="35.25" customHeight="1" x14ac:dyDescent="0.5">
      <c r="A127" s="1">
        <v>1</v>
      </c>
      <c r="B127" s="39">
        <f>SUBTOTAL(103,$A$11:A127)</f>
        <v>115</v>
      </c>
      <c r="C127" s="86" t="s">
        <v>632</v>
      </c>
      <c r="D127" s="87">
        <f t="shared" si="4"/>
        <v>723801.52</v>
      </c>
      <c r="E127" s="90">
        <v>0</v>
      </c>
      <c r="F127" s="90">
        <v>0</v>
      </c>
      <c r="G127" s="90">
        <v>174204</v>
      </c>
      <c r="H127" s="90">
        <v>0</v>
      </c>
      <c r="I127" s="90">
        <v>0</v>
      </c>
      <c r="J127" s="90">
        <v>0</v>
      </c>
      <c r="K127" s="91">
        <v>0</v>
      </c>
      <c r="L127" s="90">
        <v>0</v>
      </c>
      <c r="M127" s="90">
        <v>549597.52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2">
        <v>2020</v>
      </c>
    </row>
    <row r="128" spans="1:28" s="1" customFormat="1" ht="35.25" customHeight="1" x14ac:dyDescent="0.5">
      <c r="A128" s="1">
        <v>1</v>
      </c>
      <c r="B128" s="39">
        <f>SUBTOTAL(103,$A$11:A128)</f>
        <v>116</v>
      </c>
      <c r="C128" s="86" t="s">
        <v>633</v>
      </c>
      <c r="D128" s="87">
        <f>E128+F128+G128+H128+I128+J128+L128+M128+N128+O128+P128+Q128+R128+S128+T128+U128+V128+W128+X128+Y128+Z128+AA128</f>
        <v>460900</v>
      </c>
      <c r="E128" s="90">
        <v>0</v>
      </c>
      <c r="F128" s="90">
        <v>0</v>
      </c>
      <c r="G128" s="90">
        <v>0</v>
      </c>
      <c r="H128" s="90">
        <v>0</v>
      </c>
      <c r="I128" s="90">
        <v>0</v>
      </c>
      <c r="J128" s="90">
        <v>0</v>
      </c>
      <c r="K128" s="91">
        <v>0</v>
      </c>
      <c r="L128" s="90">
        <v>0</v>
      </c>
      <c r="M128" s="90">
        <v>0</v>
      </c>
      <c r="N128" s="90">
        <v>0</v>
      </c>
      <c r="O128" s="90">
        <v>460900</v>
      </c>
      <c r="P128" s="90">
        <v>0</v>
      </c>
      <c r="Q128" s="90">
        <v>0</v>
      </c>
      <c r="R128" s="90">
        <v>0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2">
        <v>2020</v>
      </c>
    </row>
    <row r="129" spans="1:28" s="1" customFormat="1" ht="35.25" customHeight="1" x14ac:dyDescent="0.5">
      <c r="A129" s="1">
        <v>1</v>
      </c>
      <c r="B129" s="39">
        <f>SUBTOTAL(103,$A$11:A129)</f>
        <v>117</v>
      </c>
      <c r="C129" s="86" t="s">
        <v>634</v>
      </c>
      <c r="D129" s="87">
        <f t="shared" si="4"/>
        <v>154035</v>
      </c>
      <c r="E129" s="90">
        <v>0</v>
      </c>
      <c r="F129" s="90">
        <v>0</v>
      </c>
      <c r="G129" s="90">
        <v>0</v>
      </c>
      <c r="H129" s="90">
        <v>0</v>
      </c>
      <c r="I129" s="90">
        <v>15485</v>
      </c>
      <c r="J129" s="90">
        <v>0</v>
      </c>
      <c r="K129" s="91">
        <v>0</v>
      </c>
      <c r="L129" s="90">
        <v>0</v>
      </c>
      <c r="M129" s="90">
        <v>138550</v>
      </c>
      <c r="N129" s="90">
        <v>0</v>
      </c>
      <c r="O129" s="90">
        <v>0</v>
      </c>
      <c r="P129" s="90">
        <v>0</v>
      </c>
      <c r="Q129" s="90">
        <v>0</v>
      </c>
      <c r="R129" s="90">
        <v>0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0</v>
      </c>
      <c r="AB129" s="92">
        <v>2020</v>
      </c>
    </row>
    <row r="130" spans="1:28" s="1" customFormat="1" ht="35.25" customHeight="1" x14ac:dyDescent="0.5">
      <c r="A130" s="1">
        <v>1</v>
      </c>
      <c r="B130" s="39">
        <f>SUBTOTAL(103,$A$11:A130)</f>
        <v>118</v>
      </c>
      <c r="C130" s="86" t="s">
        <v>635</v>
      </c>
      <c r="D130" s="87">
        <f t="shared" si="4"/>
        <v>329973</v>
      </c>
      <c r="E130" s="90">
        <v>0</v>
      </c>
      <c r="F130" s="90">
        <v>0</v>
      </c>
      <c r="G130" s="90">
        <v>0</v>
      </c>
      <c r="H130" s="90">
        <v>0</v>
      </c>
      <c r="I130" s="90">
        <v>0</v>
      </c>
      <c r="J130" s="90">
        <v>0</v>
      </c>
      <c r="K130" s="91">
        <v>0</v>
      </c>
      <c r="L130" s="90">
        <v>0</v>
      </c>
      <c r="M130" s="90">
        <v>0</v>
      </c>
      <c r="N130" s="90">
        <v>0</v>
      </c>
      <c r="O130" s="90">
        <v>329973</v>
      </c>
      <c r="P130" s="90">
        <v>0</v>
      </c>
      <c r="Q130" s="90">
        <v>0</v>
      </c>
      <c r="R130" s="90">
        <v>0</v>
      </c>
      <c r="S130" s="90">
        <v>0</v>
      </c>
      <c r="T130" s="90">
        <v>0</v>
      </c>
      <c r="U130" s="90">
        <v>0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2">
        <v>2020</v>
      </c>
    </row>
    <row r="131" spans="1:28" s="1" customFormat="1" ht="35.25" customHeight="1" x14ac:dyDescent="0.5">
      <c r="A131" s="1">
        <v>1</v>
      </c>
      <c r="B131" s="39">
        <f>SUBTOTAL(103,$A$11:A131)</f>
        <v>119</v>
      </c>
      <c r="C131" s="86" t="s">
        <v>636</v>
      </c>
      <c r="D131" s="87">
        <f t="shared" si="4"/>
        <v>500731.2</v>
      </c>
      <c r="E131" s="90">
        <v>0</v>
      </c>
      <c r="F131" s="90">
        <v>0</v>
      </c>
      <c r="G131" s="90">
        <v>0</v>
      </c>
      <c r="H131" s="90">
        <v>0</v>
      </c>
      <c r="I131" s="90">
        <v>0</v>
      </c>
      <c r="J131" s="90">
        <v>0</v>
      </c>
      <c r="K131" s="91">
        <v>0</v>
      </c>
      <c r="L131" s="90">
        <v>0</v>
      </c>
      <c r="M131" s="90">
        <v>0</v>
      </c>
      <c r="N131" s="90">
        <v>0</v>
      </c>
      <c r="O131" s="90">
        <v>0</v>
      </c>
      <c r="P131" s="90">
        <v>500731.2</v>
      </c>
      <c r="Q131" s="90">
        <v>0</v>
      </c>
      <c r="R131" s="90">
        <v>0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0</v>
      </c>
      <c r="AB131" s="92">
        <v>2020</v>
      </c>
    </row>
    <row r="132" spans="1:28" s="1" customFormat="1" ht="35.25" customHeight="1" x14ac:dyDescent="0.5">
      <c r="A132" s="1">
        <v>1</v>
      </c>
      <c r="B132" s="39">
        <f>SUBTOTAL(103,$A$11:A132)</f>
        <v>120</v>
      </c>
      <c r="C132" s="86" t="s">
        <v>637</v>
      </c>
      <c r="D132" s="87">
        <f t="shared" si="4"/>
        <v>169106</v>
      </c>
      <c r="E132" s="90">
        <v>0</v>
      </c>
      <c r="F132" s="90">
        <v>0</v>
      </c>
      <c r="G132" s="90">
        <v>0</v>
      </c>
      <c r="H132" s="90">
        <v>0</v>
      </c>
      <c r="I132" s="90">
        <v>0</v>
      </c>
      <c r="J132" s="90">
        <v>0</v>
      </c>
      <c r="K132" s="91">
        <v>0</v>
      </c>
      <c r="L132" s="90">
        <v>0</v>
      </c>
      <c r="M132" s="90">
        <v>169106</v>
      </c>
      <c r="N132" s="90">
        <v>0</v>
      </c>
      <c r="O132" s="90">
        <v>0</v>
      </c>
      <c r="P132" s="90">
        <v>0</v>
      </c>
      <c r="Q132" s="90">
        <v>0</v>
      </c>
      <c r="R132" s="90">
        <v>0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2">
        <v>2020</v>
      </c>
    </row>
    <row r="133" spans="1:28" s="1" customFormat="1" ht="35.25" customHeight="1" x14ac:dyDescent="0.5">
      <c r="A133" s="1">
        <v>1</v>
      </c>
      <c r="B133" s="39">
        <f>SUBTOTAL(103,$A$11:A133)</f>
        <v>121</v>
      </c>
      <c r="C133" s="86" t="s">
        <v>447</v>
      </c>
      <c r="D133" s="87">
        <f t="shared" si="4"/>
        <v>221206.97</v>
      </c>
      <c r="E133" s="90">
        <v>0</v>
      </c>
      <c r="F133" s="90">
        <v>159320.97</v>
      </c>
      <c r="G133" s="90">
        <v>0</v>
      </c>
      <c r="H133" s="90">
        <v>0</v>
      </c>
      <c r="I133" s="90">
        <v>0</v>
      </c>
      <c r="J133" s="90">
        <v>0</v>
      </c>
      <c r="K133" s="91">
        <v>2</v>
      </c>
      <c r="L133" s="90">
        <v>61886</v>
      </c>
      <c r="M133" s="90">
        <v>0</v>
      </c>
      <c r="N133" s="90">
        <v>0</v>
      </c>
      <c r="O133" s="90">
        <v>0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2">
        <v>2020</v>
      </c>
    </row>
    <row r="134" spans="1:28" s="1" customFormat="1" ht="35.25" customHeight="1" x14ac:dyDescent="0.5">
      <c r="A134" s="1">
        <v>1</v>
      </c>
      <c r="B134" s="39">
        <f>SUBTOTAL(103,$A$11:A134)</f>
        <v>122</v>
      </c>
      <c r="C134" s="86" t="s">
        <v>638</v>
      </c>
      <c r="D134" s="87">
        <f t="shared" si="4"/>
        <v>329415.37</v>
      </c>
      <c r="E134" s="90">
        <v>0</v>
      </c>
      <c r="F134" s="90">
        <v>0</v>
      </c>
      <c r="G134" s="90">
        <v>329415.37</v>
      </c>
      <c r="H134" s="90">
        <v>0</v>
      </c>
      <c r="I134" s="90">
        <v>0</v>
      </c>
      <c r="J134" s="90">
        <v>0</v>
      </c>
      <c r="K134" s="91">
        <v>0</v>
      </c>
      <c r="L134" s="90">
        <v>0</v>
      </c>
      <c r="M134" s="90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0</v>
      </c>
      <c r="AB134" s="92">
        <v>2020</v>
      </c>
    </row>
    <row r="135" spans="1:28" s="1" customFormat="1" ht="35.25" customHeight="1" x14ac:dyDescent="0.5">
      <c r="A135" s="1">
        <v>1</v>
      </c>
      <c r="B135" s="39">
        <f>SUBTOTAL(103,$A$11:A135)</f>
        <v>123</v>
      </c>
      <c r="C135" s="86" t="s">
        <v>639</v>
      </c>
      <c r="D135" s="87">
        <f t="shared" si="4"/>
        <v>354653</v>
      </c>
      <c r="E135" s="90">
        <v>177326.5</v>
      </c>
      <c r="F135" s="90">
        <v>177326.5</v>
      </c>
      <c r="G135" s="90">
        <v>0</v>
      </c>
      <c r="H135" s="90">
        <v>0</v>
      </c>
      <c r="I135" s="90">
        <v>0</v>
      </c>
      <c r="J135" s="90">
        <v>0</v>
      </c>
      <c r="K135" s="91">
        <v>0</v>
      </c>
      <c r="L135" s="90">
        <v>0</v>
      </c>
      <c r="M135" s="90">
        <v>0</v>
      </c>
      <c r="N135" s="90">
        <v>0</v>
      </c>
      <c r="O135" s="90">
        <v>0</v>
      </c>
      <c r="P135" s="90">
        <v>0</v>
      </c>
      <c r="Q135" s="90">
        <v>0</v>
      </c>
      <c r="R135" s="90">
        <v>0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2">
        <v>2020</v>
      </c>
    </row>
    <row r="136" spans="1:28" s="1" customFormat="1" ht="35.25" customHeight="1" x14ac:dyDescent="0.5">
      <c r="A136" s="1">
        <v>1</v>
      </c>
      <c r="B136" s="39">
        <f>SUBTOTAL(103,$A$11:A136)</f>
        <v>124</v>
      </c>
      <c r="C136" s="86" t="s">
        <v>640</v>
      </c>
      <c r="D136" s="87">
        <f t="shared" si="4"/>
        <v>150000</v>
      </c>
      <c r="E136" s="90">
        <v>0</v>
      </c>
      <c r="F136" s="90">
        <v>0</v>
      </c>
      <c r="G136" s="90">
        <v>0</v>
      </c>
      <c r="H136" s="90">
        <v>0</v>
      </c>
      <c r="I136" s="90">
        <v>150000</v>
      </c>
      <c r="J136" s="90">
        <v>0</v>
      </c>
      <c r="K136" s="91">
        <v>0</v>
      </c>
      <c r="L136" s="90">
        <v>0</v>
      </c>
      <c r="M136" s="90">
        <v>0</v>
      </c>
      <c r="N136" s="90">
        <v>0</v>
      </c>
      <c r="O136" s="90">
        <v>0</v>
      </c>
      <c r="P136" s="90">
        <v>0</v>
      </c>
      <c r="Q136" s="90">
        <v>0</v>
      </c>
      <c r="R136" s="90">
        <v>0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2">
        <v>2020</v>
      </c>
    </row>
    <row r="137" spans="1:28" s="1" customFormat="1" ht="35.25" customHeight="1" x14ac:dyDescent="0.5">
      <c r="A137" s="1">
        <v>1</v>
      </c>
      <c r="B137" s="39">
        <f>SUBTOTAL(103,$A$11:A137)</f>
        <v>125</v>
      </c>
      <c r="C137" s="86" t="s">
        <v>641</v>
      </c>
      <c r="D137" s="87">
        <f t="shared" si="4"/>
        <v>643266.46</v>
      </c>
      <c r="E137" s="90">
        <v>0</v>
      </c>
      <c r="F137" s="90">
        <v>0</v>
      </c>
      <c r="G137" s="90">
        <v>0</v>
      </c>
      <c r="H137" s="90">
        <v>0</v>
      </c>
      <c r="I137" s="90">
        <v>62413.85</v>
      </c>
      <c r="J137" s="90">
        <v>0</v>
      </c>
      <c r="K137" s="91">
        <v>0</v>
      </c>
      <c r="L137" s="90">
        <v>0</v>
      </c>
      <c r="M137" s="90">
        <v>580852.61</v>
      </c>
      <c r="N137" s="90">
        <v>0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2">
        <v>2020</v>
      </c>
    </row>
    <row r="138" spans="1:28" s="1" customFormat="1" ht="35.25" customHeight="1" x14ac:dyDescent="0.5">
      <c r="A138" s="1">
        <v>1</v>
      </c>
      <c r="B138" s="39">
        <f>SUBTOTAL(103,$A$11:A138)</f>
        <v>126</v>
      </c>
      <c r="C138" s="86" t="s">
        <v>642</v>
      </c>
      <c r="D138" s="87">
        <f t="shared" si="4"/>
        <v>254624</v>
      </c>
      <c r="E138" s="90">
        <v>0</v>
      </c>
      <c r="F138" s="90">
        <v>0</v>
      </c>
      <c r="G138" s="90">
        <v>254624</v>
      </c>
      <c r="H138" s="90">
        <v>0</v>
      </c>
      <c r="I138" s="90">
        <v>0</v>
      </c>
      <c r="J138" s="90">
        <v>0</v>
      </c>
      <c r="K138" s="91">
        <v>0</v>
      </c>
      <c r="L138" s="90">
        <v>0</v>
      </c>
      <c r="M138" s="90">
        <v>0</v>
      </c>
      <c r="N138" s="90">
        <v>0</v>
      </c>
      <c r="O138" s="90">
        <v>0</v>
      </c>
      <c r="P138" s="90">
        <v>0</v>
      </c>
      <c r="Q138" s="90">
        <v>0</v>
      </c>
      <c r="R138" s="90">
        <v>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2">
        <v>2020</v>
      </c>
    </row>
    <row r="139" spans="1:28" s="1" customFormat="1" ht="35.25" customHeight="1" x14ac:dyDescent="0.5">
      <c r="A139" s="1">
        <v>1</v>
      </c>
      <c r="B139" s="39">
        <f>SUBTOTAL(103,$A$11:A139)</f>
        <v>127</v>
      </c>
      <c r="C139" s="86" t="s">
        <v>643</v>
      </c>
      <c r="D139" s="87">
        <f t="shared" si="4"/>
        <v>259971</v>
      </c>
      <c r="E139" s="90">
        <v>0</v>
      </c>
      <c r="F139" s="90">
        <v>0</v>
      </c>
      <c r="G139" s="90">
        <v>0</v>
      </c>
      <c r="H139" s="90">
        <v>0</v>
      </c>
      <c r="I139" s="90">
        <v>0</v>
      </c>
      <c r="J139" s="90">
        <v>0</v>
      </c>
      <c r="K139" s="91">
        <v>0</v>
      </c>
      <c r="L139" s="90">
        <v>0</v>
      </c>
      <c r="M139" s="90">
        <v>0</v>
      </c>
      <c r="N139" s="90">
        <v>0</v>
      </c>
      <c r="O139" s="90">
        <v>259971</v>
      </c>
      <c r="P139" s="90">
        <v>0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2">
        <v>2020</v>
      </c>
    </row>
    <row r="140" spans="1:28" s="1" customFormat="1" ht="35.25" customHeight="1" x14ac:dyDescent="0.5">
      <c r="A140" s="1">
        <v>1</v>
      </c>
      <c r="B140" s="39">
        <f>SUBTOTAL(103,$A$11:A140)</f>
        <v>128</v>
      </c>
      <c r="C140" s="86" t="s">
        <v>644</v>
      </c>
      <c r="D140" s="87">
        <f t="shared" si="4"/>
        <v>682180.8</v>
      </c>
      <c r="E140" s="90">
        <v>0</v>
      </c>
      <c r="F140" s="90">
        <v>0</v>
      </c>
      <c r="G140" s="90">
        <v>0</v>
      </c>
      <c r="H140" s="90">
        <v>0</v>
      </c>
      <c r="I140" s="90">
        <v>0</v>
      </c>
      <c r="J140" s="90">
        <v>0</v>
      </c>
      <c r="K140" s="91">
        <v>0</v>
      </c>
      <c r="L140" s="90">
        <v>0</v>
      </c>
      <c r="M140" s="90">
        <v>0</v>
      </c>
      <c r="N140" s="90">
        <v>0</v>
      </c>
      <c r="O140" s="90">
        <v>682180.8</v>
      </c>
      <c r="P140" s="90">
        <v>0</v>
      </c>
      <c r="Q140" s="90">
        <v>0</v>
      </c>
      <c r="R140" s="90">
        <v>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2">
        <v>2020</v>
      </c>
    </row>
    <row r="141" spans="1:28" s="1" customFormat="1" ht="35.25" customHeight="1" x14ac:dyDescent="0.5">
      <c r="A141" s="1">
        <v>1</v>
      </c>
      <c r="B141" s="39">
        <f>SUBTOTAL(103,$A$11:A141)</f>
        <v>129</v>
      </c>
      <c r="C141" s="86" t="s">
        <v>425</v>
      </c>
      <c r="D141" s="87">
        <f t="shared" si="4"/>
        <v>7398819</v>
      </c>
      <c r="E141" s="90">
        <v>0</v>
      </c>
      <c r="F141" s="90">
        <v>0</v>
      </c>
      <c r="G141" s="90">
        <v>0</v>
      </c>
      <c r="H141" s="90">
        <v>0</v>
      </c>
      <c r="I141" s="90">
        <v>0</v>
      </c>
      <c r="J141" s="90">
        <v>0</v>
      </c>
      <c r="K141" s="91">
        <v>7</v>
      </c>
      <c r="L141" s="90">
        <v>1200000</v>
      </c>
      <c r="M141" s="90">
        <v>4954168</v>
      </c>
      <c r="N141" s="90">
        <v>0</v>
      </c>
      <c r="O141" s="90">
        <v>1244651</v>
      </c>
      <c r="P141" s="90">
        <v>0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2">
        <v>2020</v>
      </c>
    </row>
    <row r="142" spans="1:28" s="1" customFormat="1" ht="35.25" customHeight="1" x14ac:dyDescent="0.5">
      <c r="A142" s="1">
        <v>1</v>
      </c>
      <c r="B142" s="39">
        <f>SUBTOTAL(103,$A$11:A142)</f>
        <v>130</v>
      </c>
      <c r="C142" s="86" t="s">
        <v>645</v>
      </c>
      <c r="D142" s="87">
        <f t="shared" si="4"/>
        <v>1079600</v>
      </c>
      <c r="E142" s="90">
        <v>0</v>
      </c>
      <c r="F142" s="90">
        <v>0</v>
      </c>
      <c r="G142" s="90">
        <v>0</v>
      </c>
      <c r="H142" s="90">
        <v>0</v>
      </c>
      <c r="I142" s="90">
        <v>0</v>
      </c>
      <c r="J142" s="90">
        <v>0</v>
      </c>
      <c r="K142" s="91">
        <v>0</v>
      </c>
      <c r="L142" s="90">
        <v>0</v>
      </c>
      <c r="M142" s="90">
        <v>1079600</v>
      </c>
      <c r="N142" s="90">
        <v>0</v>
      </c>
      <c r="O142" s="90">
        <v>0</v>
      </c>
      <c r="P142" s="90">
        <v>0</v>
      </c>
      <c r="Q142" s="90">
        <v>0</v>
      </c>
      <c r="R142" s="90">
        <v>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2">
        <v>2020</v>
      </c>
    </row>
    <row r="143" spans="1:28" s="1" customFormat="1" ht="35.25" customHeight="1" x14ac:dyDescent="0.5">
      <c r="A143" s="1">
        <v>1</v>
      </c>
      <c r="B143" s="39">
        <f>SUBTOTAL(103,$A$11:A143)</f>
        <v>131</v>
      </c>
      <c r="C143" s="86" t="s">
        <v>646</v>
      </c>
      <c r="D143" s="87">
        <f t="shared" si="4"/>
        <v>285704</v>
      </c>
      <c r="E143" s="90">
        <v>0</v>
      </c>
      <c r="F143" s="90">
        <v>0</v>
      </c>
      <c r="G143" s="90">
        <v>0</v>
      </c>
      <c r="H143" s="90">
        <v>0</v>
      </c>
      <c r="I143" s="90">
        <v>0</v>
      </c>
      <c r="J143" s="90">
        <v>0</v>
      </c>
      <c r="K143" s="91">
        <v>0</v>
      </c>
      <c r="L143" s="90">
        <v>0</v>
      </c>
      <c r="M143" s="90">
        <v>0</v>
      </c>
      <c r="N143" s="90">
        <v>68000</v>
      </c>
      <c r="O143" s="90">
        <v>217704</v>
      </c>
      <c r="P143" s="90">
        <v>0</v>
      </c>
      <c r="Q143" s="90">
        <v>0</v>
      </c>
      <c r="R143" s="90">
        <v>0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2">
        <v>2020</v>
      </c>
    </row>
    <row r="144" spans="1:28" s="1" customFormat="1" ht="35.25" customHeight="1" x14ac:dyDescent="0.5">
      <c r="A144" s="1">
        <v>1</v>
      </c>
      <c r="B144" s="39">
        <f>SUBTOTAL(103,$A$11:A144)</f>
        <v>132</v>
      </c>
      <c r="C144" s="86" t="s">
        <v>647</v>
      </c>
      <c r="D144" s="87">
        <f t="shared" si="4"/>
        <v>165037</v>
      </c>
      <c r="E144" s="90">
        <v>0</v>
      </c>
      <c r="F144" s="90">
        <v>165037</v>
      </c>
      <c r="G144" s="90">
        <v>0</v>
      </c>
      <c r="H144" s="90">
        <v>0</v>
      </c>
      <c r="I144" s="90">
        <v>0</v>
      </c>
      <c r="J144" s="90">
        <v>0</v>
      </c>
      <c r="K144" s="91">
        <v>0</v>
      </c>
      <c r="L144" s="90">
        <v>0</v>
      </c>
      <c r="M144" s="90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0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2">
        <v>2020</v>
      </c>
    </row>
    <row r="145" spans="1:28" s="1" customFormat="1" ht="35.25" customHeight="1" x14ac:dyDescent="0.5">
      <c r="A145" s="1">
        <v>1</v>
      </c>
      <c r="B145" s="39">
        <f>SUBTOTAL(103,$A$11:A145)</f>
        <v>133</v>
      </c>
      <c r="C145" s="86" t="s">
        <v>648</v>
      </c>
      <c r="D145" s="87">
        <f t="shared" si="4"/>
        <v>589000</v>
      </c>
      <c r="E145" s="90">
        <v>0</v>
      </c>
      <c r="F145" s="90">
        <v>0</v>
      </c>
      <c r="G145" s="90">
        <v>0</v>
      </c>
      <c r="H145" s="90">
        <v>0</v>
      </c>
      <c r="I145" s="90">
        <v>589000</v>
      </c>
      <c r="J145" s="90">
        <v>0</v>
      </c>
      <c r="K145" s="91">
        <v>0</v>
      </c>
      <c r="L145" s="90">
        <v>0</v>
      </c>
      <c r="M145" s="90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2">
        <v>2020</v>
      </c>
    </row>
    <row r="146" spans="1:28" s="1" customFormat="1" ht="35.25" customHeight="1" x14ac:dyDescent="0.5">
      <c r="A146" s="1">
        <v>1</v>
      </c>
      <c r="B146" s="39">
        <f>SUBTOTAL(103,$A$11:A146)</f>
        <v>134</v>
      </c>
      <c r="C146" s="86" t="s">
        <v>649</v>
      </c>
      <c r="D146" s="87">
        <f t="shared" si="4"/>
        <v>906097.15999999992</v>
      </c>
      <c r="E146" s="90">
        <v>0</v>
      </c>
      <c r="F146" s="90">
        <v>89686.6</v>
      </c>
      <c r="G146" s="90">
        <v>538073.86</v>
      </c>
      <c r="H146" s="90">
        <v>278336.7</v>
      </c>
      <c r="I146" s="90">
        <v>0</v>
      </c>
      <c r="J146" s="90">
        <v>0</v>
      </c>
      <c r="K146" s="91">
        <v>0</v>
      </c>
      <c r="L146" s="90">
        <v>0</v>
      </c>
      <c r="M146" s="90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2">
        <v>2020</v>
      </c>
    </row>
    <row r="147" spans="1:28" s="1" customFormat="1" ht="35.25" customHeight="1" x14ac:dyDescent="0.5">
      <c r="A147" s="1">
        <v>1</v>
      </c>
      <c r="B147" s="39">
        <f>SUBTOTAL(103,$A$11:A147)</f>
        <v>135</v>
      </c>
      <c r="C147" s="86" t="s">
        <v>650</v>
      </c>
      <c r="D147" s="87">
        <f t="shared" si="4"/>
        <v>322432.34999999998</v>
      </c>
      <c r="E147" s="90">
        <v>0</v>
      </c>
      <c r="F147" s="90">
        <v>0</v>
      </c>
      <c r="G147" s="90">
        <v>0</v>
      </c>
      <c r="H147" s="90">
        <v>0</v>
      </c>
      <c r="I147" s="90">
        <v>0</v>
      </c>
      <c r="J147" s="90">
        <v>0</v>
      </c>
      <c r="K147" s="91">
        <v>0</v>
      </c>
      <c r="L147" s="90">
        <v>0</v>
      </c>
      <c r="M147" s="90">
        <v>322432.34999999998</v>
      </c>
      <c r="N147" s="90">
        <v>0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2">
        <v>2020</v>
      </c>
    </row>
    <row r="148" spans="1:28" s="1" customFormat="1" ht="35.25" customHeight="1" x14ac:dyDescent="0.5">
      <c r="A148" s="1">
        <v>1</v>
      </c>
      <c r="B148" s="39">
        <f>SUBTOTAL(103,$A$11:A148)</f>
        <v>136</v>
      </c>
      <c r="C148" s="86" t="s">
        <v>651</v>
      </c>
      <c r="D148" s="87">
        <f t="shared" si="4"/>
        <v>64270.13</v>
      </c>
      <c r="E148" s="90">
        <v>0</v>
      </c>
      <c r="F148" s="90">
        <v>0</v>
      </c>
      <c r="G148" s="90">
        <v>64270.13</v>
      </c>
      <c r="H148" s="90">
        <v>0</v>
      </c>
      <c r="I148" s="90">
        <v>0</v>
      </c>
      <c r="J148" s="90">
        <v>0</v>
      </c>
      <c r="K148" s="91">
        <v>0</v>
      </c>
      <c r="L148" s="90">
        <v>0</v>
      </c>
      <c r="M148" s="90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0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2">
        <v>2020</v>
      </c>
    </row>
    <row r="149" spans="1:28" s="1" customFormat="1" ht="35.25" customHeight="1" x14ac:dyDescent="0.5">
      <c r="A149" s="1">
        <v>1</v>
      </c>
      <c r="B149" s="39">
        <f>SUBTOTAL(103,$A$11:A149)</f>
        <v>137</v>
      </c>
      <c r="C149" s="86" t="s">
        <v>652</v>
      </c>
      <c r="D149" s="87">
        <f t="shared" si="4"/>
        <v>512800</v>
      </c>
      <c r="E149" s="90">
        <v>0</v>
      </c>
      <c r="F149" s="90">
        <v>0</v>
      </c>
      <c r="G149" s="90">
        <v>0</v>
      </c>
      <c r="H149" s="90">
        <v>0</v>
      </c>
      <c r="I149" s="90">
        <v>0</v>
      </c>
      <c r="J149" s="90">
        <v>0</v>
      </c>
      <c r="K149" s="91">
        <v>0</v>
      </c>
      <c r="L149" s="90">
        <v>0</v>
      </c>
      <c r="M149" s="90">
        <v>0</v>
      </c>
      <c r="N149" s="90">
        <v>0</v>
      </c>
      <c r="O149" s="90">
        <v>512800</v>
      </c>
      <c r="P149" s="90">
        <v>0</v>
      </c>
      <c r="Q149" s="90">
        <v>0</v>
      </c>
      <c r="R149" s="90">
        <v>0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2">
        <v>2020</v>
      </c>
    </row>
    <row r="150" spans="1:28" s="1" customFormat="1" ht="35.25" customHeight="1" x14ac:dyDescent="0.5">
      <c r="A150" s="1">
        <v>1</v>
      </c>
      <c r="B150" s="39">
        <f>SUBTOTAL(103,$A$11:A150)</f>
        <v>138</v>
      </c>
      <c r="C150" s="86" t="s">
        <v>653</v>
      </c>
      <c r="D150" s="87">
        <f t="shared" si="4"/>
        <v>92047.5</v>
      </c>
      <c r="E150" s="90">
        <v>0</v>
      </c>
      <c r="F150" s="90">
        <v>0</v>
      </c>
      <c r="G150" s="90">
        <v>0</v>
      </c>
      <c r="H150" s="90">
        <v>0</v>
      </c>
      <c r="I150" s="90">
        <v>0</v>
      </c>
      <c r="J150" s="90">
        <v>0</v>
      </c>
      <c r="K150" s="91">
        <v>0</v>
      </c>
      <c r="L150" s="90">
        <v>0</v>
      </c>
      <c r="M150" s="90">
        <v>0</v>
      </c>
      <c r="N150" s="90">
        <v>55807.5</v>
      </c>
      <c r="O150" s="90">
        <v>36240</v>
      </c>
      <c r="P150" s="90">
        <v>0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2">
        <v>2020</v>
      </c>
    </row>
    <row r="151" spans="1:28" s="1" customFormat="1" ht="35.25" customHeight="1" x14ac:dyDescent="0.5">
      <c r="A151" s="1">
        <v>1</v>
      </c>
      <c r="B151" s="39">
        <f>SUBTOTAL(103,$A$11:A151)</f>
        <v>139</v>
      </c>
      <c r="C151" s="86" t="s">
        <v>654</v>
      </c>
      <c r="D151" s="87">
        <f t="shared" si="4"/>
        <v>96754</v>
      </c>
      <c r="E151" s="90">
        <v>48377</v>
      </c>
      <c r="F151" s="90">
        <v>48377</v>
      </c>
      <c r="G151" s="90">
        <v>0</v>
      </c>
      <c r="H151" s="90">
        <v>0</v>
      </c>
      <c r="I151" s="90">
        <v>0</v>
      </c>
      <c r="J151" s="90">
        <v>0</v>
      </c>
      <c r="K151" s="91">
        <v>0</v>
      </c>
      <c r="L151" s="90">
        <v>0</v>
      </c>
      <c r="M151" s="90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2">
        <v>2020</v>
      </c>
    </row>
    <row r="152" spans="1:28" s="1" customFormat="1" ht="35.25" customHeight="1" x14ac:dyDescent="0.5">
      <c r="A152" s="1">
        <v>1</v>
      </c>
      <c r="B152" s="39">
        <f>SUBTOTAL(103,$A$11:A152)</f>
        <v>140</v>
      </c>
      <c r="C152" s="86" t="s">
        <v>655</v>
      </c>
      <c r="D152" s="87">
        <f t="shared" si="4"/>
        <v>143710.21</v>
      </c>
      <c r="E152" s="90">
        <v>143710.21</v>
      </c>
      <c r="F152" s="90">
        <v>0</v>
      </c>
      <c r="G152" s="90">
        <v>0</v>
      </c>
      <c r="H152" s="90">
        <v>0</v>
      </c>
      <c r="I152" s="90">
        <v>0</v>
      </c>
      <c r="J152" s="90">
        <v>0</v>
      </c>
      <c r="K152" s="91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0</v>
      </c>
      <c r="Q152" s="90">
        <v>0</v>
      </c>
      <c r="R152" s="90">
        <v>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2">
        <v>2020</v>
      </c>
    </row>
    <row r="153" spans="1:28" s="1" customFormat="1" ht="35.25" customHeight="1" x14ac:dyDescent="0.5">
      <c r="A153" s="1">
        <v>1</v>
      </c>
      <c r="B153" s="39">
        <f>SUBTOTAL(103,$A$11:A153)</f>
        <v>141</v>
      </c>
      <c r="C153" s="86" t="s">
        <v>656</v>
      </c>
      <c r="D153" s="87">
        <f t="shared" si="4"/>
        <v>129672.73</v>
      </c>
      <c r="E153" s="90">
        <v>0</v>
      </c>
      <c r="F153" s="90">
        <v>0</v>
      </c>
      <c r="G153" s="90">
        <v>0</v>
      </c>
      <c r="H153" s="90">
        <v>0</v>
      </c>
      <c r="I153" s="90">
        <v>0</v>
      </c>
      <c r="J153" s="90">
        <v>0</v>
      </c>
      <c r="K153" s="91">
        <v>0</v>
      </c>
      <c r="L153" s="90">
        <v>0</v>
      </c>
      <c r="M153" s="90">
        <v>0</v>
      </c>
      <c r="N153" s="90">
        <v>0</v>
      </c>
      <c r="O153" s="90">
        <v>129672.73</v>
      </c>
      <c r="P153" s="90">
        <v>0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2">
        <v>2020</v>
      </c>
    </row>
    <row r="154" spans="1:28" s="1" customFormat="1" ht="35.25" customHeight="1" x14ac:dyDescent="0.5">
      <c r="A154" s="1">
        <v>1</v>
      </c>
      <c r="B154" s="39">
        <f>SUBTOTAL(103,$A$11:A154)</f>
        <v>142</v>
      </c>
      <c r="C154" s="86" t="s">
        <v>657</v>
      </c>
      <c r="D154" s="87">
        <f t="shared" si="4"/>
        <v>338000</v>
      </c>
      <c r="E154" s="90">
        <v>0</v>
      </c>
      <c r="F154" s="90">
        <v>0</v>
      </c>
      <c r="G154" s="90">
        <v>0</v>
      </c>
      <c r="H154" s="90">
        <v>0</v>
      </c>
      <c r="I154" s="90">
        <v>0</v>
      </c>
      <c r="J154" s="90">
        <v>0</v>
      </c>
      <c r="K154" s="91">
        <v>0</v>
      </c>
      <c r="L154" s="90">
        <v>0</v>
      </c>
      <c r="M154" s="90">
        <v>0</v>
      </c>
      <c r="N154" s="90">
        <v>0</v>
      </c>
      <c r="O154" s="90">
        <v>338000</v>
      </c>
      <c r="P154" s="90">
        <v>0</v>
      </c>
      <c r="Q154" s="90">
        <v>0</v>
      </c>
      <c r="R154" s="90">
        <v>0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2">
        <v>2020</v>
      </c>
    </row>
    <row r="155" spans="1:28" s="1" customFormat="1" ht="35.25" customHeight="1" x14ac:dyDescent="0.5">
      <c r="A155" s="1">
        <v>1</v>
      </c>
      <c r="B155" s="39">
        <f>SUBTOTAL(103,$A$11:A155)</f>
        <v>143</v>
      </c>
      <c r="C155" s="86" t="s">
        <v>658</v>
      </c>
      <c r="D155" s="87">
        <f t="shared" si="4"/>
        <v>56014</v>
      </c>
      <c r="E155" s="90">
        <v>0</v>
      </c>
      <c r="F155" s="90">
        <v>0</v>
      </c>
      <c r="G155" s="90">
        <v>0</v>
      </c>
      <c r="H155" s="90">
        <v>0</v>
      </c>
      <c r="I155" s="90">
        <v>0</v>
      </c>
      <c r="J155" s="90">
        <v>0</v>
      </c>
      <c r="K155" s="91">
        <v>0</v>
      </c>
      <c r="L155" s="90">
        <v>0</v>
      </c>
      <c r="M155" s="90">
        <v>0</v>
      </c>
      <c r="N155" s="90">
        <v>0</v>
      </c>
      <c r="O155" s="90">
        <v>56014</v>
      </c>
      <c r="P155" s="90">
        <v>0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2">
        <v>2020</v>
      </c>
    </row>
    <row r="156" spans="1:28" s="1" customFormat="1" ht="35.25" customHeight="1" x14ac:dyDescent="0.5">
      <c r="A156" s="1">
        <v>1</v>
      </c>
      <c r="B156" s="39">
        <f>SUBTOTAL(103,$A$11:A156)</f>
        <v>144</v>
      </c>
      <c r="C156" s="86" t="s">
        <v>659</v>
      </c>
      <c r="D156" s="87">
        <f t="shared" si="4"/>
        <v>1050000</v>
      </c>
      <c r="E156" s="90">
        <v>0</v>
      </c>
      <c r="F156" s="90">
        <v>0</v>
      </c>
      <c r="G156" s="90">
        <v>0</v>
      </c>
      <c r="H156" s="90">
        <v>0</v>
      </c>
      <c r="I156" s="90">
        <v>0</v>
      </c>
      <c r="J156" s="90">
        <v>0</v>
      </c>
      <c r="K156" s="91">
        <v>0</v>
      </c>
      <c r="L156" s="90">
        <v>0</v>
      </c>
      <c r="M156" s="90">
        <v>1050000</v>
      </c>
      <c r="N156" s="90">
        <v>0</v>
      </c>
      <c r="O156" s="90">
        <v>0</v>
      </c>
      <c r="P156" s="90">
        <v>0</v>
      </c>
      <c r="Q156" s="90">
        <v>0</v>
      </c>
      <c r="R156" s="90">
        <v>0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2">
        <v>2020</v>
      </c>
    </row>
    <row r="157" spans="1:28" s="1" customFormat="1" ht="35.25" customHeight="1" x14ac:dyDescent="0.5">
      <c r="A157" s="1">
        <v>1</v>
      </c>
      <c r="B157" s="39">
        <f>SUBTOTAL(103,$A$11:A157)</f>
        <v>145</v>
      </c>
      <c r="C157" s="86" t="s">
        <v>660</v>
      </c>
      <c r="D157" s="87">
        <f t="shared" si="4"/>
        <v>533500</v>
      </c>
      <c r="E157" s="90">
        <v>0</v>
      </c>
      <c r="F157" s="90">
        <v>0</v>
      </c>
      <c r="G157" s="90">
        <v>0</v>
      </c>
      <c r="H157" s="90">
        <v>0</v>
      </c>
      <c r="I157" s="90">
        <v>0</v>
      </c>
      <c r="J157" s="90">
        <v>0</v>
      </c>
      <c r="K157" s="91">
        <v>0</v>
      </c>
      <c r="L157" s="90">
        <v>0</v>
      </c>
      <c r="M157" s="90">
        <v>533500</v>
      </c>
      <c r="N157" s="90">
        <v>0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2">
        <v>2020</v>
      </c>
    </row>
    <row r="158" spans="1:28" s="1" customFormat="1" ht="35.25" customHeight="1" x14ac:dyDescent="0.5">
      <c r="A158" s="1">
        <v>1</v>
      </c>
      <c r="B158" s="39">
        <f>SUBTOTAL(103,$A$11:A158)</f>
        <v>146</v>
      </c>
      <c r="C158" s="86" t="s">
        <v>661</v>
      </c>
      <c r="D158" s="87">
        <f t="shared" si="4"/>
        <v>126461.17</v>
      </c>
      <c r="E158" s="90">
        <v>0</v>
      </c>
      <c r="F158" s="90">
        <v>0</v>
      </c>
      <c r="G158" s="90">
        <v>0</v>
      </c>
      <c r="H158" s="90">
        <v>0</v>
      </c>
      <c r="I158" s="90">
        <v>0</v>
      </c>
      <c r="J158" s="90">
        <v>0</v>
      </c>
      <c r="K158" s="91">
        <v>0</v>
      </c>
      <c r="L158" s="90">
        <v>0</v>
      </c>
      <c r="M158" s="90">
        <v>0</v>
      </c>
      <c r="N158" s="90">
        <v>0</v>
      </c>
      <c r="O158" s="90">
        <v>126461.17</v>
      </c>
      <c r="P158" s="90">
        <v>0</v>
      </c>
      <c r="Q158" s="90">
        <v>0</v>
      </c>
      <c r="R158" s="90">
        <v>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2">
        <v>2020</v>
      </c>
    </row>
    <row r="159" spans="1:28" s="1" customFormat="1" ht="35.25" customHeight="1" x14ac:dyDescent="0.5">
      <c r="A159" s="1">
        <v>1</v>
      </c>
      <c r="B159" s="39">
        <f>SUBTOTAL(103,$A$11:A159)</f>
        <v>147</v>
      </c>
      <c r="C159" s="86" t="s">
        <v>662</v>
      </c>
      <c r="D159" s="87">
        <f t="shared" si="4"/>
        <v>1330416</v>
      </c>
      <c r="E159" s="90">
        <v>0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1">
        <v>0</v>
      </c>
      <c r="L159" s="90">
        <v>0</v>
      </c>
      <c r="M159" s="90">
        <v>238341</v>
      </c>
      <c r="N159" s="90">
        <v>0</v>
      </c>
      <c r="O159" s="90">
        <v>0</v>
      </c>
      <c r="P159" s="90">
        <v>1092075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2">
        <v>2020</v>
      </c>
    </row>
    <row r="160" spans="1:28" s="1" customFormat="1" ht="35.25" customHeight="1" x14ac:dyDescent="0.5">
      <c r="A160" s="1">
        <v>1</v>
      </c>
      <c r="B160" s="39">
        <f>SUBTOTAL(103,$A$11:A160)</f>
        <v>148</v>
      </c>
      <c r="C160" s="86" t="s">
        <v>436</v>
      </c>
      <c r="D160" s="87">
        <f t="shared" si="4"/>
        <v>1800000</v>
      </c>
      <c r="E160" s="90">
        <v>0</v>
      </c>
      <c r="F160" s="90">
        <v>0</v>
      </c>
      <c r="G160" s="90">
        <v>0</v>
      </c>
      <c r="H160" s="90">
        <v>0</v>
      </c>
      <c r="I160" s="90">
        <v>0</v>
      </c>
      <c r="J160" s="90">
        <v>0</v>
      </c>
      <c r="K160" s="91">
        <v>1</v>
      </c>
      <c r="L160" s="90">
        <v>1800000</v>
      </c>
      <c r="M160" s="90">
        <v>0</v>
      </c>
      <c r="N160" s="90">
        <v>0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2">
        <v>2020</v>
      </c>
    </row>
    <row r="161" spans="1:28" s="1" customFormat="1" ht="35.25" customHeight="1" x14ac:dyDescent="0.5">
      <c r="A161" s="1">
        <v>1</v>
      </c>
      <c r="B161" s="39">
        <f>SUBTOTAL(103,$A$11:A161)</f>
        <v>149</v>
      </c>
      <c r="C161" s="86" t="s">
        <v>663</v>
      </c>
      <c r="D161" s="87">
        <f t="shared" si="4"/>
        <v>1842506</v>
      </c>
      <c r="E161" s="90">
        <v>0</v>
      </c>
      <c r="F161" s="90">
        <v>0</v>
      </c>
      <c r="G161" s="90">
        <v>0</v>
      </c>
      <c r="H161" s="90">
        <v>0</v>
      </c>
      <c r="I161" s="90">
        <v>0</v>
      </c>
      <c r="J161" s="90">
        <v>0</v>
      </c>
      <c r="K161" s="91">
        <v>0</v>
      </c>
      <c r="L161" s="90">
        <v>0</v>
      </c>
      <c r="M161" s="90">
        <v>0</v>
      </c>
      <c r="N161" s="90">
        <v>0</v>
      </c>
      <c r="O161" s="90">
        <v>1842506</v>
      </c>
      <c r="P161" s="90">
        <v>0</v>
      </c>
      <c r="Q161" s="90">
        <v>0</v>
      </c>
      <c r="R161" s="90">
        <v>0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2">
        <v>2020</v>
      </c>
    </row>
    <row r="162" spans="1:28" s="1" customFormat="1" ht="35.25" customHeight="1" x14ac:dyDescent="0.5">
      <c r="A162" s="1">
        <v>1</v>
      </c>
      <c r="B162" s="39">
        <f>SUBTOTAL(103,$A$11:A162)</f>
        <v>150</v>
      </c>
      <c r="C162" s="86" t="s">
        <v>664</v>
      </c>
      <c r="D162" s="87">
        <f t="shared" si="4"/>
        <v>327139.40000000002</v>
      </c>
      <c r="E162" s="90">
        <v>0</v>
      </c>
      <c r="F162" s="90">
        <v>0</v>
      </c>
      <c r="G162" s="90">
        <v>0</v>
      </c>
      <c r="H162" s="90">
        <v>0</v>
      </c>
      <c r="I162" s="90">
        <v>0</v>
      </c>
      <c r="J162" s="90">
        <v>0</v>
      </c>
      <c r="K162" s="91">
        <v>0</v>
      </c>
      <c r="L162" s="90">
        <v>0</v>
      </c>
      <c r="M162" s="90">
        <v>327139.40000000002</v>
      </c>
      <c r="N162" s="90">
        <v>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2">
        <v>2020</v>
      </c>
    </row>
    <row r="163" spans="1:28" s="1" customFormat="1" ht="35.25" customHeight="1" x14ac:dyDescent="0.5">
      <c r="A163" s="1">
        <v>1</v>
      </c>
      <c r="B163" s="39">
        <f>SUBTOTAL(103,$A$11:A163)</f>
        <v>151</v>
      </c>
      <c r="C163" s="86" t="s">
        <v>665</v>
      </c>
      <c r="D163" s="87">
        <f t="shared" si="4"/>
        <v>284860</v>
      </c>
      <c r="E163" s="90">
        <v>41758</v>
      </c>
      <c r="F163" s="90">
        <v>0</v>
      </c>
      <c r="G163" s="90">
        <v>0</v>
      </c>
      <c r="H163" s="90">
        <v>0</v>
      </c>
      <c r="I163" s="90">
        <v>0</v>
      </c>
      <c r="J163" s="90">
        <v>0</v>
      </c>
      <c r="K163" s="91">
        <v>0</v>
      </c>
      <c r="L163" s="90">
        <v>0</v>
      </c>
      <c r="M163" s="90">
        <v>0</v>
      </c>
      <c r="N163" s="90">
        <v>0</v>
      </c>
      <c r="O163" s="90">
        <v>243102</v>
      </c>
      <c r="P163" s="90">
        <v>0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2">
        <v>2020</v>
      </c>
    </row>
    <row r="164" spans="1:28" s="1" customFormat="1" ht="35.25" customHeight="1" x14ac:dyDescent="0.5">
      <c r="A164" s="1">
        <v>1</v>
      </c>
      <c r="B164" s="39">
        <f>SUBTOTAL(103,$A$11:A164)</f>
        <v>152</v>
      </c>
      <c r="C164" s="86" t="s">
        <v>666</v>
      </c>
      <c r="D164" s="87">
        <f t="shared" si="4"/>
        <v>562718</v>
      </c>
      <c r="E164" s="90">
        <v>0</v>
      </c>
      <c r="F164" s="90">
        <v>0</v>
      </c>
      <c r="G164" s="90">
        <v>0</v>
      </c>
      <c r="H164" s="90">
        <v>0</v>
      </c>
      <c r="I164" s="90">
        <v>0</v>
      </c>
      <c r="J164" s="90">
        <v>0</v>
      </c>
      <c r="K164" s="91">
        <v>0</v>
      </c>
      <c r="L164" s="90">
        <v>0</v>
      </c>
      <c r="M164" s="90">
        <v>0</v>
      </c>
      <c r="N164" s="90">
        <v>562718</v>
      </c>
      <c r="O164" s="90">
        <v>0</v>
      </c>
      <c r="P164" s="90">
        <v>0</v>
      </c>
      <c r="Q164" s="90">
        <v>0</v>
      </c>
      <c r="R164" s="90">
        <v>0</v>
      </c>
      <c r="S164" s="90">
        <v>0</v>
      </c>
      <c r="T164" s="90">
        <v>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2">
        <v>2020</v>
      </c>
    </row>
    <row r="165" spans="1:28" s="1" customFormat="1" ht="35.25" customHeight="1" x14ac:dyDescent="0.5">
      <c r="A165" s="1">
        <v>1</v>
      </c>
      <c r="B165" s="39">
        <f>SUBTOTAL(103,$A$11:A165)</f>
        <v>153</v>
      </c>
      <c r="C165" s="86" t="s">
        <v>667</v>
      </c>
      <c r="D165" s="87">
        <f t="shared" si="4"/>
        <v>523273.69</v>
      </c>
      <c r="E165" s="90">
        <v>0</v>
      </c>
      <c r="F165" s="90">
        <v>0</v>
      </c>
      <c r="G165" s="90">
        <v>0</v>
      </c>
      <c r="H165" s="90">
        <v>0</v>
      </c>
      <c r="I165" s="90">
        <v>0</v>
      </c>
      <c r="J165" s="90">
        <v>0</v>
      </c>
      <c r="K165" s="91">
        <v>0</v>
      </c>
      <c r="L165" s="90">
        <v>0</v>
      </c>
      <c r="M165" s="90">
        <v>523273.69</v>
      </c>
      <c r="N165" s="90">
        <v>0</v>
      </c>
      <c r="O165" s="90">
        <v>0</v>
      </c>
      <c r="P165" s="90">
        <v>0</v>
      </c>
      <c r="Q165" s="90">
        <v>0</v>
      </c>
      <c r="R165" s="90">
        <v>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2">
        <v>2020</v>
      </c>
    </row>
    <row r="166" spans="1:28" s="1" customFormat="1" ht="35.25" customHeight="1" x14ac:dyDescent="0.5">
      <c r="A166" s="1">
        <v>1</v>
      </c>
      <c r="B166" s="39">
        <f>SUBTOTAL(103,$A$11:A166)</f>
        <v>154</v>
      </c>
      <c r="C166" s="86" t="s">
        <v>668</v>
      </c>
      <c r="D166" s="87">
        <f t="shared" si="4"/>
        <v>405244</v>
      </c>
      <c r="E166" s="90">
        <v>0</v>
      </c>
      <c r="F166" s="90">
        <v>405244</v>
      </c>
      <c r="G166" s="90">
        <v>0</v>
      </c>
      <c r="H166" s="90">
        <v>0</v>
      </c>
      <c r="I166" s="90">
        <v>0</v>
      </c>
      <c r="J166" s="90">
        <v>0</v>
      </c>
      <c r="K166" s="91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2">
        <v>2020</v>
      </c>
    </row>
    <row r="167" spans="1:28" s="1" customFormat="1" ht="35.25" customHeight="1" x14ac:dyDescent="0.5">
      <c r="A167" s="1">
        <v>1</v>
      </c>
      <c r="B167" s="39">
        <f>SUBTOTAL(103,$A$11:A167)</f>
        <v>155</v>
      </c>
      <c r="C167" s="86" t="s">
        <v>669</v>
      </c>
      <c r="D167" s="87">
        <f t="shared" si="4"/>
        <v>31500</v>
      </c>
      <c r="E167" s="90">
        <v>0</v>
      </c>
      <c r="F167" s="90">
        <v>0</v>
      </c>
      <c r="G167" s="90">
        <v>0</v>
      </c>
      <c r="H167" s="90">
        <v>0</v>
      </c>
      <c r="I167" s="90">
        <v>0</v>
      </c>
      <c r="J167" s="90">
        <v>0</v>
      </c>
      <c r="K167" s="91">
        <v>0</v>
      </c>
      <c r="L167" s="90">
        <v>0</v>
      </c>
      <c r="M167" s="90">
        <v>31500</v>
      </c>
      <c r="N167" s="90">
        <v>0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2">
        <v>2020</v>
      </c>
    </row>
    <row r="168" spans="1:28" s="1" customFormat="1" ht="35.25" customHeight="1" x14ac:dyDescent="0.5">
      <c r="A168" s="1">
        <v>1</v>
      </c>
      <c r="B168" s="39">
        <f>SUBTOTAL(103,$A$11:A168)</f>
        <v>156</v>
      </c>
      <c r="C168" s="86" t="s">
        <v>441</v>
      </c>
      <c r="D168" s="87">
        <f t="shared" si="4"/>
        <v>597216.73</v>
      </c>
      <c r="E168" s="90">
        <v>0</v>
      </c>
      <c r="F168" s="90">
        <v>0</v>
      </c>
      <c r="G168" s="90">
        <v>0</v>
      </c>
      <c r="H168" s="90">
        <v>0</v>
      </c>
      <c r="I168" s="90">
        <v>0</v>
      </c>
      <c r="J168" s="90">
        <v>0</v>
      </c>
      <c r="K168" s="91">
        <v>1</v>
      </c>
      <c r="L168" s="90">
        <v>85000</v>
      </c>
      <c r="M168" s="90">
        <v>247409</v>
      </c>
      <c r="N168" s="90">
        <v>0</v>
      </c>
      <c r="O168" s="90">
        <v>264807.73</v>
      </c>
      <c r="P168" s="90">
        <v>0</v>
      </c>
      <c r="Q168" s="90">
        <v>0</v>
      </c>
      <c r="R168" s="90">
        <v>0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2">
        <v>2020</v>
      </c>
    </row>
    <row r="169" spans="1:28" s="1" customFormat="1" ht="35.25" customHeight="1" x14ac:dyDescent="0.5">
      <c r="A169" s="1">
        <v>1</v>
      </c>
      <c r="B169" s="39">
        <f>SUBTOTAL(103,$A$11:A169)</f>
        <v>157</v>
      </c>
      <c r="C169" s="86" t="s">
        <v>670</v>
      </c>
      <c r="D169" s="87">
        <f t="shared" si="4"/>
        <v>389342</v>
      </c>
      <c r="E169" s="90">
        <v>0</v>
      </c>
      <c r="F169" s="90">
        <v>0</v>
      </c>
      <c r="G169" s="90">
        <v>0</v>
      </c>
      <c r="H169" s="90">
        <v>0</v>
      </c>
      <c r="I169" s="90">
        <v>0</v>
      </c>
      <c r="J169" s="90">
        <v>0</v>
      </c>
      <c r="K169" s="91">
        <v>0</v>
      </c>
      <c r="L169" s="90">
        <v>0</v>
      </c>
      <c r="M169" s="90">
        <v>0</v>
      </c>
      <c r="N169" s="90">
        <v>0</v>
      </c>
      <c r="O169" s="90">
        <v>389342</v>
      </c>
      <c r="P169" s="90">
        <v>0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2">
        <v>2020</v>
      </c>
    </row>
    <row r="170" spans="1:28" s="1" customFormat="1" ht="35.25" customHeight="1" x14ac:dyDescent="0.5">
      <c r="A170" s="1">
        <v>1</v>
      </c>
      <c r="B170" s="39">
        <f>SUBTOTAL(103,$A$11:A170)</f>
        <v>158</v>
      </c>
      <c r="C170" s="86" t="s">
        <v>671</v>
      </c>
      <c r="D170" s="87">
        <f t="shared" si="4"/>
        <v>425173.92000000004</v>
      </c>
      <c r="E170" s="90">
        <v>0</v>
      </c>
      <c r="F170" s="90">
        <v>0</v>
      </c>
      <c r="G170" s="90">
        <v>192500</v>
      </c>
      <c r="H170" s="90">
        <v>0</v>
      </c>
      <c r="I170" s="90">
        <v>0</v>
      </c>
      <c r="J170" s="90">
        <v>0</v>
      </c>
      <c r="K170" s="91">
        <v>0</v>
      </c>
      <c r="L170" s="90">
        <v>0</v>
      </c>
      <c r="M170" s="90">
        <v>0</v>
      </c>
      <c r="N170" s="90">
        <v>0</v>
      </c>
      <c r="O170" s="90">
        <v>232673.92000000001</v>
      </c>
      <c r="P170" s="90">
        <v>0</v>
      </c>
      <c r="Q170" s="90">
        <v>0</v>
      </c>
      <c r="R170" s="90">
        <v>0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2">
        <v>2020</v>
      </c>
    </row>
    <row r="171" spans="1:28" s="1" customFormat="1" ht="35.25" customHeight="1" x14ac:dyDescent="0.5">
      <c r="A171" s="1">
        <v>1</v>
      </c>
      <c r="B171" s="39">
        <f>SUBTOTAL(103,$A$11:A171)</f>
        <v>159</v>
      </c>
      <c r="C171" s="86" t="s">
        <v>672</v>
      </c>
      <c r="D171" s="87">
        <f t="shared" si="4"/>
        <v>1855885.31</v>
      </c>
      <c r="E171" s="90">
        <v>0</v>
      </c>
      <c r="F171" s="90">
        <v>0</v>
      </c>
      <c r="G171" s="90">
        <v>0</v>
      </c>
      <c r="H171" s="90">
        <v>0</v>
      </c>
      <c r="I171" s="90">
        <v>0</v>
      </c>
      <c r="J171" s="90">
        <v>0</v>
      </c>
      <c r="K171" s="91">
        <v>0</v>
      </c>
      <c r="L171" s="90">
        <v>0</v>
      </c>
      <c r="M171" s="90">
        <v>1768030</v>
      </c>
      <c r="N171" s="90">
        <v>0</v>
      </c>
      <c r="O171" s="90">
        <v>87855.31</v>
      </c>
      <c r="P171" s="90">
        <v>0</v>
      </c>
      <c r="Q171" s="90">
        <v>0</v>
      </c>
      <c r="R171" s="90">
        <v>0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2">
        <v>2020</v>
      </c>
    </row>
    <row r="172" spans="1:28" s="1" customFormat="1" ht="35.25" customHeight="1" x14ac:dyDescent="0.5">
      <c r="A172" s="1">
        <v>1</v>
      </c>
      <c r="B172" s="39">
        <f>SUBTOTAL(103,$A$11:A172)</f>
        <v>160</v>
      </c>
      <c r="C172" s="86" t="s">
        <v>673</v>
      </c>
      <c r="D172" s="87">
        <f t="shared" si="4"/>
        <v>498750</v>
      </c>
      <c r="E172" s="90">
        <v>0</v>
      </c>
      <c r="F172" s="90">
        <v>0</v>
      </c>
      <c r="G172" s="90">
        <v>0</v>
      </c>
      <c r="H172" s="90">
        <v>0</v>
      </c>
      <c r="I172" s="90">
        <v>0</v>
      </c>
      <c r="J172" s="90">
        <v>0</v>
      </c>
      <c r="K172" s="91">
        <v>0</v>
      </c>
      <c r="L172" s="90">
        <v>0</v>
      </c>
      <c r="M172" s="90">
        <v>0</v>
      </c>
      <c r="N172" s="90">
        <v>0</v>
      </c>
      <c r="O172" s="90">
        <v>498750</v>
      </c>
      <c r="P172" s="90">
        <v>0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2">
        <v>2020</v>
      </c>
    </row>
    <row r="173" spans="1:28" s="1" customFormat="1" ht="35.25" customHeight="1" x14ac:dyDescent="0.5">
      <c r="A173" s="1">
        <v>1</v>
      </c>
      <c r="B173" s="39">
        <f>SUBTOTAL(103,$A$11:A173)</f>
        <v>161</v>
      </c>
      <c r="C173" s="86" t="s">
        <v>674</v>
      </c>
      <c r="D173" s="87">
        <f t="shared" ref="D173:D177" si="5">E173+F173+G173+H173+I173+J173+L173+M173+N173+O173+P173+Q173+R173+S173+T173+U173+V173+W173+X173+Y173+Z173+AA173</f>
        <v>781837.52</v>
      </c>
      <c r="E173" s="90">
        <v>0</v>
      </c>
      <c r="F173" s="90">
        <v>0</v>
      </c>
      <c r="G173" s="90">
        <v>0</v>
      </c>
      <c r="H173" s="90">
        <v>0</v>
      </c>
      <c r="I173" s="90">
        <v>0</v>
      </c>
      <c r="J173" s="90">
        <v>0</v>
      </c>
      <c r="K173" s="91">
        <v>0</v>
      </c>
      <c r="L173" s="90">
        <v>0</v>
      </c>
      <c r="M173" s="90">
        <v>72227.39</v>
      </c>
      <c r="N173" s="90">
        <v>380731.18</v>
      </c>
      <c r="O173" s="90">
        <v>328878.95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2">
        <v>2020</v>
      </c>
    </row>
    <row r="174" spans="1:28" s="1" customFormat="1" ht="35.25" customHeight="1" x14ac:dyDescent="0.5">
      <c r="A174" s="1">
        <v>1</v>
      </c>
      <c r="B174" s="39">
        <f>SUBTOTAL(103,$A$11:A174)</f>
        <v>162</v>
      </c>
      <c r="C174" s="86" t="s">
        <v>675</v>
      </c>
      <c r="D174" s="87">
        <f t="shared" si="5"/>
        <v>105000</v>
      </c>
      <c r="E174" s="90">
        <v>105000</v>
      </c>
      <c r="F174" s="90">
        <v>0</v>
      </c>
      <c r="G174" s="90">
        <v>0</v>
      </c>
      <c r="H174" s="90">
        <v>0</v>
      </c>
      <c r="I174" s="90">
        <v>0</v>
      </c>
      <c r="J174" s="90">
        <v>0</v>
      </c>
      <c r="K174" s="91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2">
        <v>2020</v>
      </c>
    </row>
    <row r="175" spans="1:28" s="1" customFormat="1" ht="35.25" customHeight="1" x14ac:dyDescent="0.5">
      <c r="A175" s="1">
        <v>1</v>
      </c>
      <c r="B175" s="39">
        <f>SUBTOTAL(103,$A$11:A175)</f>
        <v>163</v>
      </c>
      <c r="C175" s="86" t="s">
        <v>676</v>
      </c>
      <c r="D175" s="87">
        <f t="shared" si="5"/>
        <v>525162</v>
      </c>
      <c r="E175" s="90">
        <v>0</v>
      </c>
      <c r="F175" s="90">
        <v>0</v>
      </c>
      <c r="G175" s="90">
        <v>0</v>
      </c>
      <c r="H175" s="90">
        <v>0</v>
      </c>
      <c r="I175" s="90">
        <v>0</v>
      </c>
      <c r="J175" s="90">
        <v>0</v>
      </c>
      <c r="K175" s="91">
        <v>0</v>
      </c>
      <c r="L175" s="90">
        <v>0</v>
      </c>
      <c r="M175" s="90">
        <v>525162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2">
        <v>2020</v>
      </c>
    </row>
    <row r="176" spans="1:28" s="1" customFormat="1" ht="35.25" customHeight="1" x14ac:dyDescent="0.5">
      <c r="A176" s="1">
        <v>1</v>
      </c>
      <c r="B176" s="39">
        <f>SUBTOTAL(103,$A$11:A176)</f>
        <v>164</v>
      </c>
      <c r="C176" s="86" t="s">
        <v>445</v>
      </c>
      <c r="D176" s="87">
        <f t="shared" si="5"/>
        <v>1389500</v>
      </c>
      <c r="E176" s="90">
        <v>0</v>
      </c>
      <c r="F176" s="90">
        <v>0</v>
      </c>
      <c r="G176" s="90">
        <v>0</v>
      </c>
      <c r="H176" s="90">
        <v>0</v>
      </c>
      <c r="I176" s="90">
        <v>0</v>
      </c>
      <c r="J176" s="90">
        <v>0</v>
      </c>
      <c r="K176" s="91">
        <v>0</v>
      </c>
      <c r="L176" s="90">
        <v>0</v>
      </c>
      <c r="M176" s="90">
        <v>1389500</v>
      </c>
      <c r="N176" s="90">
        <v>0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2">
        <v>2020</v>
      </c>
    </row>
    <row r="177" spans="1:28" s="1" customFormat="1" ht="35.25" customHeight="1" x14ac:dyDescent="0.5">
      <c r="A177" s="1">
        <v>1</v>
      </c>
      <c r="B177" s="39">
        <f>SUBTOTAL(103,$A$11:A177)</f>
        <v>165</v>
      </c>
      <c r="C177" s="86" t="s">
        <v>446</v>
      </c>
      <c r="D177" s="87">
        <f t="shared" si="5"/>
        <v>1078705</v>
      </c>
      <c r="E177" s="90">
        <v>215265</v>
      </c>
      <c r="F177" s="90">
        <v>85000</v>
      </c>
      <c r="G177" s="90">
        <v>0</v>
      </c>
      <c r="H177" s="90">
        <v>0</v>
      </c>
      <c r="I177" s="90">
        <v>121325</v>
      </c>
      <c r="J177" s="90">
        <v>0</v>
      </c>
      <c r="K177" s="91">
        <v>0</v>
      </c>
      <c r="L177" s="90">
        <v>0</v>
      </c>
      <c r="M177" s="90">
        <v>450000</v>
      </c>
      <c r="N177" s="90">
        <v>174615</v>
      </c>
      <c r="O177" s="90">
        <v>32500</v>
      </c>
      <c r="P177" s="90">
        <v>0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2">
        <v>2020</v>
      </c>
    </row>
    <row r="178" spans="1:28" s="1" customFormat="1" ht="35.25" customHeight="1" x14ac:dyDescent="0.5">
      <c r="A178" s="1">
        <v>1</v>
      </c>
      <c r="B178" s="39">
        <f>SUBTOTAL(103,$A$11:A178)</f>
        <v>166</v>
      </c>
      <c r="C178" s="86" t="s">
        <v>677</v>
      </c>
      <c r="D178" s="87">
        <f>E178+F178+G178+H178+I178+J178+L178+M178+N178+O178+P178+Q178+R178+S178+T178+U178+V178+W178+X178+Y178+Z178+AA178</f>
        <v>403507.08</v>
      </c>
      <c r="E178" s="90">
        <v>201753.54</v>
      </c>
      <c r="F178" s="90">
        <v>201753.54</v>
      </c>
      <c r="G178" s="90">
        <v>0</v>
      </c>
      <c r="H178" s="90">
        <v>0</v>
      </c>
      <c r="I178" s="90">
        <v>0</v>
      </c>
      <c r="J178" s="90">
        <v>0</v>
      </c>
      <c r="K178" s="91">
        <v>0</v>
      </c>
      <c r="L178" s="90">
        <v>0</v>
      </c>
      <c r="M178" s="90">
        <v>0</v>
      </c>
      <c r="N178" s="90">
        <v>0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2">
        <v>2020</v>
      </c>
    </row>
    <row r="179" spans="1:28" s="1" customFormat="1" ht="35.25" customHeight="1" x14ac:dyDescent="0.5">
      <c r="A179" s="1">
        <v>1</v>
      </c>
      <c r="B179" s="39">
        <f>SUBTOTAL(103,$A$11:A179)</f>
        <v>167</v>
      </c>
      <c r="C179" s="86" t="s">
        <v>678</v>
      </c>
      <c r="D179" s="87">
        <f>E179+F179+G179+H179+I179+J179+L179+M179+N179+O179+P179+Q179+R179+S179+T179+U179+V179+W179+X179+Y179+Z179+AA179</f>
        <v>515016</v>
      </c>
      <c r="E179" s="90">
        <v>0</v>
      </c>
      <c r="F179" s="90">
        <v>0</v>
      </c>
      <c r="G179" s="90">
        <v>0</v>
      </c>
      <c r="H179" s="90">
        <v>0</v>
      </c>
      <c r="I179" s="90">
        <v>0</v>
      </c>
      <c r="J179" s="90">
        <v>0</v>
      </c>
      <c r="K179" s="91">
        <v>0</v>
      </c>
      <c r="L179" s="90">
        <v>0</v>
      </c>
      <c r="M179" s="90">
        <v>515016</v>
      </c>
      <c r="N179" s="90">
        <v>0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2">
        <v>2020</v>
      </c>
    </row>
    <row r="180" spans="1:28" s="1" customFormat="1" ht="35.25" customHeight="1" x14ac:dyDescent="0.5">
      <c r="A180" s="1">
        <v>1</v>
      </c>
      <c r="B180" s="39">
        <f>SUBTOTAL(103,$A$11:A180)</f>
        <v>168</v>
      </c>
      <c r="C180" s="86" t="s">
        <v>679</v>
      </c>
      <c r="D180" s="87">
        <f>E180+F180+G180+H180+I180+J180+L180+M180+N180+O180+P180+Q180+R180+S180+T180+U180+V180+W180+X180+Y180+Z180+AA180</f>
        <v>144846</v>
      </c>
      <c r="E180" s="90">
        <v>0</v>
      </c>
      <c r="F180" s="90">
        <v>0</v>
      </c>
      <c r="G180" s="90">
        <v>144846</v>
      </c>
      <c r="H180" s="90">
        <v>0</v>
      </c>
      <c r="I180" s="90">
        <v>0</v>
      </c>
      <c r="J180" s="90">
        <v>0</v>
      </c>
      <c r="K180" s="91">
        <v>0</v>
      </c>
      <c r="L180" s="90">
        <v>0</v>
      </c>
      <c r="M180" s="90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2">
        <v>2020</v>
      </c>
    </row>
    <row r="181" spans="1:28" s="1" customFormat="1" ht="35.25" customHeight="1" x14ac:dyDescent="0.5">
      <c r="A181" s="1">
        <v>1</v>
      </c>
      <c r="B181" s="39">
        <f>SUBTOTAL(103,$A$11:A181)</f>
        <v>169</v>
      </c>
      <c r="C181" s="86" t="s">
        <v>680</v>
      </c>
      <c r="D181" s="87">
        <f>E181+F181+G181+H181+I181+J181+L181+M181+N181+O181+P181+Q181+R181+S181+T181+U181+V181+W181+X181+Y181+Z181+AA181</f>
        <v>276982</v>
      </c>
      <c r="E181" s="90">
        <v>0</v>
      </c>
      <c r="F181" s="90">
        <v>0</v>
      </c>
      <c r="G181" s="90">
        <v>0</v>
      </c>
      <c r="H181" s="90">
        <v>0</v>
      </c>
      <c r="I181" s="90">
        <v>0</v>
      </c>
      <c r="J181" s="90">
        <v>0</v>
      </c>
      <c r="K181" s="91">
        <v>0</v>
      </c>
      <c r="L181" s="90">
        <v>0</v>
      </c>
      <c r="M181" s="90">
        <v>0</v>
      </c>
      <c r="N181" s="90">
        <v>0</v>
      </c>
      <c r="O181" s="90">
        <v>276982</v>
      </c>
      <c r="P181" s="90">
        <v>0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2">
        <v>2020</v>
      </c>
    </row>
    <row r="182" spans="1:28" s="1" customFormat="1" ht="35.25" customHeight="1" x14ac:dyDescent="0.5">
      <c r="A182" s="1">
        <v>1</v>
      </c>
      <c r="B182" s="39">
        <f>SUBTOTAL(103,$A$11:A182)</f>
        <v>170</v>
      </c>
      <c r="C182" s="86" t="s">
        <v>681</v>
      </c>
      <c r="D182" s="87">
        <f>E182+F182+G182+H182+I182+J182+L182+M182+N182+O182+P182+Q182+R182+S182+T182+U182+V182+W182+X182+Y182+Z182+AA182</f>
        <v>1316629</v>
      </c>
      <c r="E182" s="90">
        <v>0</v>
      </c>
      <c r="F182" s="90">
        <v>0</v>
      </c>
      <c r="G182" s="90">
        <v>0</v>
      </c>
      <c r="H182" s="90">
        <v>0</v>
      </c>
      <c r="I182" s="90">
        <v>0</v>
      </c>
      <c r="J182" s="90">
        <v>0</v>
      </c>
      <c r="K182" s="91">
        <v>0</v>
      </c>
      <c r="L182" s="90">
        <v>0</v>
      </c>
      <c r="M182" s="90">
        <v>1316629</v>
      </c>
      <c r="N182" s="90">
        <v>0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2">
        <v>2020</v>
      </c>
    </row>
    <row r="183" spans="1:28" s="1" customFormat="1" ht="35.25" customHeight="1" x14ac:dyDescent="0.5">
      <c r="A183" s="1">
        <v>1</v>
      </c>
      <c r="B183" s="39">
        <f>SUBTOTAL(103,$A$11:A183)</f>
        <v>171</v>
      </c>
      <c r="C183" s="95" t="s">
        <v>682</v>
      </c>
      <c r="D183" s="87">
        <v>1247639</v>
      </c>
      <c r="E183" s="93">
        <v>0</v>
      </c>
      <c r="F183" s="93">
        <v>0</v>
      </c>
      <c r="G183" s="93">
        <v>0</v>
      </c>
      <c r="H183" s="93">
        <v>0</v>
      </c>
      <c r="I183" s="93">
        <v>0</v>
      </c>
      <c r="J183" s="93">
        <v>0</v>
      </c>
      <c r="K183" s="91">
        <v>0</v>
      </c>
      <c r="L183" s="93">
        <v>0</v>
      </c>
      <c r="M183" s="93">
        <v>1247639</v>
      </c>
      <c r="N183" s="93">
        <v>0</v>
      </c>
      <c r="O183" s="93">
        <v>0</v>
      </c>
      <c r="P183" s="93">
        <v>0</v>
      </c>
      <c r="Q183" s="93">
        <v>0</v>
      </c>
      <c r="R183" s="93">
        <v>0</v>
      </c>
      <c r="S183" s="93">
        <v>0</v>
      </c>
      <c r="T183" s="93">
        <v>0</v>
      </c>
      <c r="U183" s="93">
        <v>0</v>
      </c>
      <c r="V183" s="93">
        <v>0</v>
      </c>
      <c r="W183" s="93">
        <v>0</v>
      </c>
      <c r="X183" s="93">
        <v>0</v>
      </c>
      <c r="Y183" s="93">
        <v>0</v>
      </c>
      <c r="Z183" s="93">
        <v>0</v>
      </c>
      <c r="AA183" s="93">
        <v>0</v>
      </c>
      <c r="AB183" s="92">
        <v>2020</v>
      </c>
    </row>
    <row r="184" spans="1:28" s="1" customFormat="1" ht="35.25" customHeight="1" x14ac:dyDescent="0.5">
      <c r="B184" s="85" t="s">
        <v>96</v>
      </c>
      <c r="C184" s="86"/>
      <c r="D184" s="87">
        <f t="shared" ref="D184:AA184" si="6">SUM(D185:D199)</f>
        <v>9806055.8399999999</v>
      </c>
      <c r="E184" s="87">
        <f t="shared" si="6"/>
        <v>467041.56000000006</v>
      </c>
      <c r="F184" s="87">
        <f t="shared" si="6"/>
        <v>0</v>
      </c>
      <c r="G184" s="87">
        <f t="shared" si="6"/>
        <v>0</v>
      </c>
      <c r="H184" s="87">
        <f t="shared" si="6"/>
        <v>0</v>
      </c>
      <c r="I184" s="87">
        <f t="shared" si="6"/>
        <v>0</v>
      </c>
      <c r="J184" s="87">
        <f t="shared" si="6"/>
        <v>0</v>
      </c>
      <c r="K184" s="91">
        <f t="shared" si="6"/>
        <v>0</v>
      </c>
      <c r="L184" s="87">
        <f t="shared" si="6"/>
        <v>0</v>
      </c>
      <c r="M184" s="87">
        <f t="shared" si="6"/>
        <v>8238613.7299999995</v>
      </c>
      <c r="N184" s="87">
        <f t="shared" si="6"/>
        <v>0</v>
      </c>
      <c r="O184" s="87">
        <f t="shared" si="6"/>
        <v>1100400.55</v>
      </c>
      <c r="P184" s="87">
        <f t="shared" si="6"/>
        <v>0</v>
      </c>
      <c r="Q184" s="87">
        <f t="shared" si="6"/>
        <v>0</v>
      </c>
      <c r="R184" s="87">
        <f t="shared" si="6"/>
        <v>0</v>
      </c>
      <c r="S184" s="87">
        <f t="shared" si="6"/>
        <v>0</v>
      </c>
      <c r="T184" s="87">
        <f t="shared" si="6"/>
        <v>0</v>
      </c>
      <c r="U184" s="87">
        <f t="shared" si="6"/>
        <v>0</v>
      </c>
      <c r="V184" s="87">
        <f t="shared" si="6"/>
        <v>0</v>
      </c>
      <c r="W184" s="87">
        <f t="shared" si="6"/>
        <v>0</v>
      </c>
      <c r="X184" s="87">
        <f t="shared" si="6"/>
        <v>0</v>
      </c>
      <c r="Y184" s="87">
        <f t="shared" si="6"/>
        <v>0</v>
      </c>
      <c r="Z184" s="87">
        <f t="shared" si="6"/>
        <v>0</v>
      </c>
      <c r="AA184" s="87">
        <f t="shared" si="6"/>
        <v>0</v>
      </c>
      <c r="AB184" s="89" t="s">
        <v>131</v>
      </c>
    </row>
    <row r="185" spans="1:28" s="1" customFormat="1" ht="35.25" customHeight="1" x14ac:dyDescent="0.5">
      <c r="A185" s="1">
        <v>1</v>
      </c>
      <c r="B185" s="39">
        <f>SUBTOTAL(103,$A$11:A185)</f>
        <v>172</v>
      </c>
      <c r="C185" s="86" t="s">
        <v>683</v>
      </c>
      <c r="D185" s="87">
        <f>E185+F185+G185+H185+I185+J185+L185+M185+N185+O185+P185+Q185+R185+S185+T185+U185+V185+W185+X185+Y185+Z185+AA185</f>
        <v>795195</v>
      </c>
      <c r="E185" s="90">
        <v>0</v>
      </c>
      <c r="F185" s="90">
        <v>0</v>
      </c>
      <c r="G185" s="90">
        <v>0</v>
      </c>
      <c r="H185" s="90">
        <v>0</v>
      </c>
      <c r="I185" s="90">
        <v>0</v>
      </c>
      <c r="J185" s="90">
        <v>0</v>
      </c>
      <c r="K185" s="91">
        <v>0</v>
      </c>
      <c r="L185" s="90">
        <v>0</v>
      </c>
      <c r="M185" s="90">
        <v>795195</v>
      </c>
      <c r="N185" s="90">
        <v>0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2">
        <v>2020</v>
      </c>
    </row>
    <row r="186" spans="1:28" s="1" customFormat="1" ht="35.25" customHeight="1" x14ac:dyDescent="0.5">
      <c r="A186" s="1">
        <v>1</v>
      </c>
      <c r="B186" s="39">
        <f>SUBTOTAL(103,$A$11:A186)</f>
        <v>173</v>
      </c>
      <c r="C186" s="86" t="s">
        <v>684</v>
      </c>
      <c r="D186" s="87">
        <f>E186+F186+G186+H186+I186+J186+L186+M186+N186+O186+P186+Q186+R186+S186+T186+U186+V186+W186+X186+Y186+Z186+AA186</f>
        <v>1098000</v>
      </c>
      <c r="E186" s="90">
        <v>0</v>
      </c>
      <c r="F186" s="90">
        <v>0</v>
      </c>
      <c r="G186" s="90">
        <v>0</v>
      </c>
      <c r="H186" s="90">
        <v>0</v>
      </c>
      <c r="I186" s="90">
        <v>0</v>
      </c>
      <c r="J186" s="90">
        <v>0</v>
      </c>
      <c r="K186" s="91">
        <v>0</v>
      </c>
      <c r="L186" s="90">
        <v>0</v>
      </c>
      <c r="M186" s="90">
        <v>1098000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2">
        <v>2020</v>
      </c>
    </row>
    <row r="187" spans="1:28" s="1" customFormat="1" ht="35.25" customHeight="1" x14ac:dyDescent="0.5">
      <c r="A187" s="1">
        <v>1</v>
      </c>
      <c r="B187" s="39">
        <f>SUBTOTAL(103,$A$11:A187)</f>
        <v>174</v>
      </c>
      <c r="C187" s="86" t="s">
        <v>685</v>
      </c>
      <c r="D187" s="87">
        <f t="shared" ref="D187:D198" si="7">E187+F187+G187+H187+I187+J187+L187+M187+N187+O187+P187+Q187+R187+S187+T187+U187+V187+W187+X187+Y187+Z187+AA187</f>
        <v>200000</v>
      </c>
      <c r="E187" s="90">
        <v>0</v>
      </c>
      <c r="F187" s="90">
        <v>0</v>
      </c>
      <c r="G187" s="90">
        <v>0</v>
      </c>
      <c r="H187" s="90">
        <v>0</v>
      </c>
      <c r="I187" s="90">
        <v>0</v>
      </c>
      <c r="J187" s="90">
        <v>0</v>
      </c>
      <c r="K187" s="91">
        <v>0</v>
      </c>
      <c r="L187" s="90">
        <v>0</v>
      </c>
      <c r="M187" s="90">
        <v>200000</v>
      </c>
      <c r="N187" s="90">
        <v>0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2">
        <v>2020</v>
      </c>
    </row>
    <row r="188" spans="1:28" s="1" customFormat="1" ht="35.25" customHeight="1" x14ac:dyDescent="0.5">
      <c r="A188" s="1">
        <v>1</v>
      </c>
      <c r="B188" s="39">
        <f>SUBTOTAL(103,$A$11:A188)</f>
        <v>175</v>
      </c>
      <c r="C188" s="86" t="s">
        <v>686</v>
      </c>
      <c r="D188" s="87">
        <f t="shared" si="7"/>
        <v>61367.98</v>
      </c>
      <c r="E188" s="90">
        <v>0</v>
      </c>
      <c r="F188" s="90">
        <v>0</v>
      </c>
      <c r="G188" s="90">
        <v>0</v>
      </c>
      <c r="H188" s="90">
        <v>0</v>
      </c>
      <c r="I188" s="90">
        <v>0</v>
      </c>
      <c r="J188" s="90">
        <v>0</v>
      </c>
      <c r="K188" s="91">
        <v>0</v>
      </c>
      <c r="L188" s="90">
        <v>0</v>
      </c>
      <c r="M188" s="90">
        <v>0</v>
      </c>
      <c r="N188" s="90">
        <v>0</v>
      </c>
      <c r="O188" s="90">
        <v>61367.98</v>
      </c>
      <c r="P188" s="90">
        <v>0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2">
        <v>2020</v>
      </c>
    </row>
    <row r="189" spans="1:28" s="1" customFormat="1" ht="35.25" customHeight="1" x14ac:dyDescent="0.5">
      <c r="A189" s="1">
        <v>1</v>
      </c>
      <c r="B189" s="39">
        <f>SUBTOTAL(103,$A$11:A189)</f>
        <v>176</v>
      </c>
      <c r="C189" s="86" t="s">
        <v>687</v>
      </c>
      <c r="D189" s="87">
        <f t="shared" si="7"/>
        <v>1400026</v>
      </c>
      <c r="E189" s="90">
        <v>0</v>
      </c>
      <c r="F189" s="90">
        <v>0</v>
      </c>
      <c r="G189" s="90">
        <v>0</v>
      </c>
      <c r="H189" s="90">
        <v>0</v>
      </c>
      <c r="I189" s="90">
        <v>0</v>
      </c>
      <c r="J189" s="90">
        <v>0</v>
      </c>
      <c r="K189" s="91">
        <v>0</v>
      </c>
      <c r="L189" s="90">
        <v>0</v>
      </c>
      <c r="M189" s="90">
        <v>1400026</v>
      </c>
      <c r="N189" s="90">
        <v>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2">
        <v>2020</v>
      </c>
    </row>
    <row r="190" spans="1:28" s="1" customFormat="1" ht="35.25" customHeight="1" x14ac:dyDescent="0.5">
      <c r="A190" s="1">
        <v>1</v>
      </c>
      <c r="B190" s="39">
        <f>SUBTOTAL(103,$A$11:A190)</f>
        <v>177</v>
      </c>
      <c r="C190" s="86" t="s">
        <v>688</v>
      </c>
      <c r="D190" s="87">
        <f t="shared" si="7"/>
        <v>337102.5</v>
      </c>
      <c r="E190" s="90">
        <v>0</v>
      </c>
      <c r="F190" s="90">
        <v>0</v>
      </c>
      <c r="G190" s="90">
        <v>0</v>
      </c>
      <c r="H190" s="90">
        <v>0</v>
      </c>
      <c r="I190" s="90">
        <v>0</v>
      </c>
      <c r="J190" s="90">
        <v>0</v>
      </c>
      <c r="K190" s="91">
        <v>0</v>
      </c>
      <c r="L190" s="90">
        <v>0</v>
      </c>
      <c r="M190" s="90">
        <v>0</v>
      </c>
      <c r="N190" s="90">
        <v>0</v>
      </c>
      <c r="O190" s="90">
        <v>337102.5</v>
      </c>
      <c r="P190" s="90">
        <v>0</v>
      </c>
      <c r="Q190" s="90">
        <v>0</v>
      </c>
      <c r="R190" s="90">
        <v>0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2">
        <v>2020</v>
      </c>
    </row>
    <row r="191" spans="1:28" s="1" customFormat="1" ht="35.25" customHeight="1" x14ac:dyDescent="0.5">
      <c r="A191" s="1">
        <v>1</v>
      </c>
      <c r="B191" s="39">
        <f>SUBTOTAL(103,$A$11:A191)</f>
        <v>178</v>
      </c>
      <c r="C191" s="86" t="s">
        <v>689</v>
      </c>
      <c r="D191" s="87">
        <f t="shared" si="7"/>
        <v>116978.6</v>
      </c>
      <c r="E191" s="90">
        <v>0</v>
      </c>
      <c r="F191" s="90">
        <v>0</v>
      </c>
      <c r="G191" s="90">
        <v>0</v>
      </c>
      <c r="H191" s="90">
        <v>0</v>
      </c>
      <c r="I191" s="90">
        <v>0</v>
      </c>
      <c r="J191" s="90">
        <v>0</v>
      </c>
      <c r="K191" s="91">
        <v>0</v>
      </c>
      <c r="L191" s="90">
        <v>0</v>
      </c>
      <c r="M191" s="90">
        <v>0</v>
      </c>
      <c r="N191" s="90">
        <v>0</v>
      </c>
      <c r="O191" s="90">
        <v>116978.6</v>
      </c>
      <c r="P191" s="90">
        <v>0</v>
      </c>
      <c r="Q191" s="90">
        <v>0</v>
      </c>
      <c r="R191" s="90">
        <v>0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2">
        <v>2020</v>
      </c>
    </row>
    <row r="192" spans="1:28" s="1" customFormat="1" ht="35.25" customHeight="1" x14ac:dyDescent="0.5">
      <c r="A192" s="1">
        <v>1</v>
      </c>
      <c r="B192" s="39">
        <f>SUBTOTAL(103,$A$11:A192)</f>
        <v>179</v>
      </c>
      <c r="C192" s="86" t="s">
        <v>690</v>
      </c>
      <c r="D192" s="87">
        <f t="shared" si="7"/>
        <v>1743260</v>
      </c>
      <c r="E192" s="90">
        <v>0</v>
      </c>
      <c r="F192" s="90">
        <v>0</v>
      </c>
      <c r="G192" s="90">
        <v>0</v>
      </c>
      <c r="H192" s="90">
        <v>0</v>
      </c>
      <c r="I192" s="90">
        <v>0</v>
      </c>
      <c r="J192" s="90">
        <v>0</v>
      </c>
      <c r="K192" s="91">
        <v>0</v>
      </c>
      <c r="L192" s="90">
        <v>0</v>
      </c>
      <c r="M192" s="90">
        <v>1743260</v>
      </c>
      <c r="N192" s="90">
        <v>0</v>
      </c>
      <c r="O192" s="90">
        <v>0</v>
      </c>
      <c r="P192" s="90">
        <v>0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2">
        <v>2020</v>
      </c>
    </row>
    <row r="193" spans="1:28" s="1" customFormat="1" ht="35.25" customHeight="1" x14ac:dyDescent="0.5">
      <c r="A193" s="1">
        <v>1</v>
      </c>
      <c r="B193" s="39">
        <f>SUBTOTAL(103,$A$11:A193)</f>
        <v>180</v>
      </c>
      <c r="C193" s="86" t="s">
        <v>691</v>
      </c>
      <c r="D193" s="87">
        <f t="shared" si="7"/>
        <v>443151.81</v>
      </c>
      <c r="E193" s="90">
        <v>0</v>
      </c>
      <c r="F193" s="90">
        <v>0</v>
      </c>
      <c r="G193" s="90">
        <v>0</v>
      </c>
      <c r="H193" s="90">
        <v>0</v>
      </c>
      <c r="I193" s="90">
        <v>0</v>
      </c>
      <c r="J193" s="90">
        <v>0</v>
      </c>
      <c r="K193" s="91">
        <v>0</v>
      </c>
      <c r="L193" s="90">
        <v>0</v>
      </c>
      <c r="M193" s="90">
        <v>443151.81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2">
        <v>2020</v>
      </c>
    </row>
    <row r="194" spans="1:28" s="1" customFormat="1" ht="35.25" customHeight="1" x14ac:dyDescent="0.5">
      <c r="A194" s="1">
        <v>1</v>
      </c>
      <c r="B194" s="39">
        <f>SUBTOTAL(103,$A$11:A194)</f>
        <v>181</v>
      </c>
      <c r="C194" s="86" t="s">
        <v>692</v>
      </c>
      <c r="D194" s="87">
        <f t="shared" si="7"/>
        <v>234011.67</v>
      </c>
      <c r="E194" s="90">
        <v>0</v>
      </c>
      <c r="F194" s="90">
        <v>0</v>
      </c>
      <c r="G194" s="90">
        <v>0</v>
      </c>
      <c r="H194" s="90">
        <v>0</v>
      </c>
      <c r="I194" s="90">
        <v>0</v>
      </c>
      <c r="J194" s="90">
        <v>0</v>
      </c>
      <c r="K194" s="91">
        <v>0</v>
      </c>
      <c r="L194" s="90">
        <v>0</v>
      </c>
      <c r="M194" s="90">
        <v>0</v>
      </c>
      <c r="N194" s="90">
        <v>0</v>
      </c>
      <c r="O194" s="90">
        <v>234011.67</v>
      </c>
      <c r="P194" s="90">
        <v>0</v>
      </c>
      <c r="Q194" s="90">
        <v>0</v>
      </c>
      <c r="R194" s="90">
        <v>0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0</v>
      </c>
      <c r="AB194" s="92">
        <v>2020</v>
      </c>
    </row>
    <row r="195" spans="1:28" s="1" customFormat="1" ht="35.25" customHeight="1" x14ac:dyDescent="0.5">
      <c r="A195" s="1">
        <v>1</v>
      </c>
      <c r="B195" s="39">
        <f>SUBTOTAL(103,$A$11:A195)</f>
        <v>182</v>
      </c>
      <c r="C195" s="86" t="s">
        <v>693</v>
      </c>
      <c r="D195" s="87">
        <f t="shared" si="7"/>
        <v>257497.1</v>
      </c>
      <c r="E195" s="90">
        <v>0</v>
      </c>
      <c r="F195" s="90">
        <v>0</v>
      </c>
      <c r="G195" s="90">
        <v>0</v>
      </c>
      <c r="H195" s="90">
        <v>0</v>
      </c>
      <c r="I195" s="90">
        <v>0</v>
      </c>
      <c r="J195" s="90">
        <v>0</v>
      </c>
      <c r="K195" s="91">
        <v>0</v>
      </c>
      <c r="L195" s="90">
        <v>0</v>
      </c>
      <c r="M195" s="90">
        <v>0</v>
      </c>
      <c r="N195" s="90">
        <v>0</v>
      </c>
      <c r="O195" s="90">
        <v>257497.1</v>
      </c>
      <c r="P195" s="90">
        <v>0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0</v>
      </c>
      <c r="AB195" s="92">
        <v>2020</v>
      </c>
    </row>
    <row r="196" spans="1:28" s="1" customFormat="1" ht="35.25" customHeight="1" x14ac:dyDescent="0.5">
      <c r="A196" s="1">
        <v>1</v>
      </c>
      <c r="B196" s="39">
        <f>SUBTOTAL(103,$A$11:A196)</f>
        <v>183</v>
      </c>
      <c r="C196" s="86" t="s">
        <v>694</v>
      </c>
      <c r="D196" s="87">
        <f t="shared" si="7"/>
        <v>654544.92000000004</v>
      </c>
      <c r="E196" s="90">
        <v>0</v>
      </c>
      <c r="F196" s="90">
        <v>0</v>
      </c>
      <c r="G196" s="90">
        <v>0</v>
      </c>
      <c r="H196" s="90">
        <v>0</v>
      </c>
      <c r="I196" s="90">
        <v>0</v>
      </c>
      <c r="J196" s="90">
        <v>0</v>
      </c>
      <c r="K196" s="91">
        <v>0</v>
      </c>
      <c r="L196" s="90">
        <v>0</v>
      </c>
      <c r="M196" s="90">
        <v>654544.92000000004</v>
      </c>
      <c r="N196" s="90">
        <v>0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2">
        <v>2020</v>
      </c>
    </row>
    <row r="197" spans="1:28" s="1" customFormat="1" ht="35.25" customHeight="1" x14ac:dyDescent="0.5">
      <c r="A197" s="1">
        <v>1</v>
      </c>
      <c r="B197" s="39">
        <f>SUBTOTAL(103,$A$11:A197)</f>
        <v>184</v>
      </c>
      <c r="C197" s="86" t="s">
        <v>695</v>
      </c>
      <c r="D197" s="87">
        <f t="shared" si="7"/>
        <v>179604.7</v>
      </c>
      <c r="E197" s="90">
        <v>0</v>
      </c>
      <c r="F197" s="90">
        <v>0</v>
      </c>
      <c r="G197" s="90">
        <v>0</v>
      </c>
      <c r="H197" s="90">
        <v>0</v>
      </c>
      <c r="I197" s="90">
        <v>0</v>
      </c>
      <c r="J197" s="90">
        <v>0</v>
      </c>
      <c r="K197" s="91">
        <v>0</v>
      </c>
      <c r="L197" s="90">
        <v>0</v>
      </c>
      <c r="M197" s="90">
        <v>86162</v>
      </c>
      <c r="N197" s="90">
        <v>0</v>
      </c>
      <c r="O197" s="90">
        <v>93442.7</v>
      </c>
      <c r="P197" s="90">
        <v>0</v>
      </c>
      <c r="Q197" s="90">
        <v>0</v>
      </c>
      <c r="R197" s="90">
        <v>0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2">
        <v>2020</v>
      </c>
    </row>
    <row r="198" spans="1:28" s="1" customFormat="1" ht="35.25" customHeight="1" x14ac:dyDescent="0.5">
      <c r="A198" s="1">
        <v>1</v>
      </c>
      <c r="B198" s="39">
        <f>SUBTOTAL(103,$A$11:A198)</f>
        <v>185</v>
      </c>
      <c r="C198" s="86" t="s">
        <v>696</v>
      </c>
      <c r="D198" s="87">
        <f t="shared" si="7"/>
        <v>1818274</v>
      </c>
      <c r="E198" s="90">
        <v>0</v>
      </c>
      <c r="F198" s="90">
        <v>0</v>
      </c>
      <c r="G198" s="90">
        <v>0</v>
      </c>
      <c r="H198" s="90">
        <v>0</v>
      </c>
      <c r="I198" s="90">
        <v>0</v>
      </c>
      <c r="J198" s="90">
        <v>0</v>
      </c>
      <c r="K198" s="91">
        <v>0</v>
      </c>
      <c r="L198" s="90">
        <v>0</v>
      </c>
      <c r="M198" s="90">
        <v>1818274</v>
      </c>
      <c r="N198" s="90">
        <v>0</v>
      </c>
      <c r="O198" s="90">
        <v>0</v>
      </c>
      <c r="P198" s="90">
        <v>0</v>
      </c>
      <c r="Q198" s="90">
        <v>0</v>
      </c>
      <c r="R198" s="90">
        <v>0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2">
        <v>2020</v>
      </c>
    </row>
    <row r="199" spans="1:28" s="1" customFormat="1" ht="35.25" customHeight="1" x14ac:dyDescent="0.5">
      <c r="A199" s="1">
        <v>1</v>
      </c>
      <c r="B199" s="39">
        <f>SUBTOTAL(103,$A$11:A199)</f>
        <v>186</v>
      </c>
      <c r="C199" s="86" t="s">
        <v>481</v>
      </c>
      <c r="D199" s="87">
        <f>E199+F199+G199+H199+I199+J199+L199+M199+N199+O199+P199+Q199+R199+S199+T199+U199+V199+W199+X199+Y199+Z199+AA199</f>
        <v>467041.56000000006</v>
      </c>
      <c r="E199" s="90">
        <v>467041.56000000006</v>
      </c>
      <c r="F199" s="90">
        <v>0</v>
      </c>
      <c r="G199" s="90">
        <v>0</v>
      </c>
      <c r="H199" s="90">
        <v>0</v>
      </c>
      <c r="I199" s="90">
        <v>0</v>
      </c>
      <c r="J199" s="90">
        <v>0</v>
      </c>
      <c r="K199" s="91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2">
        <v>2020</v>
      </c>
    </row>
    <row r="200" spans="1:28" s="1" customFormat="1" ht="35.25" customHeight="1" x14ac:dyDescent="0.5">
      <c r="B200" s="96" t="s">
        <v>210</v>
      </c>
      <c r="C200" s="86"/>
      <c r="D200" s="87">
        <f t="shared" ref="D200:AA200" si="8">SUM(D201:D219)</f>
        <v>13015967.350000001</v>
      </c>
      <c r="E200" s="87">
        <f t="shared" si="8"/>
        <v>0</v>
      </c>
      <c r="F200" s="87">
        <f t="shared" si="8"/>
        <v>158850</v>
      </c>
      <c r="G200" s="87">
        <f t="shared" si="8"/>
        <v>3297757.6</v>
      </c>
      <c r="H200" s="87">
        <f t="shared" si="8"/>
        <v>180729</v>
      </c>
      <c r="I200" s="87">
        <f t="shared" si="8"/>
        <v>767639</v>
      </c>
      <c r="J200" s="87">
        <f t="shared" si="8"/>
        <v>0</v>
      </c>
      <c r="K200" s="88">
        <f t="shared" si="8"/>
        <v>0</v>
      </c>
      <c r="L200" s="87">
        <f t="shared" si="8"/>
        <v>0</v>
      </c>
      <c r="M200" s="87">
        <f t="shared" si="8"/>
        <v>5673268.7000000002</v>
      </c>
      <c r="N200" s="87">
        <f t="shared" si="8"/>
        <v>405002</v>
      </c>
      <c r="O200" s="87">
        <f t="shared" si="8"/>
        <v>2150881.7999999998</v>
      </c>
      <c r="P200" s="87">
        <f t="shared" si="8"/>
        <v>381839.25</v>
      </c>
      <c r="Q200" s="87">
        <f t="shared" si="8"/>
        <v>0</v>
      </c>
      <c r="R200" s="87">
        <f t="shared" si="8"/>
        <v>0</v>
      </c>
      <c r="S200" s="87">
        <f t="shared" si="8"/>
        <v>0</v>
      </c>
      <c r="T200" s="87">
        <f t="shared" si="8"/>
        <v>0</v>
      </c>
      <c r="U200" s="87">
        <f t="shared" si="8"/>
        <v>0</v>
      </c>
      <c r="V200" s="87">
        <f t="shared" si="8"/>
        <v>0</v>
      </c>
      <c r="W200" s="87">
        <f t="shared" si="8"/>
        <v>0</v>
      </c>
      <c r="X200" s="87">
        <f t="shared" si="8"/>
        <v>0</v>
      </c>
      <c r="Y200" s="87">
        <f t="shared" si="8"/>
        <v>0</v>
      </c>
      <c r="Z200" s="87">
        <f t="shared" si="8"/>
        <v>0</v>
      </c>
      <c r="AA200" s="87">
        <f t="shared" si="8"/>
        <v>0</v>
      </c>
      <c r="AB200" s="89" t="s">
        <v>131</v>
      </c>
    </row>
    <row r="201" spans="1:28" s="1" customFormat="1" ht="35.25" customHeight="1" x14ac:dyDescent="0.5">
      <c r="A201" s="1">
        <v>1</v>
      </c>
      <c r="B201" s="39">
        <f>SUBTOTAL(103,$A$11:A201)</f>
        <v>187</v>
      </c>
      <c r="C201" s="86" t="s">
        <v>482</v>
      </c>
      <c r="D201" s="87">
        <f>E201+F201+G201+H201+I201+J201+L201+M201+N201+O201+P201+Q201+R201+S201+T201+U201+V201+W201+X201+Y201+Z201+AA201</f>
        <v>2244121</v>
      </c>
      <c r="E201" s="90">
        <v>0</v>
      </c>
      <c r="F201" s="90">
        <v>0</v>
      </c>
      <c r="G201" s="90">
        <v>0</v>
      </c>
      <c r="H201" s="90">
        <v>0</v>
      </c>
      <c r="I201" s="90">
        <v>0</v>
      </c>
      <c r="J201" s="90">
        <v>0</v>
      </c>
      <c r="K201" s="91">
        <v>0</v>
      </c>
      <c r="L201" s="90">
        <v>0</v>
      </c>
      <c r="M201" s="90">
        <v>2244121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2">
        <v>2020</v>
      </c>
    </row>
    <row r="202" spans="1:28" s="1" customFormat="1" ht="35.25" customHeight="1" x14ac:dyDescent="0.5">
      <c r="A202" s="1">
        <v>1</v>
      </c>
      <c r="B202" s="39">
        <f>SUBTOTAL(103,$A$11:A202)</f>
        <v>188</v>
      </c>
      <c r="C202" s="86" t="s">
        <v>483</v>
      </c>
      <c r="D202" s="87">
        <f>E202+F202+G202+H202+I202+J202+L202+M202+N202+O202+P202+Q202+R202+S202+T202+U202+V202+W202+X202+Y202+Z202+AA202</f>
        <v>649639</v>
      </c>
      <c r="E202" s="90">
        <v>0</v>
      </c>
      <c r="F202" s="90">
        <v>0</v>
      </c>
      <c r="G202" s="90">
        <v>0</v>
      </c>
      <c r="H202" s="90">
        <v>0</v>
      </c>
      <c r="I202" s="90">
        <v>649639</v>
      </c>
      <c r="J202" s="90">
        <v>0</v>
      </c>
      <c r="K202" s="91">
        <v>0</v>
      </c>
      <c r="L202" s="90">
        <v>0</v>
      </c>
      <c r="M202" s="90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2">
        <v>2020</v>
      </c>
    </row>
    <row r="203" spans="1:28" s="1" customFormat="1" ht="35.25" customHeight="1" x14ac:dyDescent="0.5">
      <c r="A203" s="1">
        <v>1</v>
      </c>
      <c r="B203" s="39">
        <f>SUBTOTAL(103,$A$11:A203)</f>
        <v>189</v>
      </c>
      <c r="C203" s="86" t="s">
        <v>484</v>
      </c>
      <c r="D203" s="87">
        <f>E203+F203+G203+H203+I203+J203+L203+M203+N203+O203+P203+Q203+R203+S203+T203+U203+V203+W203+X203+Y203+Z203+AA203</f>
        <v>158850</v>
      </c>
      <c r="E203" s="90">
        <v>0</v>
      </c>
      <c r="F203" s="90">
        <v>158850</v>
      </c>
      <c r="G203" s="90">
        <v>0</v>
      </c>
      <c r="H203" s="90">
        <v>0</v>
      </c>
      <c r="I203" s="90">
        <v>0</v>
      </c>
      <c r="J203" s="90">
        <v>0</v>
      </c>
      <c r="K203" s="91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2">
        <v>2020</v>
      </c>
    </row>
    <row r="204" spans="1:28" s="1" customFormat="1" ht="35.25" customHeight="1" x14ac:dyDescent="0.5">
      <c r="A204" s="1">
        <v>1</v>
      </c>
      <c r="B204" s="39">
        <f>SUBTOTAL(103,$A$11:A204)</f>
        <v>190</v>
      </c>
      <c r="C204" s="86" t="s">
        <v>697</v>
      </c>
      <c r="D204" s="87">
        <v>187000</v>
      </c>
      <c r="E204" s="90">
        <v>0</v>
      </c>
      <c r="F204" s="90">
        <v>0</v>
      </c>
      <c r="G204" s="90">
        <v>0</v>
      </c>
      <c r="H204" s="90">
        <v>0</v>
      </c>
      <c r="I204" s="90">
        <v>0</v>
      </c>
      <c r="J204" s="90">
        <v>0</v>
      </c>
      <c r="K204" s="91">
        <v>0</v>
      </c>
      <c r="L204" s="90">
        <v>0</v>
      </c>
      <c r="M204" s="90">
        <v>187000</v>
      </c>
      <c r="N204" s="90">
        <v>0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2">
        <v>2020</v>
      </c>
    </row>
    <row r="205" spans="1:28" s="1" customFormat="1" ht="35.25" customHeight="1" x14ac:dyDescent="0.5">
      <c r="A205" s="1">
        <v>1</v>
      </c>
      <c r="B205" s="39">
        <f>SUBTOTAL(103,$A$11:A205)</f>
        <v>191</v>
      </c>
      <c r="C205" s="86" t="s">
        <v>698</v>
      </c>
      <c r="D205" s="87">
        <v>405002</v>
      </c>
      <c r="E205" s="90">
        <v>0</v>
      </c>
      <c r="F205" s="90">
        <v>0</v>
      </c>
      <c r="G205" s="90">
        <v>0</v>
      </c>
      <c r="H205" s="90">
        <v>0</v>
      </c>
      <c r="I205" s="90">
        <v>0</v>
      </c>
      <c r="J205" s="90">
        <v>0</v>
      </c>
      <c r="K205" s="91">
        <v>0</v>
      </c>
      <c r="L205" s="90">
        <v>0</v>
      </c>
      <c r="M205" s="90">
        <v>0</v>
      </c>
      <c r="N205" s="90">
        <v>405002</v>
      </c>
      <c r="O205" s="90">
        <v>0</v>
      </c>
      <c r="P205" s="90">
        <v>0</v>
      </c>
      <c r="Q205" s="90">
        <v>0</v>
      </c>
      <c r="R205" s="90">
        <v>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2">
        <v>2020</v>
      </c>
    </row>
    <row r="206" spans="1:28" s="1" customFormat="1" ht="35.25" customHeight="1" x14ac:dyDescent="0.5">
      <c r="A206" s="1">
        <v>1</v>
      </c>
      <c r="B206" s="39">
        <f>SUBTOTAL(103,$A$11:A206)</f>
        <v>192</v>
      </c>
      <c r="C206" s="86" t="s">
        <v>699</v>
      </c>
      <c r="D206" s="87">
        <v>677014</v>
      </c>
      <c r="E206" s="90">
        <v>0</v>
      </c>
      <c r="F206" s="90">
        <v>0</v>
      </c>
      <c r="G206" s="90">
        <v>408760</v>
      </c>
      <c r="H206" s="90">
        <v>0</v>
      </c>
      <c r="I206" s="90">
        <v>0</v>
      </c>
      <c r="J206" s="90">
        <v>0</v>
      </c>
      <c r="K206" s="91">
        <v>0</v>
      </c>
      <c r="L206" s="90">
        <v>0</v>
      </c>
      <c r="M206" s="90">
        <v>0</v>
      </c>
      <c r="N206" s="90">
        <v>0</v>
      </c>
      <c r="O206" s="90">
        <v>268254</v>
      </c>
      <c r="P206" s="90">
        <v>0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0</v>
      </c>
      <c r="AB206" s="92">
        <v>2020</v>
      </c>
    </row>
    <row r="207" spans="1:28" s="1" customFormat="1" ht="35.25" customHeight="1" x14ac:dyDescent="0.5">
      <c r="A207" s="1">
        <v>1</v>
      </c>
      <c r="B207" s="39">
        <f>SUBTOTAL(103,$A$11:A207)</f>
        <v>193</v>
      </c>
      <c r="C207" s="86" t="s">
        <v>700</v>
      </c>
      <c r="D207" s="87">
        <v>121407</v>
      </c>
      <c r="E207" s="90">
        <v>0</v>
      </c>
      <c r="F207" s="90">
        <v>0</v>
      </c>
      <c r="G207" s="90">
        <v>0</v>
      </c>
      <c r="H207" s="90">
        <v>0</v>
      </c>
      <c r="I207" s="90">
        <v>0</v>
      </c>
      <c r="J207" s="90">
        <v>0</v>
      </c>
      <c r="K207" s="91">
        <v>0</v>
      </c>
      <c r="L207" s="90">
        <v>0</v>
      </c>
      <c r="M207" s="90">
        <v>0</v>
      </c>
      <c r="N207" s="90">
        <v>0</v>
      </c>
      <c r="O207" s="90">
        <v>121407</v>
      </c>
      <c r="P207" s="90">
        <v>0</v>
      </c>
      <c r="Q207" s="90">
        <v>0</v>
      </c>
      <c r="R207" s="90">
        <v>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0</v>
      </c>
      <c r="AB207" s="92">
        <v>2020</v>
      </c>
    </row>
    <row r="208" spans="1:28" s="1" customFormat="1" ht="35.25" customHeight="1" x14ac:dyDescent="0.5">
      <c r="A208" s="1">
        <v>1</v>
      </c>
      <c r="B208" s="39">
        <f>SUBTOTAL(103,$A$11:A208)</f>
        <v>194</v>
      </c>
      <c r="C208" s="86" t="s">
        <v>701</v>
      </c>
      <c r="D208" s="87">
        <v>320000</v>
      </c>
      <c r="E208" s="90">
        <v>0</v>
      </c>
      <c r="F208" s="90">
        <v>0</v>
      </c>
      <c r="G208" s="90">
        <v>0</v>
      </c>
      <c r="H208" s="90">
        <v>0</v>
      </c>
      <c r="I208" s="90">
        <v>0</v>
      </c>
      <c r="J208" s="90">
        <v>0</v>
      </c>
      <c r="K208" s="91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320000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0</v>
      </c>
      <c r="AB208" s="92">
        <v>2020</v>
      </c>
    </row>
    <row r="209" spans="1:28" s="1" customFormat="1" ht="35.25" customHeight="1" x14ac:dyDescent="0.5">
      <c r="A209" s="1">
        <v>1</v>
      </c>
      <c r="B209" s="39">
        <f>SUBTOTAL(103,$A$11:A209)</f>
        <v>195</v>
      </c>
      <c r="C209" s="86" t="s">
        <v>702</v>
      </c>
      <c r="D209" s="87">
        <f t="shared" ref="D209:D218" si="9">E209+F209+G209+H209+I209+J209+L209+M209+N209+O209+P209+Q209+R209+S209+T209+U209+V209+W209+X209+Y209+Z209+AA209</f>
        <v>672000</v>
      </c>
      <c r="E209" s="90">
        <v>0</v>
      </c>
      <c r="F209" s="90">
        <v>0</v>
      </c>
      <c r="G209" s="90">
        <v>0</v>
      </c>
      <c r="H209" s="90">
        <v>0</v>
      </c>
      <c r="I209" s="90">
        <v>0</v>
      </c>
      <c r="J209" s="90">
        <v>0</v>
      </c>
      <c r="K209" s="91">
        <v>0</v>
      </c>
      <c r="L209" s="90">
        <v>0</v>
      </c>
      <c r="M209" s="90">
        <v>672000</v>
      </c>
      <c r="N209" s="90">
        <v>0</v>
      </c>
      <c r="O209" s="90">
        <v>0</v>
      </c>
      <c r="P209" s="90">
        <v>0</v>
      </c>
      <c r="Q209" s="90">
        <v>0</v>
      </c>
      <c r="R209" s="90">
        <v>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0</v>
      </c>
      <c r="AB209" s="92">
        <v>2020</v>
      </c>
    </row>
    <row r="210" spans="1:28" s="1" customFormat="1" ht="35.25" customHeight="1" x14ac:dyDescent="0.5">
      <c r="A210" s="1">
        <v>1</v>
      </c>
      <c r="B210" s="39">
        <f>SUBTOTAL(103,$A$11:A210)</f>
        <v>196</v>
      </c>
      <c r="C210" s="86" t="s">
        <v>703</v>
      </c>
      <c r="D210" s="87">
        <f t="shared" si="9"/>
        <v>118000</v>
      </c>
      <c r="E210" s="90">
        <v>0</v>
      </c>
      <c r="F210" s="90">
        <v>0</v>
      </c>
      <c r="G210" s="90">
        <v>0</v>
      </c>
      <c r="H210" s="90">
        <v>0</v>
      </c>
      <c r="I210" s="90">
        <v>118000</v>
      </c>
      <c r="J210" s="90">
        <v>0</v>
      </c>
      <c r="K210" s="91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0</v>
      </c>
      <c r="AB210" s="92">
        <v>2020</v>
      </c>
    </row>
    <row r="211" spans="1:28" s="1" customFormat="1" ht="35.25" customHeight="1" x14ac:dyDescent="0.5">
      <c r="A211" s="1">
        <v>1</v>
      </c>
      <c r="B211" s="39">
        <f>SUBTOTAL(103,$A$11:A211)</f>
        <v>197</v>
      </c>
      <c r="C211" s="86" t="s">
        <v>704</v>
      </c>
      <c r="D211" s="87">
        <f t="shared" si="9"/>
        <v>717639.7</v>
      </c>
      <c r="E211" s="90">
        <v>0</v>
      </c>
      <c r="F211" s="90">
        <v>0</v>
      </c>
      <c r="G211" s="90">
        <v>0</v>
      </c>
      <c r="H211" s="90">
        <v>0</v>
      </c>
      <c r="I211" s="90">
        <v>0</v>
      </c>
      <c r="J211" s="90">
        <v>0</v>
      </c>
      <c r="K211" s="91">
        <v>0</v>
      </c>
      <c r="L211" s="90">
        <v>0</v>
      </c>
      <c r="M211" s="90">
        <v>717639.7</v>
      </c>
      <c r="N211" s="90">
        <v>0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0</v>
      </c>
      <c r="AB211" s="92">
        <v>2020</v>
      </c>
    </row>
    <row r="212" spans="1:28" s="1" customFormat="1" ht="35.25" customHeight="1" x14ac:dyDescent="0.5">
      <c r="A212" s="1">
        <v>1</v>
      </c>
      <c r="B212" s="39">
        <f>SUBTOTAL(103,$A$11:A212)</f>
        <v>198</v>
      </c>
      <c r="C212" s="86" t="s">
        <v>705</v>
      </c>
      <c r="D212" s="87">
        <f t="shared" si="9"/>
        <v>1562529.6</v>
      </c>
      <c r="E212" s="90">
        <v>0</v>
      </c>
      <c r="F212" s="90">
        <v>0</v>
      </c>
      <c r="G212" s="90">
        <v>642237.6</v>
      </c>
      <c r="H212" s="90">
        <v>0</v>
      </c>
      <c r="I212" s="90">
        <v>0</v>
      </c>
      <c r="J212" s="90">
        <v>0</v>
      </c>
      <c r="K212" s="91">
        <v>0</v>
      </c>
      <c r="L212" s="90">
        <v>0</v>
      </c>
      <c r="M212" s="90">
        <v>920292</v>
      </c>
      <c r="N212" s="90">
        <v>0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0</v>
      </c>
      <c r="AB212" s="92">
        <v>2020</v>
      </c>
    </row>
    <row r="213" spans="1:28" s="1" customFormat="1" ht="35.25" customHeight="1" x14ac:dyDescent="0.5">
      <c r="A213" s="1">
        <v>1</v>
      </c>
      <c r="B213" s="39">
        <f>SUBTOTAL(103,$A$11:A213)</f>
        <v>199</v>
      </c>
      <c r="C213" s="86" t="s">
        <v>706</v>
      </c>
      <c r="D213" s="87">
        <f t="shared" si="9"/>
        <v>1680000</v>
      </c>
      <c r="E213" s="90">
        <v>0</v>
      </c>
      <c r="F213" s="90">
        <v>0</v>
      </c>
      <c r="G213" s="90">
        <v>1680000</v>
      </c>
      <c r="H213" s="90">
        <v>0</v>
      </c>
      <c r="I213" s="90">
        <v>0</v>
      </c>
      <c r="J213" s="90">
        <v>0</v>
      </c>
      <c r="K213" s="91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0</v>
      </c>
      <c r="AB213" s="92">
        <v>2020</v>
      </c>
    </row>
    <row r="214" spans="1:28" s="1" customFormat="1" ht="35.25" customHeight="1" x14ac:dyDescent="0.5">
      <c r="A214" s="1">
        <v>1</v>
      </c>
      <c r="B214" s="39">
        <f>SUBTOTAL(103,$A$11:A214)</f>
        <v>200</v>
      </c>
      <c r="C214" s="86" t="s">
        <v>707</v>
      </c>
      <c r="D214" s="87">
        <f t="shared" si="9"/>
        <v>1112945</v>
      </c>
      <c r="E214" s="90">
        <v>0</v>
      </c>
      <c r="F214" s="90">
        <v>0</v>
      </c>
      <c r="G214" s="90">
        <v>0</v>
      </c>
      <c r="H214" s="90">
        <v>180729</v>
      </c>
      <c r="I214" s="90">
        <v>0</v>
      </c>
      <c r="J214" s="90">
        <v>0</v>
      </c>
      <c r="K214" s="91">
        <v>0</v>
      </c>
      <c r="L214" s="90">
        <v>0</v>
      </c>
      <c r="M214" s="90">
        <v>932216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0</v>
      </c>
      <c r="AB214" s="92">
        <v>2020</v>
      </c>
    </row>
    <row r="215" spans="1:28" s="1" customFormat="1" ht="35.25" customHeight="1" x14ac:dyDescent="0.5">
      <c r="A215" s="1">
        <v>1</v>
      </c>
      <c r="B215" s="39">
        <f>SUBTOTAL(103,$A$11:A215)</f>
        <v>201</v>
      </c>
      <c r="C215" s="86" t="s">
        <v>708</v>
      </c>
      <c r="D215" s="87">
        <f t="shared" si="9"/>
        <v>61839.25</v>
      </c>
      <c r="E215" s="90">
        <v>0</v>
      </c>
      <c r="F215" s="90">
        <v>0</v>
      </c>
      <c r="G215" s="90">
        <v>0</v>
      </c>
      <c r="H215" s="90">
        <v>0</v>
      </c>
      <c r="I215" s="90">
        <v>0</v>
      </c>
      <c r="J215" s="90">
        <v>0</v>
      </c>
      <c r="K215" s="91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61839.25</v>
      </c>
      <c r="Q215" s="90">
        <v>0</v>
      </c>
      <c r="R215" s="90">
        <v>0</v>
      </c>
      <c r="S215" s="90">
        <v>0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0</v>
      </c>
      <c r="AB215" s="92">
        <v>2020</v>
      </c>
    </row>
    <row r="216" spans="1:28" s="1" customFormat="1" ht="35.25" customHeight="1" x14ac:dyDescent="0.5">
      <c r="A216" s="1">
        <v>1</v>
      </c>
      <c r="B216" s="39">
        <f>SUBTOTAL(103,$A$11:A216)</f>
        <v>202</v>
      </c>
      <c r="C216" s="86" t="s">
        <v>709</v>
      </c>
      <c r="D216" s="87">
        <f t="shared" si="9"/>
        <v>1241544</v>
      </c>
      <c r="E216" s="90">
        <v>0</v>
      </c>
      <c r="F216" s="90">
        <v>0</v>
      </c>
      <c r="G216" s="90">
        <v>0</v>
      </c>
      <c r="H216" s="90">
        <v>0</v>
      </c>
      <c r="I216" s="90">
        <v>0</v>
      </c>
      <c r="J216" s="90">
        <v>0</v>
      </c>
      <c r="K216" s="91">
        <v>0</v>
      </c>
      <c r="L216" s="90">
        <v>0</v>
      </c>
      <c r="M216" s="90">
        <v>0</v>
      </c>
      <c r="N216" s="90">
        <v>0</v>
      </c>
      <c r="O216" s="90">
        <v>1241544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90">
        <v>0</v>
      </c>
      <c r="W216" s="90">
        <v>0</v>
      </c>
      <c r="X216" s="90">
        <v>0</v>
      </c>
      <c r="Y216" s="90">
        <v>0</v>
      </c>
      <c r="Z216" s="90">
        <v>0</v>
      </c>
      <c r="AA216" s="90">
        <v>0</v>
      </c>
      <c r="AB216" s="92">
        <v>2020</v>
      </c>
    </row>
    <row r="217" spans="1:28" s="1" customFormat="1" ht="35.25" customHeight="1" x14ac:dyDescent="0.5">
      <c r="A217" s="1">
        <v>1</v>
      </c>
      <c r="B217" s="39">
        <f>SUBTOTAL(103,$A$11:A217)</f>
        <v>203</v>
      </c>
      <c r="C217" s="86" t="s">
        <v>710</v>
      </c>
      <c r="D217" s="87">
        <f t="shared" si="9"/>
        <v>128126.8</v>
      </c>
      <c r="E217" s="90">
        <v>0</v>
      </c>
      <c r="F217" s="90">
        <v>0</v>
      </c>
      <c r="G217" s="90">
        <v>0</v>
      </c>
      <c r="H217" s="90">
        <v>0</v>
      </c>
      <c r="I217" s="90">
        <v>0</v>
      </c>
      <c r="J217" s="90">
        <v>0</v>
      </c>
      <c r="K217" s="91">
        <v>0</v>
      </c>
      <c r="L217" s="90">
        <v>0</v>
      </c>
      <c r="M217" s="90">
        <v>0</v>
      </c>
      <c r="N217" s="90">
        <v>0</v>
      </c>
      <c r="O217" s="90">
        <v>128126.8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0</v>
      </c>
      <c r="AB217" s="92">
        <v>2020</v>
      </c>
    </row>
    <row r="218" spans="1:28" s="1" customFormat="1" ht="35.25" customHeight="1" x14ac:dyDescent="0.5">
      <c r="A218" s="1">
        <v>1</v>
      </c>
      <c r="B218" s="39">
        <f>SUBTOTAL(103,$A$11:A218)</f>
        <v>204</v>
      </c>
      <c r="C218" s="86" t="s">
        <v>711</v>
      </c>
      <c r="D218" s="87">
        <f t="shared" si="9"/>
        <v>566760</v>
      </c>
      <c r="E218" s="90">
        <v>0</v>
      </c>
      <c r="F218" s="90">
        <v>0</v>
      </c>
      <c r="G218" s="90">
        <v>566760</v>
      </c>
      <c r="H218" s="90">
        <v>0</v>
      </c>
      <c r="I218" s="90">
        <v>0</v>
      </c>
      <c r="J218" s="90">
        <v>0</v>
      </c>
      <c r="K218" s="91">
        <v>0</v>
      </c>
      <c r="L218" s="90">
        <v>0</v>
      </c>
      <c r="M218" s="90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0</v>
      </c>
      <c r="AB218" s="92">
        <v>2020</v>
      </c>
    </row>
    <row r="219" spans="1:28" s="1" customFormat="1" ht="35.25" customHeight="1" x14ac:dyDescent="0.5">
      <c r="A219" s="1">
        <v>1</v>
      </c>
      <c r="B219" s="39">
        <f>SUBTOTAL(103,$A$11:A219)</f>
        <v>205</v>
      </c>
      <c r="C219" s="86" t="s">
        <v>485</v>
      </c>
      <c r="D219" s="87">
        <f>E219+F219+G219+H219+I219+J219+L219+M219+N219+O219+P219+Q219+R219+S219+T219+U219+V219+W219+X219+Y219+Z219+AA219</f>
        <v>391550</v>
      </c>
      <c r="E219" s="90">
        <v>0</v>
      </c>
      <c r="F219" s="90">
        <v>0</v>
      </c>
      <c r="G219" s="90">
        <v>0</v>
      </c>
      <c r="H219" s="90">
        <v>0</v>
      </c>
      <c r="I219" s="90">
        <v>0</v>
      </c>
      <c r="J219" s="90">
        <v>0</v>
      </c>
      <c r="K219" s="91">
        <v>0</v>
      </c>
      <c r="L219" s="90">
        <v>0</v>
      </c>
      <c r="M219" s="90">
        <v>0</v>
      </c>
      <c r="N219" s="90">
        <v>0</v>
      </c>
      <c r="O219" s="90">
        <v>391550</v>
      </c>
      <c r="P219" s="90">
        <v>0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0</v>
      </c>
      <c r="AB219" s="92">
        <v>2020</v>
      </c>
    </row>
    <row r="220" spans="1:28" s="1" customFormat="1" ht="35.25" customHeight="1" x14ac:dyDescent="0.5">
      <c r="B220" s="96" t="s">
        <v>91</v>
      </c>
      <c r="C220" s="86"/>
      <c r="D220" s="87">
        <f t="shared" ref="D220:AA220" si="10">SUM(D221:D325)</f>
        <v>79198288.749999985</v>
      </c>
      <c r="E220" s="87">
        <f t="shared" si="10"/>
        <v>1050811.72</v>
      </c>
      <c r="F220" s="87">
        <f t="shared" si="10"/>
        <v>656839</v>
      </c>
      <c r="G220" s="87">
        <f t="shared" si="10"/>
        <v>5097580.8600000003</v>
      </c>
      <c r="H220" s="87">
        <f t="shared" si="10"/>
        <v>748779</v>
      </c>
      <c r="I220" s="87">
        <f t="shared" si="10"/>
        <v>786391.04000000004</v>
      </c>
      <c r="J220" s="87">
        <f t="shared" si="10"/>
        <v>0</v>
      </c>
      <c r="K220" s="88">
        <f t="shared" si="10"/>
        <v>11</v>
      </c>
      <c r="L220" s="87">
        <f t="shared" si="10"/>
        <v>21962174</v>
      </c>
      <c r="M220" s="87">
        <f t="shared" si="10"/>
        <v>24541610.620000001</v>
      </c>
      <c r="N220" s="87">
        <f t="shared" si="10"/>
        <v>0</v>
      </c>
      <c r="O220" s="87">
        <f t="shared" si="10"/>
        <v>23222941.010000005</v>
      </c>
      <c r="P220" s="87">
        <f t="shared" si="10"/>
        <v>1131161.5</v>
      </c>
      <c r="Q220" s="87">
        <f t="shared" si="10"/>
        <v>0</v>
      </c>
      <c r="R220" s="87">
        <f t="shared" si="10"/>
        <v>0</v>
      </c>
      <c r="S220" s="87">
        <f t="shared" si="10"/>
        <v>0</v>
      </c>
      <c r="T220" s="87">
        <f t="shared" si="10"/>
        <v>0</v>
      </c>
      <c r="U220" s="87">
        <f t="shared" si="10"/>
        <v>0</v>
      </c>
      <c r="V220" s="87">
        <f t="shared" si="10"/>
        <v>0</v>
      </c>
      <c r="W220" s="87">
        <f t="shared" si="10"/>
        <v>0</v>
      </c>
      <c r="X220" s="87">
        <f t="shared" si="10"/>
        <v>0</v>
      </c>
      <c r="Y220" s="87">
        <f t="shared" si="10"/>
        <v>0</v>
      </c>
      <c r="Z220" s="87">
        <f t="shared" si="10"/>
        <v>0</v>
      </c>
      <c r="AA220" s="87">
        <f t="shared" si="10"/>
        <v>0</v>
      </c>
      <c r="AB220" s="89" t="s">
        <v>131</v>
      </c>
    </row>
    <row r="221" spans="1:28" s="1" customFormat="1" ht="35.25" customHeight="1" x14ac:dyDescent="0.5">
      <c r="A221" s="1">
        <v>1</v>
      </c>
      <c r="B221" s="39">
        <f>SUBTOTAL(103,$A$11:A221)</f>
        <v>206</v>
      </c>
      <c r="C221" s="86" t="s">
        <v>486</v>
      </c>
      <c r="D221" s="87">
        <f t="shared" ref="D221:D284" si="11">E221+F221+G221+H221+I221+J221+L221+M221+N221+O221+P221+Q221+R221+S221+T221+U221+V221+W221+X221+Y221+Z221+AA221</f>
        <v>505117.35</v>
      </c>
      <c r="E221" s="90">
        <v>0</v>
      </c>
      <c r="F221" s="90">
        <v>0</v>
      </c>
      <c r="G221" s="90">
        <v>0</v>
      </c>
      <c r="H221" s="90">
        <v>0</v>
      </c>
      <c r="I221" s="90">
        <v>0</v>
      </c>
      <c r="J221" s="90">
        <v>0</v>
      </c>
      <c r="K221" s="91">
        <v>0</v>
      </c>
      <c r="L221" s="90">
        <v>0</v>
      </c>
      <c r="M221" s="90">
        <f>157000+348117.35</f>
        <v>505117.35</v>
      </c>
      <c r="N221" s="90">
        <v>0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0</v>
      </c>
      <c r="AB221" s="92">
        <v>2020</v>
      </c>
    </row>
    <row r="222" spans="1:28" s="1" customFormat="1" ht="35.25" customHeight="1" x14ac:dyDescent="0.5">
      <c r="A222" s="1">
        <v>1</v>
      </c>
      <c r="B222" s="39">
        <f>SUBTOTAL(103,$A$11:A222)</f>
        <v>207</v>
      </c>
      <c r="C222" s="86" t="s">
        <v>487</v>
      </c>
      <c r="D222" s="87">
        <f t="shared" si="11"/>
        <v>1832821</v>
      </c>
      <c r="E222" s="90">
        <v>0</v>
      </c>
      <c r="F222" s="90">
        <v>0</v>
      </c>
      <c r="G222" s="90">
        <v>0</v>
      </c>
      <c r="H222" s="90">
        <v>0</v>
      </c>
      <c r="I222" s="90">
        <v>0</v>
      </c>
      <c r="J222" s="90">
        <v>0</v>
      </c>
      <c r="K222" s="91">
        <v>1</v>
      </c>
      <c r="L222" s="90">
        <v>1832821</v>
      </c>
      <c r="M222" s="90">
        <v>0</v>
      </c>
      <c r="N222" s="90">
        <v>0</v>
      </c>
      <c r="O222" s="90">
        <v>0</v>
      </c>
      <c r="P222" s="90">
        <v>0</v>
      </c>
      <c r="Q222" s="90">
        <v>0</v>
      </c>
      <c r="R222" s="90">
        <v>0</v>
      </c>
      <c r="S222" s="90">
        <v>0</v>
      </c>
      <c r="T222" s="90">
        <v>0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0</v>
      </c>
      <c r="AB222" s="92">
        <v>2020</v>
      </c>
    </row>
    <row r="223" spans="1:28" s="1" customFormat="1" ht="35.25" customHeight="1" x14ac:dyDescent="0.5">
      <c r="A223" s="1">
        <v>1</v>
      </c>
      <c r="B223" s="39">
        <f>SUBTOTAL(103,$A$11:A223)</f>
        <v>208</v>
      </c>
      <c r="C223" s="86" t="s">
        <v>488</v>
      </c>
      <c r="D223" s="87">
        <f t="shared" si="11"/>
        <v>199781</v>
      </c>
      <c r="E223" s="90">
        <v>0</v>
      </c>
      <c r="F223" s="90">
        <v>0</v>
      </c>
      <c r="G223" s="90">
        <v>0</v>
      </c>
      <c r="H223" s="90">
        <v>0</v>
      </c>
      <c r="I223" s="90">
        <v>0</v>
      </c>
      <c r="J223" s="90">
        <v>0</v>
      </c>
      <c r="K223" s="91">
        <v>0</v>
      </c>
      <c r="L223" s="90">
        <v>0</v>
      </c>
      <c r="M223" s="90">
        <v>199781</v>
      </c>
      <c r="N223" s="90">
        <v>0</v>
      </c>
      <c r="O223" s="90">
        <v>0</v>
      </c>
      <c r="P223" s="90">
        <v>0</v>
      </c>
      <c r="Q223" s="90">
        <v>0</v>
      </c>
      <c r="R223" s="90">
        <v>0</v>
      </c>
      <c r="S223" s="90">
        <v>0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0</v>
      </c>
      <c r="AB223" s="92">
        <v>2020</v>
      </c>
    </row>
    <row r="224" spans="1:28" s="1" customFormat="1" ht="35.25" customHeight="1" x14ac:dyDescent="0.5">
      <c r="A224" s="1">
        <v>1</v>
      </c>
      <c r="B224" s="39">
        <f>SUBTOTAL(103,$A$11:A224)</f>
        <v>209</v>
      </c>
      <c r="C224" s="86" t="s">
        <v>489</v>
      </c>
      <c r="D224" s="87">
        <f t="shared" si="11"/>
        <v>1864325</v>
      </c>
      <c r="E224" s="90">
        <v>0</v>
      </c>
      <c r="F224" s="90">
        <v>0</v>
      </c>
      <c r="G224" s="90">
        <v>0</v>
      </c>
      <c r="H224" s="90">
        <v>0</v>
      </c>
      <c r="I224" s="90">
        <v>0</v>
      </c>
      <c r="J224" s="90">
        <v>0</v>
      </c>
      <c r="K224" s="91">
        <v>1</v>
      </c>
      <c r="L224" s="90">
        <f>559000+1305325</f>
        <v>1864325</v>
      </c>
      <c r="M224" s="90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0</v>
      </c>
      <c r="AB224" s="92">
        <v>2020</v>
      </c>
    </row>
    <row r="225" spans="1:28" s="1" customFormat="1" ht="35.25" customHeight="1" x14ac:dyDescent="0.5">
      <c r="A225" s="1">
        <v>1</v>
      </c>
      <c r="B225" s="39">
        <f>SUBTOTAL(103,$A$11:A225)</f>
        <v>210</v>
      </c>
      <c r="C225" s="86" t="s">
        <v>490</v>
      </c>
      <c r="D225" s="87">
        <f t="shared" si="11"/>
        <v>120998</v>
      </c>
      <c r="E225" s="90">
        <v>0</v>
      </c>
      <c r="F225" s="90">
        <v>0</v>
      </c>
      <c r="G225" s="90">
        <v>0</v>
      </c>
      <c r="H225" s="90">
        <v>0</v>
      </c>
      <c r="I225" s="90">
        <v>0</v>
      </c>
      <c r="J225" s="90">
        <v>0</v>
      </c>
      <c r="K225" s="91">
        <v>0</v>
      </c>
      <c r="L225" s="90">
        <v>0</v>
      </c>
      <c r="M225" s="90">
        <v>0</v>
      </c>
      <c r="N225" s="90">
        <v>0</v>
      </c>
      <c r="O225" s="90">
        <v>120998</v>
      </c>
      <c r="P225" s="90">
        <v>0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0</v>
      </c>
      <c r="AB225" s="92">
        <v>2020</v>
      </c>
    </row>
    <row r="226" spans="1:28" s="1" customFormat="1" ht="35.25" customHeight="1" x14ac:dyDescent="0.5">
      <c r="A226" s="1">
        <v>1</v>
      </c>
      <c r="B226" s="39">
        <f>SUBTOTAL(103,$A$11:A226)</f>
        <v>211</v>
      </c>
      <c r="C226" s="86" t="s">
        <v>491</v>
      </c>
      <c r="D226" s="87">
        <f t="shared" si="11"/>
        <v>320995</v>
      </c>
      <c r="E226" s="90">
        <v>0</v>
      </c>
      <c r="F226" s="90">
        <v>320995</v>
      </c>
      <c r="G226" s="90">
        <v>0</v>
      </c>
      <c r="H226" s="90">
        <v>0</v>
      </c>
      <c r="I226" s="90">
        <v>0</v>
      </c>
      <c r="J226" s="90">
        <v>0</v>
      </c>
      <c r="K226" s="91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0</v>
      </c>
      <c r="AB226" s="92">
        <v>2020</v>
      </c>
    </row>
    <row r="227" spans="1:28" s="1" customFormat="1" ht="35.25" customHeight="1" x14ac:dyDescent="0.5">
      <c r="A227" s="1">
        <v>1</v>
      </c>
      <c r="B227" s="39">
        <f>SUBTOTAL(103,$A$11:A227)</f>
        <v>212</v>
      </c>
      <c r="C227" s="86" t="s">
        <v>492</v>
      </c>
      <c r="D227" s="87">
        <f t="shared" si="11"/>
        <v>1610664</v>
      </c>
      <c r="E227" s="90">
        <v>0</v>
      </c>
      <c r="F227" s="90">
        <v>0</v>
      </c>
      <c r="G227" s="90">
        <v>0</v>
      </c>
      <c r="H227" s="90">
        <v>0</v>
      </c>
      <c r="I227" s="90">
        <v>0</v>
      </c>
      <c r="J227" s="90">
        <v>0</v>
      </c>
      <c r="K227" s="91">
        <v>0</v>
      </c>
      <c r="L227" s="90">
        <v>0</v>
      </c>
      <c r="M227" s="90">
        <v>0</v>
      </c>
      <c r="N227" s="90">
        <v>0</v>
      </c>
      <c r="O227" s="90">
        <v>1610664</v>
      </c>
      <c r="P227" s="90">
        <v>0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0</v>
      </c>
      <c r="AB227" s="92">
        <v>2020</v>
      </c>
    </row>
    <row r="228" spans="1:28" s="1" customFormat="1" ht="35.25" customHeight="1" x14ac:dyDescent="0.5">
      <c r="A228" s="1">
        <v>1</v>
      </c>
      <c r="B228" s="39">
        <f>SUBTOTAL(103,$A$11:A228)</f>
        <v>213</v>
      </c>
      <c r="C228" s="86" t="s">
        <v>493</v>
      </c>
      <c r="D228" s="87">
        <f t="shared" si="11"/>
        <v>5202748</v>
      </c>
      <c r="E228" s="90">
        <v>0</v>
      </c>
      <c r="F228" s="90">
        <v>0</v>
      </c>
      <c r="G228" s="90">
        <v>0</v>
      </c>
      <c r="H228" s="90">
        <v>0</v>
      </c>
      <c r="I228" s="90">
        <v>0</v>
      </c>
      <c r="J228" s="90">
        <v>0</v>
      </c>
      <c r="K228" s="91">
        <v>2</v>
      </c>
      <c r="L228" s="90">
        <f>2120417+2292000</f>
        <v>4412417</v>
      </c>
      <c r="M228" s="90">
        <v>790331</v>
      </c>
      <c r="N228" s="90">
        <v>0</v>
      </c>
      <c r="O228" s="90">
        <v>0</v>
      </c>
      <c r="P228" s="90">
        <v>0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0</v>
      </c>
      <c r="AB228" s="92">
        <v>2020</v>
      </c>
    </row>
    <row r="229" spans="1:28" s="1" customFormat="1" ht="35.25" customHeight="1" x14ac:dyDescent="0.5">
      <c r="A229" s="1">
        <v>1</v>
      </c>
      <c r="B229" s="39">
        <f>SUBTOTAL(103,$A$11:A229)</f>
        <v>214</v>
      </c>
      <c r="C229" s="86" t="s">
        <v>494</v>
      </c>
      <c r="D229" s="87">
        <f t="shared" si="11"/>
        <v>2200000</v>
      </c>
      <c r="E229" s="90">
        <v>0</v>
      </c>
      <c r="F229" s="90">
        <v>0</v>
      </c>
      <c r="G229" s="90">
        <v>0</v>
      </c>
      <c r="H229" s="90">
        <v>0</v>
      </c>
      <c r="I229" s="90">
        <v>0</v>
      </c>
      <c r="J229" s="90">
        <v>0</v>
      </c>
      <c r="K229" s="91">
        <v>1</v>
      </c>
      <c r="L229" s="90">
        <v>2200000</v>
      </c>
      <c r="M229" s="90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0</v>
      </c>
      <c r="AB229" s="92">
        <v>2020</v>
      </c>
    </row>
    <row r="230" spans="1:28" s="1" customFormat="1" ht="35.25" customHeight="1" x14ac:dyDescent="0.5">
      <c r="A230" s="1">
        <v>1</v>
      </c>
      <c r="B230" s="39">
        <f>SUBTOTAL(103,$A$11:A230)</f>
        <v>215</v>
      </c>
      <c r="C230" s="86" t="s">
        <v>495</v>
      </c>
      <c r="D230" s="87">
        <f t="shared" si="11"/>
        <v>3101459.17</v>
      </c>
      <c r="E230" s="90">
        <v>0</v>
      </c>
      <c r="F230" s="90">
        <v>0</v>
      </c>
      <c r="G230" s="90">
        <v>0</v>
      </c>
      <c r="H230" s="90">
        <v>0</v>
      </c>
      <c r="I230" s="90">
        <v>0</v>
      </c>
      <c r="J230" s="90">
        <v>0</v>
      </c>
      <c r="K230" s="91">
        <v>0</v>
      </c>
      <c r="L230" s="90">
        <v>0</v>
      </c>
      <c r="M230" s="90">
        <f>843123.3+1632831.87</f>
        <v>2475955.17</v>
      </c>
      <c r="N230" s="90">
        <v>0</v>
      </c>
      <c r="O230" s="90">
        <v>625504</v>
      </c>
      <c r="P230" s="90">
        <v>0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0</v>
      </c>
      <c r="AB230" s="92">
        <v>2020</v>
      </c>
    </row>
    <row r="231" spans="1:28" s="1" customFormat="1" ht="35.25" customHeight="1" x14ac:dyDescent="0.5">
      <c r="A231" s="1">
        <v>1</v>
      </c>
      <c r="B231" s="39">
        <f>SUBTOTAL(103,$A$11:A231)</f>
        <v>216</v>
      </c>
      <c r="C231" s="86" t="s">
        <v>496</v>
      </c>
      <c r="D231" s="87">
        <f t="shared" si="11"/>
        <v>4818845</v>
      </c>
      <c r="E231" s="90">
        <v>218845</v>
      </c>
      <c r="F231" s="90">
        <v>0</v>
      </c>
      <c r="G231" s="90">
        <v>0</v>
      </c>
      <c r="H231" s="90">
        <v>0</v>
      </c>
      <c r="I231" s="90">
        <v>0</v>
      </c>
      <c r="J231" s="90">
        <v>0</v>
      </c>
      <c r="K231" s="91">
        <v>2</v>
      </c>
      <c r="L231" s="90">
        <v>4600000</v>
      </c>
      <c r="M231" s="90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0</v>
      </c>
      <c r="AB231" s="92">
        <v>2020</v>
      </c>
    </row>
    <row r="232" spans="1:28" s="1" customFormat="1" ht="35.25" customHeight="1" x14ac:dyDescent="0.5">
      <c r="A232" s="1">
        <v>1</v>
      </c>
      <c r="B232" s="39">
        <f>SUBTOTAL(103,$A$11:A232)</f>
        <v>217</v>
      </c>
      <c r="C232" s="86" t="s">
        <v>497</v>
      </c>
      <c r="D232" s="87">
        <f t="shared" si="11"/>
        <v>2271787</v>
      </c>
      <c r="E232" s="90">
        <v>0</v>
      </c>
      <c r="F232" s="90">
        <v>0</v>
      </c>
      <c r="G232" s="90">
        <v>0</v>
      </c>
      <c r="H232" s="90">
        <v>0</v>
      </c>
      <c r="I232" s="90">
        <v>0</v>
      </c>
      <c r="J232" s="90">
        <v>0</v>
      </c>
      <c r="K232" s="91">
        <v>1</v>
      </c>
      <c r="L232" s="90">
        <f>1247828+534783</f>
        <v>1782611</v>
      </c>
      <c r="M232" s="90">
        <v>489176</v>
      </c>
      <c r="N232" s="90">
        <v>0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0</v>
      </c>
      <c r="AB232" s="92">
        <v>2020</v>
      </c>
    </row>
    <row r="233" spans="1:28" s="1" customFormat="1" ht="35.25" customHeight="1" x14ac:dyDescent="0.5">
      <c r="A233" s="1">
        <v>1</v>
      </c>
      <c r="B233" s="39">
        <f>SUBTOTAL(103,$A$11:A233)</f>
        <v>218</v>
      </c>
      <c r="C233" s="86" t="s">
        <v>498</v>
      </c>
      <c r="D233" s="87">
        <f t="shared" si="11"/>
        <v>1820000</v>
      </c>
      <c r="E233" s="90">
        <v>0</v>
      </c>
      <c r="F233" s="90">
        <v>0</v>
      </c>
      <c r="G233" s="90">
        <v>0</v>
      </c>
      <c r="H233" s="90">
        <v>0</v>
      </c>
      <c r="I233" s="90">
        <v>0</v>
      </c>
      <c r="J233" s="90">
        <v>0</v>
      </c>
      <c r="K233" s="91">
        <v>1</v>
      </c>
      <c r="L233" s="90">
        <v>1820000</v>
      </c>
      <c r="M233" s="90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0</v>
      </c>
      <c r="S233" s="90">
        <v>0</v>
      </c>
      <c r="T233" s="90">
        <v>0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0</v>
      </c>
      <c r="AB233" s="92">
        <v>2020</v>
      </c>
    </row>
    <row r="234" spans="1:28" s="1" customFormat="1" ht="35.25" customHeight="1" x14ac:dyDescent="0.5">
      <c r="A234" s="1">
        <v>1</v>
      </c>
      <c r="B234" s="39">
        <f>SUBTOTAL(103,$A$11:A234)</f>
        <v>219</v>
      </c>
      <c r="C234" s="86" t="s">
        <v>499</v>
      </c>
      <c r="D234" s="87">
        <f t="shared" si="11"/>
        <v>1519461</v>
      </c>
      <c r="E234" s="90">
        <v>0</v>
      </c>
      <c r="F234" s="90">
        <v>0</v>
      </c>
      <c r="G234" s="90">
        <v>0</v>
      </c>
      <c r="H234" s="90">
        <v>0</v>
      </c>
      <c r="I234" s="90">
        <v>0</v>
      </c>
      <c r="J234" s="90">
        <v>0</v>
      </c>
      <c r="K234" s="91">
        <v>0</v>
      </c>
      <c r="L234" s="90">
        <v>0</v>
      </c>
      <c r="M234" s="90">
        <f>687000+832461</f>
        <v>1519461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0</v>
      </c>
      <c r="AB234" s="92">
        <v>2020</v>
      </c>
    </row>
    <row r="235" spans="1:28" s="1" customFormat="1" ht="35.25" customHeight="1" x14ac:dyDescent="0.5">
      <c r="A235" s="1">
        <v>1</v>
      </c>
      <c r="B235" s="39">
        <f>SUBTOTAL(103,$A$11:A235)</f>
        <v>220</v>
      </c>
      <c r="C235" s="86" t="s">
        <v>500</v>
      </c>
      <c r="D235" s="87">
        <f t="shared" si="11"/>
        <v>1735000</v>
      </c>
      <c r="E235" s="90">
        <v>0</v>
      </c>
      <c r="F235" s="90">
        <v>0</v>
      </c>
      <c r="G235" s="90">
        <v>0</v>
      </c>
      <c r="H235" s="90">
        <v>0</v>
      </c>
      <c r="I235" s="90">
        <v>0</v>
      </c>
      <c r="J235" s="90">
        <v>0</v>
      </c>
      <c r="K235" s="91">
        <v>1</v>
      </c>
      <c r="L235" s="90">
        <v>1735000</v>
      </c>
      <c r="M235" s="90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0</v>
      </c>
      <c r="AB235" s="92">
        <v>2020</v>
      </c>
    </row>
    <row r="236" spans="1:28" s="1" customFormat="1" ht="35.25" customHeight="1" x14ac:dyDescent="0.5">
      <c r="A236" s="1">
        <v>1</v>
      </c>
      <c r="B236" s="39">
        <f>SUBTOTAL(103,$A$11:A236)</f>
        <v>221</v>
      </c>
      <c r="C236" s="86" t="s">
        <v>501</v>
      </c>
      <c r="D236" s="87">
        <f t="shared" si="11"/>
        <v>1035891.8</v>
      </c>
      <c r="E236" s="90">
        <v>0</v>
      </c>
      <c r="F236" s="90">
        <v>0</v>
      </c>
      <c r="G236" s="90">
        <v>0</v>
      </c>
      <c r="H236" s="90">
        <v>0</v>
      </c>
      <c r="I236" s="90">
        <v>0</v>
      </c>
      <c r="J236" s="90">
        <v>0</v>
      </c>
      <c r="K236" s="91">
        <v>0</v>
      </c>
      <c r="L236" s="90">
        <v>0</v>
      </c>
      <c r="M236" s="90">
        <v>0</v>
      </c>
      <c r="N236" s="90">
        <v>0</v>
      </c>
      <c r="O236" s="90">
        <v>1035891.8</v>
      </c>
      <c r="P236" s="90">
        <v>0</v>
      </c>
      <c r="Q236" s="90">
        <v>0</v>
      </c>
      <c r="R236" s="90">
        <v>0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0</v>
      </c>
      <c r="AB236" s="92">
        <v>2020</v>
      </c>
    </row>
    <row r="237" spans="1:28" s="1" customFormat="1" ht="35.25" customHeight="1" x14ac:dyDescent="0.5">
      <c r="A237" s="1">
        <v>1</v>
      </c>
      <c r="B237" s="39">
        <f>SUBTOTAL(103,$A$11:A237)</f>
        <v>222</v>
      </c>
      <c r="C237" s="86" t="s">
        <v>502</v>
      </c>
      <c r="D237" s="87">
        <f t="shared" si="11"/>
        <v>1742886.75</v>
      </c>
      <c r="E237" s="90">
        <v>0</v>
      </c>
      <c r="F237" s="90">
        <v>0</v>
      </c>
      <c r="G237" s="90">
        <v>0</v>
      </c>
      <c r="H237" s="90">
        <v>0</v>
      </c>
      <c r="I237" s="90">
        <v>0</v>
      </c>
      <c r="J237" s="90">
        <v>0</v>
      </c>
      <c r="K237" s="91">
        <v>0</v>
      </c>
      <c r="L237" s="90">
        <v>0</v>
      </c>
      <c r="M237" s="90">
        <f>554000+1188886.75</f>
        <v>1742886.75</v>
      </c>
      <c r="N237" s="90">
        <v>0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0</v>
      </c>
      <c r="AB237" s="92">
        <v>2020</v>
      </c>
    </row>
    <row r="238" spans="1:28" s="1" customFormat="1" ht="35.25" customHeight="1" x14ac:dyDescent="0.5">
      <c r="A238" s="1">
        <v>1</v>
      </c>
      <c r="B238" s="39">
        <f>SUBTOTAL(103,$A$11:A238)</f>
        <v>223</v>
      </c>
      <c r="C238" s="86" t="s">
        <v>503</v>
      </c>
      <c r="D238" s="87">
        <f t="shared" si="11"/>
        <v>773255</v>
      </c>
      <c r="E238" s="90">
        <v>0</v>
      </c>
      <c r="F238" s="90">
        <v>0</v>
      </c>
      <c r="G238" s="90">
        <v>0</v>
      </c>
      <c r="H238" s="90">
        <v>604137</v>
      </c>
      <c r="I238" s="90">
        <v>0</v>
      </c>
      <c r="J238" s="90">
        <v>0</v>
      </c>
      <c r="K238" s="91">
        <v>0</v>
      </c>
      <c r="L238" s="90">
        <v>0</v>
      </c>
      <c r="M238" s="90">
        <v>0</v>
      </c>
      <c r="N238" s="90">
        <v>0</v>
      </c>
      <c r="O238" s="90">
        <v>169118</v>
      </c>
      <c r="P238" s="90">
        <v>0</v>
      </c>
      <c r="Q238" s="90">
        <v>0</v>
      </c>
      <c r="R238" s="90">
        <v>0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2">
        <v>2020</v>
      </c>
    </row>
    <row r="239" spans="1:28" s="1" customFormat="1" ht="35.25" customHeight="1" x14ac:dyDescent="0.5">
      <c r="A239" s="1">
        <v>1</v>
      </c>
      <c r="B239" s="39">
        <f>SUBTOTAL(103,$A$11:A239)</f>
        <v>224</v>
      </c>
      <c r="C239" s="86" t="s">
        <v>504</v>
      </c>
      <c r="D239" s="87">
        <f t="shared" si="11"/>
        <v>1045804.33</v>
      </c>
      <c r="E239" s="90">
        <v>0</v>
      </c>
      <c r="F239" s="90">
        <v>0</v>
      </c>
      <c r="G239" s="90">
        <v>0</v>
      </c>
      <c r="H239" s="90">
        <v>0</v>
      </c>
      <c r="I239" s="90">
        <v>0</v>
      </c>
      <c r="J239" s="90">
        <v>0</v>
      </c>
      <c r="K239" s="91">
        <v>0</v>
      </c>
      <c r="L239" s="90">
        <v>0</v>
      </c>
      <c r="M239" s="90">
        <f>334000+711804.33</f>
        <v>1045804.33</v>
      </c>
      <c r="N239" s="90">
        <v>0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0</v>
      </c>
      <c r="AB239" s="92">
        <v>2020</v>
      </c>
    </row>
    <row r="240" spans="1:28" s="1" customFormat="1" ht="35.25" customHeight="1" x14ac:dyDescent="0.5">
      <c r="A240" s="1">
        <v>1</v>
      </c>
      <c r="B240" s="39">
        <f>SUBTOTAL(103,$A$11:A240)</f>
        <v>225</v>
      </c>
      <c r="C240" s="86" t="s">
        <v>505</v>
      </c>
      <c r="D240" s="87">
        <f t="shared" si="11"/>
        <v>190602.5</v>
      </c>
      <c r="E240" s="90">
        <v>0</v>
      </c>
      <c r="F240" s="90">
        <v>0</v>
      </c>
      <c r="G240" s="90">
        <v>0</v>
      </c>
      <c r="H240" s="90">
        <v>0</v>
      </c>
      <c r="I240" s="90">
        <v>0</v>
      </c>
      <c r="J240" s="90">
        <v>0</v>
      </c>
      <c r="K240" s="91">
        <v>0</v>
      </c>
      <c r="L240" s="90">
        <v>0</v>
      </c>
      <c r="M240" s="90">
        <v>0</v>
      </c>
      <c r="N240" s="90">
        <v>0</v>
      </c>
      <c r="O240" s="90">
        <f>107200+18400</f>
        <v>125600</v>
      </c>
      <c r="P240" s="90">
        <v>65002.5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2">
        <v>2020</v>
      </c>
    </row>
    <row r="241" spans="1:28" s="1" customFormat="1" ht="35.25" customHeight="1" x14ac:dyDescent="0.5">
      <c r="A241" s="1">
        <v>1</v>
      </c>
      <c r="B241" s="39">
        <f>SUBTOTAL(103,$A$11:A241)</f>
        <v>226</v>
      </c>
      <c r="C241" s="86" t="s">
        <v>506</v>
      </c>
      <c r="D241" s="87">
        <f t="shared" si="11"/>
        <v>250071</v>
      </c>
      <c r="E241" s="90">
        <v>0</v>
      </c>
      <c r="F241" s="90">
        <v>0</v>
      </c>
      <c r="G241" s="90">
        <v>0</v>
      </c>
      <c r="H241" s="90">
        <v>0</v>
      </c>
      <c r="I241" s="90">
        <v>0</v>
      </c>
      <c r="J241" s="90">
        <v>0</v>
      </c>
      <c r="K241" s="91">
        <v>0</v>
      </c>
      <c r="L241" s="90">
        <v>0</v>
      </c>
      <c r="M241" s="90">
        <v>0</v>
      </c>
      <c r="N241" s="90">
        <v>0</v>
      </c>
      <c r="O241" s="90">
        <v>250071</v>
      </c>
      <c r="P241" s="90">
        <v>0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0</v>
      </c>
      <c r="AB241" s="92">
        <v>2020</v>
      </c>
    </row>
    <row r="242" spans="1:28" s="1" customFormat="1" ht="35.25" customHeight="1" x14ac:dyDescent="0.5">
      <c r="A242" s="1">
        <v>1</v>
      </c>
      <c r="B242" s="39">
        <f>SUBTOTAL(103,$A$11:A242)</f>
        <v>227</v>
      </c>
      <c r="C242" s="86" t="s">
        <v>507</v>
      </c>
      <c r="D242" s="87">
        <f t="shared" si="11"/>
        <v>1715000</v>
      </c>
      <c r="E242" s="90">
        <v>0</v>
      </c>
      <c r="F242" s="90">
        <v>0</v>
      </c>
      <c r="G242" s="90">
        <v>0</v>
      </c>
      <c r="H242" s="90">
        <v>0</v>
      </c>
      <c r="I242" s="90">
        <v>0</v>
      </c>
      <c r="J242" s="90">
        <v>0</v>
      </c>
      <c r="K242" s="91">
        <v>1</v>
      </c>
      <c r="L242" s="90">
        <v>1715000</v>
      </c>
      <c r="M242" s="90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2">
        <v>2020</v>
      </c>
    </row>
    <row r="243" spans="1:28" s="1" customFormat="1" ht="35.25" customHeight="1" x14ac:dyDescent="0.5">
      <c r="A243" s="1">
        <v>1</v>
      </c>
      <c r="B243" s="39">
        <f>SUBTOTAL(103,$A$11:A243)</f>
        <v>228</v>
      </c>
      <c r="C243" s="86" t="s">
        <v>712</v>
      </c>
      <c r="D243" s="87">
        <f t="shared" si="11"/>
        <v>242201.66</v>
      </c>
      <c r="E243" s="93">
        <v>0</v>
      </c>
      <c r="F243" s="93">
        <v>0</v>
      </c>
      <c r="G243" s="93">
        <v>0</v>
      </c>
      <c r="H243" s="93">
        <v>0</v>
      </c>
      <c r="I243" s="93">
        <v>0</v>
      </c>
      <c r="J243" s="93">
        <v>0</v>
      </c>
      <c r="K243" s="94">
        <v>0</v>
      </c>
      <c r="L243" s="93">
        <v>0</v>
      </c>
      <c r="M243" s="93">
        <v>0</v>
      </c>
      <c r="N243" s="93">
        <v>0</v>
      </c>
      <c r="O243" s="93">
        <v>242201.66</v>
      </c>
      <c r="P243" s="93">
        <v>0</v>
      </c>
      <c r="Q243" s="93">
        <v>0</v>
      </c>
      <c r="R243" s="93">
        <v>0</v>
      </c>
      <c r="S243" s="93">
        <v>0</v>
      </c>
      <c r="T243" s="93">
        <v>0</v>
      </c>
      <c r="U243" s="93">
        <v>0</v>
      </c>
      <c r="V243" s="93">
        <v>0</v>
      </c>
      <c r="W243" s="93">
        <v>0</v>
      </c>
      <c r="X243" s="93">
        <v>0</v>
      </c>
      <c r="Y243" s="93">
        <v>0</v>
      </c>
      <c r="Z243" s="93">
        <v>0</v>
      </c>
      <c r="AA243" s="93">
        <v>0</v>
      </c>
      <c r="AB243" s="92">
        <v>2020</v>
      </c>
    </row>
    <row r="244" spans="1:28" s="1" customFormat="1" ht="35.25" customHeight="1" x14ac:dyDescent="0.5">
      <c r="A244" s="1">
        <v>1</v>
      </c>
      <c r="B244" s="39">
        <f>SUBTOTAL(103,$A$11:A244)</f>
        <v>229</v>
      </c>
      <c r="C244" s="86" t="s">
        <v>713</v>
      </c>
      <c r="D244" s="87">
        <f t="shared" si="11"/>
        <v>508550.07</v>
      </c>
      <c r="E244" s="93">
        <v>0</v>
      </c>
      <c r="F244" s="93">
        <v>0</v>
      </c>
      <c r="G244" s="93">
        <v>0</v>
      </c>
      <c r="H244" s="93">
        <v>0</v>
      </c>
      <c r="I244" s="93">
        <v>0</v>
      </c>
      <c r="J244" s="93">
        <v>0</v>
      </c>
      <c r="K244" s="94">
        <v>0</v>
      </c>
      <c r="L244" s="93">
        <v>0</v>
      </c>
      <c r="M244" s="93">
        <v>0</v>
      </c>
      <c r="N244" s="93">
        <v>0</v>
      </c>
      <c r="O244" s="93">
        <v>508550.07</v>
      </c>
      <c r="P244" s="93">
        <v>0</v>
      </c>
      <c r="Q244" s="93">
        <v>0</v>
      </c>
      <c r="R244" s="93">
        <v>0</v>
      </c>
      <c r="S244" s="93">
        <v>0</v>
      </c>
      <c r="T244" s="93">
        <v>0</v>
      </c>
      <c r="U244" s="93">
        <v>0</v>
      </c>
      <c r="V244" s="93">
        <v>0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2">
        <v>2020</v>
      </c>
    </row>
    <row r="245" spans="1:28" s="1" customFormat="1" ht="35.25" customHeight="1" x14ac:dyDescent="0.5">
      <c r="A245" s="1">
        <v>1</v>
      </c>
      <c r="B245" s="39">
        <f>SUBTOTAL(103,$A$11:A245)</f>
        <v>230</v>
      </c>
      <c r="C245" s="86" t="s">
        <v>714</v>
      </c>
      <c r="D245" s="87">
        <f t="shared" si="11"/>
        <v>1247325.5900000001</v>
      </c>
      <c r="E245" s="93">
        <v>0</v>
      </c>
      <c r="F245" s="93">
        <v>0</v>
      </c>
      <c r="G245" s="93">
        <v>0</v>
      </c>
      <c r="H245" s="93">
        <v>0</v>
      </c>
      <c r="I245" s="93">
        <v>0</v>
      </c>
      <c r="J245" s="93">
        <v>0</v>
      </c>
      <c r="K245" s="94">
        <v>0</v>
      </c>
      <c r="L245" s="93">
        <v>0</v>
      </c>
      <c r="M245" s="93">
        <v>1247325.5900000001</v>
      </c>
      <c r="N245" s="93">
        <v>0</v>
      </c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</v>
      </c>
      <c r="U245" s="93">
        <v>0</v>
      </c>
      <c r="V245" s="93">
        <v>0</v>
      </c>
      <c r="W245" s="93">
        <v>0</v>
      </c>
      <c r="X245" s="93">
        <v>0</v>
      </c>
      <c r="Y245" s="93">
        <v>0</v>
      </c>
      <c r="Z245" s="93">
        <v>0</v>
      </c>
      <c r="AA245" s="93">
        <v>0</v>
      </c>
      <c r="AB245" s="92">
        <v>2020</v>
      </c>
    </row>
    <row r="246" spans="1:28" s="1" customFormat="1" ht="35.25" customHeight="1" x14ac:dyDescent="0.5">
      <c r="A246" s="1">
        <v>1</v>
      </c>
      <c r="B246" s="39">
        <f>SUBTOTAL(103,$A$11:A246)</f>
        <v>231</v>
      </c>
      <c r="C246" s="86" t="s">
        <v>715</v>
      </c>
      <c r="D246" s="87">
        <f t="shared" si="11"/>
        <v>1278007.1000000001</v>
      </c>
      <c r="E246" s="93">
        <v>0</v>
      </c>
      <c r="F246" s="93">
        <v>0</v>
      </c>
      <c r="G246" s="93">
        <v>0</v>
      </c>
      <c r="H246" s="93">
        <v>0</v>
      </c>
      <c r="I246" s="93">
        <v>0</v>
      </c>
      <c r="J246" s="93">
        <v>0</v>
      </c>
      <c r="K246" s="94">
        <v>0</v>
      </c>
      <c r="L246" s="93">
        <v>0</v>
      </c>
      <c r="M246" s="93">
        <v>0</v>
      </c>
      <c r="N246" s="93">
        <v>0</v>
      </c>
      <c r="O246" s="93">
        <v>1278007.1000000001</v>
      </c>
      <c r="P246" s="93">
        <v>0</v>
      </c>
      <c r="Q246" s="93">
        <v>0</v>
      </c>
      <c r="R246" s="93">
        <v>0</v>
      </c>
      <c r="S246" s="93">
        <v>0</v>
      </c>
      <c r="T246" s="93">
        <v>0</v>
      </c>
      <c r="U246" s="93">
        <v>0</v>
      </c>
      <c r="V246" s="93">
        <v>0</v>
      </c>
      <c r="W246" s="93">
        <v>0</v>
      </c>
      <c r="X246" s="93">
        <v>0</v>
      </c>
      <c r="Y246" s="93">
        <v>0</v>
      </c>
      <c r="Z246" s="93">
        <v>0</v>
      </c>
      <c r="AA246" s="93">
        <v>0</v>
      </c>
      <c r="AB246" s="92">
        <v>2020</v>
      </c>
    </row>
    <row r="247" spans="1:28" s="1" customFormat="1" ht="35.25" customHeight="1" x14ac:dyDescent="0.5">
      <c r="A247" s="1">
        <v>1</v>
      </c>
      <c r="B247" s="39">
        <f>SUBTOTAL(103,$A$11:A247)</f>
        <v>232</v>
      </c>
      <c r="C247" s="86" t="s">
        <v>716</v>
      </c>
      <c r="D247" s="87">
        <f t="shared" si="11"/>
        <v>1573506.01</v>
      </c>
      <c r="E247" s="93">
        <v>0</v>
      </c>
      <c r="F247" s="93">
        <v>0</v>
      </c>
      <c r="G247" s="93">
        <v>0</v>
      </c>
      <c r="H247" s="93">
        <v>0</v>
      </c>
      <c r="I247" s="93">
        <v>0</v>
      </c>
      <c r="J247" s="93">
        <v>0</v>
      </c>
      <c r="K247" s="94">
        <v>0</v>
      </c>
      <c r="L247" s="93">
        <v>0</v>
      </c>
      <c r="M247" s="93">
        <v>1573506.01</v>
      </c>
      <c r="N247" s="93">
        <v>0</v>
      </c>
      <c r="O247" s="93">
        <v>0</v>
      </c>
      <c r="P247" s="93">
        <v>0</v>
      </c>
      <c r="Q247" s="93">
        <v>0</v>
      </c>
      <c r="R247" s="93">
        <v>0</v>
      </c>
      <c r="S247" s="93">
        <v>0</v>
      </c>
      <c r="T247" s="93">
        <v>0</v>
      </c>
      <c r="U247" s="93">
        <v>0</v>
      </c>
      <c r="V247" s="93">
        <v>0</v>
      </c>
      <c r="W247" s="93">
        <v>0</v>
      </c>
      <c r="X247" s="93">
        <v>0</v>
      </c>
      <c r="Y247" s="93">
        <v>0</v>
      </c>
      <c r="Z247" s="93">
        <v>0</v>
      </c>
      <c r="AA247" s="93">
        <v>0</v>
      </c>
      <c r="AB247" s="92">
        <v>2020</v>
      </c>
    </row>
    <row r="248" spans="1:28" s="1" customFormat="1" ht="35.25" customHeight="1" x14ac:dyDescent="0.5">
      <c r="A248" s="1">
        <v>1</v>
      </c>
      <c r="B248" s="39">
        <f>SUBTOTAL(103,$A$11:A248)</f>
        <v>233</v>
      </c>
      <c r="C248" s="86" t="s">
        <v>579</v>
      </c>
      <c r="D248" s="87">
        <f t="shared" si="11"/>
        <v>589794.53</v>
      </c>
      <c r="E248" s="93">
        <v>0</v>
      </c>
      <c r="F248" s="93">
        <v>0</v>
      </c>
      <c r="G248" s="93">
        <v>0</v>
      </c>
      <c r="H248" s="93">
        <v>0</v>
      </c>
      <c r="I248" s="93">
        <v>0</v>
      </c>
      <c r="J248" s="93">
        <v>0</v>
      </c>
      <c r="K248" s="94">
        <v>0</v>
      </c>
      <c r="L248" s="93">
        <v>0</v>
      </c>
      <c r="M248" s="93">
        <v>0</v>
      </c>
      <c r="N248" s="93">
        <v>0</v>
      </c>
      <c r="O248" s="93">
        <v>589794.53</v>
      </c>
      <c r="P248" s="93">
        <v>0</v>
      </c>
      <c r="Q248" s="93">
        <v>0</v>
      </c>
      <c r="R248" s="93">
        <v>0</v>
      </c>
      <c r="S248" s="93">
        <v>0</v>
      </c>
      <c r="T248" s="93">
        <v>0</v>
      </c>
      <c r="U248" s="93">
        <v>0</v>
      </c>
      <c r="V248" s="93">
        <v>0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2">
        <v>2020</v>
      </c>
    </row>
    <row r="249" spans="1:28" s="1" customFormat="1" ht="35.25" customHeight="1" x14ac:dyDescent="0.5">
      <c r="A249" s="1">
        <v>1</v>
      </c>
      <c r="B249" s="39">
        <f>SUBTOTAL(103,$A$11:A249)</f>
        <v>234</v>
      </c>
      <c r="C249" s="86" t="s">
        <v>717</v>
      </c>
      <c r="D249" s="87">
        <f t="shared" si="11"/>
        <v>1815600.86</v>
      </c>
      <c r="E249" s="93">
        <v>0</v>
      </c>
      <c r="F249" s="93">
        <v>0</v>
      </c>
      <c r="G249" s="93">
        <v>1815600.86</v>
      </c>
      <c r="H249" s="93">
        <v>0</v>
      </c>
      <c r="I249" s="93">
        <v>0</v>
      </c>
      <c r="J249" s="93">
        <v>0</v>
      </c>
      <c r="K249" s="94">
        <v>0</v>
      </c>
      <c r="L249" s="93">
        <v>0</v>
      </c>
      <c r="M249" s="93">
        <v>0</v>
      </c>
      <c r="N249" s="93">
        <v>0</v>
      </c>
      <c r="O249" s="93">
        <v>0</v>
      </c>
      <c r="P249" s="93">
        <v>0</v>
      </c>
      <c r="Q249" s="93">
        <v>0</v>
      </c>
      <c r="R249" s="93">
        <v>0</v>
      </c>
      <c r="S249" s="93">
        <v>0</v>
      </c>
      <c r="T249" s="93">
        <v>0</v>
      </c>
      <c r="U249" s="93">
        <v>0</v>
      </c>
      <c r="V249" s="93">
        <v>0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2">
        <v>2020</v>
      </c>
    </row>
    <row r="250" spans="1:28" s="1" customFormat="1" ht="35.25" customHeight="1" x14ac:dyDescent="0.5">
      <c r="A250" s="1">
        <v>1</v>
      </c>
      <c r="B250" s="39">
        <f>SUBTOTAL(103,$A$11:A250)</f>
        <v>235</v>
      </c>
      <c r="C250" s="86" t="s">
        <v>718</v>
      </c>
      <c r="D250" s="87">
        <f t="shared" si="11"/>
        <v>1078229.55</v>
      </c>
      <c r="E250" s="93">
        <v>0</v>
      </c>
      <c r="F250" s="93">
        <v>0</v>
      </c>
      <c r="G250" s="93">
        <v>0</v>
      </c>
      <c r="H250" s="93">
        <v>0</v>
      </c>
      <c r="I250" s="93">
        <v>0</v>
      </c>
      <c r="J250" s="93">
        <v>0</v>
      </c>
      <c r="K250" s="94">
        <v>0</v>
      </c>
      <c r="L250" s="93">
        <v>0</v>
      </c>
      <c r="M250" s="93">
        <v>0</v>
      </c>
      <c r="N250" s="93">
        <v>0</v>
      </c>
      <c r="O250" s="93">
        <v>1078229.55</v>
      </c>
      <c r="P250" s="93">
        <v>0</v>
      </c>
      <c r="Q250" s="93">
        <v>0</v>
      </c>
      <c r="R250" s="93">
        <v>0</v>
      </c>
      <c r="S250" s="93">
        <v>0</v>
      </c>
      <c r="T250" s="93">
        <v>0</v>
      </c>
      <c r="U250" s="93">
        <v>0</v>
      </c>
      <c r="V250" s="93">
        <v>0</v>
      </c>
      <c r="W250" s="93">
        <v>0</v>
      </c>
      <c r="X250" s="93">
        <v>0</v>
      </c>
      <c r="Y250" s="93">
        <v>0</v>
      </c>
      <c r="Z250" s="93">
        <v>0</v>
      </c>
      <c r="AA250" s="93">
        <v>0</v>
      </c>
      <c r="AB250" s="92">
        <v>2020</v>
      </c>
    </row>
    <row r="251" spans="1:28" s="1" customFormat="1" ht="35.25" customHeight="1" x14ac:dyDescent="0.5">
      <c r="A251" s="1">
        <v>1</v>
      </c>
      <c r="B251" s="39">
        <f>SUBTOTAL(103,$A$11:A251)</f>
        <v>236</v>
      </c>
      <c r="C251" s="86" t="s">
        <v>719</v>
      </c>
      <c r="D251" s="87">
        <f t="shared" si="11"/>
        <v>231984</v>
      </c>
      <c r="E251" s="93">
        <v>0</v>
      </c>
      <c r="F251" s="93">
        <v>0</v>
      </c>
      <c r="G251" s="93">
        <v>0</v>
      </c>
      <c r="H251" s="93">
        <v>0</v>
      </c>
      <c r="I251" s="93">
        <v>0</v>
      </c>
      <c r="J251" s="93">
        <v>0</v>
      </c>
      <c r="K251" s="94">
        <v>0</v>
      </c>
      <c r="L251" s="93">
        <v>0</v>
      </c>
      <c r="M251" s="93">
        <v>0</v>
      </c>
      <c r="N251" s="93">
        <v>0</v>
      </c>
      <c r="O251" s="93">
        <v>0</v>
      </c>
      <c r="P251" s="93">
        <v>231984</v>
      </c>
      <c r="Q251" s="93">
        <v>0</v>
      </c>
      <c r="R251" s="93">
        <v>0</v>
      </c>
      <c r="S251" s="93">
        <v>0</v>
      </c>
      <c r="T251" s="93">
        <v>0</v>
      </c>
      <c r="U251" s="93">
        <v>0</v>
      </c>
      <c r="V251" s="93">
        <v>0</v>
      </c>
      <c r="W251" s="93">
        <v>0</v>
      </c>
      <c r="X251" s="93">
        <v>0</v>
      </c>
      <c r="Y251" s="93">
        <v>0</v>
      </c>
      <c r="Z251" s="93">
        <v>0</v>
      </c>
      <c r="AA251" s="93">
        <v>0</v>
      </c>
      <c r="AB251" s="92">
        <v>2020</v>
      </c>
    </row>
    <row r="252" spans="1:28" s="1" customFormat="1" ht="35.25" customHeight="1" x14ac:dyDescent="0.5">
      <c r="A252" s="1">
        <v>1</v>
      </c>
      <c r="B252" s="39">
        <f>SUBTOTAL(103,$A$11:A252)</f>
        <v>237</v>
      </c>
      <c r="C252" s="86" t="s">
        <v>720</v>
      </c>
      <c r="D252" s="87">
        <f t="shared" si="11"/>
        <v>1578380.8</v>
      </c>
      <c r="E252" s="93">
        <v>0</v>
      </c>
      <c r="F252" s="93">
        <v>0</v>
      </c>
      <c r="G252" s="93">
        <v>0</v>
      </c>
      <c r="H252" s="93">
        <v>0</v>
      </c>
      <c r="I252" s="93">
        <v>0</v>
      </c>
      <c r="J252" s="93">
        <v>0</v>
      </c>
      <c r="K252" s="94">
        <v>0</v>
      </c>
      <c r="L252" s="93">
        <v>0</v>
      </c>
      <c r="M252" s="93">
        <v>1028291</v>
      </c>
      <c r="N252" s="93">
        <v>0</v>
      </c>
      <c r="O252" s="93">
        <v>550089.80000000005</v>
      </c>
      <c r="P252" s="93">
        <v>0</v>
      </c>
      <c r="Q252" s="93">
        <v>0</v>
      </c>
      <c r="R252" s="93">
        <v>0</v>
      </c>
      <c r="S252" s="93">
        <v>0</v>
      </c>
      <c r="T252" s="93">
        <v>0</v>
      </c>
      <c r="U252" s="93">
        <v>0</v>
      </c>
      <c r="V252" s="93">
        <v>0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2">
        <v>2020</v>
      </c>
    </row>
    <row r="253" spans="1:28" s="1" customFormat="1" ht="35.25" customHeight="1" x14ac:dyDescent="0.5">
      <c r="A253" s="1">
        <v>1</v>
      </c>
      <c r="B253" s="39">
        <f>SUBTOTAL(103,$A$11:A253)</f>
        <v>238</v>
      </c>
      <c r="C253" s="86" t="s">
        <v>721</v>
      </c>
      <c r="D253" s="87">
        <f t="shared" si="11"/>
        <v>567062.04</v>
      </c>
      <c r="E253" s="93">
        <v>0</v>
      </c>
      <c r="F253" s="93">
        <v>0</v>
      </c>
      <c r="G253" s="93">
        <v>0</v>
      </c>
      <c r="H253" s="93">
        <v>0</v>
      </c>
      <c r="I253" s="93">
        <v>567062.04</v>
      </c>
      <c r="J253" s="93">
        <v>0</v>
      </c>
      <c r="K253" s="94">
        <v>0</v>
      </c>
      <c r="L253" s="93">
        <v>0</v>
      </c>
      <c r="M253" s="93">
        <v>0</v>
      </c>
      <c r="N253" s="93">
        <v>0</v>
      </c>
      <c r="O253" s="93">
        <v>0</v>
      </c>
      <c r="P253" s="93">
        <v>0</v>
      </c>
      <c r="Q253" s="93">
        <v>0</v>
      </c>
      <c r="R253" s="93">
        <v>0</v>
      </c>
      <c r="S253" s="93">
        <v>0</v>
      </c>
      <c r="T253" s="93">
        <v>0</v>
      </c>
      <c r="U253" s="93">
        <v>0</v>
      </c>
      <c r="V253" s="93">
        <v>0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2">
        <v>2020</v>
      </c>
    </row>
    <row r="254" spans="1:28" s="1" customFormat="1" ht="35.25" customHeight="1" x14ac:dyDescent="0.5">
      <c r="A254" s="1">
        <v>1</v>
      </c>
      <c r="B254" s="39">
        <f>SUBTOTAL(103,$A$11:A254)</f>
        <v>239</v>
      </c>
      <c r="C254" s="86" t="s">
        <v>722</v>
      </c>
      <c r="D254" s="87">
        <f t="shared" si="11"/>
        <v>2516334.0499999998</v>
      </c>
      <c r="E254" s="93">
        <v>0</v>
      </c>
      <c r="F254" s="93">
        <v>0</v>
      </c>
      <c r="G254" s="93">
        <v>0</v>
      </c>
      <c r="H254" s="93">
        <v>0</v>
      </c>
      <c r="I254" s="93">
        <v>0</v>
      </c>
      <c r="J254" s="93">
        <v>0</v>
      </c>
      <c r="K254" s="94">
        <v>0</v>
      </c>
      <c r="L254" s="93">
        <v>0</v>
      </c>
      <c r="M254" s="93">
        <v>2516334.0499999998</v>
      </c>
      <c r="N254" s="93">
        <v>0</v>
      </c>
      <c r="O254" s="93">
        <v>0</v>
      </c>
      <c r="P254" s="93">
        <v>0</v>
      </c>
      <c r="Q254" s="93">
        <v>0</v>
      </c>
      <c r="R254" s="93">
        <v>0</v>
      </c>
      <c r="S254" s="93">
        <v>0</v>
      </c>
      <c r="T254" s="93">
        <v>0</v>
      </c>
      <c r="U254" s="93">
        <v>0</v>
      </c>
      <c r="V254" s="93">
        <v>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2">
        <v>2020</v>
      </c>
    </row>
    <row r="255" spans="1:28" s="1" customFormat="1" ht="35.25" customHeight="1" x14ac:dyDescent="0.5">
      <c r="A255" s="1">
        <v>1</v>
      </c>
      <c r="B255" s="39">
        <f>SUBTOTAL(103,$A$11:A255)</f>
        <v>240</v>
      </c>
      <c r="C255" s="86" t="s">
        <v>723</v>
      </c>
      <c r="D255" s="87">
        <f t="shared" si="11"/>
        <v>294657.71999999997</v>
      </c>
      <c r="E255" s="93">
        <v>294657.71999999997</v>
      </c>
      <c r="F255" s="93">
        <v>0</v>
      </c>
      <c r="G255" s="93">
        <v>0</v>
      </c>
      <c r="H255" s="93">
        <v>0</v>
      </c>
      <c r="I255" s="93">
        <v>0</v>
      </c>
      <c r="J255" s="93">
        <v>0</v>
      </c>
      <c r="K255" s="94">
        <v>0</v>
      </c>
      <c r="L255" s="93">
        <v>0</v>
      </c>
      <c r="M255" s="93">
        <v>0</v>
      </c>
      <c r="N255" s="93">
        <v>0</v>
      </c>
      <c r="O255" s="93">
        <v>0</v>
      </c>
      <c r="P255" s="93">
        <v>0</v>
      </c>
      <c r="Q255" s="93">
        <v>0</v>
      </c>
      <c r="R255" s="93">
        <v>0</v>
      </c>
      <c r="S255" s="93">
        <v>0</v>
      </c>
      <c r="T255" s="93">
        <v>0</v>
      </c>
      <c r="U255" s="93">
        <v>0</v>
      </c>
      <c r="V255" s="93">
        <v>0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2">
        <v>2020</v>
      </c>
    </row>
    <row r="256" spans="1:28" s="1" customFormat="1" ht="35.25" customHeight="1" x14ac:dyDescent="0.5">
      <c r="A256" s="1">
        <v>1</v>
      </c>
      <c r="B256" s="39">
        <f>SUBTOTAL(103,$A$11:A256)</f>
        <v>241</v>
      </c>
      <c r="C256" s="86" t="s">
        <v>724</v>
      </c>
      <c r="D256" s="87">
        <f t="shared" si="11"/>
        <v>369249.28000000003</v>
      </c>
      <c r="E256" s="93">
        <v>0</v>
      </c>
      <c r="F256" s="93">
        <v>0</v>
      </c>
      <c r="G256" s="93">
        <v>0</v>
      </c>
      <c r="H256" s="93">
        <v>0</v>
      </c>
      <c r="I256" s="93">
        <v>0</v>
      </c>
      <c r="J256" s="93">
        <v>0</v>
      </c>
      <c r="K256" s="94">
        <v>0</v>
      </c>
      <c r="L256" s="93">
        <v>0</v>
      </c>
      <c r="M256" s="93">
        <v>369249.28000000003</v>
      </c>
      <c r="N256" s="93">
        <v>0</v>
      </c>
      <c r="O256" s="93">
        <v>0</v>
      </c>
      <c r="P256" s="93">
        <v>0</v>
      </c>
      <c r="Q256" s="93">
        <v>0</v>
      </c>
      <c r="R256" s="93">
        <v>0</v>
      </c>
      <c r="S256" s="93">
        <v>0</v>
      </c>
      <c r="T256" s="93">
        <v>0</v>
      </c>
      <c r="U256" s="93">
        <v>0</v>
      </c>
      <c r="V256" s="93">
        <v>0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2">
        <v>2020</v>
      </c>
    </row>
    <row r="257" spans="1:28" s="1" customFormat="1" ht="35.25" customHeight="1" x14ac:dyDescent="0.5">
      <c r="A257" s="1">
        <v>1</v>
      </c>
      <c r="B257" s="39">
        <f>SUBTOTAL(103,$A$11:A257)</f>
        <v>242</v>
      </c>
      <c r="C257" s="86" t="s">
        <v>725</v>
      </c>
      <c r="D257" s="87">
        <f t="shared" si="11"/>
        <v>1052055</v>
      </c>
      <c r="E257" s="93">
        <v>0</v>
      </c>
      <c r="F257" s="93">
        <v>0</v>
      </c>
      <c r="G257" s="93">
        <v>1052055</v>
      </c>
      <c r="H257" s="93">
        <v>0</v>
      </c>
      <c r="I257" s="93">
        <v>0</v>
      </c>
      <c r="J257" s="93">
        <v>0</v>
      </c>
      <c r="K257" s="94">
        <v>0</v>
      </c>
      <c r="L257" s="93">
        <v>0</v>
      </c>
      <c r="M257" s="93">
        <v>0</v>
      </c>
      <c r="N257" s="93">
        <v>0</v>
      </c>
      <c r="O257" s="93">
        <v>0</v>
      </c>
      <c r="P257" s="93">
        <v>0</v>
      </c>
      <c r="Q257" s="93">
        <v>0</v>
      </c>
      <c r="R257" s="93">
        <v>0</v>
      </c>
      <c r="S257" s="93">
        <v>0</v>
      </c>
      <c r="T257" s="93">
        <v>0</v>
      </c>
      <c r="U257" s="93">
        <v>0</v>
      </c>
      <c r="V257" s="93">
        <v>0</v>
      </c>
      <c r="W257" s="93">
        <v>0</v>
      </c>
      <c r="X257" s="93">
        <v>0</v>
      </c>
      <c r="Y257" s="93">
        <v>0</v>
      </c>
      <c r="Z257" s="93">
        <v>0</v>
      </c>
      <c r="AA257" s="93">
        <v>0</v>
      </c>
      <c r="AB257" s="92">
        <v>2020</v>
      </c>
    </row>
    <row r="258" spans="1:28" s="1" customFormat="1" ht="35.25" customHeight="1" x14ac:dyDescent="0.5">
      <c r="A258" s="1">
        <v>1</v>
      </c>
      <c r="B258" s="39">
        <f>SUBTOTAL(103,$A$11:A258)</f>
        <v>243</v>
      </c>
      <c r="C258" s="86" t="s">
        <v>726</v>
      </c>
      <c r="D258" s="87">
        <f t="shared" si="11"/>
        <v>527399.5</v>
      </c>
      <c r="E258" s="93">
        <v>0</v>
      </c>
      <c r="F258" s="93">
        <v>0</v>
      </c>
      <c r="G258" s="93">
        <v>0</v>
      </c>
      <c r="H258" s="93">
        <v>0</v>
      </c>
      <c r="I258" s="93">
        <v>0</v>
      </c>
      <c r="J258" s="93">
        <v>0</v>
      </c>
      <c r="K258" s="94">
        <v>0</v>
      </c>
      <c r="L258" s="93">
        <v>0</v>
      </c>
      <c r="M258" s="93">
        <v>527399.5</v>
      </c>
      <c r="N258" s="93">
        <v>0</v>
      </c>
      <c r="O258" s="93">
        <v>0</v>
      </c>
      <c r="P258" s="93">
        <v>0</v>
      </c>
      <c r="Q258" s="93">
        <v>0</v>
      </c>
      <c r="R258" s="93">
        <v>0</v>
      </c>
      <c r="S258" s="93">
        <v>0</v>
      </c>
      <c r="T258" s="93">
        <v>0</v>
      </c>
      <c r="U258" s="93">
        <v>0</v>
      </c>
      <c r="V258" s="93">
        <v>0</v>
      </c>
      <c r="W258" s="93">
        <v>0</v>
      </c>
      <c r="X258" s="93">
        <v>0</v>
      </c>
      <c r="Y258" s="93">
        <v>0</v>
      </c>
      <c r="Z258" s="93">
        <v>0</v>
      </c>
      <c r="AA258" s="93">
        <v>0</v>
      </c>
      <c r="AB258" s="92">
        <v>2020</v>
      </c>
    </row>
    <row r="259" spans="1:28" s="1" customFormat="1" ht="35.25" customHeight="1" x14ac:dyDescent="0.5">
      <c r="A259" s="1">
        <v>1</v>
      </c>
      <c r="B259" s="39">
        <f>SUBTOTAL(103,$A$11:A259)</f>
        <v>244</v>
      </c>
      <c r="C259" s="86" t="s">
        <v>727</v>
      </c>
      <c r="D259" s="87">
        <f t="shared" si="11"/>
        <v>687319</v>
      </c>
      <c r="E259" s="93">
        <v>0</v>
      </c>
      <c r="F259" s="93">
        <v>0</v>
      </c>
      <c r="G259" s="93">
        <v>0</v>
      </c>
      <c r="H259" s="93">
        <v>0</v>
      </c>
      <c r="I259" s="93">
        <v>0</v>
      </c>
      <c r="J259" s="93">
        <v>0</v>
      </c>
      <c r="K259" s="94">
        <v>0</v>
      </c>
      <c r="L259" s="93">
        <v>0</v>
      </c>
      <c r="M259" s="93">
        <v>687319</v>
      </c>
      <c r="N259" s="93">
        <v>0</v>
      </c>
      <c r="O259" s="93">
        <v>0</v>
      </c>
      <c r="P259" s="93">
        <v>0</v>
      </c>
      <c r="Q259" s="93">
        <v>0</v>
      </c>
      <c r="R259" s="93">
        <v>0</v>
      </c>
      <c r="S259" s="93">
        <v>0</v>
      </c>
      <c r="T259" s="93">
        <v>0</v>
      </c>
      <c r="U259" s="93">
        <v>0</v>
      </c>
      <c r="V259" s="93">
        <v>0</v>
      </c>
      <c r="W259" s="93">
        <v>0</v>
      </c>
      <c r="X259" s="93">
        <v>0</v>
      </c>
      <c r="Y259" s="93">
        <v>0</v>
      </c>
      <c r="Z259" s="93">
        <v>0</v>
      </c>
      <c r="AA259" s="93">
        <v>0</v>
      </c>
      <c r="AB259" s="92">
        <v>2020</v>
      </c>
    </row>
    <row r="260" spans="1:28" s="1" customFormat="1" ht="35.25" customHeight="1" x14ac:dyDescent="0.5">
      <c r="A260" s="1">
        <v>1</v>
      </c>
      <c r="B260" s="39">
        <f>SUBTOTAL(103,$A$11:A260)</f>
        <v>245</v>
      </c>
      <c r="C260" s="86" t="s">
        <v>728</v>
      </c>
      <c r="D260" s="87">
        <f t="shared" si="11"/>
        <v>350000</v>
      </c>
      <c r="E260" s="93">
        <v>0</v>
      </c>
      <c r="F260" s="93">
        <v>0</v>
      </c>
      <c r="G260" s="93">
        <v>0</v>
      </c>
      <c r="H260" s="93">
        <v>0</v>
      </c>
      <c r="I260" s="93">
        <v>0</v>
      </c>
      <c r="J260" s="93">
        <v>0</v>
      </c>
      <c r="K260" s="94">
        <v>0</v>
      </c>
      <c r="L260" s="93">
        <v>0</v>
      </c>
      <c r="M260" s="93">
        <v>350000</v>
      </c>
      <c r="N260" s="93">
        <v>0</v>
      </c>
      <c r="O260" s="93">
        <v>0</v>
      </c>
      <c r="P260" s="93">
        <v>0</v>
      </c>
      <c r="Q260" s="93">
        <v>0</v>
      </c>
      <c r="R260" s="93">
        <v>0</v>
      </c>
      <c r="S260" s="93">
        <v>0</v>
      </c>
      <c r="T260" s="93">
        <v>0</v>
      </c>
      <c r="U260" s="93">
        <v>0</v>
      </c>
      <c r="V260" s="93">
        <v>0</v>
      </c>
      <c r="W260" s="93">
        <v>0</v>
      </c>
      <c r="X260" s="93">
        <v>0</v>
      </c>
      <c r="Y260" s="93">
        <v>0</v>
      </c>
      <c r="Z260" s="93">
        <v>0</v>
      </c>
      <c r="AA260" s="93">
        <v>0</v>
      </c>
      <c r="AB260" s="92">
        <v>2020</v>
      </c>
    </row>
    <row r="261" spans="1:28" s="1" customFormat="1" ht="35.25" customHeight="1" x14ac:dyDescent="0.5">
      <c r="A261" s="1">
        <v>1</v>
      </c>
      <c r="B261" s="39">
        <f>SUBTOTAL(103,$A$11:A261)</f>
        <v>246</v>
      </c>
      <c r="C261" s="86" t="s">
        <v>729</v>
      </c>
      <c r="D261" s="87">
        <f t="shared" si="11"/>
        <v>571302</v>
      </c>
      <c r="E261" s="93">
        <v>0</v>
      </c>
      <c r="F261" s="93">
        <v>0</v>
      </c>
      <c r="G261" s="93">
        <v>0</v>
      </c>
      <c r="H261" s="93">
        <v>0</v>
      </c>
      <c r="I261" s="93">
        <v>0</v>
      </c>
      <c r="J261" s="93">
        <v>0</v>
      </c>
      <c r="K261" s="94">
        <v>0</v>
      </c>
      <c r="L261" s="93">
        <v>0</v>
      </c>
      <c r="M261" s="93">
        <v>0</v>
      </c>
      <c r="N261" s="93">
        <v>0</v>
      </c>
      <c r="O261" s="93">
        <v>571302</v>
      </c>
      <c r="P261" s="93">
        <v>0</v>
      </c>
      <c r="Q261" s="93">
        <v>0</v>
      </c>
      <c r="R261" s="93">
        <v>0</v>
      </c>
      <c r="S261" s="93">
        <v>0</v>
      </c>
      <c r="T261" s="93">
        <v>0</v>
      </c>
      <c r="U261" s="93">
        <v>0</v>
      </c>
      <c r="V261" s="93">
        <v>0</v>
      </c>
      <c r="W261" s="93">
        <v>0</v>
      </c>
      <c r="X261" s="93">
        <v>0</v>
      </c>
      <c r="Y261" s="93">
        <v>0</v>
      </c>
      <c r="Z261" s="93">
        <v>0</v>
      </c>
      <c r="AA261" s="93">
        <v>0</v>
      </c>
      <c r="AB261" s="92">
        <v>2020</v>
      </c>
    </row>
    <row r="262" spans="1:28" s="1" customFormat="1" ht="35.25" customHeight="1" x14ac:dyDescent="0.5">
      <c r="A262" s="1">
        <v>1</v>
      </c>
      <c r="B262" s="39">
        <f>SUBTOTAL(103,$A$11:A262)</f>
        <v>247</v>
      </c>
      <c r="C262" s="86" t="s">
        <v>730</v>
      </c>
      <c r="D262" s="87">
        <f t="shared" si="11"/>
        <v>283242</v>
      </c>
      <c r="E262" s="93">
        <v>0</v>
      </c>
      <c r="F262" s="93">
        <v>0</v>
      </c>
      <c r="G262" s="93">
        <v>0</v>
      </c>
      <c r="H262" s="93">
        <v>0</v>
      </c>
      <c r="I262" s="93">
        <v>0</v>
      </c>
      <c r="J262" s="93">
        <v>0</v>
      </c>
      <c r="K262" s="94">
        <v>0</v>
      </c>
      <c r="L262" s="93">
        <v>0</v>
      </c>
      <c r="M262" s="93">
        <v>283242</v>
      </c>
      <c r="N262" s="93">
        <v>0</v>
      </c>
      <c r="O262" s="93">
        <v>0</v>
      </c>
      <c r="P262" s="93">
        <v>0</v>
      </c>
      <c r="Q262" s="93">
        <v>0</v>
      </c>
      <c r="R262" s="93">
        <v>0</v>
      </c>
      <c r="S262" s="93">
        <v>0</v>
      </c>
      <c r="T262" s="93">
        <v>0</v>
      </c>
      <c r="U262" s="93">
        <v>0</v>
      </c>
      <c r="V262" s="93">
        <v>0</v>
      </c>
      <c r="W262" s="93">
        <v>0</v>
      </c>
      <c r="X262" s="93">
        <v>0</v>
      </c>
      <c r="Y262" s="93">
        <v>0</v>
      </c>
      <c r="Z262" s="93">
        <v>0</v>
      </c>
      <c r="AA262" s="93">
        <v>0</v>
      </c>
      <c r="AB262" s="92">
        <v>2020</v>
      </c>
    </row>
    <row r="263" spans="1:28" s="1" customFormat="1" ht="35.25" customHeight="1" x14ac:dyDescent="0.5">
      <c r="A263" s="1">
        <v>1</v>
      </c>
      <c r="B263" s="39">
        <f>SUBTOTAL(103,$A$11:A263)</f>
        <v>248</v>
      </c>
      <c r="C263" s="86" t="s">
        <v>731</v>
      </c>
      <c r="D263" s="87">
        <f t="shared" si="11"/>
        <v>210000</v>
      </c>
      <c r="E263" s="93">
        <v>0</v>
      </c>
      <c r="F263" s="93">
        <v>0</v>
      </c>
      <c r="G263" s="93">
        <v>0</v>
      </c>
      <c r="H263" s="93">
        <v>0</v>
      </c>
      <c r="I263" s="93">
        <v>0</v>
      </c>
      <c r="J263" s="93">
        <v>0</v>
      </c>
      <c r="K263" s="94">
        <v>0</v>
      </c>
      <c r="L263" s="93">
        <v>0</v>
      </c>
      <c r="M263" s="93">
        <v>210000</v>
      </c>
      <c r="N263" s="93">
        <v>0</v>
      </c>
      <c r="O263" s="93">
        <v>0</v>
      </c>
      <c r="P263" s="93">
        <v>0</v>
      </c>
      <c r="Q263" s="93">
        <v>0</v>
      </c>
      <c r="R263" s="93">
        <v>0</v>
      </c>
      <c r="S263" s="93">
        <v>0</v>
      </c>
      <c r="T263" s="93">
        <v>0</v>
      </c>
      <c r="U263" s="93">
        <v>0</v>
      </c>
      <c r="V263" s="93">
        <v>0</v>
      </c>
      <c r="W263" s="93">
        <v>0</v>
      </c>
      <c r="X263" s="93">
        <v>0</v>
      </c>
      <c r="Y263" s="93">
        <v>0</v>
      </c>
      <c r="Z263" s="93">
        <v>0</v>
      </c>
      <c r="AA263" s="93">
        <v>0</v>
      </c>
      <c r="AB263" s="92">
        <v>2020</v>
      </c>
    </row>
    <row r="264" spans="1:28" s="1" customFormat="1" ht="35.25" customHeight="1" x14ac:dyDescent="0.5">
      <c r="A264" s="1">
        <v>1</v>
      </c>
      <c r="B264" s="39">
        <f>SUBTOTAL(103,$A$11:A264)</f>
        <v>249</v>
      </c>
      <c r="C264" s="86" t="s">
        <v>732</v>
      </c>
      <c r="D264" s="87">
        <f t="shared" si="11"/>
        <v>482863</v>
      </c>
      <c r="E264" s="93">
        <v>0</v>
      </c>
      <c r="F264" s="93">
        <v>0</v>
      </c>
      <c r="G264" s="93">
        <v>482863</v>
      </c>
      <c r="H264" s="93">
        <v>0</v>
      </c>
      <c r="I264" s="93">
        <v>0</v>
      </c>
      <c r="J264" s="93">
        <v>0</v>
      </c>
      <c r="K264" s="94">
        <v>0</v>
      </c>
      <c r="L264" s="93">
        <v>0</v>
      </c>
      <c r="M264" s="93">
        <v>0</v>
      </c>
      <c r="N264" s="93">
        <v>0</v>
      </c>
      <c r="O264" s="93">
        <v>0</v>
      </c>
      <c r="P264" s="93">
        <v>0</v>
      </c>
      <c r="Q264" s="93">
        <v>0</v>
      </c>
      <c r="R264" s="93">
        <v>0</v>
      </c>
      <c r="S264" s="93">
        <v>0</v>
      </c>
      <c r="T264" s="93">
        <v>0</v>
      </c>
      <c r="U264" s="93">
        <v>0</v>
      </c>
      <c r="V264" s="93">
        <v>0</v>
      </c>
      <c r="W264" s="93">
        <v>0</v>
      </c>
      <c r="X264" s="93">
        <v>0</v>
      </c>
      <c r="Y264" s="93">
        <v>0</v>
      </c>
      <c r="Z264" s="93">
        <v>0</v>
      </c>
      <c r="AA264" s="93">
        <v>0</v>
      </c>
      <c r="AB264" s="92">
        <v>2020</v>
      </c>
    </row>
    <row r="265" spans="1:28" s="1" customFormat="1" ht="35.25" customHeight="1" x14ac:dyDescent="0.5">
      <c r="A265" s="1">
        <v>1</v>
      </c>
      <c r="B265" s="39">
        <f>SUBTOTAL(103,$A$11:A265)</f>
        <v>250</v>
      </c>
      <c r="C265" s="86" t="s">
        <v>733</v>
      </c>
      <c r="D265" s="87">
        <f t="shared" si="11"/>
        <v>71221.2</v>
      </c>
      <c r="E265" s="93">
        <v>0</v>
      </c>
      <c r="F265" s="93">
        <v>0</v>
      </c>
      <c r="G265" s="93">
        <v>0</v>
      </c>
      <c r="H265" s="93">
        <v>0</v>
      </c>
      <c r="I265" s="93">
        <v>0</v>
      </c>
      <c r="J265" s="93">
        <v>0</v>
      </c>
      <c r="K265" s="94">
        <v>0</v>
      </c>
      <c r="L265" s="93">
        <v>0</v>
      </c>
      <c r="M265" s="93">
        <v>71221.2</v>
      </c>
      <c r="N265" s="93">
        <v>0</v>
      </c>
      <c r="O265" s="93">
        <v>0</v>
      </c>
      <c r="P265" s="93">
        <v>0</v>
      </c>
      <c r="Q265" s="93">
        <v>0</v>
      </c>
      <c r="R265" s="93">
        <v>0</v>
      </c>
      <c r="S265" s="93">
        <v>0</v>
      </c>
      <c r="T265" s="93">
        <v>0</v>
      </c>
      <c r="U265" s="93">
        <v>0</v>
      </c>
      <c r="V265" s="93">
        <v>0</v>
      </c>
      <c r="W265" s="93">
        <v>0</v>
      </c>
      <c r="X265" s="93">
        <v>0</v>
      </c>
      <c r="Y265" s="93">
        <v>0</v>
      </c>
      <c r="Z265" s="93">
        <v>0</v>
      </c>
      <c r="AA265" s="93">
        <v>0</v>
      </c>
      <c r="AB265" s="92">
        <v>2020</v>
      </c>
    </row>
    <row r="266" spans="1:28" s="1" customFormat="1" ht="35.25" customHeight="1" x14ac:dyDescent="0.5">
      <c r="A266" s="1">
        <v>1</v>
      </c>
      <c r="B266" s="39">
        <f>SUBTOTAL(103,$A$11:A266)</f>
        <v>251</v>
      </c>
      <c r="C266" s="86" t="s">
        <v>734</v>
      </c>
      <c r="D266" s="87">
        <f t="shared" si="11"/>
        <v>265768</v>
      </c>
      <c r="E266" s="93">
        <v>0</v>
      </c>
      <c r="F266" s="93">
        <v>0</v>
      </c>
      <c r="G266" s="93">
        <v>265768</v>
      </c>
      <c r="H266" s="93">
        <v>0</v>
      </c>
      <c r="I266" s="93">
        <v>0</v>
      </c>
      <c r="J266" s="93">
        <v>0</v>
      </c>
      <c r="K266" s="94">
        <v>0</v>
      </c>
      <c r="L266" s="93">
        <v>0</v>
      </c>
      <c r="M266" s="93">
        <v>0</v>
      </c>
      <c r="N266" s="93">
        <v>0</v>
      </c>
      <c r="O266" s="93">
        <v>0</v>
      </c>
      <c r="P266" s="93">
        <v>0</v>
      </c>
      <c r="Q266" s="93">
        <v>0</v>
      </c>
      <c r="R266" s="93">
        <v>0</v>
      </c>
      <c r="S266" s="93">
        <v>0</v>
      </c>
      <c r="T266" s="93">
        <v>0</v>
      </c>
      <c r="U266" s="93">
        <v>0</v>
      </c>
      <c r="V266" s="93">
        <v>0</v>
      </c>
      <c r="W266" s="93">
        <v>0</v>
      </c>
      <c r="X266" s="93">
        <v>0</v>
      </c>
      <c r="Y266" s="93">
        <v>0</v>
      </c>
      <c r="Z266" s="93">
        <v>0</v>
      </c>
      <c r="AA266" s="93">
        <v>0</v>
      </c>
      <c r="AB266" s="92">
        <v>2020</v>
      </c>
    </row>
    <row r="267" spans="1:28" s="1" customFormat="1" ht="35.25" customHeight="1" x14ac:dyDescent="0.5">
      <c r="A267" s="1">
        <v>1</v>
      </c>
      <c r="B267" s="39">
        <f>SUBTOTAL(103,$A$11:A267)</f>
        <v>252</v>
      </c>
      <c r="C267" s="86" t="s">
        <v>735</v>
      </c>
      <c r="D267" s="87">
        <f t="shared" si="11"/>
        <v>223076</v>
      </c>
      <c r="E267" s="93">
        <v>0</v>
      </c>
      <c r="F267" s="93">
        <v>0</v>
      </c>
      <c r="G267" s="93">
        <v>0</v>
      </c>
      <c r="H267" s="93">
        <v>13076</v>
      </c>
      <c r="I267" s="93">
        <v>0</v>
      </c>
      <c r="J267" s="93">
        <v>0</v>
      </c>
      <c r="K267" s="94">
        <v>0</v>
      </c>
      <c r="L267" s="93">
        <v>0</v>
      </c>
      <c r="M267" s="93">
        <v>0</v>
      </c>
      <c r="N267" s="93">
        <v>0</v>
      </c>
      <c r="O267" s="93">
        <v>210000</v>
      </c>
      <c r="P267" s="93">
        <v>0</v>
      </c>
      <c r="Q267" s="93">
        <v>0</v>
      </c>
      <c r="R267" s="93">
        <v>0</v>
      </c>
      <c r="S267" s="93">
        <v>0</v>
      </c>
      <c r="T267" s="93">
        <v>0</v>
      </c>
      <c r="U267" s="93">
        <v>0</v>
      </c>
      <c r="V267" s="93">
        <v>0</v>
      </c>
      <c r="W267" s="93">
        <v>0</v>
      </c>
      <c r="X267" s="93">
        <v>0</v>
      </c>
      <c r="Y267" s="93">
        <v>0</v>
      </c>
      <c r="Z267" s="93">
        <v>0</v>
      </c>
      <c r="AA267" s="93">
        <v>0</v>
      </c>
      <c r="AB267" s="92">
        <v>2020</v>
      </c>
    </row>
    <row r="268" spans="1:28" s="1" customFormat="1" ht="35.25" customHeight="1" x14ac:dyDescent="0.5">
      <c r="A268" s="1">
        <v>1</v>
      </c>
      <c r="B268" s="39">
        <f>SUBTOTAL(103,$A$11:A268)</f>
        <v>253</v>
      </c>
      <c r="C268" s="86" t="s">
        <v>736</v>
      </c>
      <c r="D268" s="87">
        <f t="shared" si="11"/>
        <v>682931</v>
      </c>
      <c r="E268" s="93">
        <v>0</v>
      </c>
      <c r="F268" s="93">
        <v>0</v>
      </c>
      <c r="G268" s="93">
        <v>0</v>
      </c>
      <c r="H268" s="93">
        <v>0</v>
      </c>
      <c r="I268" s="93">
        <v>0</v>
      </c>
      <c r="J268" s="93">
        <v>0</v>
      </c>
      <c r="K268" s="94">
        <v>0</v>
      </c>
      <c r="L268" s="93">
        <v>0</v>
      </c>
      <c r="M268" s="93">
        <v>0</v>
      </c>
      <c r="N268" s="93">
        <v>0</v>
      </c>
      <c r="O268" s="93">
        <v>682931</v>
      </c>
      <c r="P268" s="93">
        <v>0</v>
      </c>
      <c r="Q268" s="93">
        <v>0</v>
      </c>
      <c r="R268" s="93">
        <v>0</v>
      </c>
      <c r="S268" s="93">
        <v>0</v>
      </c>
      <c r="T268" s="93">
        <v>0</v>
      </c>
      <c r="U268" s="93">
        <v>0</v>
      </c>
      <c r="V268" s="93">
        <v>0</v>
      </c>
      <c r="W268" s="93">
        <v>0</v>
      </c>
      <c r="X268" s="93">
        <v>0</v>
      </c>
      <c r="Y268" s="93">
        <v>0</v>
      </c>
      <c r="Z268" s="93">
        <v>0</v>
      </c>
      <c r="AA268" s="93">
        <v>0</v>
      </c>
      <c r="AB268" s="92">
        <v>2020</v>
      </c>
    </row>
    <row r="269" spans="1:28" s="1" customFormat="1" ht="35.25" customHeight="1" x14ac:dyDescent="0.5">
      <c r="A269" s="1">
        <v>1</v>
      </c>
      <c r="B269" s="39">
        <f>SUBTOTAL(103,$A$11:A269)</f>
        <v>254</v>
      </c>
      <c r="C269" s="86" t="s">
        <v>737</v>
      </c>
      <c r="D269" s="87">
        <f t="shared" si="11"/>
        <v>67129</v>
      </c>
      <c r="E269" s="93">
        <v>0</v>
      </c>
      <c r="F269" s="93">
        <v>0</v>
      </c>
      <c r="G269" s="93">
        <v>0</v>
      </c>
      <c r="H269" s="93">
        <v>0</v>
      </c>
      <c r="I269" s="93">
        <v>0</v>
      </c>
      <c r="J269" s="93">
        <v>0</v>
      </c>
      <c r="K269" s="94">
        <v>0</v>
      </c>
      <c r="L269" s="93">
        <v>0</v>
      </c>
      <c r="M269" s="93">
        <v>0</v>
      </c>
      <c r="N269" s="93">
        <v>0</v>
      </c>
      <c r="O269" s="93">
        <v>67129</v>
      </c>
      <c r="P269" s="93">
        <v>0</v>
      </c>
      <c r="Q269" s="93">
        <v>0</v>
      </c>
      <c r="R269" s="93">
        <v>0</v>
      </c>
      <c r="S269" s="93">
        <v>0</v>
      </c>
      <c r="T269" s="93">
        <v>0</v>
      </c>
      <c r="U269" s="93">
        <v>0</v>
      </c>
      <c r="V269" s="93">
        <v>0</v>
      </c>
      <c r="W269" s="93">
        <v>0</v>
      </c>
      <c r="X269" s="93">
        <v>0</v>
      </c>
      <c r="Y269" s="93">
        <v>0</v>
      </c>
      <c r="Z269" s="93">
        <v>0</v>
      </c>
      <c r="AA269" s="93">
        <v>0</v>
      </c>
      <c r="AB269" s="92">
        <v>2020</v>
      </c>
    </row>
    <row r="270" spans="1:28" s="1" customFormat="1" ht="35.25" customHeight="1" x14ac:dyDescent="0.5">
      <c r="A270" s="1">
        <v>1</v>
      </c>
      <c r="B270" s="39">
        <f>SUBTOTAL(103,$A$11:A270)</f>
        <v>255</v>
      </c>
      <c r="C270" s="86" t="s">
        <v>738</v>
      </c>
      <c r="D270" s="87">
        <f t="shared" si="11"/>
        <v>304016</v>
      </c>
      <c r="E270" s="93">
        <v>0</v>
      </c>
      <c r="F270" s="93">
        <v>0</v>
      </c>
      <c r="G270" s="93">
        <v>0</v>
      </c>
      <c r="H270" s="93">
        <v>0</v>
      </c>
      <c r="I270" s="93">
        <v>0</v>
      </c>
      <c r="J270" s="93">
        <v>0</v>
      </c>
      <c r="K270" s="94">
        <v>0</v>
      </c>
      <c r="L270" s="93">
        <v>0</v>
      </c>
      <c r="M270" s="93">
        <v>304016</v>
      </c>
      <c r="N270" s="93">
        <v>0</v>
      </c>
      <c r="O270" s="93">
        <v>0</v>
      </c>
      <c r="P270" s="93">
        <v>0</v>
      </c>
      <c r="Q270" s="93">
        <v>0</v>
      </c>
      <c r="R270" s="93">
        <v>0</v>
      </c>
      <c r="S270" s="93">
        <v>0</v>
      </c>
      <c r="T270" s="93">
        <v>0</v>
      </c>
      <c r="U270" s="93">
        <v>0</v>
      </c>
      <c r="V270" s="93">
        <v>0</v>
      </c>
      <c r="W270" s="93">
        <v>0</v>
      </c>
      <c r="X270" s="93">
        <v>0</v>
      </c>
      <c r="Y270" s="93">
        <v>0</v>
      </c>
      <c r="Z270" s="93">
        <v>0</v>
      </c>
      <c r="AA270" s="93">
        <v>0</v>
      </c>
      <c r="AB270" s="92">
        <v>2020</v>
      </c>
    </row>
    <row r="271" spans="1:28" s="1" customFormat="1" ht="35.25" customHeight="1" x14ac:dyDescent="0.5">
      <c r="A271" s="1">
        <v>1</v>
      </c>
      <c r="B271" s="39">
        <f>SUBTOTAL(103,$A$11:A271)</f>
        <v>256</v>
      </c>
      <c r="C271" s="86" t="s">
        <v>739</v>
      </c>
      <c r="D271" s="87">
        <f t="shared" si="11"/>
        <v>155485</v>
      </c>
      <c r="E271" s="93">
        <v>0</v>
      </c>
      <c r="F271" s="93">
        <v>0</v>
      </c>
      <c r="G271" s="93">
        <v>0</v>
      </c>
      <c r="H271" s="93">
        <v>0</v>
      </c>
      <c r="I271" s="93">
        <v>0</v>
      </c>
      <c r="J271" s="93">
        <v>0</v>
      </c>
      <c r="K271" s="94">
        <v>0</v>
      </c>
      <c r="L271" s="93">
        <v>0</v>
      </c>
      <c r="M271" s="93">
        <v>0</v>
      </c>
      <c r="N271" s="93">
        <v>0</v>
      </c>
      <c r="O271" s="93">
        <v>155485</v>
      </c>
      <c r="P271" s="93">
        <v>0</v>
      </c>
      <c r="Q271" s="93">
        <v>0</v>
      </c>
      <c r="R271" s="93">
        <v>0</v>
      </c>
      <c r="S271" s="93">
        <v>0</v>
      </c>
      <c r="T271" s="93">
        <v>0</v>
      </c>
      <c r="U271" s="93">
        <v>0</v>
      </c>
      <c r="V271" s="93">
        <v>0</v>
      </c>
      <c r="W271" s="93">
        <v>0</v>
      </c>
      <c r="X271" s="93">
        <v>0</v>
      </c>
      <c r="Y271" s="93">
        <v>0</v>
      </c>
      <c r="Z271" s="93">
        <v>0</v>
      </c>
      <c r="AA271" s="93">
        <v>0</v>
      </c>
      <c r="AB271" s="92">
        <v>2020</v>
      </c>
    </row>
    <row r="272" spans="1:28" s="1" customFormat="1" ht="35.25" customHeight="1" x14ac:dyDescent="0.5">
      <c r="A272" s="1">
        <v>1</v>
      </c>
      <c r="B272" s="39">
        <f>SUBTOTAL(103,$A$11:A272)</f>
        <v>257</v>
      </c>
      <c r="C272" s="86" t="s">
        <v>740</v>
      </c>
      <c r="D272" s="87">
        <f t="shared" si="11"/>
        <v>690218</v>
      </c>
      <c r="E272" s="93">
        <v>0</v>
      </c>
      <c r="F272" s="93">
        <v>0</v>
      </c>
      <c r="G272" s="93">
        <v>0</v>
      </c>
      <c r="H272" s="93">
        <v>0</v>
      </c>
      <c r="I272" s="93">
        <v>0</v>
      </c>
      <c r="J272" s="93">
        <v>0</v>
      </c>
      <c r="K272" s="94">
        <v>0</v>
      </c>
      <c r="L272" s="93">
        <v>0</v>
      </c>
      <c r="M272" s="93">
        <v>690218</v>
      </c>
      <c r="N272" s="93">
        <v>0</v>
      </c>
      <c r="O272" s="93">
        <v>0</v>
      </c>
      <c r="P272" s="93">
        <v>0</v>
      </c>
      <c r="Q272" s="93">
        <v>0</v>
      </c>
      <c r="R272" s="93">
        <v>0</v>
      </c>
      <c r="S272" s="93">
        <v>0</v>
      </c>
      <c r="T272" s="93">
        <v>0</v>
      </c>
      <c r="U272" s="93">
        <v>0</v>
      </c>
      <c r="V272" s="93">
        <v>0</v>
      </c>
      <c r="W272" s="93">
        <v>0</v>
      </c>
      <c r="X272" s="93">
        <v>0</v>
      </c>
      <c r="Y272" s="93">
        <v>0</v>
      </c>
      <c r="Z272" s="93">
        <v>0</v>
      </c>
      <c r="AA272" s="93">
        <v>0</v>
      </c>
      <c r="AB272" s="92">
        <v>2020</v>
      </c>
    </row>
    <row r="273" spans="1:28" s="1" customFormat="1" ht="35.25" customHeight="1" x14ac:dyDescent="0.5">
      <c r="A273" s="1">
        <v>1</v>
      </c>
      <c r="B273" s="39">
        <f>SUBTOTAL(103,$A$11:A273)</f>
        <v>258</v>
      </c>
      <c r="C273" s="86" t="s">
        <v>741</v>
      </c>
      <c r="D273" s="87">
        <f t="shared" si="11"/>
        <v>714020</v>
      </c>
      <c r="E273" s="93">
        <v>0</v>
      </c>
      <c r="F273" s="93">
        <v>0</v>
      </c>
      <c r="G273" s="93">
        <v>0</v>
      </c>
      <c r="H273" s="93">
        <v>0</v>
      </c>
      <c r="I273" s="93">
        <v>0</v>
      </c>
      <c r="J273" s="93">
        <v>0</v>
      </c>
      <c r="K273" s="94">
        <v>0</v>
      </c>
      <c r="L273" s="93">
        <v>0</v>
      </c>
      <c r="M273" s="93">
        <v>714020</v>
      </c>
      <c r="N273" s="93">
        <v>0</v>
      </c>
      <c r="O273" s="93">
        <v>0</v>
      </c>
      <c r="P273" s="93">
        <v>0</v>
      </c>
      <c r="Q273" s="93">
        <v>0</v>
      </c>
      <c r="R273" s="93">
        <v>0</v>
      </c>
      <c r="S273" s="93">
        <v>0</v>
      </c>
      <c r="T273" s="93">
        <v>0</v>
      </c>
      <c r="U273" s="93">
        <v>0</v>
      </c>
      <c r="V273" s="93">
        <v>0</v>
      </c>
      <c r="W273" s="93">
        <v>0</v>
      </c>
      <c r="X273" s="93">
        <v>0</v>
      </c>
      <c r="Y273" s="93">
        <v>0</v>
      </c>
      <c r="Z273" s="93">
        <v>0</v>
      </c>
      <c r="AA273" s="93">
        <v>0</v>
      </c>
      <c r="AB273" s="92">
        <v>2020</v>
      </c>
    </row>
    <row r="274" spans="1:28" s="1" customFormat="1" ht="35.25" customHeight="1" x14ac:dyDescent="0.5">
      <c r="A274" s="1">
        <v>1</v>
      </c>
      <c r="B274" s="39">
        <f>SUBTOTAL(103,$A$11:A274)</f>
        <v>259</v>
      </c>
      <c r="C274" s="86" t="s">
        <v>742</v>
      </c>
      <c r="D274" s="87">
        <f t="shared" si="11"/>
        <v>131566</v>
      </c>
      <c r="E274" s="93">
        <v>0</v>
      </c>
      <c r="F274" s="93">
        <v>0</v>
      </c>
      <c r="G274" s="93">
        <v>0</v>
      </c>
      <c r="H274" s="93">
        <v>131566</v>
      </c>
      <c r="I274" s="93">
        <v>0</v>
      </c>
      <c r="J274" s="93">
        <v>0</v>
      </c>
      <c r="K274" s="94">
        <v>0</v>
      </c>
      <c r="L274" s="93">
        <v>0</v>
      </c>
      <c r="M274" s="93">
        <v>0</v>
      </c>
      <c r="N274" s="93">
        <v>0</v>
      </c>
      <c r="O274" s="93">
        <v>0</v>
      </c>
      <c r="P274" s="93">
        <v>0</v>
      </c>
      <c r="Q274" s="93">
        <v>0</v>
      </c>
      <c r="R274" s="93">
        <v>0</v>
      </c>
      <c r="S274" s="93">
        <v>0</v>
      </c>
      <c r="T274" s="93">
        <v>0</v>
      </c>
      <c r="U274" s="93">
        <v>0</v>
      </c>
      <c r="V274" s="93">
        <v>0</v>
      </c>
      <c r="W274" s="93">
        <v>0</v>
      </c>
      <c r="X274" s="93">
        <v>0</v>
      </c>
      <c r="Y274" s="93">
        <v>0</v>
      </c>
      <c r="Z274" s="93">
        <v>0</v>
      </c>
      <c r="AA274" s="93">
        <v>0</v>
      </c>
      <c r="AB274" s="92">
        <v>2020</v>
      </c>
    </row>
    <row r="275" spans="1:28" s="1" customFormat="1" ht="35.25" customHeight="1" x14ac:dyDescent="0.5">
      <c r="A275" s="1">
        <v>1</v>
      </c>
      <c r="B275" s="39">
        <f>SUBTOTAL(103,$A$11:A275)</f>
        <v>260</v>
      </c>
      <c r="C275" s="86" t="s">
        <v>743</v>
      </c>
      <c r="D275" s="87">
        <f t="shared" si="11"/>
        <v>1143898</v>
      </c>
      <c r="E275" s="93">
        <v>0</v>
      </c>
      <c r="F275" s="93">
        <v>0</v>
      </c>
      <c r="G275" s="93">
        <v>0</v>
      </c>
      <c r="H275" s="93">
        <v>0</v>
      </c>
      <c r="I275" s="93">
        <v>0</v>
      </c>
      <c r="J275" s="93">
        <v>0</v>
      </c>
      <c r="K275" s="94">
        <v>0</v>
      </c>
      <c r="L275" s="93">
        <v>0</v>
      </c>
      <c r="M275" s="93">
        <v>0</v>
      </c>
      <c r="N275" s="93">
        <v>0</v>
      </c>
      <c r="O275" s="93">
        <v>1143898</v>
      </c>
      <c r="P275" s="93">
        <v>0</v>
      </c>
      <c r="Q275" s="93">
        <v>0</v>
      </c>
      <c r="R275" s="93">
        <v>0</v>
      </c>
      <c r="S275" s="93">
        <v>0</v>
      </c>
      <c r="T275" s="93">
        <v>0</v>
      </c>
      <c r="U275" s="93">
        <v>0</v>
      </c>
      <c r="V275" s="93">
        <v>0</v>
      </c>
      <c r="W275" s="93">
        <v>0</v>
      </c>
      <c r="X275" s="93">
        <v>0</v>
      </c>
      <c r="Y275" s="93">
        <v>0</v>
      </c>
      <c r="Z275" s="93">
        <v>0</v>
      </c>
      <c r="AA275" s="93">
        <v>0</v>
      </c>
      <c r="AB275" s="92">
        <v>2020</v>
      </c>
    </row>
    <row r="276" spans="1:28" s="1" customFormat="1" ht="35.25" customHeight="1" x14ac:dyDescent="0.5">
      <c r="A276" s="1">
        <v>1</v>
      </c>
      <c r="B276" s="39">
        <f>SUBTOTAL(103,$A$11:A276)</f>
        <v>261</v>
      </c>
      <c r="C276" s="86" t="s">
        <v>744</v>
      </c>
      <c r="D276" s="87">
        <f t="shared" si="11"/>
        <v>295760</v>
      </c>
      <c r="E276" s="93">
        <v>0</v>
      </c>
      <c r="F276" s="93">
        <v>0</v>
      </c>
      <c r="G276" s="93">
        <v>0</v>
      </c>
      <c r="H276" s="93">
        <v>0</v>
      </c>
      <c r="I276" s="93">
        <v>0</v>
      </c>
      <c r="J276" s="93">
        <v>0</v>
      </c>
      <c r="K276" s="94">
        <v>0</v>
      </c>
      <c r="L276" s="93">
        <v>0</v>
      </c>
      <c r="M276" s="93">
        <v>0</v>
      </c>
      <c r="N276" s="93">
        <v>0</v>
      </c>
      <c r="O276" s="93">
        <v>295760</v>
      </c>
      <c r="P276" s="93">
        <v>0</v>
      </c>
      <c r="Q276" s="93">
        <v>0</v>
      </c>
      <c r="R276" s="93">
        <v>0</v>
      </c>
      <c r="S276" s="93">
        <v>0</v>
      </c>
      <c r="T276" s="93">
        <v>0</v>
      </c>
      <c r="U276" s="93">
        <v>0</v>
      </c>
      <c r="V276" s="93">
        <v>0</v>
      </c>
      <c r="W276" s="93">
        <v>0</v>
      </c>
      <c r="X276" s="93">
        <v>0</v>
      </c>
      <c r="Y276" s="93">
        <v>0</v>
      </c>
      <c r="Z276" s="93">
        <v>0</v>
      </c>
      <c r="AA276" s="93">
        <v>0</v>
      </c>
      <c r="AB276" s="92">
        <v>2020</v>
      </c>
    </row>
    <row r="277" spans="1:28" s="1" customFormat="1" ht="35.25" customHeight="1" x14ac:dyDescent="0.5">
      <c r="A277" s="1">
        <v>1</v>
      </c>
      <c r="B277" s="39">
        <f>SUBTOTAL(103,$A$11:A277)</f>
        <v>262</v>
      </c>
      <c r="C277" s="86" t="s">
        <v>745</v>
      </c>
      <c r="D277" s="87">
        <f t="shared" si="11"/>
        <v>299644</v>
      </c>
      <c r="E277" s="93">
        <v>0</v>
      </c>
      <c r="F277" s="93">
        <v>0</v>
      </c>
      <c r="G277" s="93">
        <v>0</v>
      </c>
      <c r="H277" s="93">
        <v>0</v>
      </c>
      <c r="I277" s="93">
        <v>0</v>
      </c>
      <c r="J277" s="93">
        <v>0</v>
      </c>
      <c r="K277" s="94">
        <v>0</v>
      </c>
      <c r="L277" s="93">
        <v>0</v>
      </c>
      <c r="M277" s="93">
        <v>299644</v>
      </c>
      <c r="N277" s="93">
        <v>0</v>
      </c>
      <c r="O277" s="93">
        <v>0</v>
      </c>
      <c r="P277" s="93">
        <v>0</v>
      </c>
      <c r="Q277" s="93">
        <v>0</v>
      </c>
      <c r="R277" s="93">
        <v>0</v>
      </c>
      <c r="S277" s="93">
        <v>0</v>
      </c>
      <c r="T277" s="93">
        <v>0</v>
      </c>
      <c r="U277" s="93">
        <v>0</v>
      </c>
      <c r="V277" s="93">
        <v>0</v>
      </c>
      <c r="W277" s="93">
        <v>0</v>
      </c>
      <c r="X277" s="93">
        <v>0</v>
      </c>
      <c r="Y277" s="93">
        <v>0</v>
      </c>
      <c r="Z277" s="93">
        <v>0</v>
      </c>
      <c r="AA277" s="93">
        <v>0</v>
      </c>
      <c r="AB277" s="92">
        <v>2020</v>
      </c>
    </row>
    <row r="278" spans="1:28" s="1" customFormat="1" ht="35.25" customHeight="1" x14ac:dyDescent="0.5">
      <c r="A278" s="1">
        <v>1</v>
      </c>
      <c r="B278" s="39">
        <f>SUBTOTAL(103,$A$11:A278)</f>
        <v>263</v>
      </c>
      <c r="C278" s="86" t="s">
        <v>746</v>
      </c>
      <c r="D278" s="87">
        <f t="shared" si="11"/>
        <v>169491</v>
      </c>
      <c r="E278" s="93">
        <v>0</v>
      </c>
      <c r="F278" s="93">
        <v>0</v>
      </c>
      <c r="G278" s="93">
        <v>0</v>
      </c>
      <c r="H278" s="93">
        <v>0</v>
      </c>
      <c r="I278" s="93">
        <v>0</v>
      </c>
      <c r="J278" s="93">
        <v>0</v>
      </c>
      <c r="K278" s="94">
        <v>0</v>
      </c>
      <c r="L278" s="93">
        <v>0</v>
      </c>
      <c r="M278" s="93">
        <v>169491</v>
      </c>
      <c r="N278" s="93">
        <v>0</v>
      </c>
      <c r="O278" s="93">
        <v>0</v>
      </c>
      <c r="P278" s="93">
        <v>0</v>
      </c>
      <c r="Q278" s="93">
        <v>0</v>
      </c>
      <c r="R278" s="93">
        <v>0</v>
      </c>
      <c r="S278" s="93">
        <v>0</v>
      </c>
      <c r="T278" s="93">
        <v>0</v>
      </c>
      <c r="U278" s="93">
        <v>0</v>
      </c>
      <c r="V278" s="93">
        <v>0</v>
      </c>
      <c r="W278" s="93">
        <v>0</v>
      </c>
      <c r="X278" s="93">
        <v>0</v>
      </c>
      <c r="Y278" s="93">
        <v>0</v>
      </c>
      <c r="Z278" s="93">
        <v>0</v>
      </c>
      <c r="AA278" s="93">
        <v>0</v>
      </c>
      <c r="AB278" s="92">
        <v>2020</v>
      </c>
    </row>
    <row r="279" spans="1:28" s="1" customFormat="1" ht="35.25" customHeight="1" x14ac:dyDescent="0.5">
      <c r="A279" s="1">
        <v>1</v>
      </c>
      <c r="B279" s="39">
        <f>SUBTOTAL(103,$A$11:A279)</f>
        <v>264</v>
      </c>
      <c r="C279" s="86" t="s">
        <v>747</v>
      </c>
      <c r="D279" s="87">
        <f t="shared" si="11"/>
        <v>563800</v>
      </c>
      <c r="E279" s="93">
        <v>0</v>
      </c>
      <c r="F279" s="93">
        <v>0</v>
      </c>
      <c r="G279" s="93">
        <v>563800</v>
      </c>
      <c r="H279" s="93">
        <v>0</v>
      </c>
      <c r="I279" s="93">
        <v>0</v>
      </c>
      <c r="J279" s="93">
        <v>0</v>
      </c>
      <c r="K279" s="94">
        <v>0</v>
      </c>
      <c r="L279" s="93">
        <v>0</v>
      </c>
      <c r="M279" s="93">
        <v>0</v>
      </c>
      <c r="N279" s="93">
        <v>0</v>
      </c>
      <c r="O279" s="93">
        <v>0</v>
      </c>
      <c r="P279" s="93">
        <v>0</v>
      </c>
      <c r="Q279" s="93">
        <v>0</v>
      </c>
      <c r="R279" s="93">
        <v>0</v>
      </c>
      <c r="S279" s="93">
        <v>0</v>
      </c>
      <c r="T279" s="93">
        <v>0</v>
      </c>
      <c r="U279" s="93">
        <v>0</v>
      </c>
      <c r="V279" s="93">
        <v>0</v>
      </c>
      <c r="W279" s="93">
        <v>0</v>
      </c>
      <c r="X279" s="93">
        <v>0</v>
      </c>
      <c r="Y279" s="93">
        <v>0</v>
      </c>
      <c r="Z279" s="93">
        <v>0</v>
      </c>
      <c r="AA279" s="93">
        <v>0</v>
      </c>
      <c r="AB279" s="92">
        <v>2020</v>
      </c>
    </row>
    <row r="280" spans="1:28" s="1" customFormat="1" ht="35.25" customHeight="1" x14ac:dyDescent="0.5">
      <c r="A280" s="1">
        <v>1</v>
      </c>
      <c r="B280" s="39">
        <f>SUBTOTAL(103,$A$11:A280)</f>
        <v>265</v>
      </c>
      <c r="C280" s="86" t="s">
        <v>748</v>
      </c>
      <c r="D280" s="87">
        <f t="shared" si="11"/>
        <v>806650</v>
      </c>
      <c r="E280" s="93">
        <v>0</v>
      </c>
      <c r="F280" s="93">
        <v>0</v>
      </c>
      <c r="G280" s="93">
        <v>0</v>
      </c>
      <c r="H280" s="93">
        <v>0</v>
      </c>
      <c r="I280" s="93">
        <v>0</v>
      </c>
      <c r="J280" s="93">
        <v>0</v>
      </c>
      <c r="K280" s="94">
        <v>0</v>
      </c>
      <c r="L280" s="93">
        <v>0</v>
      </c>
      <c r="M280" s="93">
        <v>0</v>
      </c>
      <c r="N280" s="93">
        <v>0</v>
      </c>
      <c r="O280" s="93">
        <v>806650</v>
      </c>
      <c r="P280" s="93">
        <v>0</v>
      </c>
      <c r="Q280" s="93">
        <v>0</v>
      </c>
      <c r="R280" s="93">
        <v>0</v>
      </c>
      <c r="S280" s="93">
        <v>0</v>
      </c>
      <c r="T280" s="93">
        <v>0</v>
      </c>
      <c r="U280" s="93">
        <v>0</v>
      </c>
      <c r="V280" s="93">
        <v>0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2">
        <v>2020</v>
      </c>
    </row>
    <row r="281" spans="1:28" s="1" customFormat="1" ht="35.25" customHeight="1" x14ac:dyDescent="0.5">
      <c r="A281" s="1">
        <v>1</v>
      </c>
      <c r="B281" s="39">
        <f>SUBTOTAL(103,$A$11:A281)</f>
        <v>266</v>
      </c>
      <c r="C281" s="86" t="s">
        <v>749</v>
      </c>
      <c r="D281" s="87">
        <f t="shared" si="11"/>
        <v>454614</v>
      </c>
      <c r="E281" s="93">
        <v>0</v>
      </c>
      <c r="F281" s="93">
        <v>0</v>
      </c>
      <c r="G281" s="93">
        <v>0</v>
      </c>
      <c r="H281" s="93">
        <v>0</v>
      </c>
      <c r="I281" s="93">
        <v>0</v>
      </c>
      <c r="J281" s="93">
        <v>0</v>
      </c>
      <c r="K281" s="94">
        <v>0</v>
      </c>
      <c r="L281" s="93">
        <v>0</v>
      </c>
      <c r="M281" s="93">
        <v>0</v>
      </c>
      <c r="N281" s="93">
        <v>0</v>
      </c>
      <c r="O281" s="93">
        <v>454614</v>
      </c>
      <c r="P281" s="93">
        <v>0</v>
      </c>
      <c r="Q281" s="93">
        <v>0</v>
      </c>
      <c r="R281" s="93">
        <v>0</v>
      </c>
      <c r="S281" s="93">
        <v>0</v>
      </c>
      <c r="T281" s="93">
        <v>0</v>
      </c>
      <c r="U281" s="93">
        <v>0</v>
      </c>
      <c r="V281" s="93">
        <v>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2">
        <v>2020</v>
      </c>
    </row>
    <row r="282" spans="1:28" s="1" customFormat="1" ht="35.25" customHeight="1" x14ac:dyDescent="0.5">
      <c r="A282" s="1">
        <v>1</v>
      </c>
      <c r="B282" s="39">
        <f>SUBTOTAL(103,$A$11:A282)</f>
        <v>267</v>
      </c>
      <c r="C282" s="86" t="s">
        <v>750</v>
      </c>
      <c r="D282" s="87">
        <f t="shared" si="11"/>
        <v>131148</v>
      </c>
      <c r="E282" s="93">
        <v>0</v>
      </c>
      <c r="F282" s="93">
        <v>0</v>
      </c>
      <c r="G282" s="93">
        <v>0</v>
      </c>
      <c r="H282" s="93">
        <v>0</v>
      </c>
      <c r="I282" s="93">
        <v>0</v>
      </c>
      <c r="J282" s="93">
        <v>0</v>
      </c>
      <c r="K282" s="94">
        <v>0</v>
      </c>
      <c r="L282" s="93">
        <v>0</v>
      </c>
      <c r="M282" s="93">
        <v>131148</v>
      </c>
      <c r="N282" s="93">
        <v>0</v>
      </c>
      <c r="O282" s="93">
        <v>0</v>
      </c>
      <c r="P282" s="93">
        <v>0</v>
      </c>
      <c r="Q282" s="93">
        <v>0</v>
      </c>
      <c r="R282" s="93">
        <v>0</v>
      </c>
      <c r="S282" s="93">
        <v>0</v>
      </c>
      <c r="T282" s="93">
        <v>0</v>
      </c>
      <c r="U282" s="93">
        <v>0</v>
      </c>
      <c r="V282" s="93">
        <v>0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2">
        <v>2020</v>
      </c>
    </row>
    <row r="283" spans="1:28" s="1" customFormat="1" ht="35.25" customHeight="1" x14ac:dyDescent="0.5">
      <c r="A283" s="1">
        <v>1</v>
      </c>
      <c r="B283" s="39">
        <f>SUBTOTAL(103,$A$11:A283)</f>
        <v>268</v>
      </c>
      <c r="C283" s="86" t="s">
        <v>751</v>
      </c>
      <c r="D283" s="87">
        <f t="shared" si="11"/>
        <v>68679.3</v>
      </c>
      <c r="E283" s="93">
        <v>0</v>
      </c>
      <c r="F283" s="93">
        <v>0</v>
      </c>
      <c r="G283" s="93">
        <v>0</v>
      </c>
      <c r="H283" s="93">
        <v>0</v>
      </c>
      <c r="I283" s="93">
        <v>0</v>
      </c>
      <c r="J283" s="93">
        <v>0</v>
      </c>
      <c r="K283" s="94">
        <v>0</v>
      </c>
      <c r="L283" s="93">
        <v>0</v>
      </c>
      <c r="M283" s="93">
        <v>0</v>
      </c>
      <c r="N283" s="93">
        <v>0</v>
      </c>
      <c r="O283" s="93">
        <v>68679.3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U283" s="93">
        <v>0</v>
      </c>
      <c r="V283" s="93">
        <v>0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2">
        <v>2020</v>
      </c>
    </row>
    <row r="284" spans="1:28" s="1" customFormat="1" ht="35.25" customHeight="1" x14ac:dyDescent="0.5">
      <c r="A284" s="1">
        <v>1</v>
      </c>
      <c r="B284" s="39">
        <f>SUBTOTAL(103,$A$11:A284)</f>
        <v>269</v>
      </c>
      <c r="C284" s="86" t="s">
        <v>752</v>
      </c>
      <c r="D284" s="87">
        <f t="shared" si="11"/>
        <v>409967</v>
      </c>
      <c r="E284" s="93">
        <v>409967</v>
      </c>
      <c r="F284" s="93">
        <v>0</v>
      </c>
      <c r="G284" s="93">
        <v>0</v>
      </c>
      <c r="H284" s="93">
        <v>0</v>
      </c>
      <c r="I284" s="93">
        <v>0</v>
      </c>
      <c r="J284" s="93">
        <v>0</v>
      </c>
      <c r="K284" s="94">
        <v>0</v>
      </c>
      <c r="L284" s="93">
        <v>0</v>
      </c>
      <c r="M284" s="93">
        <v>0</v>
      </c>
      <c r="N284" s="93">
        <v>0</v>
      </c>
      <c r="O284" s="93">
        <v>0</v>
      </c>
      <c r="P284" s="93">
        <v>0</v>
      </c>
      <c r="Q284" s="93">
        <v>0</v>
      </c>
      <c r="R284" s="93">
        <v>0</v>
      </c>
      <c r="S284" s="93">
        <v>0</v>
      </c>
      <c r="T284" s="93">
        <v>0</v>
      </c>
      <c r="U284" s="93">
        <v>0</v>
      </c>
      <c r="V284" s="93">
        <v>0</v>
      </c>
      <c r="W284" s="93">
        <v>0</v>
      </c>
      <c r="X284" s="93">
        <v>0</v>
      </c>
      <c r="Y284" s="93">
        <v>0</v>
      </c>
      <c r="Z284" s="93">
        <v>0</v>
      </c>
      <c r="AA284" s="93">
        <v>0</v>
      </c>
      <c r="AB284" s="92">
        <v>2020</v>
      </c>
    </row>
    <row r="285" spans="1:28" s="1" customFormat="1" ht="35.25" customHeight="1" x14ac:dyDescent="0.5">
      <c r="A285" s="1">
        <v>1</v>
      </c>
      <c r="B285" s="39">
        <f>SUBTOTAL(103,$A$11:A285)</f>
        <v>270</v>
      </c>
      <c r="C285" s="86" t="s">
        <v>753</v>
      </c>
      <c r="D285" s="87">
        <f t="shared" ref="D285:D320" si="12">E285+F285+G285+H285+I285+J285+L285+M285+N285+O285+P285+Q285+R285+S285+T285+U285+V285+W285+X285+Y285+Z285+AA285</f>
        <v>216187</v>
      </c>
      <c r="E285" s="93">
        <v>0</v>
      </c>
      <c r="F285" s="93">
        <v>0</v>
      </c>
      <c r="G285" s="93">
        <v>0</v>
      </c>
      <c r="H285" s="93">
        <v>0</v>
      </c>
      <c r="I285" s="93">
        <v>0</v>
      </c>
      <c r="J285" s="93">
        <v>0</v>
      </c>
      <c r="K285" s="94">
        <v>0</v>
      </c>
      <c r="L285" s="93">
        <v>0</v>
      </c>
      <c r="M285" s="93">
        <v>0</v>
      </c>
      <c r="N285" s="93">
        <v>0</v>
      </c>
      <c r="O285" s="93">
        <v>95414</v>
      </c>
      <c r="P285" s="93">
        <v>120773</v>
      </c>
      <c r="Q285" s="93">
        <v>0</v>
      </c>
      <c r="R285" s="93">
        <v>0</v>
      </c>
      <c r="S285" s="93">
        <v>0</v>
      </c>
      <c r="T285" s="93">
        <v>0</v>
      </c>
      <c r="U285" s="93">
        <v>0</v>
      </c>
      <c r="V285" s="93">
        <v>0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2">
        <v>2020</v>
      </c>
    </row>
    <row r="286" spans="1:28" s="1" customFormat="1" ht="35.25" customHeight="1" x14ac:dyDescent="0.5">
      <c r="A286" s="1">
        <v>1</v>
      </c>
      <c r="B286" s="39">
        <f>SUBTOTAL(103,$A$11:A286)</f>
        <v>271</v>
      </c>
      <c r="C286" s="86" t="s">
        <v>754</v>
      </c>
      <c r="D286" s="87">
        <f t="shared" si="12"/>
        <v>45391</v>
      </c>
      <c r="E286" s="93">
        <v>0</v>
      </c>
      <c r="F286" s="93">
        <v>0</v>
      </c>
      <c r="G286" s="93">
        <v>45391</v>
      </c>
      <c r="H286" s="93">
        <v>0</v>
      </c>
      <c r="I286" s="93">
        <v>0</v>
      </c>
      <c r="J286" s="93">
        <v>0</v>
      </c>
      <c r="K286" s="94">
        <v>0</v>
      </c>
      <c r="L286" s="93">
        <v>0</v>
      </c>
      <c r="M286" s="93">
        <v>0</v>
      </c>
      <c r="N286" s="93">
        <v>0</v>
      </c>
      <c r="O286" s="93">
        <v>0</v>
      </c>
      <c r="P286" s="93">
        <v>0</v>
      </c>
      <c r="Q286" s="93">
        <v>0</v>
      </c>
      <c r="R286" s="93">
        <v>0</v>
      </c>
      <c r="S286" s="93">
        <v>0</v>
      </c>
      <c r="T286" s="93">
        <v>0</v>
      </c>
      <c r="U286" s="93">
        <v>0</v>
      </c>
      <c r="V286" s="93">
        <v>0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2">
        <v>2020</v>
      </c>
    </row>
    <row r="287" spans="1:28" s="1" customFormat="1" ht="35.25" customHeight="1" x14ac:dyDescent="0.5">
      <c r="A287" s="1">
        <v>1</v>
      </c>
      <c r="B287" s="39">
        <f>SUBTOTAL(103,$A$11:A287)</f>
        <v>272</v>
      </c>
      <c r="C287" s="86" t="s">
        <v>755</v>
      </c>
      <c r="D287" s="87">
        <f t="shared" si="12"/>
        <v>300000</v>
      </c>
      <c r="E287" s="93">
        <v>0</v>
      </c>
      <c r="F287" s="93">
        <v>0</v>
      </c>
      <c r="G287" s="93">
        <v>0</v>
      </c>
      <c r="H287" s="93">
        <v>0</v>
      </c>
      <c r="I287" s="93">
        <v>0</v>
      </c>
      <c r="J287" s="93">
        <v>0</v>
      </c>
      <c r="K287" s="94">
        <v>0</v>
      </c>
      <c r="L287" s="93">
        <v>0</v>
      </c>
      <c r="M287" s="93">
        <v>0</v>
      </c>
      <c r="N287" s="93">
        <v>0</v>
      </c>
      <c r="O287" s="93">
        <v>300000</v>
      </c>
      <c r="P287" s="93">
        <v>0</v>
      </c>
      <c r="Q287" s="93">
        <v>0</v>
      </c>
      <c r="R287" s="93">
        <v>0</v>
      </c>
      <c r="S287" s="93">
        <v>0</v>
      </c>
      <c r="T287" s="93">
        <v>0</v>
      </c>
      <c r="U287" s="93">
        <v>0</v>
      </c>
      <c r="V287" s="93">
        <v>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2">
        <v>2020</v>
      </c>
    </row>
    <row r="288" spans="1:28" s="1" customFormat="1" ht="35.25" customHeight="1" x14ac:dyDescent="0.5">
      <c r="A288" s="1">
        <v>1</v>
      </c>
      <c r="B288" s="39">
        <f>SUBTOTAL(103,$A$11:A288)</f>
        <v>273</v>
      </c>
      <c r="C288" s="86" t="s">
        <v>756</v>
      </c>
      <c r="D288" s="87">
        <f t="shared" si="12"/>
        <v>185000</v>
      </c>
      <c r="E288" s="93">
        <v>0</v>
      </c>
      <c r="F288" s="93">
        <v>0</v>
      </c>
      <c r="G288" s="93">
        <v>0</v>
      </c>
      <c r="H288" s="93">
        <v>0</v>
      </c>
      <c r="I288" s="93">
        <v>0</v>
      </c>
      <c r="J288" s="93">
        <v>0</v>
      </c>
      <c r="K288" s="94">
        <v>0</v>
      </c>
      <c r="L288" s="93">
        <v>0</v>
      </c>
      <c r="M288" s="93">
        <v>0</v>
      </c>
      <c r="N288" s="93">
        <v>0</v>
      </c>
      <c r="O288" s="93">
        <v>185000</v>
      </c>
      <c r="P288" s="93">
        <v>0</v>
      </c>
      <c r="Q288" s="93">
        <v>0</v>
      </c>
      <c r="R288" s="93">
        <v>0</v>
      </c>
      <c r="S288" s="93">
        <v>0</v>
      </c>
      <c r="T288" s="93">
        <v>0</v>
      </c>
      <c r="U288" s="93">
        <v>0</v>
      </c>
      <c r="V288" s="93">
        <v>0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2">
        <v>2020</v>
      </c>
    </row>
    <row r="289" spans="1:28" s="1" customFormat="1" ht="35.25" customHeight="1" x14ac:dyDescent="0.5">
      <c r="A289" s="1">
        <v>1</v>
      </c>
      <c r="B289" s="39">
        <f>SUBTOTAL(103,$A$11:A289)</f>
        <v>274</v>
      </c>
      <c r="C289" s="86" t="s">
        <v>757</v>
      </c>
      <c r="D289" s="87">
        <f t="shared" si="12"/>
        <v>536083</v>
      </c>
      <c r="E289" s="93">
        <v>127342</v>
      </c>
      <c r="F289" s="93">
        <v>161294</v>
      </c>
      <c r="G289" s="93">
        <v>0</v>
      </c>
      <c r="H289" s="93">
        <v>0</v>
      </c>
      <c r="I289" s="93">
        <v>48447</v>
      </c>
      <c r="J289" s="93">
        <v>0</v>
      </c>
      <c r="K289" s="94">
        <v>0</v>
      </c>
      <c r="L289" s="93">
        <v>0</v>
      </c>
      <c r="M289" s="93">
        <v>0</v>
      </c>
      <c r="N289" s="93">
        <v>0</v>
      </c>
      <c r="O289" s="93">
        <v>199000</v>
      </c>
      <c r="P289" s="93">
        <v>0</v>
      </c>
      <c r="Q289" s="93">
        <v>0</v>
      </c>
      <c r="R289" s="93">
        <v>0</v>
      </c>
      <c r="S289" s="93">
        <v>0</v>
      </c>
      <c r="T289" s="93">
        <v>0</v>
      </c>
      <c r="U289" s="93">
        <v>0</v>
      </c>
      <c r="V289" s="93">
        <v>0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2">
        <v>2020</v>
      </c>
    </row>
    <row r="290" spans="1:28" s="1" customFormat="1" ht="35.25" customHeight="1" x14ac:dyDescent="0.5">
      <c r="A290" s="1">
        <v>1</v>
      </c>
      <c r="B290" s="39">
        <f>SUBTOTAL(103,$A$11:A290)</f>
        <v>275</v>
      </c>
      <c r="C290" s="86" t="s">
        <v>758</v>
      </c>
      <c r="D290" s="87">
        <f t="shared" si="12"/>
        <v>1195423</v>
      </c>
      <c r="E290" s="93">
        <v>0</v>
      </c>
      <c r="F290" s="93">
        <v>0</v>
      </c>
      <c r="G290" s="93">
        <v>0</v>
      </c>
      <c r="H290" s="93">
        <v>0</v>
      </c>
      <c r="I290" s="93">
        <v>0</v>
      </c>
      <c r="J290" s="93">
        <v>0</v>
      </c>
      <c r="K290" s="94">
        <v>0</v>
      </c>
      <c r="L290" s="93">
        <v>0</v>
      </c>
      <c r="M290" s="93">
        <v>0</v>
      </c>
      <c r="N290" s="93">
        <v>0</v>
      </c>
      <c r="O290" s="93">
        <v>1195423</v>
      </c>
      <c r="P290" s="93">
        <v>0</v>
      </c>
      <c r="Q290" s="93">
        <v>0</v>
      </c>
      <c r="R290" s="93">
        <v>0</v>
      </c>
      <c r="S290" s="93">
        <v>0</v>
      </c>
      <c r="T290" s="93">
        <v>0</v>
      </c>
      <c r="U290" s="93">
        <v>0</v>
      </c>
      <c r="V290" s="93">
        <v>0</v>
      </c>
      <c r="W290" s="93">
        <v>0</v>
      </c>
      <c r="X290" s="93">
        <v>0</v>
      </c>
      <c r="Y290" s="93">
        <v>0</v>
      </c>
      <c r="Z290" s="93">
        <v>0</v>
      </c>
      <c r="AA290" s="93">
        <v>0</v>
      </c>
      <c r="AB290" s="92">
        <v>2020</v>
      </c>
    </row>
    <row r="291" spans="1:28" s="1" customFormat="1" ht="35.25" customHeight="1" x14ac:dyDescent="0.5">
      <c r="A291" s="1">
        <v>1</v>
      </c>
      <c r="B291" s="39">
        <f>SUBTOTAL(103,$A$11:A291)</f>
        <v>276</v>
      </c>
      <c r="C291" s="86" t="s">
        <v>759</v>
      </c>
      <c r="D291" s="87">
        <f t="shared" si="12"/>
        <v>381537</v>
      </c>
      <c r="E291" s="93">
        <v>0</v>
      </c>
      <c r="F291" s="93">
        <v>0</v>
      </c>
      <c r="G291" s="93">
        <v>0</v>
      </c>
      <c r="H291" s="93">
        <v>0</v>
      </c>
      <c r="I291" s="93">
        <v>170882</v>
      </c>
      <c r="J291" s="93">
        <v>0</v>
      </c>
      <c r="K291" s="94">
        <v>0</v>
      </c>
      <c r="L291" s="93">
        <v>0</v>
      </c>
      <c r="M291" s="93">
        <v>0</v>
      </c>
      <c r="N291" s="93">
        <v>0</v>
      </c>
      <c r="O291" s="93">
        <v>210655</v>
      </c>
      <c r="P291" s="93">
        <v>0</v>
      </c>
      <c r="Q291" s="93">
        <v>0</v>
      </c>
      <c r="R291" s="93">
        <v>0</v>
      </c>
      <c r="S291" s="93">
        <v>0</v>
      </c>
      <c r="T291" s="93">
        <v>0</v>
      </c>
      <c r="U291" s="93">
        <v>0</v>
      </c>
      <c r="V291" s="93">
        <v>0</v>
      </c>
      <c r="W291" s="93">
        <v>0</v>
      </c>
      <c r="X291" s="93">
        <v>0</v>
      </c>
      <c r="Y291" s="93">
        <v>0</v>
      </c>
      <c r="Z291" s="93">
        <v>0</v>
      </c>
      <c r="AA291" s="93">
        <v>0</v>
      </c>
      <c r="AB291" s="92">
        <v>2020</v>
      </c>
    </row>
    <row r="292" spans="1:28" s="1" customFormat="1" ht="35.25" customHeight="1" x14ac:dyDescent="0.5">
      <c r="A292" s="1">
        <v>1</v>
      </c>
      <c r="B292" s="39">
        <f>SUBTOTAL(103,$A$11:A292)</f>
        <v>277</v>
      </c>
      <c r="C292" s="86" t="s">
        <v>760</v>
      </c>
      <c r="D292" s="87">
        <f t="shared" si="12"/>
        <v>239525</v>
      </c>
      <c r="E292" s="93">
        <v>0</v>
      </c>
      <c r="F292" s="93">
        <v>0</v>
      </c>
      <c r="G292" s="93">
        <v>0</v>
      </c>
      <c r="H292" s="93">
        <v>0</v>
      </c>
      <c r="I292" s="93">
        <v>0</v>
      </c>
      <c r="J292" s="93">
        <v>0</v>
      </c>
      <c r="K292" s="94">
        <v>0</v>
      </c>
      <c r="L292" s="93">
        <v>0</v>
      </c>
      <c r="M292" s="93">
        <v>0</v>
      </c>
      <c r="N292" s="93">
        <v>0</v>
      </c>
      <c r="O292" s="93">
        <v>239525</v>
      </c>
      <c r="P292" s="93">
        <v>0</v>
      </c>
      <c r="Q292" s="93">
        <v>0</v>
      </c>
      <c r="R292" s="93">
        <v>0</v>
      </c>
      <c r="S292" s="93">
        <v>0</v>
      </c>
      <c r="T292" s="93">
        <v>0</v>
      </c>
      <c r="U292" s="93">
        <v>0</v>
      </c>
      <c r="V292" s="93">
        <v>0</v>
      </c>
      <c r="W292" s="93">
        <v>0</v>
      </c>
      <c r="X292" s="93">
        <v>0</v>
      </c>
      <c r="Y292" s="93">
        <v>0</v>
      </c>
      <c r="Z292" s="93">
        <v>0</v>
      </c>
      <c r="AA292" s="93">
        <v>0</v>
      </c>
      <c r="AB292" s="92">
        <v>2020</v>
      </c>
    </row>
    <row r="293" spans="1:28" s="1" customFormat="1" ht="35.25" customHeight="1" x14ac:dyDescent="0.5">
      <c r="A293" s="1">
        <v>1</v>
      </c>
      <c r="B293" s="39">
        <f>SUBTOTAL(103,$A$11:A293)</f>
        <v>278</v>
      </c>
      <c r="C293" s="86" t="s">
        <v>761</v>
      </c>
      <c r="D293" s="87">
        <f t="shared" si="12"/>
        <v>443675</v>
      </c>
      <c r="E293" s="93">
        <v>0</v>
      </c>
      <c r="F293" s="93">
        <v>0</v>
      </c>
      <c r="G293" s="93">
        <v>0</v>
      </c>
      <c r="H293" s="93">
        <v>0</v>
      </c>
      <c r="I293" s="93">
        <v>0</v>
      </c>
      <c r="J293" s="93">
        <v>0</v>
      </c>
      <c r="K293" s="94">
        <v>0</v>
      </c>
      <c r="L293" s="93">
        <v>0</v>
      </c>
      <c r="M293" s="93">
        <v>0</v>
      </c>
      <c r="N293" s="93">
        <v>0</v>
      </c>
      <c r="O293" s="93">
        <v>443675</v>
      </c>
      <c r="P293" s="93">
        <v>0</v>
      </c>
      <c r="Q293" s="93">
        <v>0</v>
      </c>
      <c r="R293" s="93">
        <v>0</v>
      </c>
      <c r="S293" s="93">
        <v>0</v>
      </c>
      <c r="T293" s="93">
        <v>0</v>
      </c>
      <c r="U293" s="93">
        <v>0</v>
      </c>
      <c r="V293" s="93">
        <v>0</v>
      </c>
      <c r="W293" s="93">
        <v>0</v>
      </c>
      <c r="X293" s="93">
        <v>0</v>
      </c>
      <c r="Y293" s="93">
        <v>0</v>
      </c>
      <c r="Z293" s="93">
        <v>0</v>
      </c>
      <c r="AA293" s="93">
        <v>0</v>
      </c>
      <c r="AB293" s="92">
        <v>2020</v>
      </c>
    </row>
    <row r="294" spans="1:28" s="1" customFormat="1" ht="35.25" customHeight="1" x14ac:dyDescent="0.5">
      <c r="A294" s="1">
        <v>1</v>
      </c>
      <c r="B294" s="39">
        <f>SUBTOTAL(103,$A$11:A294)</f>
        <v>279</v>
      </c>
      <c r="C294" s="86" t="s">
        <v>762</v>
      </c>
      <c r="D294" s="87">
        <f t="shared" si="12"/>
        <v>278300</v>
      </c>
      <c r="E294" s="93">
        <v>0</v>
      </c>
      <c r="F294" s="93">
        <v>0</v>
      </c>
      <c r="G294" s="93">
        <v>0</v>
      </c>
      <c r="H294" s="93">
        <v>0</v>
      </c>
      <c r="I294" s="93">
        <v>0</v>
      </c>
      <c r="J294" s="93">
        <v>0</v>
      </c>
      <c r="K294" s="94">
        <v>0</v>
      </c>
      <c r="L294" s="93">
        <v>0</v>
      </c>
      <c r="M294" s="93">
        <v>0</v>
      </c>
      <c r="N294" s="93">
        <v>0</v>
      </c>
      <c r="O294" s="93">
        <v>278300</v>
      </c>
      <c r="P294" s="93">
        <v>0</v>
      </c>
      <c r="Q294" s="93">
        <v>0</v>
      </c>
      <c r="R294" s="93">
        <v>0</v>
      </c>
      <c r="S294" s="93">
        <v>0</v>
      </c>
      <c r="T294" s="93">
        <v>0</v>
      </c>
      <c r="U294" s="93">
        <v>0</v>
      </c>
      <c r="V294" s="93">
        <v>0</v>
      </c>
      <c r="W294" s="93">
        <v>0</v>
      </c>
      <c r="X294" s="93">
        <v>0</v>
      </c>
      <c r="Y294" s="93">
        <v>0</v>
      </c>
      <c r="Z294" s="93">
        <v>0</v>
      </c>
      <c r="AA294" s="93">
        <v>0</v>
      </c>
      <c r="AB294" s="92">
        <v>2020</v>
      </c>
    </row>
    <row r="295" spans="1:28" s="1" customFormat="1" ht="35.25" customHeight="1" x14ac:dyDescent="0.5">
      <c r="A295" s="1">
        <v>1</v>
      </c>
      <c r="B295" s="39">
        <f>SUBTOTAL(103,$A$11:A295)</f>
        <v>280</v>
      </c>
      <c r="C295" s="86" t="s">
        <v>763</v>
      </c>
      <c r="D295" s="87">
        <f t="shared" si="12"/>
        <v>400000</v>
      </c>
      <c r="E295" s="93">
        <v>0</v>
      </c>
      <c r="F295" s="93">
        <v>0</v>
      </c>
      <c r="G295" s="93">
        <v>0</v>
      </c>
      <c r="H295" s="93">
        <v>0</v>
      </c>
      <c r="I295" s="93">
        <v>0</v>
      </c>
      <c r="J295" s="93">
        <v>0</v>
      </c>
      <c r="K295" s="94">
        <v>0</v>
      </c>
      <c r="L295" s="93">
        <v>0</v>
      </c>
      <c r="M295" s="93">
        <v>0</v>
      </c>
      <c r="N295" s="93">
        <v>0</v>
      </c>
      <c r="O295" s="93">
        <v>400000</v>
      </c>
      <c r="P295" s="93">
        <v>0</v>
      </c>
      <c r="Q295" s="93">
        <v>0</v>
      </c>
      <c r="R295" s="93">
        <v>0</v>
      </c>
      <c r="S295" s="93">
        <v>0</v>
      </c>
      <c r="T295" s="93">
        <v>0</v>
      </c>
      <c r="U295" s="93">
        <v>0</v>
      </c>
      <c r="V295" s="93">
        <v>0</v>
      </c>
      <c r="W295" s="93">
        <v>0</v>
      </c>
      <c r="X295" s="93">
        <v>0</v>
      </c>
      <c r="Y295" s="93">
        <v>0</v>
      </c>
      <c r="Z295" s="93">
        <v>0</v>
      </c>
      <c r="AA295" s="93">
        <v>0</v>
      </c>
      <c r="AB295" s="92">
        <v>2020</v>
      </c>
    </row>
    <row r="296" spans="1:28" s="1" customFormat="1" ht="35.25" customHeight="1" x14ac:dyDescent="0.5">
      <c r="A296" s="1">
        <v>1</v>
      </c>
      <c r="B296" s="39">
        <f>SUBTOTAL(103,$A$11:A296)</f>
        <v>281</v>
      </c>
      <c r="C296" s="86" t="s">
        <v>764</v>
      </c>
      <c r="D296" s="87">
        <f t="shared" si="12"/>
        <v>223100</v>
      </c>
      <c r="E296" s="93">
        <v>0</v>
      </c>
      <c r="F296" s="93">
        <v>0</v>
      </c>
      <c r="G296" s="93">
        <v>0</v>
      </c>
      <c r="H296" s="93">
        <v>0</v>
      </c>
      <c r="I296" s="93">
        <v>0</v>
      </c>
      <c r="J296" s="93">
        <v>0</v>
      </c>
      <c r="K296" s="94">
        <v>0</v>
      </c>
      <c r="L296" s="93">
        <v>0</v>
      </c>
      <c r="M296" s="93">
        <v>223100</v>
      </c>
      <c r="N296" s="93">
        <v>0</v>
      </c>
      <c r="O296" s="93">
        <v>0</v>
      </c>
      <c r="P296" s="93">
        <v>0</v>
      </c>
      <c r="Q296" s="93">
        <v>0</v>
      </c>
      <c r="R296" s="93">
        <v>0</v>
      </c>
      <c r="S296" s="93">
        <v>0</v>
      </c>
      <c r="T296" s="93">
        <v>0</v>
      </c>
      <c r="U296" s="93">
        <v>0</v>
      </c>
      <c r="V296" s="93">
        <v>0</v>
      </c>
      <c r="W296" s="93">
        <v>0</v>
      </c>
      <c r="X296" s="93">
        <v>0</v>
      </c>
      <c r="Y296" s="93">
        <v>0</v>
      </c>
      <c r="Z296" s="93">
        <v>0</v>
      </c>
      <c r="AA296" s="93">
        <v>0</v>
      </c>
      <c r="AB296" s="92">
        <v>2020</v>
      </c>
    </row>
    <row r="297" spans="1:28" s="1" customFormat="1" ht="35.25" customHeight="1" x14ac:dyDescent="0.5">
      <c r="A297" s="1">
        <v>1</v>
      </c>
      <c r="B297" s="39">
        <f>SUBTOTAL(103,$A$11:A297)</f>
        <v>282</v>
      </c>
      <c r="C297" s="86" t="s">
        <v>765</v>
      </c>
      <c r="D297" s="87">
        <f t="shared" si="12"/>
        <v>76725</v>
      </c>
      <c r="E297" s="93">
        <v>0</v>
      </c>
      <c r="F297" s="93">
        <v>0</v>
      </c>
      <c r="G297" s="93">
        <v>0</v>
      </c>
      <c r="H297" s="93">
        <v>0</v>
      </c>
      <c r="I297" s="93">
        <v>0</v>
      </c>
      <c r="J297" s="93">
        <v>0</v>
      </c>
      <c r="K297" s="94">
        <v>0</v>
      </c>
      <c r="L297" s="93">
        <v>0</v>
      </c>
      <c r="M297" s="93">
        <v>76725</v>
      </c>
      <c r="N297" s="93">
        <v>0</v>
      </c>
      <c r="O297" s="93">
        <v>0</v>
      </c>
      <c r="P297" s="93">
        <v>0</v>
      </c>
      <c r="Q297" s="93">
        <v>0</v>
      </c>
      <c r="R297" s="93">
        <v>0</v>
      </c>
      <c r="S297" s="93">
        <v>0</v>
      </c>
      <c r="T297" s="93">
        <v>0</v>
      </c>
      <c r="U297" s="93">
        <v>0</v>
      </c>
      <c r="V297" s="93">
        <v>0</v>
      </c>
      <c r="W297" s="93">
        <v>0</v>
      </c>
      <c r="X297" s="93">
        <v>0</v>
      </c>
      <c r="Y297" s="93">
        <v>0</v>
      </c>
      <c r="Z297" s="93">
        <v>0</v>
      </c>
      <c r="AA297" s="93">
        <v>0</v>
      </c>
      <c r="AB297" s="92">
        <v>2020</v>
      </c>
    </row>
    <row r="298" spans="1:28" s="1" customFormat="1" ht="35.25" customHeight="1" x14ac:dyDescent="0.5">
      <c r="A298" s="1">
        <v>1</v>
      </c>
      <c r="B298" s="39">
        <f>SUBTOTAL(103,$A$11:A298)</f>
        <v>283</v>
      </c>
      <c r="C298" s="86" t="s">
        <v>766</v>
      </c>
      <c r="D298" s="87">
        <f t="shared" si="12"/>
        <v>333783</v>
      </c>
      <c r="E298" s="93">
        <v>0</v>
      </c>
      <c r="F298" s="93">
        <v>0</v>
      </c>
      <c r="G298" s="93">
        <v>0</v>
      </c>
      <c r="H298" s="93">
        <v>0</v>
      </c>
      <c r="I298" s="93">
        <v>0</v>
      </c>
      <c r="J298" s="93">
        <v>0</v>
      </c>
      <c r="K298" s="94">
        <v>0</v>
      </c>
      <c r="L298" s="93">
        <v>0</v>
      </c>
      <c r="M298" s="93">
        <v>0</v>
      </c>
      <c r="N298" s="93">
        <v>0</v>
      </c>
      <c r="O298" s="93">
        <v>0</v>
      </c>
      <c r="P298" s="93">
        <v>333783</v>
      </c>
      <c r="Q298" s="93">
        <v>0</v>
      </c>
      <c r="R298" s="93">
        <v>0</v>
      </c>
      <c r="S298" s="93">
        <v>0</v>
      </c>
      <c r="T298" s="93">
        <v>0</v>
      </c>
      <c r="U298" s="93">
        <v>0</v>
      </c>
      <c r="V298" s="93">
        <v>0</v>
      </c>
      <c r="W298" s="93">
        <v>0</v>
      </c>
      <c r="X298" s="93">
        <v>0</v>
      </c>
      <c r="Y298" s="93">
        <v>0</v>
      </c>
      <c r="Z298" s="93">
        <v>0</v>
      </c>
      <c r="AA298" s="93">
        <v>0</v>
      </c>
      <c r="AB298" s="92">
        <v>2020</v>
      </c>
    </row>
    <row r="299" spans="1:28" s="1" customFormat="1" ht="35.25" customHeight="1" x14ac:dyDescent="0.5">
      <c r="A299" s="1">
        <v>1</v>
      </c>
      <c r="B299" s="39">
        <f>SUBTOTAL(103,$A$11:A299)</f>
        <v>284</v>
      </c>
      <c r="C299" s="86" t="s">
        <v>767</v>
      </c>
      <c r="D299" s="87">
        <f t="shared" si="12"/>
        <v>524585</v>
      </c>
      <c r="E299" s="93">
        <v>0</v>
      </c>
      <c r="F299" s="93">
        <v>0</v>
      </c>
      <c r="G299" s="93">
        <v>0</v>
      </c>
      <c r="H299" s="93">
        <v>0</v>
      </c>
      <c r="I299" s="93">
        <v>0</v>
      </c>
      <c r="J299" s="93">
        <v>0</v>
      </c>
      <c r="K299" s="94">
        <v>0</v>
      </c>
      <c r="L299" s="93">
        <v>0</v>
      </c>
      <c r="M299" s="93">
        <v>0</v>
      </c>
      <c r="N299" s="93">
        <v>0</v>
      </c>
      <c r="O299" s="93">
        <v>524585</v>
      </c>
      <c r="P299" s="93">
        <v>0</v>
      </c>
      <c r="Q299" s="93">
        <v>0</v>
      </c>
      <c r="R299" s="93">
        <v>0</v>
      </c>
      <c r="S299" s="93">
        <v>0</v>
      </c>
      <c r="T299" s="93">
        <v>0</v>
      </c>
      <c r="U299" s="93">
        <v>0</v>
      </c>
      <c r="V299" s="93">
        <v>0</v>
      </c>
      <c r="W299" s="93">
        <v>0</v>
      </c>
      <c r="X299" s="93">
        <v>0</v>
      </c>
      <c r="Y299" s="93">
        <v>0</v>
      </c>
      <c r="Z299" s="93">
        <v>0</v>
      </c>
      <c r="AA299" s="93">
        <v>0</v>
      </c>
      <c r="AB299" s="92">
        <v>2020</v>
      </c>
    </row>
    <row r="300" spans="1:28" s="1" customFormat="1" ht="35.25" customHeight="1" x14ac:dyDescent="0.5">
      <c r="A300" s="1">
        <v>1</v>
      </c>
      <c r="B300" s="39">
        <f>SUBTOTAL(103,$A$11:A300)</f>
        <v>285</v>
      </c>
      <c r="C300" s="86" t="s">
        <v>768</v>
      </c>
      <c r="D300" s="87">
        <f t="shared" si="12"/>
        <v>523713.59</v>
      </c>
      <c r="E300" s="93">
        <v>0</v>
      </c>
      <c r="F300" s="93">
        <v>0</v>
      </c>
      <c r="G300" s="93">
        <v>0</v>
      </c>
      <c r="H300" s="93">
        <v>0</v>
      </c>
      <c r="I300" s="93">
        <v>0</v>
      </c>
      <c r="J300" s="93">
        <v>0</v>
      </c>
      <c r="K300" s="94">
        <v>0</v>
      </c>
      <c r="L300" s="93">
        <v>0</v>
      </c>
      <c r="M300" s="93">
        <v>0</v>
      </c>
      <c r="N300" s="93">
        <v>0</v>
      </c>
      <c r="O300" s="93">
        <v>523713.59</v>
      </c>
      <c r="P300" s="93">
        <v>0</v>
      </c>
      <c r="Q300" s="93">
        <v>0</v>
      </c>
      <c r="R300" s="93">
        <v>0</v>
      </c>
      <c r="S300" s="93">
        <v>0</v>
      </c>
      <c r="T300" s="93">
        <v>0</v>
      </c>
      <c r="U300" s="93">
        <v>0</v>
      </c>
      <c r="V300" s="93">
        <v>0</v>
      </c>
      <c r="W300" s="93">
        <v>0</v>
      </c>
      <c r="X300" s="93">
        <v>0</v>
      </c>
      <c r="Y300" s="93">
        <v>0</v>
      </c>
      <c r="Z300" s="93">
        <v>0</v>
      </c>
      <c r="AA300" s="93">
        <v>0</v>
      </c>
      <c r="AB300" s="92">
        <v>2020</v>
      </c>
    </row>
    <row r="301" spans="1:28" s="1" customFormat="1" ht="35.25" customHeight="1" x14ac:dyDescent="0.5">
      <c r="A301" s="1">
        <v>1</v>
      </c>
      <c r="B301" s="39">
        <f>SUBTOTAL(103,$A$11:A301)</f>
        <v>286</v>
      </c>
      <c r="C301" s="86" t="s">
        <v>769</v>
      </c>
      <c r="D301" s="87">
        <f t="shared" si="12"/>
        <v>1050321.76</v>
      </c>
      <c r="E301" s="93">
        <v>0</v>
      </c>
      <c r="F301" s="93">
        <v>0</v>
      </c>
      <c r="G301" s="93">
        <v>637270</v>
      </c>
      <c r="H301" s="93">
        <v>0</v>
      </c>
      <c r="I301" s="93">
        <v>0</v>
      </c>
      <c r="J301" s="93">
        <v>0</v>
      </c>
      <c r="K301" s="94">
        <v>0</v>
      </c>
      <c r="L301" s="93">
        <v>0</v>
      </c>
      <c r="M301" s="93">
        <v>0</v>
      </c>
      <c r="N301" s="93">
        <v>0</v>
      </c>
      <c r="O301" s="93">
        <v>413051.76</v>
      </c>
      <c r="P301" s="93">
        <v>0</v>
      </c>
      <c r="Q301" s="93">
        <v>0</v>
      </c>
      <c r="R301" s="93">
        <v>0</v>
      </c>
      <c r="S301" s="93">
        <v>0</v>
      </c>
      <c r="T301" s="93">
        <v>0</v>
      </c>
      <c r="U301" s="93">
        <v>0</v>
      </c>
      <c r="V301" s="93">
        <v>0</v>
      </c>
      <c r="W301" s="93">
        <v>0</v>
      </c>
      <c r="X301" s="93">
        <v>0</v>
      </c>
      <c r="Y301" s="93">
        <v>0</v>
      </c>
      <c r="Z301" s="93">
        <v>0</v>
      </c>
      <c r="AA301" s="93">
        <v>0</v>
      </c>
      <c r="AB301" s="92">
        <v>2020</v>
      </c>
    </row>
    <row r="302" spans="1:28" s="1" customFormat="1" ht="35.25" customHeight="1" x14ac:dyDescent="0.5">
      <c r="A302" s="1">
        <v>1</v>
      </c>
      <c r="B302" s="39">
        <f>SUBTOTAL(103,$A$11:A302)</f>
        <v>287</v>
      </c>
      <c r="C302" s="86" t="s">
        <v>770</v>
      </c>
      <c r="D302" s="87">
        <f t="shared" si="12"/>
        <v>46494</v>
      </c>
      <c r="E302" s="93">
        <v>0</v>
      </c>
      <c r="F302" s="93">
        <v>0</v>
      </c>
      <c r="G302" s="93">
        <v>46494</v>
      </c>
      <c r="H302" s="93">
        <v>0</v>
      </c>
      <c r="I302" s="93">
        <v>0</v>
      </c>
      <c r="J302" s="93">
        <v>0</v>
      </c>
      <c r="K302" s="94">
        <v>0</v>
      </c>
      <c r="L302" s="93">
        <v>0</v>
      </c>
      <c r="M302" s="93">
        <v>0</v>
      </c>
      <c r="N302" s="93">
        <v>0</v>
      </c>
      <c r="O302" s="93">
        <v>0</v>
      </c>
      <c r="P302" s="93">
        <v>0</v>
      </c>
      <c r="Q302" s="93">
        <v>0</v>
      </c>
      <c r="R302" s="93">
        <v>0</v>
      </c>
      <c r="S302" s="93">
        <v>0</v>
      </c>
      <c r="T302" s="93">
        <v>0</v>
      </c>
      <c r="U302" s="93">
        <v>0</v>
      </c>
      <c r="V302" s="93">
        <v>0</v>
      </c>
      <c r="W302" s="93">
        <v>0</v>
      </c>
      <c r="X302" s="93">
        <v>0</v>
      </c>
      <c r="Y302" s="93">
        <v>0</v>
      </c>
      <c r="Z302" s="93">
        <v>0</v>
      </c>
      <c r="AA302" s="93">
        <v>0</v>
      </c>
      <c r="AB302" s="92">
        <v>2020</v>
      </c>
    </row>
    <row r="303" spans="1:28" s="1" customFormat="1" ht="35.25" customHeight="1" x14ac:dyDescent="0.5">
      <c r="A303" s="1">
        <v>1</v>
      </c>
      <c r="B303" s="39">
        <f>SUBTOTAL(103,$A$11:A303)</f>
        <v>288</v>
      </c>
      <c r="C303" s="86" t="s">
        <v>771</v>
      </c>
      <c r="D303" s="87">
        <f t="shared" si="12"/>
        <v>48083</v>
      </c>
      <c r="E303" s="93">
        <v>0</v>
      </c>
      <c r="F303" s="93">
        <v>0</v>
      </c>
      <c r="G303" s="93">
        <v>48083</v>
      </c>
      <c r="H303" s="93">
        <v>0</v>
      </c>
      <c r="I303" s="93">
        <v>0</v>
      </c>
      <c r="J303" s="93">
        <v>0</v>
      </c>
      <c r="K303" s="94">
        <v>0</v>
      </c>
      <c r="L303" s="93">
        <v>0</v>
      </c>
      <c r="M303" s="93">
        <v>0</v>
      </c>
      <c r="N303" s="93">
        <v>0</v>
      </c>
      <c r="O303" s="93">
        <v>0</v>
      </c>
      <c r="P303" s="93">
        <v>0</v>
      </c>
      <c r="Q303" s="93">
        <v>0</v>
      </c>
      <c r="R303" s="93">
        <v>0</v>
      </c>
      <c r="S303" s="93">
        <v>0</v>
      </c>
      <c r="T303" s="93">
        <v>0</v>
      </c>
      <c r="U303" s="93">
        <v>0</v>
      </c>
      <c r="V303" s="93">
        <v>0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2">
        <v>2020</v>
      </c>
    </row>
    <row r="304" spans="1:28" s="1" customFormat="1" ht="35.25" customHeight="1" x14ac:dyDescent="0.5">
      <c r="A304" s="1">
        <v>1</v>
      </c>
      <c r="B304" s="39">
        <f>SUBTOTAL(103,$A$11:A304)</f>
        <v>289</v>
      </c>
      <c r="C304" s="86" t="s">
        <v>772</v>
      </c>
      <c r="D304" s="87">
        <f t="shared" si="12"/>
        <v>174550</v>
      </c>
      <c r="E304" s="93">
        <v>0</v>
      </c>
      <c r="F304" s="93">
        <v>174550</v>
      </c>
      <c r="G304" s="93">
        <v>0</v>
      </c>
      <c r="H304" s="93">
        <v>0</v>
      </c>
      <c r="I304" s="93">
        <v>0</v>
      </c>
      <c r="J304" s="93">
        <v>0</v>
      </c>
      <c r="K304" s="94">
        <v>0</v>
      </c>
      <c r="L304" s="93">
        <v>0</v>
      </c>
      <c r="M304" s="93">
        <v>0</v>
      </c>
      <c r="N304" s="93">
        <v>0</v>
      </c>
      <c r="O304" s="93">
        <v>0</v>
      </c>
      <c r="P304" s="93">
        <v>0</v>
      </c>
      <c r="Q304" s="93">
        <v>0</v>
      </c>
      <c r="R304" s="93">
        <v>0</v>
      </c>
      <c r="S304" s="93">
        <v>0</v>
      </c>
      <c r="T304" s="93">
        <v>0</v>
      </c>
      <c r="U304" s="93">
        <v>0</v>
      </c>
      <c r="V304" s="93">
        <v>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2">
        <v>2020</v>
      </c>
    </row>
    <row r="305" spans="1:28" s="1" customFormat="1" ht="35.25" customHeight="1" x14ac:dyDescent="0.5">
      <c r="A305" s="1">
        <v>1</v>
      </c>
      <c r="B305" s="39">
        <f>SUBTOTAL(103,$A$11:A305)</f>
        <v>290</v>
      </c>
      <c r="C305" s="86" t="s">
        <v>773</v>
      </c>
      <c r="D305" s="87">
        <f t="shared" si="12"/>
        <v>403107</v>
      </c>
      <c r="E305" s="93">
        <v>0</v>
      </c>
      <c r="F305" s="93">
        <v>0</v>
      </c>
      <c r="G305" s="93">
        <v>0</v>
      </c>
      <c r="H305" s="93">
        <v>0</v>
      </c>
      <c r="I305" s="93">
        <v>0</v>
      </c>
      <c r="J305" s="93">
        <v>0</v>
      </c>
      <c r="K305" s="94">
        <v>0</v>
      </c>
      <c r="L305" s="93">
        <v>0</v>
      </c>
      <c r="M305" s="93">
        <v>0</v>
      </c>
      <c r="N305" s="93">
        <v>0</v>
      </c>
      <c r="O305" s="93">
        <v>403107</v>
      </c>
      <c r="P305" s="93">
        <v>0</v>
      </c>
      <c r="Q305" s="93">
        <v>0</v>
      </c>
      <c r="R305" s="93">
        <v>0</v>
      </c>
      <c r="S305" s="93">
        <v>0</v>
      </c>
      <c r="T305" s="93">
        <v>0</v>
      </c>
      <c r="U305" s="93">
        <v>0</v>
      </c>
      <c r="V305" s="93">
        <v>0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2">
        <v>2020</v>
      </c>
    </row>
    <row r="306" spans="1:28" s="1" customFormat="1" ht="35.25" customHeight="1" x14ac:dyDescent="0.5">
      <c r="A306" s="1">
        <v>1</v>
      </c>
      <c r="B306" s="39">
        <f>SUBTOTAL(103,$A$11:A306)</f>
        <v>291</v>
      </c>
      <c r="C306" s="86" t="s">
        <v>774</v>
      </c>
      <c r="D306" s="87">
        <f t="shared" si="12"/>
        <v>431437</v>
      </c>
      <c r="E306" s="93">
        <v>0</v>
      </c>
      <c r="F306" s="93">
        <v>0</v>
      </c>
      <c r="G306" s="93">
        <v>0</v>
      </c>
      <c r="H306" s="93">
        <v>0</v>
      </c>
      <c r="I306" s="93">
        <v>0</v>
      </c>
      <c r="J306" s="93">
        <v>0</v>
      </c>
      <c r="K306" s="94">
        <v>0</v>
      </c>
      <c r="L306" s="93">
        <v>0</v>
      </c>
      <c r="M306" s="93">
        <v>0</v>
      </c>
      <c r="N306" s="93">
        <v>0</v>
      </c>
      <c r="O306" s="93">
        <v>431437</v>
      </c>
      <c r="P306" s="93">
        <v>0</v>
      </c>
      <c r="Q306" s="93">
        <v>0</v>
      </c>
      <c r="R306" s="93">
        <v>0</v>
      </c>
      <c r="S306" s="93">
        <v>0</v>
      </c>
      <c r="T306" s="93">
        <v>0</v>
      </c>
      <c r="U306" s="93">
        <v>0</v>
      </c>
      <c r="V306" s="93">
        <v>0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2">
        <v>2020</v>
      </c>
    </row>
    <row r="307" spans="1:28" s="1" customFormat="1" ht="35.25" customHeight="1" x14ac:dyDescent="0.5">
      <c r="A307" s="1">
        <v>1</v>
      </c>
      <c r="B307" s="39">
        <f>SUBTOTAL(103,$A$11:A307)</f>
        <v>292</v>
      </c>
      <c r="C307" s="86" t="s">
        <v>775</v>
      </c>
      <c r="D307" s="87">
        <f t="shared" si="12"/>
        <v>380000</v>
      </c>
      <c r="E307" s="93">
        <v>0</v>
      </c>
      <c r="F307" s="93">
        <v>0</v>
      </c>
      <c r="G307" s="93">
        <v>0</v>
      </c>
      <c r="H307" s="93">
        <v>0</v>
      </c>
      <c r="I307" s="93">
        <v>0</v>
      </c>
      <c r="J307" s="93">
        <v>0</v>
      </c>
      <c r="K307" s="94">
        <v>0</v>
      </c>
      <c r="L307" s="93">
        <v>0</v>
      </c>
      <c r="M307" s="93">
        <v>380000</v>
      </c>
      <c r="N307" s="93">
        <v>0</v>
      </c>
      <c r="O307" s="93">
        <v>0</v>
      </c>
      <c r="P307" s="93">
        <v>0</v>
      </c>
      <c r="Q307" s="93">
        <v>0</v>
      </c>
      <c r="R307" s="93">
        <v>0</v>
      </c>
      <c r="S307" s="93">
        <v>0</v>
      </c>
      <c r="T307" s="93">
        <v>0</v>
      </c>
      <c r="U307" s="93">
        <v>0</v>
      </c>
      <c r="V307" s="93">
        <v>0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2">
        <v>2020</v>
      </c>
    </row>
    <row r="308" spans="1:28" s="1" customFormat="1" ht="35.25" customHeight="1" x14ac:dyDescent="0.5">
      <c r="A308" s="1">
        <v>1</v>
      </c>
      <c r="B308" s="39">
        <f>SUBTOTAL(103,$A$11:A308)</f>
        <v>293</v>
      </c>
      <c r="C308" s="86" t="s">
        <v>776</v>
      </c>
      <c r="D308" s="87">
        <f t="shared" si="12"/>
        <v>379775.77</v>
      </c>
      <c r="E308" s="93">
        <v>0</v>
      </c>
      <c r="F308" s="93">
        <v>0</v>
      </c>
      <c r="G308" s="93">
        <v>0</v>
      </c>
      <c r="H308" s="93">
        <v>0</v>
      </c>
      <c r="I308" s="93">
        <v>0</v>
      </c>
      <c r="J308" s="93">
        <v>0</v>
      </c>
      <c r="K308" s="94">
        <v>0</v>
      </c>
      <c r="L308" s="93">
        <v>0</v>
      </c>
      <c r="M308" s="93">
        <v>379775.77</v>
      </c>
      <c r="N308" s="93">
        <v>0</v>
      </c>
      <c r="O308" s="93">
        <v>0</v>
      </c>
      <c r="P308" s="93">
        <v>0</v>
      </c>
      <c r="Q308" s="93">
        <v>0</v>
      </c>
      <c r="R308" s="93">
        <v>0</v>
      </c>
      <c r="S308" s="93">
        <v>0</v>
      </c>
      <c r="T308" s="93">
        <v>0</v>
      </c>
      <c r="U308" s="93">
        <v>0</v>
      </c>
      <c r="V308" s="93">
        <v>0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2">
        <v>2020</v>
      </c>
    </row>
    <row r="309" spans="1:28" s="1" customFormat="1" ht="35.25" customHeight="1" x14ac:dyDescent="0.5">
      <c r="A309" s="1">
        <v>1</v>
      </c>
      <c r="B309" s="39">
        <f>SUBTOTAL(103,$A$11:A309)</f>
        <v>294</v>
      </c>
      <c r="C309" s="86" t="s">
        <v>777</v>
      </c>
      <c r="D309" s="87">
        <f t="shared" si="12"/>
        <v>220000</v>
      </c>
      <c r="E309" s="93">
        <v>0</v>
      </c>
      <c r="F309" s="93">
        <v>0</v>
      </c>
      <c r="G309" s="93">
        <v>0</v>
      </c>
      <c r="H309" s="93">
        <v>0</v>
      </c>
      <c r="I309" s="93">
        <v>0</v>
      </c>
      <c r="J309" s="93">
        <v>0</v>
      </c>
      <c r="K309" s="94">
        <v>0</v>
      </c>
      <c r="L309" s="93">
        <v>0</v>
      </c>
      <c r="M309" s="93">
        <v>0</v>
      </c>
      <c r="N309" s="93">
        <v>0</v>
      </c>
      <c r="O309" s="93">
        <v>220000</v>
      </c>
      <c r="P309" s="93">
        <v>0</v>
      </c>
      <c r="Q309" s="93">
        <v>0</v>
      </c>
      <c r="R309" s="93">
        <v>0</v>
      </c>
      <c r="S309" s="93">
        <v>0</v>
      </c>
      <c r="T309" s="93">
        <v>0</v>
      </c>
      <c r="U309" s="93">
        <v>0</v>
      </c>
      <c r="V309" s="93">
        <v>0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2">
        <v>2020</v>
      </c>
    </row>
    <row r="310" spans="1:28" s="1" customFormat="1" ht="35.25" customHeight="1" x14ac:dyDescent="0.5">
      <c r="A310" s="1">
        <v>1</v>
      </c>
      <c r="B310" s="39">
        <f>SUBTOTAL(103,$A$11:A310)</f>
        <v>295</v>
      </c>
      <c r="C310" s="86" t="s">
        <v>778</v>
      </c>
      <c r="D310" s="87">
        <f t="shared" si="12"/>
        <v>964015</v>
      </c>
      <c r="E310" s="93">
        <v>0</v>
      </c>
      <c r="F310" s="93">
        <v>0</v>
      </c>
      <c r="G310" s="93">
        <v>0</v>
      </c>
      <c r="H310" s="93">
        <v>0</v>
      </c>
      <c r="I310" s="93">
        <v>0</v>
      </c>
      <c r="J310" s="93">
        <v>0</v>
      </c>
      <c r="K310" s="94">
        <v>0</v>
      </c>
      <c r="L310" s="93">
        <v>0</v>
      </c>
      <c r="M310" s="93">
        <v>0</v>
      </c>
      <c r="N310" s="93">
        <v>0</v>
      </c>
      <c r="O310" s="93">
        <v>964015</v>
      </c>
      <c r="P310" s="93">
        <v>0</v>
      </c>
      <c r="Q310" s="93">
        <v>0</v>
      </c>
      <c r="R310" s="93">
        <v>0</v>
      </c>
      <c r="S310" s="93">
        <v>0</v>
      </c>
      <c r="T310" s="93">
        <v>0</v>
      </c>
      <c r="U310" s="93">
        <v>0</v>
      </c>
      <c r="V310" s="93">
        <v>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2">
        <v>2020</v>
      </c>
    </row>
    <row r="311" spans="1:28" s="1" customFormat="1" ht="35.25" customHeight="1" x14ac:dyDescent="0.5">
      <c r="A311" s="1">
        <v>1</v>
      </c>
      <c r="B311" s="39">
        <f>SUBTOTAL(103,$A$11:A311)</f>
        <v>296</v>
      </c>
      <c r="C311" s="86" t="s">
        <v>779</v>
      </c>
      <c r="D311" s="87">
        <f t="shared" si="12"/>
        <v>290444</v>
      </c>
      <c r="E311" s="93">
        <v>0</v>
      </c>
      <c r="F311" s="93">
        <v>0</v>
      </c>
      <c r="G311" s="93">
        <v>0</v>
      </c>
      <c r="H311" s="93">
        <v>0</v>
      </c>
      <c r="I311" s="93">
        <v>0</v>
      </c>
      <c r="J311" s="93">
        <v>0</v>
      </c>
      <c r="K311" s="94">
        <v>0</v>
      </c>
      <c r="L311" s="93">
        <v>0</v>
      </c>
      <c r="M311" s="93">
        <v>290444</v>
      </c>
      <c r="N311" s="93">
        <v>0</v>
      </c>
      <c r="O311" s="93">
        <v>0</v>
      </c>
      <c r="P311" s="93">
        <v>0</v>
      </c>
      <c r="Q311" s="93">
        <v>0</v>
      </c>
      <c r="R311" s="93">
        <v>0</v>
      </c>
      <c r="S311" s="93">
        <v>0</v>
      </c>
      <c r="T311" s="93">
        <v>0</v>
      </c>
      <c r="U311" s="93">
        <v>0</v>
      </c>
      <c r="V311" s="93">
        <v>0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2">
        <v>2020</v>
      </c>
    </row>
    <row r="312" spans="1:28" s="1" customFormat="1" ht="35.25" customHeight="1" x14ac:dyDescent="0.5">
      <c r="A312" s="1">
        <v>1</v>
      </c>
      <c r="B312" s="39">
        <f>SUBTOTAL(103,$A$11:A312)</f>
        <v>297</v>
      </c>
      <c r="C312" s="86" t="s">
        <v>780</v>
      </c>
      <c r="D312" s="87">
        <f t="shared" si="12"/>
        <v>897533</v>
      </c>
      <c r="E312" s="93">
        <v>0</v>
      </c>
      <c r="F312" s="93">
        <v>0</v>
      </c>
      <c r="G312" s="93">
        <v>0</v>
      </c>
      <c r="H312" s="93">
        <v>0</v>
      </c>
      <c r="I312" s="93">
        <v>0</v>
      </c>
      <c r="J312" s="93">
        <v>0</v>
      </c>
      <c r="K312" s="94">
        <v>0</v>
      </c>
      <c r="L312" s="93">
        <v>0</v>
      </c>
      <c r="M312" s="93">
        <v>0</v>
      </c>
      <c r="N312" s="93">
        <v>0</v>
      </c>
      <c r="O312" s="93">
        <v>897533</v>
      </c>
      <c r="P312" s="93">
        <v>0</v>
      </c>
      <c r="Q312" s="93">
        <v>0</v>
      </c>
      <c r="R312" s="93">
        <v>0</v>
      </c>
      <c r="S312" s="93">
        <v>0</v>
      </c>
      <c r="T312" s="93">
        <v>0</v>
      </c>
      <c r="U312" s="93">
        <v>0</v>
      </c>
      <c r="V312" s="93">
        <v>0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2">
        <v>2020</v>
      </c>
    </row>
    <row r="313" spans="1:28" s="1" customFormat="1" ht="35.25" customHeight="1" x14ac:dyDescent="0.5">
      <c r="A313" s="1">
        <v>1</v>
      </c>
      <c r="B313" s="39">
        <f>SUBTOTAL(103,$A$11:A313)</f>
        <v>298</v>
      </c>
      <c r="C313" s="86" t="s">
        <v>781</v>
      </c>
      <c r="D313" s="87">
        <f t="shared" si="12"/>
        <v>706818.62</v>
      </c>
      <c r="E313" s="93">
        <v>0</v>
      </c>
      <c r="F313" s="93">
        <v>0</v>
      </c>
      <c r="G313" s="93">
        <v>0</v>
      </c>
      <c r="H313" s="93">
        <v>0</v>
      </c>
      <c r="I313" s="93">
        <v>0</v>
      </c>
      <c r="J313" s="93">
        <v>0</v>
      </c>
      <c r="K313" s="94">
        <v>0</v>
      </c>
      <c r="L313" s="93">
        <v>0</v>
      </c>
      <c r="M313" s="93">
        <v>498818.62</v>
      </c>
      <c r="N313" s="93">
        <v>0</v>
      </c>
      <c r="O313" s="93">
        <v>208000</v>
      </c>
      <c r="P313" s="93">
        <v>0</v>
      </c>
      <c r="Q313" s="93">
        <v>0</v>
      </c>
      <c r="R313" s="93">
        <v>0</v>
      </c>
      <c r="S313" s="93">
        <v>0</v>
      </c>
      <c r="T313" s="93">
        <v>0</v>
      </c>
      <c r="U313" s="93">
        <v>0</v>
      </c>
      <c r="V313" s="93">
        <v>0</v>
      </c>
      <c r="W313" s="93">
        <v>0</v>
      </c>
      <c r="X313" s="93">
        <v>0</v>
      </c>
      <c r="Y313" s="93">
        <v>0</v>
      </c>
      <c r="Z313" s="93">
        <v>0</v>
      </c>
      <c r="AA313" s="93">
        <v>0</v>
      </c>
      <c r="AB313" s="92">
        <v>2020</v>
      </c>
    </row>
    <row r="314" spans="1:28" s="1" customFormat="1" ht="35.25" customHeight="1" x14ac:dyDescent="0.5">
      <c r="A314" s="1">
        <v>1</v>
      </c>
      <c r="B314" s="39">
        <f>SUBTOTAL(103,$A$11:A314)</f>
        <v>299</v>
      </c>
      <c r="C314" s="86" t="s">
        <v>782</v>
      </c>
      <c r="D314" s="87">
        <f t="shared" si="12"/>
        <v>444403</v>
      </c>
      <c r="E314" s="93">
        <v>0</v>
      </c>
      <c r="F314" s="93">
        <v>0</v>
      </c>
      <c r="G314" s="93">
        <v>0</v>
      </c>
      <c r="H314" s="93">
        <v>0</v>
      </c>
      <c r="I314" s="93">
        <v>0</v>
      </c>
      <c r="J314" s="93">
        <v>0</v>
      </c>
      <c r="K314" s="94">
        <v>0</v>
      </c>
      <c r="L314" s="93">
        <v>0</v>
      </c>
      <c r="M314" s="93">
        <v>444403</v>
      </c>
      <c r="N314" s="93">
        <v>0</v>
      </c>
      <c r="O314" s="93">
        <v>0</v>
      </c>
      <c r="P314" s="93">
        <v>0</v>
      </c>
      <c r="Q314" s="93">
        <v>0</v>
      </c>
      <c r="R314" s="93">
        <v>0</v>
      </c>
      <c r="S314" s="93">
        <v>0</v>
      </c>
      <c r="T314" s="93">
        <v>0</v>
      </c>
      <c r="U314" s="93">
        <v>0</v>
      </c>
      <c r="V314" s="93">
        <v>0</v>
      </c>
      <c r="W314" s="93">
        <v>0</v>
      </c>
      <c r="X314" s="93">
        <v>0</v>
      </c>
      <c r="Y314" s="93">
        <v>0</v>
      </c>
      <c r="Z314" s="93">
        <v>0</v>
      </c>
      <c r="AA314" s="93">
        <v>0</v>
      </c>
      <c r="AB314" s="92">
        <v>2020</v>
      </c>
    </row>
    <row r="315" spans="1:28" s="1" customFormat="1" ht="35.25" customHeight="1" x14ac:dyDescent="0.5">
      <c r="A315" s="1">
        <v>1</v>
      </c>
      <c r="B315" s="39">
        <f>SUBTOTAL(103,$A$11:A315)</f>
        <v>300</v>
      </c>
      <c r="C315" s="86" t="s">
        <v>783</v>
      </c>
      <c r="D315" s="87">
        <f t="shared" si="12"/>
        <v>379619</v>
      </c>
      <c r="E315" s="93">
        <v>0</v>
      </c>
      <c r="F315" s="93">
        <v>0</v>
      </c>
      <c r="G315" s="93">
        <v>0</v>
      </c>
      <c r="H315" s="93">
        <v>0</v>
      </c>
      <c r="I315" s="93">
        <v>0</v>
      </c>
      <c r="J315" s="93">
        <v>0</v>
      </c>
      <c r="K315" s="94">
        <v>0</v>
      </c>
      <c r="L315" s="93">
        <v>0</v>
      </c>
      <c r="M315" s="93">
        <v>0</v>
      </c>
      <c r="N315" s="93">
        <v>0</v>
      </c>
      <c r="O315" s="93">
        <v>0</v>
      </c>
      <c r="P315" s="93">
        <v>379619</v>
      </c>
      <c r="Q315" s="93">
        <v>0</v>
      </c>
      <c r="R315" s="93">
        <v>0</v>
      </c>
      <c r="S315" s="93">
        <v>0</v>
      </c>
      <c r="T315" s="93">
        <v>0</v>
      </c>
      <c r="U315" s="93">
        <v>0</v>
      </c>
      <c r="V315" s="93">
        <v>0</v>
      </c>
      <c r="W315" s="93">
        <v>0</v>
      </c>
      <c r="X315" s="93">
        <v>0</v>
      </c>
      <c r="Y315" s="93">
        <v>0</v>
      </c>
      <c r="Z315" s="93">
        <v>0</v>
      </c>
      <c r="AA315" s="93">
        <v>0</v>
      </c>
      <c r="AB315" s="92">
        <v>2020</v>
      </c>
    </row>
    <row r="316" spans="1:28" s="1" customFormat="1" ht="35.25" customHeight="1" x14ac:dyDescent="0.5">
      <c r="A316" s="1">
        <v>1</v>
      </c>
      <c r="B316" s="39">
        <f>SUBTOTAL(103,$A$11:A316)</f>
        <v>301</v>
      </c>
      <c r="C316" s="86" t="s">
        <v>784</v>
      </c>
      <c r="D316" s="87">
        <f t="shared" si="12"/>
        <v>796865</v>
      </c>
      <c r="E316" s="93">
        <v>0</v>
      </c>
      <c r="F316" s="93">
        <v>0</v>
      </c>
      <c r="G316" s="93">
        <v>0</v>
      </c>
      <c r="H316" s="93">
        <v>0</v>
      </c>
      <c r="I316" s="93">
        <v>0</v>
      </c>
      <c r="J316" s="93">
        <v>0</v>
      </c>
      <c r="K316" s="94">
        <v>0</v>
      </c>
      <c r="L316" s="93">
        <v>0</v>
      </c>
      <c r="M316" s="93">
        <v>796865</v>
      </c>
      <c r="N316" s="93">
        <v>0</v>
      </c>
      <c r="O316" s="93">
        <v>0</v>
      </c>
      <c r="P316" s="93">
        <v>0</v>
      </c>
      <c r="Q316" s="93">
        <v>0</v>
      </c>
      <c r="R316" s="93">
        <v>0</v>
      </c>
      <c r="S316" s="93">
        <v>0</v>
      </c>
      <c r="T316" s="93">
        <v>0</v>
      </c>
      <c r="U316" s="93">
        <v>0</v>
      </c>
      <c r="V316" s="93">
        <v>0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2">
        <v>2020</v>
      </c>
    </row>
    <row r="317" spans="1:28" s="1" customFormat="1" ht="35.25" customHeight="1" x14ac:dyDescent="0.5">
      <c r="A317" s="1">
        <v>1</v>
      </c>
      <c r="B317" s="39">
        <f>SUBTOTAL(103,$A$11:A317)</f>
        <v>302</v>
      </c>
      <c r="C317" s="86" t="s">
        <v>785</v>
      </c>
      <c r="D317" s="87">
        <f t="shared" si="12"/>
        <v>363729</v>
      </c>
      <c r="E317" s="93">
        <v>0</v>
      </c>
      <c r="F317" s="93">
        <v>0</v>
      </c>
      <c r="G317" s="93">
        <v>0</v>
      </c>
      <c r="H317" s="93">
        <v>0</v>
      </c>
      <c r="I317" s="93">
        <v>0</v>
      </c>
      <c r="J317" s="93">
        <v>0</v>
      </c>
      <c r="K317" s="94">
        <v>0</v>
      </c>
      <c r="L317" s="93">
        <v>0</v>
      </c>
      <c r="M317" s="93">
        <v>363729</v>
      </c>
      <c r="N317" s="93">
        <v>0</v>
      </c>
      <c r="O317" s="93">
        <v>0</v>
      </c>
      <c r="P317" s="93">
        <v>0</v>
      </c>
      <c r="Q317" s="93">
        <v>0</v>
      </c>
      <c r="R317" s="93">
        <v>0</v>
      </c>
      <c r="S317" s="93">
        <v>0</v>
      </c>
      <c r="T317" s="93">
        <v>0</v>
      </c>
      <c r="U317" s="93">
        <v>0</v>
      </c>
      <c r="V317" s="93">
        <v>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2">
        <v>2020</v>
      </c>
    </row>
    <row r="318" spans="1:28" s="1" customFormat="1" ht="35.25" customHeight="1" x14ac:dyDescent="0.5">
      <c r="A318" s="1">
        <v>1</v>
      </c>
      <c r="B318" s="39">
        <f>SUBTOTAL(103,$A$11:A318)</f>
        <v>303</v>
      </c>
      <c r="C318" s="86" t="s">
        <v>786</v>
      </c>
      <c r="D318" s="87">
        <f t="shared" si="12"/>
        <v>294325</v>
      </c>
      <c r="E318" s="93">
        <v>0</v>
      </c>
      <c r="F318" s="93">
        <v>0</v>
      </c>
      <c r="G318" s="93">
        <v>0</v>
      </c>
      <c r="H318" s="93">
        <v>0</v>
      </c>
      <c r="I318" s="93">
        <v>0</v>
      </c>
      <c r="J318" s="93">
        <v>0</v>
      </c>
      <c r="K318" s="94">
        <v>0</v>
      </c>
      <c r="L318" s="93">
        <v>0</v>
      </c>
      <c r="M318" s="93">
        <v>0</v>
      </c>
      <c r="N318" s="93">
        <v>0</v>
      </c>
      <c r="O318" s="93">
        <v>294325</v>
      </c>
      <c r="P318" s="93">
        <v>0</v>
      </c>
      <c r="Q318" s="93">
        <v>0</v>
      </c>
      <c r="R318" s="93">
        <v>0</v>
      </c>
      <c r="S318" s="93">
        <v>0</v>
      </c>
      <c r="T318" s="93">
        <v>0</v>
      </c>
      <c r="U318" s="93">
        <v>0</v>
      </c>
      <c r="V318" s="93">
        <v>0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2">
        <v>2020</v>
      </c>
    </row>
    <row r="319" spans="1:28" s="1" customFormat="1" ht="35.25" customHeight="1" x14ac:dyDescent="0.5">
      <c r="A319" s="1">
        <v>1</v>
      </c>
      <c r="B319" s="39">
        <f>SUBTOTAL(103,$A$11:A319)</f>
        <v>304</v>
      </c>
      <c r="C319" s="86" t="s">
        <v>787</v>
      </c>
      <c r="D319" s="87">
        <f t="shared" si="12"/>
        <v>412286</v>
      </c>
      <c r="E319" s="93">
        <v>0</v>
      </c>
      <c r="F319" s="93">
        <v>0</v>
      </c>
      <c r="G319" s="93">
        <v>0</v>
      </c>
      <c r="H319" s="93">
        <v>0</v>
      </c>
      <c r="I319" s="93">
        <v>0</v>
      </c>
      <c r="J319" s="93">
        <v>0</v>
      </c>
      <c r="K319" s="94">
        <v>0</v>
      </c>
      <c r="L319" s="93">
        <v>0</v>
      </c>
      <c r="M319" s="93">
        <v>0</v>
      </c>
      <c r="N319" s="93">
        <v>0</v>
      </c>
      <c r="O319" s="93">
        <v>412286</v>
      </c>
      <c r="P319" s="93">
        <v>0</v>
      </c>
      <c r="Q319" s="93">
        <v>0</v>
      </c>
      <c r="R319" s="93">
        <v>0</v>
      </c>
      <c r="S319" s="93">
        <v>0</v>
      </c>
      <c r="T319" s="93">
        <v>0</v>
      </c>
      <c r="U319" s="93">
        <v>0</v>
      </c>
      <c r="V319" s="93">
        <v>0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2">
        <v>2020</v>
      </c>
    </row>
    <row r="320" spans="1:28" s="1" customFormat="1" ht="35.25" customHeight="1" x14ac:dyDescent="0.5">
      <c r="A320" s="1">
        <v>1</v>
      </c>
      <c r="B320" s="39">
        <f>SUBTOTAL(103,$A$11:A320)</f>
        <v>305</v>
      </c>
      <c r="C320" s="86" t="s">
        <v>788</v>
      </c>
      <c r="D320" s="87">
        <f t="shared" si="12"/>
        <v>544685</v>
      </c>
      <c r="E320" s="93">
        <v>0</v>
      </c>
      <c r="F320" s="93">
        <v>0</v>
      </c>
      <c r="G320" s="93">
        <v>0</v>
      </c>
      <c r="H320" s="93">
        <v>0</v>
      </c>
      <c r="I320" s="93">
        <v>0</v>
      </c>
      <c r="J320" s="93">
        <v>0</v>
      </c>
      <c r="K320" s="94">
        <v>0</v>
      </c>
      <c r="L320" s="93">
        <v>0</v>
      </c>
      <c r="M320" s="93">
        <v>0</v>
      </c>
      <c r="N320" s="93">
        <v>0</v>
      </c>
      <c r="O320" s="93">
        <v>544685</v>
      </c>
      <c r="P320" s="93">
        <v>0</v>
      </c>
      <c r="Q320" s="93">
        <v>0</v>
      </c>
      <c r="R320" s="93">
        <v>0</v>
      </c>
      <c r="S320" s="93">
        <v>0</v>
      </c>
      <c r="T320" s="93">
        <v>0</v>
      </c>
      <c r="U320" s="93">
        <v>0</v>
      </c>
      <c r="V320" s="93">
        <v>0</v>
      </c>
      <c r="W320" s="93">
        <v>0</v>
      </c>
      <c r="X320" s="93">
        <v>0</v>
      </c>
      <c r="Y320" s="93">
        <v>0</v>
      </c>
      <c r="Z320" s="93">
        <v>0</v>
      </c>
      <c r="AA320" s="93">
        <v>0</v>
      </c>
      <c r="AB320" s="92">
        <v>2020</v>
      </c>
    </row>
    <row r="321" spans="1:28" s="1" customFormat="1" ht="35.25" customHeight="1" x14ac:dyDescent="0.5">
      <c r="A321" s="1">
        <v>1</v>
      </c>
      <c r="B321" s="39">
        <f>SUBTOTAL(103,$A$11:A321)</f>
        <v>306</v>
      </c>
      <c r="C321" s="86" t="s">
        <v>789</v>
      </c>
      <c r="D321" s="87">
        <f>E321+F321+G321+H321+I321+J321+L321+M321+N321+O321+P321+Q321+R321+S321+T321+U321+V321+W321+X321+Y321+Z321+AA321</f>
        <v>48000</v>
      </c>
      <c r="E321" s="93">
        <v>0</v>
      </c>
      <c r="F321" s="93">
        <v>0</v>
      </c>
      <c r="G321" s="93">
        <v>48000</v>
      </c>
      <c r="H321" s="93">
        <v>0</v>
      </c>
      <c r="I321" s="93">
        <v>0</v>
      </c>
      <c r="J321" s="93">
        <v>0</v>
      </c>
      <c r="K321" s="94">
        <v>0</v>
      </c>
      <c r="L321" s="93">
        <v>0</v>
      </c>
      <c r="M321" s="93">
        <v>0</v>
      </c>
      <c r="N321" s="93">
        <v>0</v>
      </c>
      <c r="O321" s="93">
        <v>0</v>
      </c>
      <c r="P321" s="93">
        <v>0</v>
      </c>
      <c r="Q321" s="93">
        <v>0</v>
      </c>
      <c r="R321" s="93">
        <v>0</v>
      </c>
      <c r="S321" s="93">
        <v>0</v>
      </c>
      <c r="T321" s="93">
        <v>0</v>
      </c>
      <c r="U321" s="93">
        <v>0</v>
      </c>
      <c r="V321" s="93">
        <v>0</v>
      </c>
      <c r="W321" s="93">
        <v>0</v>
      </c>
      <c r="X321" s="93">
        <v>0</v>
      </c>
      <c r="Y321" s="93">
        <v>0</v>
      </c>
      <c r="Z321" s="93">
        <v>0</v>
      </c>
      <c r="AA321" s="93">
        <v>0</v>
      </c>
      <c r="AB321" s="92">
        <v>2020</v>
      </c>
    </row>
    <row r="322" spans="1:28" s="1" customFormat="1" ht="35.25" customHeight="1" x14ac:dyDescent="0.5">
      <c r="A322" s="1">
        <v>1</v>
      </c>
      <c r="B322" s="39">
        <f>SUBTOTAL(103,$A$11:A322)</f>
        <v>307</v>
      </c>
      <c r="C322" s="86" t="s">
        <v>790</v>
      </c>
      <c r="D322" s="87">
        <f>E322+F322+G322+H322+I322+J322+L322+M322+N322+O322+P322+Q322+R322+S322+T322+U322+V322+W322+X322+Y322+Z322+AA322</f>
        <v>46128</v>
      </c>
      <c r="E322" s="93">
        <v>0</v>
      </c>
      <c r="F322" s="93">
        <v>0</v>
      </c>
      <c r="G322" s="93">
        <v>46128</v>
      </c>
      <c r="H322" s="93">
        <v>0</v>
      </c>
      <c r="I322" s="93">
        <v>0</v>
      </c>
      <c r="J322" s="93">
        <v>0</v>
      </c>
      <c r="K322" s="94">
        <v>0</v>
      </c>
      <c r="L322" s="93">
        <v>0</v>
      </c>
      <c r="M322" s="93">
        <v>0</v>
      </c>
      <c r="N322" s="93">
        <v>0</v>
      </c>
      <c r="O322" s="93">
        <v>0</v>
      </c>
      <c r="P322" s="93">
        <v>0</v>
      </c>
      <c r="Q322" s="93">
        <v>0</v>
      </c>
      <c r="R322" s="93">
        <v>0</v>
      </c>
      <c r="S322" s="93">
        <v>0</v>
      </c>
      <c r="T322" s="93">
        <v>0</v>
      </c>
      <c r="U322" s="93">
        <v>0</v>
      </c>
      <c r="V322" s="93">
        <v>0</v>
      </c>
      <c r="W322" s="93">
        <v>0</v>
      </c>
      <c r="X322" s="93">
        <v>0</v>
      </c>
      <c r="Y322" s="93">
        <v>0</v>
      </c>
      <c r="Z322" s="93">
        <v>0</v>
      </c>
      <c r="AA322" s="93">
        <v>0</v>
      </c>
      <c r="AB322" s="92">
        <v>2020</v>
      </c>
    </row>
    <row r="323" spans="1:28" s="1" customFormat="1" ht="35.25" customHeight="1" x14ac:dyDescent="0.5">
      <c r="A323" s="1">
        <v>1</v>
      </c>
      <c r="B323" s="39">
        <f>SUBTOTAL(103,$A$11:A323)</f>
        <v>308</v>
      </c>
      <c r="C323" s="86" t="s">
        <v>791</v>
      </c>
      <c r="D323" s="87">
        <f>E323+F323+G323+H323+I323+J323+L323+M323+N323+O323+P323+Q323+R323+S323+T323+U323+V323+W323+X323+Y323+Z323+AA323</f>
        <v>46128</v>
      </c>
      <c r="E323" s="93">
        <v>0</v>
      </c>
      <c r="F323" s="93">
        <v>0</v>
      </c>
      <c r="G323" s="93">
        <v>46128</v>
      </c>
      <c r="H323" s="93">
        <v>0</v>
      </c>
      <c r="I323" s="93">
        <v>0</v>
      </c>
      <c r="J323" s="93">
        <v>0</v>
      </c>
      <c r="K323" s="94">
        <v>0</v>
      </c>
      <c r="L323" s="93">
        <v>0</v>
      </c>
      <c r="M323" s="93">
        <v>0</v>
      </c>
      <c r="N323" s="93">
        <v>0</v>
      </c>
      <c r="O323" s="93">
        <v>0</v>
      </c>
      <c r="P323" s="93">
        <v>0</v>
      </c>
      <c r="Q323" s="93">
        <v>0</v>
      </c>
      <c r="R323" s="93">
        <v>0</v>
      </c>
      <c r="S323" s="93">
        <v>0</v>
      </c>
      <c r="T323" s="93">
        <v>0</v>
      </c>
      <c r="U323" s="93">
        <v>0</v>
      </c>
      <c r="V323" s="93">
        <v>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2">
        <v>2020</v>
      </c>
    </row>
    <row r="324" spans="1:28" s="1" customFormat="1" ht="35.25" customHeight="1" x14ac:dyDescent="0.5">
      <c r="A324" s="1">
        <v>1</v>
      </c>
      <c r="B324" s="39">
        <f>SUBTOTAL(103,$A$11:A324)</f>
        <v>309</v>
      </c>
      <c r="C324" s="86" t="s">
        <v>792</v>
      </c>
      <c r="D324" s="87">
        <v>1146813</v>
      </c>
      <c r="E324" s="93">
        <v>0</v>
      </c>
      <c r="F324" s="93">
        <v>0</v>
      </c>
      <c r="G324" s="93">
        <v>0</v>
      </c>
      <c r="H324" s="93">
        <v>0</v>
      </c>
      <c r="I324" s="93">
        <v>0</v>
      </c>
      <c r="J324" s="93">
        <v>0</v>
      </c>
      <c r="K324" s="94">
        <v>0</v>
      </c>
      <c r="L324" s="93">
        <v>0</v>
      </c>
      <c r="M324" s="93">
        <v>1146813</v>
      </c>
      <c r="N324" s="93">
        <v>0</v>
      </c>
      <c r="O324" s="93">
        <v>0</v>
      </c>
      <c r="P324" s="93">
        <v>0</v>
      </c>
      <c r="Q324" s="93">
        <v>0</v>
      </c>
      <c r="R324" s="93">
        <v>0</v>
      </c>
      <c r="S324" s="93">
        <v>0</v>
      </c>
      <c r="T324" s="93">
        <v>0</v>
      </c>
      <c r="U324" s="93">
        <v>0</v>
      </c>
      <c r="V324" s="93">
        <v>0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2">
        <v>2020</v>
      </c>
    </row>
    <row r="325" spans="1:28" s="1" customFormat="1" ht="35.25" customHeight="1" x14ac:dyDescent="0.5">
      <c r="A325" s="1">
        <v>1</v>
      </c>
      <c r="B325" s="39">
        <f>SUBTOTAL(103,$A$11:A325)</f>
        <v>310</v>
      </c>
      <c r="C325" s="86" t="s">
        <v>793</v>
      </c>
      <c r="D325" s="87">
        <f>E325+F325+G325+H325+I325+J325+L325+M325+N325+O325+P325+Q325+R325+S325+T325+U325+V325+W325+X325+Y325+Z325+AA325</f>
        <v>1198042.8500000001</v>
      </c>
      <c r="E325" s="93">
        <v>0</v>
      </c>
      <c r="F325" s="93">
        <v>0</v>
      </c>
      <c r="G325" s="93">
        <v>0</v>
      </c>
      <c r="H325" s="93">
        <v>0</v>
      </c>
      <c r="I325" s="93">
        <v>0</v>
      </c>
      <c r="J325" s="93">
        <v>0</v>
      </c>
      <c r="K325" s="94">
        <v>0</v>
      </c>
      <c r="L325" s="93">
        <v>0</v>
      </c>
      <c r="M325" s="93">
        <v>0</v>
      </c>
      <c r="N325" s="93">
        <v>0</v>
      </c>
      <c r="O325" s="93">
        <v>1198042.8500000001</v>
      </c>
      <c r="P325" s="93">
        <v>0</v>
      </c>
      <c r="Q325" s="93">
        <v>0</v>
      </c>
      <c r="R325" s="93">
        <v>0</v>
      </c>
      <c r="S325" s="93">
        <v>0</v>
      </c>
      <c r="T325" s="93">
        <v>0</v>
      </c>
      <c r="U325" s="93">
        <v>0</v>
      </c>
      <c r="V325" s="93">
        <v>0</v>
      </c>
      <c r="W325" s="93">
        <v>0</v>
      </c>
      <c r="X325" s="93">
        <v>0</v>
      </c>
      <c r="Y325" s="93">
        <v>0</v>
      </c>
      <c r="Z325" s="93">
        <v>0</v>
      </c>
      <c r="AA325" s="93">
        <v>0</v>
      </c>
      <c r="AB325" s="92">
        <v>2020</v>
      </c>
    </row>
    <row r="326" spans="1:28" s="1" customFormat="1" ht="35.25" customHeight="1" x14ac:dyDescent="0.5">
      <c r="B326" s="86" t="s">
        <v>508</v>
      </c>
      <c r="C326" s="86"/>
      <c r="D326" s="87">
        <f t="shared" ref="D326:AA326" si="13">SUM(D327:D330)</f>
        <v>1368433</v>
      </c>
      <c r="E326" s="87">
        <f t="shared" si="13"/>
        <v>0</v>
      </c>
      <c r="F326" s="87">
        <f t="shared" si="13"/>
        <v>0</v>
      </c>
      <c r="G326" s="87">
        <f t="shared" si="13"/>
        <v>0</v>
      </c>
      <c r="H326" s="87">
        <f t="shared" si="13"/>
        <v>0</v>
      </c>
      <c r="I326" s="87">
        <f t="shared" si="13"/>
        <v>914164</v>
      </c>
      <c r="J326" s="87">
        <f t="shared" si="13"/>
        <v>0</v>
      </c>
      <c r="K326" s="88">
        <f t="shared" si="13"/>
        <v>0</v>
      </c>
      <c r="L326" s="87">
        <f t="shared" si="13"/>
        <v>0</v>
      </c>
      <c r="M326" s="87">
        <f t="shared" si="13"/>
        <v>0</v>
      </c>
      <c r="N326" s="87">
        <f t="shared" si="13"/>
        <v>0</v>
      </c>
      <c r="O326" s="87">
        <f t="shared" si="13"/>
        <v>454269</v>
      </c>
      <c r="P326" s="87">
        <f t="shared" si="13"/>
        <v>0</v>
      </c>
      <c r="Q326" s="87">
        <f t="shared" si="13"/>
        <v>0</v>
      </c>
      <c r="R326" s="87">
        <f t="shared" si="13"/>
        <v>0</v>
      </c>
      <c r="S326" s="87">
        <f t="shared" si="13"/>
        <v>0</v>
      </c>
      <c r="T326" s="87">
        <f t="shared" si="13"/>
        <v>0</v>
      </c>
      <c r="U326" s="87">
        <f t="shared" si="13"/>
        <v>0</v>
      </c>
      <c r="V326" s="87">
        <f t="shared" si="13"/>
        <v>0</v>
      </c>
      <c r="W326" s="87">
        <f t="shared" si="13"/>
        <v>0</v>
      </c>
      <c r="X326" s="87">
        <f t="shared" si="13"/>
        <v>0</v>
      </c>
      <c r="Y326" s="87">
        <f t="shared" si="13"/>
        <v>0</v>
      </c>
      <c r="Z326" s="87">
        <f t="shared" si="13"/>
        <v>0</v>
      </c>
      <c r="AA326" s="87">
        <f t="shared" si="13"/>
        <v>0</v>
      </c>
      <c r="AB326" s="89" t="s">
        <v>131</v>
      </c>
    </row>
    <row r="327" spans="1:28" s="1" customFormat="1" ht="35.25" customHeight="1" x14ac:dyDescent="0.5">
      <c r="A327" s="1">
        <v>1</v>
      </c>
      <c r="B327" s="39">
        <f>SUBTOTAL(103,$A$11:A327)</f>
        <v>311</v>
      </c>
      <c r="C327" s="86" t="s">
        <v>509</v>
      </c>
      <c r="D327" s="87">
        <f>E327+F327+G327+H327+I327+J327+L327+M327+N327+O327+P327+Q327+R327+S327+T327+U327+V327+W327+X327+Y327+Z327+AA327</f>
        <v>228541</v>
      </c>
      <c r="E327" s="90">
        <v>0</v>
      </c>
      <c r="F327" s="90">
        <v>0</v>
      </c>
      <c r="G327" s="90">
        <v>0</v>
      </c>
      <c r="H327" s="90">
        <v>0</v>
      </c>
      <c r="I327" s="90">
        <v>228541</v>
      </c>
      <c r="J327" s="90">
        <v>0</v>
      </c>
      <c r="K327" s="91">
        <v>0</v>
      </c>
      <c r="L327" s="90">
        <v>0</v>
      </c>
      <c r="M327" s="90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0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2">
        <v>2020</v>
      </c>
    </row>
    <row r="328" spans="1:28" s="1" customFormat="1" ht="35.25" customHeight="1" x14ac:dyDescent="0.5">
      <c r="A328" s="1">
        <v>1</v>
      </c>
      <c r="B328" s="39">
        <f>SUBTOTAL(103,$A$11:A328)</f>
        <v>312</v>
      </c>
      <c r="C328" s="86" t="s">
        <v>510</v>
      </c>
      <c r="D328" s="87">
        <f>E328+F328+G328+H328+I328+J328+L328+M328+N328+O328+P328+Q328+R328+S328+T328+U328+V328+W328+X328+Y328+Z328+AA328</f>
        <v>228541</v>
      </c>
      <c r="E328" s="90">
        <v>0</v>
      </c>
      <c r="F328" s="90">
        <v>0</v>
      </c>
      <c r="G328" s="90">
        <v>0</v>
      </c>
      <c r="H328" s="90">
        <v>0</v>
      </c>
      <c r="I328" s="90">
        <v>228541</v>
      </c>
      <c r="J328" s="90">
        <v>0</v>
      </c>
      <c r="K328" s="91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2">
        <v>2020</v>
      </c>
    </row>
    <row r="329" spans="1:28" s="1" customFormat="1" ht="35.25" customHeight="1" x14ac:dyDescent="0.5">
      <c r="A329" s="1">
        <v>1</v>
      </c>
      <c r="B329" s="39">
        <f>SUBTOTAL(103,$A$11:A329)</f>
        <v>313</v>
      </c>
      <c r="C329" s="86" t="s">
        <v>511</v>
      </c>
      <c r="D329" s="87">
        <f>E329+F329+G329+H329+I329+J329+L329+M329+N329+O329+P329+Q329+R329+S329+T329+U329+V329+W329+X329+Y329+Z329+AA329</f>
        <v>274766</v>
      </c>
      <c r="E329" s="90">
        <v>0</v>
      </c>
      <c r="F329" s="90">
        <v>0</v>
      </c>
      <c r="G329" s="90">
        <v>0</v>
      </c>
      <c r="H329" s="90">
        <v>0</v>
      </c>
      <c r="I329" s="90">
        <v>228541</v>
      </c>
      <c r="J329" s="90">
        <v>0</v>
      </c>
      <c r="K329" s="91">
        <v>0</v>
      </c>
      <c r="L329" s="90">
        <v>0</v>
      </c>
      <c r="M329" s="90">
        <v>0</v>
      </c>
      <c r="N329" s="90">
        <v>0</v>
      </c>
      <c r="O329" s="90">
        <v>46225</v>
      </c>
      <c r="P329" s="90">
        <v>0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2">
        <v>2020</v>
      </c>
    </row>
    <row r="330" spans="1:28" s="1" customFormat="1" ht="35.25" customHeight="1" x14ac:dyDescent="0.5">
      <c r="A330" s="1">
        <v>1</v>
      </c>
      <c r="B330" s="39">
        <f>SUBTOTAL(103,$A$11:A330)</f>
        <v>314</v>
      </c>
      <c r="C330" s="86" t="s">
        <v>512</v>
      </c>
      <c r="D330" s="87">
        <f>E330+F330+G330+H330+I330+J330+L330+M330+N330+O330+P330+Q330+R330+S330+T330+U330+V330+W330+X330+Y330+Z330+AA330</f>
        <v>636585</v>
      </c>
      <c r="E330" s="90">
        <v>0</v>
      </c>
      <c r="F330" s="90">
        <v>0</v>
      </c>
      <c r="G330" s="90">
        <v>0</v>
      </c>
      <c r="H330" s="90">
        <v>0</v>
      </c>
      <c r="I330" s="90">
        <v>228541</v>
      </c>
      <c r="J330" s="90">
        <v>0</v>
      </c>
      <c r="K330" s="91">
        <v>0</v>
      </c>
      <c r="L330" s="90">
        <v>0</v>
      </c>
      <c r="M330" s="90">
        <v>0</v>
      </c>
      <c r="N330" s="90">
        <v>0</v>
      </c>
      <c r="O330" s="90">
        <v>408044</v>
      </c>
      <c r="P330" s="90">
        <v>0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2">
        <v>2020</v>
      </c>
    </row>
    <row r="331" spans="1:28" s="1" customFormat="1" ht="35.25" customHeight="1" x14ac:dyDescent="0.5">
      <c r="B331" s="86" t="s">
        <v>130</v>
      </c>
      <c r="C331" s="86"/>
      <c r="D331" s="87">
        <f>D332</f>
        <v>797497</v>
      </c>
      <c r="E331" s="87">
        <f t="shared" ref="E331:AA331" si="14">E332</f>
        <v>0</v>
      </c>
      <c r="F331" s="87">
        <f t="shared" si="14"/>
        <v>0</v>
      </c>
      <c r="G331" s="87">
        <f t="shared" si="14"/>
        <v>0</v>
      </c>
      <c r="H331" s="87">
        <f t="shared" si="14"/>
        <v>0</v>
      </c>
      <c r="I331" s="87">
        <f t="shared" si="14"/>
        <v>0</v>
      </c>
      <c r="J331" s="87">
        <f t="shared" si="14"/>
        <v>0</v>
      </c>
      <c r="K331" s="91">
        <f t="shared" si="14"/>
        <v>0</v>
      </c>
      <c r="L331" s="87">
        <f t="shared" si="14"/>
        <v>0</v>
      </c>
      <c r="M331" s="87">
        <f t="shared" si="14"/>
        <v>797497</v>
      </c>
      <c r="N331" s="87">
        <f t="shared" si="14"/>
        <v>0</v>
      </c>
      <c r="O331" s="87">
        <f t="shared" si="14"/>
        <v>0</v>
      </c>
      <c r="P331" s="87">
        <f t="shared" si="14"/>
        <v>0</v>
      </c>
      <c r="Q331" s="87">
        <f t="shared" si="14"/>
        <v>0</v>
      </c>
      <c r="R331" s="87">
        <f t="shared" si="14"/>
        <v>0</v>
      </c>
      <c r="S331" s="87">
        <f t="shared" si="14"/>
        <v>0</v>
      </c>
      <c r="T331" s="87">
        <f t="shared" si="14"/>
        <v>0</v>
      </c>
      <c r="U331" s="87">
        <f t="shared" si="14"/>
        <v>0</v>
      </c>
      <c r="V331" s="87">
        <f t="shared" si="14"/>
        <v>0</v>
      </c>
      <c r="W331" s="87">
        <f t="shared" si="14"/>
        <v>0</v>
      </c>
      <c r="X331" s="87">
        <f t="shared" si="14"/>
        <v>0</v>
      </c>
      <c r="Y331" s="87">
        <f t="shared" si="14"/>
        <v>0</v>
      </c>
      <c r="Z331" s="87">
        <f t="shared" si="14"/>
        <v>0</v>
      </c>
      <c r="AA331" s="87">
        <f t="shared" si="14"/>
        <v>0</v>
      </c>
      <c r="AB331" s="89" t="s">
        <v>131</v>
      </c>
    </row>
    <row r="332" spans="1:28" s="1" customFormat="1" ht="35.25" customHeight="1" x14ac:dyDescent="0.5">
      <c r="A332" s="1">
        <v>1</v>
      </c>
      <c r="B332" s="39">
        <f>SUBTOTAL(103,$A$11:A332)</f>
        <v>315</v>
      </c>
      <c r="C332" s="86" t="s">
        <v>794</v>
      </c>
      <c r="D332" s="87">
        <f>E332+F332+G332+H332+I332+J332+L332+M332+N332+O332+P332+Q332+R332+S332+T332+U332+V332+W332+X332+Y332+Z332+AA332</f>
        <v>797497</v>
      </c>
      <c r="E332" s="87">
        <v>0</v>
      </c>
      <c r="F332" s="87">
        <v>0</v>
      </c>
      <c r="G332" s="87">
        <v>0</v>
      </c>
      <c r="H332" s="87">
        <v>0</v>
      </c>
      <c r="I332" s="87">
        <v>0</v>
      </c>
      <c r="J332" s="87">
        <v>0</v>
      </c>
      <c r="K332" s="91">
        <v>0</v>
      </c>
      <c r="L332" s="87">
        <v>0</v>
      </c>
      <c r="M332" s="90">
        <v>797497</v>
      </c>
      <c r="N332" s="90">
        <v>0</v>
      </c>
      <c r="O332" s="90">
        <v>0</v>
      </c>
      <c r="P332" s="90">
        <v>0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2">
        <v>2020</v>
      </c>
    </row>
    <row r="333" spans="1:28" s="1" customFormat="1" ht="35.25" customHeight="1" x14ac:dyDescent="0.5">
      <c r="B333" s="86" t="s">
        <v>104</v>
      </c>
      <c r="C333" s="86"/>
      <c r="D333" s="87">
        <f>SUM(D334)</f>
        <v>967981.25</v>
      </c>
      <c r="E333" s="87">
        <f t="shared" ref="E333:AA333" si="15">SUM(E334)</f>
        <v>0</v>
      </c>
      <c r="F333" s="87">
        <f t="shared" si="15"/>
        <v>0</v>
      </c>
      <c r="G333" s="87">
        <f t="shared" si="15"/>
        <v>0</v>
      </c>
      <c r="H333" s="87">
        <f t="shared" si="15"/>
        <v>0</v>
      </c>
      <c r="I333" s="87">
        <f t="shared" si="15"/>
        <v>0</v>
      </c>
      <c r="J333" s="87">
        <f t="shared" si="15"/>
        <v>0</v>
      </c>
      <c r="K333" s="91">
        <f t="shared" si="15"/>
        <v>0</v>
      </c>
      <c r="L333" s="87">
        <f t="shared" si="15"/>
        <v>0</v>
      </c>
      <c r="M333" s="87">
        <f t="shared" si="15"/>
        <v>967981.25</v>
      </c>
      <c r="N333" s="87">
        <f t="shared" si="15"/>
        <v>0</v>
      </c>
      <c r="O333" s="87">
        <f t="shared" si="15"/>
        <v>0</v>
      </c>
      <c r="P333" s="87">
        <f t="shared" si="15"/>
        <v>0</v>
      </c>
      <c r="Q333" s="87">
        <f t="shared" si="15"/>
        <v>0</v>
      </c>
      <c r="R333" s="87">
        <f t="shared" si="15"/>
        <v>0</v>
      </c>
      <c r="S333" s="87">
        <f t="shared" si="15"/>
        <v>0</v>
      </c>
      <c r="T333" s="87">
        <f t="shared" si="15"/>
        <v>0</v>
      </c>
      <c r="U333" s="87">
        <f t="shared" si="15"/>
        <v>0</v>
      </c>
      <c r="V333" s="87">
        <f t="shared" si="15"/>
        <v>0</v>
      </c>
      <c r="W333" s="87">
        <f t="shared" si="15"/>
        <v>0</v>
      </c>
      <c r="X333" s="87">
        <f t="shared" si="15"/>
        <v>0</v>
      </c>
      <c r="Y333" s="87">
        <f t="shared" si="15"/>
        <v>0</v>
      </c>
      <c r="Z333" s="87">
        <f t="shared" si="15"/>
        <v>0</v>
      </c>
      <c r="AA333" s="87">
        <f t="shared" si="15"/>
        <v>0</v>
      </c>
      <c r="AB333" s="89" t="s">
        <v>131</v>
      </c>
    </row>
    <row r="334" spans="1:28" s="1" customFormat="1" ht="35.25" customHeight="1" x14ac:dyDescent="0.5">
      <c r="A334" s="1">
        <v>1</v>
      </c>
      <c r="B334" s="39">
        <f>SUBTOTAL(103,$A$11:A334)</f>
        <v>316</v>
      </c>
      <c r="C334" s="86" t="s">
        <v>513</v>
      </c>
      <c r="D334" s="87">
        <f>E334+F334+G334+H334+I334+J334+L334+M334+N334+O334+P334+Q334+R334+S334+T334+U334+V334+W334+X334+Y334+Z334+AA334</f>
        <v>967981.25</v>
      </c>
      <c r="E334" s="90">
        <v>0</v>
      </c>
      <c r="F334" s="90">
        <v>0</v>
      </c>
      <c r="G334" s="90">
        <v>0</v>
      </c>
      <c r="H334" s="90">
        <v>0</v>
      </c>
      <c r="I334" s="90">
        <v>0</v>
      </c>
      <c r="J334" s="90">
        <v>0</v>
      </c>
      <c r="K334" s="91">
        <v>0</v>
      </c>
      <c r="L334" s="90">
        <v>0</v>
      </c>
      <c r="M334" s="90">
        <v>967981.25</v>
      </c>
      <c r="N334" s="90">
        <v>0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2">
        <v>2020</v>
      </c>
    </row>
    <row r="335" spans="1:28" s="1" customFormat="1" ht="35.25" customHeight="1" x14ac:dyDescent="0.5">
      <c r="B335" s="86" t="s">
        <v>108</v>
      </c>
      <c r="C335" s="86"/>
      <c r="D335" s="87">
        <f t="shared" ref="D335:AA335" si="16">SUM(D336:D367)</f>
        <v>29310905.41</v>
      </c>
      <c r="E335" s="87">
        <f t="shared" si="16"/>
        <v>303425.40000000002</v>
      </c>
      <c r="F335" s="87">
        <f t="shared" si="16"/>
        <v>673156.75</v>
      </c>
      <c r="G335" s="87">
        <f t="shared" si="16"/>
        <v>868590.84</v>
      </c>
      <c r="H335" s="87">
        <f t="shared" si="16"/>
        <v>212593.9</v>
      </c>
      <c r="I335" s="87">
        <f t="shared" si="16"/>
        <v>1549375.81</v>
      </c>
      <c r="J335" s="87">
        <f t="shared" si="16"/>
        <v>88420.66</v>
      </c>
      <c r="K335" s="88">
        <f t="shared" si="16"/>
        <v>10</v>
      </c>
      <c r="L335" s="87">
        <f t="shared" si="16"/>
        <v>18571829</v>
      </c>
      <c r="M335" s="87">
        <f t="shared" si="16"/>
        <v>3877975.5900000003</v>
      </c>
      <c r="N335" s="87">
        <f t="shared" si="16"/>
        <v>260392.57</v>
      </c>
      <c r="O335" s="87">
        <f t="shared" si="16"/>
        <v>2905144.89</v>
      </c>
      <c r="P335" s="87">
        <f t="shared" si="16"/>
        <v>0</v>
      </c>
      <c r="Q335" s="87">
        <f t="shared" si="16"/>
        <v>0</v>
      </c>
      <c r="R335" s="87">
        <f t="shared" si="16"/>
        <v>0</v>
      </c>
      <c r="S335" s="87">
        <f t="shared" si="16"/>
        <v>0</v>
      </c>
      <c r="T335" s="87">
        <f t="shared" si="16"/>
        <v>0</v>
      </c>
      <c r="U335" s="87">
        <f t="shared" si="16"/>
        <v>0</v>
      </c>
      <c r="V335" s="87">
        <f t="shared" si="16"/>
        <v>0</v>
      </c>
      <c r="W335" s="87">
        <f t="shared" si="16"/>
        <v>0</v>
      </c>
      <c r="X335" s="87">
        <f t="shared" si="16"/>
        <v>0</v>
      </c>
      <c r="Y335" s="87">
        <f t="shared" si="16"/>
        <v>0</v>
      </c>
      <c r="Z335" s="87">
        <f t="shared" si="16"/>
        <v>0</v>
      </c>
      <c r="AA335" s="87">
        <f t="shared" si="16"/>
        <v>0</v>
      </c>
      <c r="AB335" s="89" t="s">
        <v>131</v>
      </c>
    </row>
    <row r="336" spans="1:28" s="1" customFormat="1" ht="35.25" customHeight="1" x14ac:dyDescent="0.5">
      <c r="A336" s="1">
        <v>1</v>
      </c>
      <c r="B336" s="39">
        <f>SUBTOTAL(103,$A$11:A336)</f>
        <v>317</v>
      </c>
      <c r="C336" s="86" t="s">
        <v>514</v>
      </c>
      <c r="D336" s="87">
        <f>E336+F336+G336+H336+I336+J336+L336+M336+N336+O336+P336+Q336+R336+S336+T336+U336+V336+W336+X336+Y336+Z336+AA336</f>
        <v>78900</v>
      </c>
      <c r="E336" s="90">
        <v>0</v>
      </c>
      <c r="F336" s="90">
        <v>0</v>
      </c>
      <c r="G336" s="90">
        <v>0</v>
      </c>
      <c r="H336" s="90">
        <v>0</v>
      </c>
      <c r="I336" s="90">
        <v>0</v>
      </c>
      <c r="J336" s="90">
        <v>0</v>
      </c>
      <c r="K336" s="91">
        <v>0</v>
      </c>
      <c r="L336" s="90">
        <v>0</v>
      </c>
      <c r="M336" s="90">
        <v>0</v>
      </c>
      <c r="N336" s="90">
        <v>0</v>
      </c>
      <c r="O336" s="90">
        <v>78900</v>
      </c>
      <c r="P336" s="90">
        <v>0</v>
      </c>
      <c r="Q336" s="90">
        <v>0</v>
      </c>
      <c r="R336" s="90">
        <v>0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0</v>
      </c>
      <c r="AB336" s="92">
        <v>2020</v>
      </c>
    </row>
    <row r="337" spans="1:28" s="1" customFormat="1" ht="35.25" customHeight="1" x14ac:dyDescent="0.5">
      <c r="A337" s="1">
        <v>1</v>
      </c>
      <c r="B337" s="39">
        <f>SUBTOTAL(103,$A$11:A337)</f>
        <v>318</v>
      </c>
      <c r="C337" s="86" t="s">
        <v>516</v>
      </c>
      <c r="D337" s="87">
        <f t="shared" ref="D337:D353" si="17">E337+F337+G337+H337+I337+J337+L337+M337+N337+O337+P337+Q337+R337+S337+T337+U337+V337+W337+X337+Y337+Z337+AA337</f>
        <v>1538017.81</v>
      </c>
      <c r="E337" s="90">
        <v>0</v>
      </c>
      <c r="F337" s="90">
        <v>0</v>
      </c>
      <c r="G337" s="90">
        <v>0</v>
      </c>
      <c r="H337" s="90">
        <v>0</v>
      </c>
      <c r="I337" s="90">
        <f>1200009.16+338008.65</f>
        <v>1538017.81</v>
      </c>
      <c r="J337" s="90">
        <v>0</v>
      </c>
      <c r="K337" s="91">
        <v>0</v>
      </c>
      <c r="L337" s="90">
        <v>0</v>
      </c>
      <c r="M337" s="90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2">
        <v>2020</v>
      </c>
    </row>
    <row r="338" spans="1:28" s="1" customFormat="1" ht="35.25" customHeight="1" x14ac:dyDescent="0.5">
      <c r="A338" s="1">
        <v>1</v>
      </c>
      <c r="B338" s="39">
        <f>SUBTOTAL(103,$A$11:A338)</f>
        <v>319</v>
      </c>
      <c r="C338" s="86" t="s">
        <v>517</v>
      </c>
      <c r="D338" s="87">
        <f t="shared" si="17"/>
        <v>132446</v>
      </c>
      <c r="E338" s="90">
        <v>0</v>
      </c>
      <c r="F338" s="90">
        <v>0</v>
      </c>
      <c r="G338" s="90">
        <v>0</v>
      </c>
      <c r="H338" s="90">
        <v>0</v>
      </c>
      <c r="I338" s="90">
        <v>0</v>
      </c>
      <c r="J338" s="90">
        <v>0</v>
      </c>
      <c r="K338" s="91">
        <v>0</v>
      </c>
      <c r="L338" s="90">
        <v>0</v>
      </c>
      <c r="M338" s="90">
        <v>0</v>
      </c>
      <c r="N338" s="90">
        <v>0</v>
      </c>
      <c r="O338" s="90">
        <v>132446</v>
      </c>
      <c r="P338" s="90">
        <v>0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2">
        <v>2020</v>
      </c>
    </row>
    <row r="339" spans="1:28" s="1" customFormat="1" ht="35.25" customHeight="1" x14ac:dyDescent="0.5">
      <c r="A339" s="1">
        <v>1</v>
      </c>
      <c r="B339" s="39">
        <f>SUBTOTAL(103,$A$11:A339)</f>
        <v>320</v>
      </c>
      <c r="C339" s="86" t="s">
        <v>518</v>
      </c>
      <c r="D339" s="87">
        <f t="shared" si="17"/>
        <v>1103428.53</v>
      </c>
      <c r="E339" s="90">
        <v>0</v>
      </c>
      <c r="F339" s="90">
        <v>0</v>
      </c>
      <c r="G339" s="90">
        <v>0</v>
      </c>
      <c r="H339" s="90">
        <v>0</v>
      </c>
      <c r="I339" s="90">
        <v>0</v>
      </c>
      <c r="J339" s="90">
        <v>0</v>
      </c>
      <c r="K339" s="91">
        <v>0</v>
      </c>
      <c r="L339" s="90">
        <v>0</v>
      </c>
      <c r="M339" s="90">
        <v>1103428.53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0</v>
      </c>
      <c r="AB339" s="92">
        <v>2020</v>
      </c>
    </row>
    <row r="340" spans="1:28" s="1" customFormat="1" ht="35.25" customHeight="1" x14ac:dyDescent="0.5">
      <c r="A340" s="1">
        <v>1</v>
      </c>
      <c r="B340" s="39">
        <f>SUBTOTAL(103,$A$11:A340)</f>
        <v>321</v>
      </c>
      <c r="C340" s="86" t="s">
        <v>519</v>
      </c>
      <c r="D340" s="87">
        <f t="shared" si="17"/>
        <v>270448.74</v>
      </c>
      <c r="E340" s="90">
        <v>0</v>
      </c>
      <c r="F340" s="90">
        <v>0</v>
      </c>
      <c r="G340" s="90">
        <v>0</v>
      </c>
      <c r="H340" s="90">
        <v>0</v>
      </c>
      <c r="I340" s="90">
        <v>0</v>
      </c>
      <c r="J340" s="90">
        <v>0</v>
      </c>
      <c r="K340" s="91">
        <v>0</v>
      </c>
      <c r="L340" s="90">
        <v>0</v>
      </c>
      <c r="M340" s="90">
        <v>0</v>
      </c>
      <c r="N340" s="90">
        <v>0</v>
      </c>
      <c r="O340" s="90">
        <v>270448.74</v>
      </c>
      <c r="P340" s="90">
        <v>0</v>
      </c>
      <c r="Q340" s="90">
        <v>0</v>
      </c>
      <c r="R340" s="90">
        <v>0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0</v>
      </c>
      <c r="AB340" s="92">
        <v>2020</v>
      </c>
    </row>
    <row r="341" spans="1:28" s="1" customFormat="1" ht="35.25" customHeight="1" x14ac:dyDescent="0.5">
      <c r="A341" s="1">
        <v>1</v>
      </c>
      <c r="B341" s="39">
        <f>SUBTOTAL(103,$A$11:A341)</f>
        <v>322</v>
      </c>
      <c r="C341" s="86" t="s">
        <v>520</v>
      </c>
      <c r="D341" s="87">
        <f t="shared" si="17"/>
        <v>375408</v>
      </c>
      <c r="E341" s="90">
        <v>0</v>
      </c>
      <c r="F341" s="90">
        <v>0</v>
      </c>
      <c r="G341" s="90">
        <v>0</v>
      </c>
      <c r="H341" s="90">
        <v>0</v>
      </c>
      <c r="I341" s="90">
        <v>0</v>
      </c>
      <c r="J341" s="90">
        <v>0</v>
      </c>
      <c r="K341" s="91">
        <v>0</v>
      </c>
      <c r="L341" s="90">
        <v>0</v>
      </c>
      <c r="M341" s="90">
        <v>0</v>
      </c>
      <c r="N341" s="90">
        <v>0</v>
      </c>
      <c r="O341" s="90">
        <v>375408</v>
      </c>
      <c r="P341" s="90">
        <v>0</v>
      </c>
      <c r="Q341" s="90">
        <v>0</v>
      </c>
      <c r="R341" s="90">
        <v>0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2">
        <v>2020</v>
      </c>
    </row>
    <row r="342" spans="1:28" s="1" customFormat="1" ht="35.25" customHeight="1" x14ac:dyDescent="0.5">
      <c r="A342" s="1">
        <v>1</v>
      </c>
      <c r="B342" s="39">
        <f>SUBTOTAL(103,$A$11:A342)</f>
        <v>323</v>
      </c>
      <c r="C342" s="86" t="s">
        <v>407</v>
      </c>
      <c r="D342" s="87">
        <v>173538</v>
      </c>
      <c r="E342" s="90">
        <v>0</v>
      </c>
      <c r="F342" s="90">
        <v>0</v>
      </c>
      <c r="G342" s="90">
        <v>173538</v>
      </c>
      <c r="H342" s="90">
        <v>0</v>
      </c>
      <c r="I342" s="90">
        <v>0</v>
      </c>
      <c r="J342" s="90">
        <v>0</v>
      </c>
      <c r="K342" s="91">
        <v>0</v>
      </c>
      <c r="L342" s="90">
        <v>0</v>
      </c>
      <c r="M342" s="90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0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2">
        <v>2020</v>
      </c>
    </row>
    <row r="343" spans="1:28" s="1" customFormat="1" ht="35.25" customHeight="1" x14ac:dyDescent="0.5">
      <c r="A343" s="1">
        <v>1</v>
      </c>
      <c r="B343" s="39">
        <f>SUBTOTAL(103,$A$11:A343)</f>
        <v>324</v>
      </c>
      <c r="C343" s="86" t="s">
        <v>521</v>
      </c>
      <c r="D343" s="87">
        <f t="shared" si="17"/>
        <v>2021829</v>
      </c>
      <c r="E343" s="90">
        <v>0</v>
      </c>
      <c r="F343" s="90">
        <v>0</v>
      </c>
      <c r="G343" s="90">
        <v>0</v>
      </c>
      <c r="H343" s="90">
        <v>0</v>
      </c>
      <c r="I343" s="90">
        <v>0</v>
      </c>
      <c r="J343" s="90">
        <v>0</v>
      </c>
      <c r="K343" s="91">
        <v>1</v>
      </c>
      <c r="L343" s="90">
        <v>2021829</v>
      </c>
      <c r="M343" s="90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2">
        <v>2020</v>
      </c>
    </row>
    <row r="344" spans="1:28" s="1" customFormat="1" ht="35.25" customHeight="1" x14ac:dyDescent="0.5">
      <c r="A344" s="1">
        <v>1</v>
      </c>
      <c r="B344" s="39">
        <f>SUBTOTAL(103,$A$11:A344)</f>
        <v>325</v>
      </c>
      <c r="C344" s="86" t="s">
        <v>522</v>
      </c>
      <c r="D344" s="87">
        <f t="shared" si="17"/>
        <v>1870000</v>
      </c>
      <c r="E344" s="90">
        <v>0</v>
      </c>
      <c r="F344" s="90">
        <v>0</v>
      </c>
      <c r="G344" s="90">
        <v>0</v>
      </c>
      <c r="H344" s="90">
        <v>0</v>
      </c>
      <c r="I344" s="90">
        <v>0</v>
      </c>
      <c r="J344" s="90">
        <v>0</v>
      </c>
      <c r="K344" s="91">
        <v>1</v>
      </c>
      <c r="L344" s="90">
        <v>1870000</v>
      </c>
      <c r="M344" s="90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2">
        <v>2020</v>
      </c>
    </row>
    <row r="345" spans="1:28" s="1" customFormat="1" ht="35.25" customHeight="1" x14ac:dyDescent="0.5">
      <c r="A345" s="1">
        <v>1</v>
      </c>
      <c r="B345" s="39">
        <f>SUBTOTAL(103,$A$11:A345)</f>
        <v>326</v>
      </c>
      <c r="C345" s="86" t="s">
        <v>523</v>
      </c>
      <c r="D345" s="87">
        <f t="shared" si="17"/>
        <v>1850000</v>
      </c>
      <c r="E345" s="90">
        <v>0</v>
      </c>
      <c r="F345" s="90">
        <v>0</v>
      </c>
      <c r="G345" s="90">
        <v>0</v>
      </c>
      <c r="H345" s="90">
        <v>0</v>
      </c>
      <c r="I345" s="90">
        <v>0</v>
      </c>
      <c r="J345" s="90">
        <v>0</v>
      </c>
      <c r="K345" s="91">
        <v>1</v>
      </c>
      <c r="L345" s="90">
        <v>1850000</v>
      </c>
      <c r="M345" s="90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2">
        <v>2020</v>
      </c>
    </row>
    <row r="346" spans="1:28" s="1" customFormat="1" ht="35.25" customHeight="1" x14ac:dyDescent="0.5">
      <c r="A346" s="1">
        <v>1</v>
      </c>
      <c r="B346" s="39">
        <f>SUBTOTAL(103,$A$11:A346)</f>
        <v>327</v>
      </c>
      <c r="C346" s="86" t="s">
        <v>524</v>
      </c>
      <c r="D346" s="87">
        <f t="shared" si="17"/>
        <v>1870000</v>
      </c>
      <c r="E346" s="90">
        <v>0</v>
      </c>
      <c r="F346" s="90">
        <v>0</v>
      </c>
      <c r="G346" s="90">
        <v>0</v>
      </c>
      <c r="H346" s="90">
        <v>0</v>
      </c>
      <c r="I346" s="90">
        <v>0</v>
      </c>
      <c r="J346" s="90">
        <v>0</v>
      </c>
      <c r="K346" s="91">
        <v>1</v>
      </c>
      <c r="L346" s="90">
        <v>1870000</v>
      </c>
      <c r="M346" s="90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2">
        <v>2020</v>
      </c>
    </row>
    <row r="347" spans="1:28" s="1" customFormat="1" ht="35.25" customHeight="1" x14ac:dyDescent="0.5">
      <c r="A347" s="1">
        <v>1</v>
      </c>
      <c r="B347" s="39">
        <f>SUBTOTAL(103,$A$11:A347)</f>
        <v>328</v>
      </c>
      <c r="C347" s="86" t="s">
        <v>525</v>
      </c>
      <c r="D347" s="87">
        <f t="shared" si="17"/>
        <v>1870000</v>
      </c>
      <c r="E347" s="90">
        <v>0</v>
      </c>
      <c r="F347" s="90">
        <v>0</v>
      </c>
      <c r="G347" s="90">
        <v>0</v>
      </c>
      <c r="H347" s="90">
        <v>0</v>
      </c>
      <c r="I347" s="90">
        <v>0</v>
      </c>
      <c r="J347" s="90">
        <v>0</v>
      </c>
      <c r="K347" s="91">
        <v>1</v>
      </c>
      <c r="L347" s="90">
        <v>1870000</v>
      </c>
      <c r="M347" s="90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0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2">
        <v>2020</v>
      </c>
    </row>
    <row r="348" spans="1:28" s="1" customFormat="1" ht="35.25" customHeight="1" x14ac:dyDescent="0.5">
      <c r="A348" s="1">
        <v>1</v>
      </c>
      <c r="B348" s="39">
        <f>SUBTOTAL(103,$A$11:A348)</f>
        <v>329</v>
      </c>
      <c r="C348" s="86" t="s">
        <v>526</v>
      </c>
      <c r="D348" s="87">
        <f t="shared" si="17"/>
        <v>5250000</v>
      </c>
      <c r="E348" s="90">
        <v>0</v>
      </c>
      <c r="F348" s="90">
        <v>0</v>
      </c>
      <c r="G348" s="90">
        <v>0</v>
      </c>
      <c r="H348" s="90">
        <v>0</v>
      </c>
      <c r="I348" s="90">
        <v>0</v>
      </c>
      <c r="J348" s="90">
        <v>0</v>
      </c>
      <c r="K348" s="91">
        <v>3</v>
      </c>
      <c r="L348" s="90">
        <v>5250000</v>
      </c>
      <c r="M348" s="90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0</v>
      </c>
      <c r="AB348" s="92">
        <v>2020</v>
      </c>
    </row>
    <row r="349" spans="1:28" s="1" customFormat="1" ht="35.25" customHeight="1" x14ac:dyDescent="0.5">
      <c r="A349" s="1">
        <v>1</v>
      </c>
      <c r="B349" s="39">
        <f>SUBTOTAL(103,$A$11:A349)</f>
        <v>330</v>
      </c>
      <c r="C349" s="86" t="s">
        <v>527</v>
      </c>
      <c r="D349" s="87">
        <f t="shared" si="17"/>
        <v>3840000</v>
      </c>
      <c r="E349" s="90">
        <v>0</v>
      </c>
      <c r="F349" s="90">
        <v>0</v>
      </c>
      <c r="G349" s="90">
        <v>0</v>
      </c>
      <c r="H349" s="90">
        <v>0</v>
      </c>
      <c r="I349" s="90">
        <v>0</v>
      </c>
      <c r="J349" s="90">
        <v>0</v>
      </c>
      <c r="K349" s="91">
        <v>2</v>
      </c>
      <c r="L349" s="90">
        <v>3840000</v>
      </c>
      <c r="M349" s="90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0</v>
      </c>
      <c r="AB349" s="92">
        <v>2020</v>
      </c>
    </row>
    <row r="350" spans="1:28" s="1" customFormat="1" ht="35.25" customHeight="1" x14ac:dyDescent="0.5">
      <c r="A350" s="1">
        <v>1</v>
      </c>
      <c r="B350" s="39">
        <f>SUBTOTAL(103,$A$11:A350)</f>
        <v>331</v>
      </c>
      <c r="C350" s="86" t="s">
        <v>795</v>
      </c>
      <c r="D350" s="87">
        <f t="shared" si="17"/>
        <v>243223.66</v>
      </c>
      <c r="E350" s="90">
        <v>0</v>
      </c>
      <c r="F350" s="90">
        <v>154803</v>
      </c>
      <c r="G350" s="90">
        <v>0</v>
      </c>
      <c r="H350" s="90">
        <v>0</v>
      </c>
      <c r="I350" s="90">
        <v>0</v>
      </c>
      <c r="J350" s="90">
        <v>88420.66</v>
      </c>
      <c r="K350" s="91">
        <v>0</v>
      </c>
      <c r="L350" s="90">
        <v>0</v>
      </c>
      <c r="M350" s="90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0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2">
        <v>2020</v>
      </c>
    </row>
    <row r="351" spans="1:28" s="1" customFormat="1" ht="35.25" customHeight="1" x14ac:dyDescent="0.5">
      <c r="A351" s="1">
        <v>1</v>
      </c>
      <c r="B351" s="39">
        <f>SUBTOTAL(103,$A$11:A351)</f>
        <v>332</v>
      </c>
      <c r="C351" s="86" t="s">
        <v>515</v>
      </c>
      <c r="D351" s="87">
        <f t="shared" si="17"/>
        <v>228600</v>
      </c>
      <c r="E351" s="90">
        <v>0</v>
      </c>
      <c r="F351" s="90">
        <v>0</v>
      </c>
      <c r="G351" s="90">
        <v>0</v>
      </c>
      <c r="H351" s="90">
        <v>0</v>
      </c>
      <c r="I351" s="90">
        <v>0</v>
      </c>
      <c r="J351" s="90">
        <v>0</v>
      </c>
      <c r="K351" s="91">
        <v>0</v>
      </c>
      <c r="L351" s="90">
        <v>0</v>
      </c>
      <c r="M351" s="90">
        <v>0</v>
      </c>
      <c r="N351" s="90">
        <v>0</v>
      </c>
      <c r="O351" s="90">
        <v>228600</v>
      </c>
      <c r="P351" s="90">
        <v>0</v>
      </c>
      <c r="Q351" s="90">
        <v>0</v>
      </c>
      <c r="R351" s="90">
        <v>0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2">
        <v>2020</v>
      </c>
    </row>
    <row r="352" spans="1:28" s="1" customFormat="1" ht="35.25" customHeight="1" x14ac:dyDescent="0.5">
      <c r="A352" s="1">
        <v>1</v>
      </c>
      <c r="B352" s="39">
        <f>SUBTOTAL(103,$A$11:A352)</f>
        <v>333</v>
      </c>
      <c r="C352" s="86" t="s">
        <v>796</v>
      </c>
      <c r="D352" s="87">
        <f t="shared" si="17"/>
        <v>590355.86</v>
      </c>
      <c r="E352" s="90">
        <v>0</v>
      </c>
      <c r="F352" s="90">
        <v>0</v>
      </c>
      <c r="G352" s="90">
        <v>0</v>
      </c>
      <c r="H352" s="90">
        <v>0</v>
      </c>
      <c r="I352" s="90">
        <v>0</v>
      </c>
      <c r="J352" s="90">
        <v>0</v>
      </c>
      <c r="K352" s="91">
        <v>0</v>
      </c>
      <c r="L352" s="90">
        <v>0</v>
      </c>
      <c r="M352" s="90">
        <v>0</v>
      </c>
      <c r="N352" s="90">
        <v>0</v>
      </c>
      <c r="O352" s="90">
        <v>590355.86</v>
      </c>
      <c r="P352" s="90">
        <v>0</v>
      </c>
      <c r="Q352" s="90">
        <v>0</v>
      </c>
      <c r="R352" s="90">
        <v>0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2">
        <v>2020</v>
      </c>
    </row>
    <row r="353" spans="1:28" s="1" customFormat="1" ht="35.25" customHeight="1" x14ac:dyDescent="0.5">
      <c r="A353" s="1">
        <v>1</v>
      </c>
      <c r="B353" s="39">
        <f>SUBTOTAL(103,$A$11:A353)</f>
        <v>334</v>
      </c>
      <c r="C353" s="86" t="s">
        <v>797</v>
      </c>
      <c r="D353" s="87">
        <f t="shared" si="17"/>
        <v>245204</v>
      </c>
      <c r="E353" s="90">
        <v>0</v>
      </c>
      <c r="F353" s="90">
        <v>0</v>
      </c>
      <c r="G353" s="90">
        <v>0</v>
      </c>
      <c r="H353" s="90">
        <v>0</v>
      </c>
      <c r="I353" s="90">
        <v>0</v>
      </c>
      <c r="J353" s="90">
        <v>0</v>
      </c>
      <c r="K353" s="91">
        <v>0</v>
      </c>
      <c r="L353" s="90">
        <v>0</v>
      </c>
      <c r="M353" s="90">
        <v>245204</v>
      </c>
      <c r="N353" s="90">
        <v>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2">
        <v>2020</v>
      </c>
    </row>
    <row r="354" spans="1:28" s="1" customFormat="1" ht="35.25" customHeight="1" x14ac:dyDescent="0.5">
      <c r="A354" s="1">
        <v>1</v>
      </c>
      <c r="B354" s="39">
        <f>SUBTOTAL(103,$A$11:A354)</f>
        <v>335</v>
      </c>
      <c r="C354" s="86" t="s">
        <v>798</v>
      </c>
      <c r="D354" s="87">
        <f>E354+F354+G354+H354+I354+J354+L354+M354+N354+O354+P354+Q354+R354+S354+T354+U354+V354+W354+X354+Y354+Z354+AA354</f>
        <v>320012</v>
      </c>
      <c r="E354" s="90">
        <v>0</v>
      </c>
      <c r="F354" s="90">
        <v>0</v>
      </c>
      <c r="G354" s="90">
        <v>0</v>
      </c>
      <c r="H354" s="90">
        <v>0</v>
      </c>
      <c r="I354" s="90">
        <v>0</v>
      </c>
      <c r="J354" s="90">
        <v>0</v>
      </c>
      <c r="K354" s="91">
        <v>0</v>
      </c>
      <c r="L354" s="90">
        <v>0</v>
      </c>
      <c r="M354" s="90">
        <v>0</v>
      </c>
      <c r="N354" s="90">
        <v>0</v>
      </c>
      <c r="O354" s="90">
        <v>320012</v>
      </c>
      <c r="P354" s="90">
        <v>0</v>
      </c>
      <c r="Q354" s="90">
        <v>0</v>
      </c>
      <c r="R354" s="90">
        <v>0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0</v>
      </c>
      <c r="AB354" s="92">
        <v>2020</v>
      </c>
    </row>
    <row r="355" spans="1:28" s="1" customFormat="1" ht="35.25" customHeight="1" x14ac:dyDescent="0.5">
      <c r="A355" s="1">
        <v>1</v>
      </c>
      <c r="B355" s="39">
        <f>SUBTOTAL(103,$A$11:A355)</f>
        <v>336</v>
      </c>
      <c r="C355" s="86" t="s">
        <v>799</v>
      </c>
      <c r="D355" s="87">
        <f>E355+F355+G355+H355+I355+J355+L355+M355+N355+O355+P355+Q355+R355+S355+T355+U355+V355+W355+X355+Y355+Z355+AA355</f>
        <v>810000</v>
      </c>
      <c r="E355" s="90">
        <v>0</v>
      </c>
      <c r="F355" s="90">
        <v>0</v>
      </c>
      <c r="G355" s="90">
        <v>0</v>
      </c>
      <c r="H355" s="90">
        <v>0</v>
      </c>
      <c r="I355" s="90">
        <v>0</v>
      </c>
      <c r="J355" s="90">
        <v>0</v>
      </c>
      <c r="K355" s="91">
        <v>0</v>
      </c>
      <c r="L355" s="90">
        <v>0</v>
      </c>
      <c r="M355" s="90">
        <v>810000</v>
      </c>
      <c r="N355" s="90">
        <v>0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0</v>
      </c>
      <c r="AB355" s="92">
        <v>2020</v>
      </c>
    </row>
    <row r="356" spans="1:28" s="1" customFormat="1" ht="35.25" customHeight="1" x14ac:dyDescent="0.5">
      <c r="A356" s="1">
        <v>1</v>
      </c>
      <c r="B356" s="39">
        <f>SUBTOTAL(103,$A$11:A356)</f>
        <v>337</v>
      </c>
      <c r="C356" s="86" t="s">
        <v>800</v>
      </c>
      <c r="D356" s="87">
        <f>E356+F356+G356+H356+I356+J356+L356+M356+N356+O356+P356+Q356+R356+S356+T356+U356+V356+W356+X356+Y356+Z356+AA356</f>
        <v>516711.62</v>
      </c>
      <c r="E356" s="90">
        <v>0</v>
      </c>
      <c r="F356" s="90">
        <v>161097.25</v>
      </c>
      <c r="G356" s="90">
        <v>0</v>
      </c>
      <c r="H356" s="90">
        <v>84774.9</v>
      </c>
      <c r="I356" s="90">
        <v>0</v>
      </c>
      <c r="J356" s="90">
        <v>0</v>
      </c>
      <c r="K356" s="91">
        <v>0</v>
      </c>
      <c r="L356" s="90">
        <v>0</v>
      </c>
      <c r="M356" s="90">
        <v>0</v>
      </c>
      <c r="N356" s="90">
        <v>0</v>
      </c>
      <c r="O356" s="90">
        <v>270839.46999999997</v>
      </c>
      <c r="P356" s="90">
        <v>0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2">
        <v>2020</v>
      </c>
    </row>
    <row r="357" spans="1:28" s="1" customFormat="1" ht="35.25" customHeight="1" x14ac:dyDescent="0.5">
      <c r="A357" s="1">
        <v>1</v>
      </c>
      <c r="B357" s="39">
        <f>SUBTOTAL(103,$A$11:A357)</f>
        <v>338</v>
      </c>
      <c r="C357" s="86" t="s">
        <v>801</v>
      </c>
      <c r="D357" s="87">
        <f t="shared" ref="D357:D364" si="18">E357+F357+G357+H357+I357+J357+L357+M357+N357+O357+P357+Q357+R357+S357+T357+U357+V357+W357+X357+Y357+Z357+AA357</f>
        <v>616011.84</v>
      </c>
      <c r="E357" s="90">
        <v>0</v>
      </c>
      <c r="F357" s="90">
        <v>0</v>
      </c>
      <c r="G357" s="90">
        <v>616011.84</v>
      </c>
      <c r="H357" s="90">
        <v>0</v>
      </c>
      <c r="I357" s="90">
        <v>0</v>
      </c>
      <c r="J357" s="90">
        <v>0</v>
      </c>
      <c r="K357" s="91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2">
        <v>2020</v>
      </c>
    </row>
    <row r="358" spans="1:28" s="1" customFormat="1" ht="35.25" customHeight="1" x14ac:dyDescent="0.5">
      <c r="A358" s="1">
        <v>1</v>
      </c>
      <c r="B358" s="39">
        <f>SUBTOTAL(103,$A$11:A358)</f>
        <v>339</v>
      </c>
      <c r="C358" s="86" t="s">
        <v>802</v>
      </c>
      <c r="D358" s="87">
        <f t="shared" si="18"/>
        <v>190271</v>
      </c>
      <c r="E358" s="90">
        <v>0</v>
      </c>
      <c r="F358" s="90">
        <v>0</v>
      </c>
      <c r="G358" s="90">
        <v>0</v>
      </c>
      <c r="H358" s="90">
        <v>0</v>
      </c>
      <c r="I358" s="90">
        <v>11358</v>
      </c>
      <c r="J358" s="90">
        <v>0</v>
      </c>
      <c r="K358" s="91">
        <v>0</v>
      </c>
      <c r="L358" s="90">
        <v>0</v>
      </c>
      <c r="M358" s="90">
        <v>0</v>
      </c>
      <c r="N358" s="90">
        <v>0</v>
      </c>
      <c r="O358" s="90">
        <v>178913</v>
      </c>
      <c r="P358" s="90">
        <v>0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2">
        <v>2020</v>
      </c>
    </row>
    <row r="359" spans="1:28" s="1" customFormat="1" ht="35.25" customHeight="1" x14ac:dyDescent="0.5">
      <c r="A359" s="1">
        <v>1</v>
      </c>
      <c r="B359" s="39">
        <f>SUBTOTAL(103,$A$11:A359)</f>
        <v>340</v>
      </c>
      <c r="C359" s="86" t="s">
        <v>803</v>
      </c>
      <c r="D359" s="87">
        <f t="shared" si="18"/>
        <v>1310000</v>
      </c>
      <c r="E359" s="90">
        <v>0</v>
      </c>
      <c r="F359" s="90">
        <v>0</v>
      </c>
      <c r="G359" s="90">
        <v>0</v>
      </c>
      <c r="H359" s="90">
        <v>0</v>
      </c>
      <c r="I359" s="90">
        <v>0</v>
      </c>
      <c r="J359" s="90">
        <v>0</v>
      </c>
      <c r="K359" s="91">
        <v>0</v>
      </c>
      <c r="L359" s="90">
        <v>0</v>
      </c>
      <c r="M359" s="90">
        <v>1310000</v>
      </c>
      <c r="N359" s="90">
        <v>0</v>
      </c>
      <c r="O359" s="90">
        <v>0</v>
      </c>
      <c r="P359" s="90">
        <v>0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0</v>
      </c>
      <c r="AB359" s="92">
        <v>2020</v>
      </c>
    </row>
    <row r="360" spans="1:28" s="1" customFormat="1" ht="35.25" customHeight="1" x14ac:dyDescent="0.5">
      <c r="A360" s="1">
        <v>1</v>
      </c>
      <c r="B360" s="39">
        <f>SUBTOTAL(103,$A$11:A360)</f>
        <v>341</v>
      </c>
      <c r="C360" s="86" t="s">
        <v>804</v>
      </c>
      <c r="D360" s="87">
        <f t="shared" si="18"/>
        <v>157762.79999999999</v>
      </c>
      <c r="E360" s="90">
        <v>31116.9</v>
      </c>
      <c r="F360" s="90">
        <v>0</v>
      </c>
      <c r="G360" s="90">
        <v>0</v>
      </c>
      <c r="H360" s="90">
        <v>0</v>
      </c>
      <c r="I360" s="90">
        <v>0</v>
      </c>
      <c r="J360" s="90">
        <v>0</v>
      </c>
      <c r="K360" s="91">
        <v>0</v>
      </c>
      <c r="L360" s="90">
        <v>0</v>
      </c>
      <c r="M360" s="90">
        <v>126645.9</v>
      </c>
      <c r="N360" s="90">
        <v>0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2">
        <v>2020</v>
      </c>
    </row>
    <row r="361" spans="1:28" s="1" customFormat="1" ht="35.25" customHeight="1" x14ac:dyDescent="0.5">
      <c r="A361" s="1">
        <v>1</v>
      </c>
      <c r="B361" s="39">
        <f>SUBTOTAL(103,$A$11:A361)</f>
        <v>342</v>
      </c>
      <c r="C361" s="86" t="s">
        <v>805</v>
      </c>
      <c r="D361" s="87">
        <f t="shared" si="18"/>
        <v>227500</v>
      </c>
      <c r="E361" s="90">
        <v>0</v>
      </c>
      <c r="F361" s="90">
        <v>0</v>
      </c>
      <c r="G361" s="90">
        <v>0</v>
      </c>
      <c r="H361" s="90">
        <v>0</v>
      </c>
      <c r="I361" s="90">
        <v>0</v>
      </c>
      <c r="J361" s="90">
        <v>0</v>
      </c>
      <c r="K361" s="91">
        <v>0</v>
      </c>
      <c r="L361" s="90">
        <v>0</v>
      </c>
      <c r="M361" s="90">
        <v>227500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2">
        <v>2020</v>
      </c>
    </row>
    <row r="362" spans="1:28" s="1" customFormat="1" ht="35.25" customHeight="1" x14ac:dyDescent="0.5">
      <c r="A362" s="1">
        <v>1</v>
      </c>
      <c r="B362" s="39">
        <f>SUBTOTAL(103,$A$11:A362)</f>
        <v>343</v>
      </c>
      <c r="C362" s="86" t="s">
        <v>806</v>
      </c>
      <c r="D362" s="87">
        <f t="shared" si="18"/>
        <v>260392.57</v>
      </c>
      <c r="E362" s="90">
        <v>0</v>
      </c>
      <c r="F362" s="90">
        <v>0</v>
      </c>
      <c r="G362" s="90">
        <v>0</v>
      </c>
      <c r="H362" s="90">
        <v>0</v>
      </c>
      <c r="I362" s="90">
        <v>0</v>
      </c>
      <c r="J362" s="90">
        <v>0</v>
      </c>
      <c r="K362" s="91">
        <v>0</v>
      </c>
      <c r="L362" s="90">
        <v>0</v>
      </c>
      <c r="M362" s="90">
        <v>0</v>
      </c>
      <c r="N362" s="90">
        <v>260392.57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0</v>
      </c>
      <c r="AB362" s="92">
        <v>2020</v>
      </c>
    </row>
    <row r="363" spans="1:28" s="1" customFormat="1" ht="35.25" customHeight="1" x14ac:dyDescent="0.5">
      <c r="A363" s="1">
        <v>1</v>
      </c>
      <c r="B363" s="39">
        <f>SUBTOTAL(103,$A$11:A363)</f>
        <v>344</v>
      </c>
      <c r="C363" s="86" t="s">
        <v>807</v>
      </c>
      <c r="D363" s="87">
        <f t="shared" si="18"/>
        <v>140197.16</v>
      </c>
      <c r="E363" s="90">
        <v>85000</v>
      </c>
      <c r="F363" s="90">
        <v>0</v>
      </c>
      <c r="G363" s="90">
        <v>0</v>
      </c>
      <c r="H363" s="90">
        <v>0</v>
      </c>
      <c r="I363" s="90">
        <v>0</v>
      </c>
      <c r="J363" s="90">
        <v>0</v>
      </c>
      <c r="K363" s="91">
        <v>0</v>
      </c>
      <c r="L363" s="90">
        <v>0</v>
      </c>
      <c r="M363" s="90">
        <v>55197.16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2">
        <v>2020</v>
      </c>
    </row>
    <row r="364" spans="1:28" s="1" customFormat="1" ht="35.25" customHeight="1" x14ac:dyDescent="0.5">
      <c r="A364" s="1">
        <v>1</v>
      </c>
      <c r="B364" s="39">
        <f>SUBTOTAL(103,$A$11:A364)</f>
        <v>345</v>
      </c>
      <c r="C364" s="86" t="s">
        <v>808</v>
      </c>
      <c r="D364" s="87">
        <f t="shared" si="18"/>
        <v>374617</v>
      </c>
      <c r="E364" s="90">
        <v>187308.5</v>
      </c>
      <c r="F364" s="90">
        <v>187308.5</v>
      </c>
      <c r="G364" s="90">
        <v>0</v>
      </c>
      <c r="H364" s="90">
        <v>0</v>
      </c>
      <c r="I364" s="90">
        <v>0</v>
      </c>
      <c r="J364" s="90">
        <v>0</v>
      </c>
      <c r="K364" s="91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0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0</v>
      </c>
      <c r="AB364" s="92">
        <v>2020</v>
      </c>
    </row>
    <row r="365" spans="1:28" s="1" customFormat="1" ht="35.25" customHeight="1" x14ac:dyDescent="0.5">
      <c r="A365" s="1">
        <v>1</v>
      </c>
      <c r="B365" s="39">
        <f>SUBTOTAL(103,$A$11:A365)</f>
        <v>346</v>
      </c>
      <c r="C365" s="86" t="s">
        <v>809</v>
      </c>
      <c r="D365" s="87">
        <f>E365+F365+G365+H365+I365+J365+L365+M365+N365+O365+P365+Q365+R365+S365+T365+U365+V365+W365+X365+Y365+Z365+AA365</f>
        <v>79041</v>
      </c>
      <c r="E365" s="90">
        <v>0</v>
      </c>
      <c r="F365" s="90">
        <v>0</v>
      </c>
      <c r="G365" s="90">
        <v>79041</v>
      </c>
      <c r="H365" s="90">
        <v>0</v>
      </c>
      <c r="I365" s="90">
        <v>0</v>
      </c>
      <c r="J365" s="90">
        <v>0</v>
      </c>
      <c r="K365" s="91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0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2">
        <v>2020</v>
      </c>
    </row>
    <row r="366" spans="1:28" s="1" customFormat="1" ht="35.25" customHeight="1" x14ac:dyDescent="0.5">
      <c r="A366" s="1">
        <v>1</v>
      </c>
      <c r="B366" s="39">
        <f>SUBTOTAL(103,$A$11:A366)</f>
        <v>347</v>
      </c>
      <c r="C366" s="86" t="s">
        <v>810</v>
      </c>
      <c r="D366" s="87">
        <f>E366+F366+G366+H366+I366+J366+L366+M366+N366+O366+P366+Q366+R366+S366+T366+U366+V366+W366+X366+Y366+Z366+AA366</f>
        <v>459221.82</v>
      </c>
      <c r="E366" s="90">
        <v>0</v>
      </c>
      <c r="F366" s="90">
        <v>0</v>
      </c>
      <c r="G366" s="90">
        <v>0</v>
      </c>
      <c r="H366" s="90">
        <v>0</v>
      </c>
      <c r="I366" s="90">
        <v>0</v>
      </c>
      <c r="J366" s="90">
        <v>0</v>
      </c>
      <c r="K366" s="91">
        <v>0</v>
      </c>
      <c r="L366" s="90">
        <v>0</v>
      </c>
      <c r="M366" s="90">
        <v>0</v>
      </c>
      <c r="N366" s="90">
        <v>0</v>
      </c>
      <c r="O366" s="90">
        <v>459221.82</v>
      </c>
      <c r="P366" s="90">
        <v>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2">
        <v>2020</v>
      </c>
    </row>
    <row r="367" spans="1:28" s="1" customFormat="1" ht="35.25" customHeight="1" x14ac:dyDescent="0.5">
      <c r="A367" s="1">
        <v>1</v>
      </c>
      <c r="B367" s="39">
        <f>SUBTOTAL(103,$A$11:A367)</f>
        <v>348</v>
      </c>
      <c r="C367" s="86" t="s">
        <v>811</v>
      </c>
      <c r="D367" s="87">
        <v>297767</v>
      </c>
      <c r="E367" s="90">
        <v>0</v>
      </c>
      <c r="F367" s="90">
        <v>169948</v>
      </c>
      <c r="G367" s="90">
        <v>0</v>
      </c>
      <c r="H367" s="90">
        <v>127819</v>
      </c>
      <c r="I367" s="90">
        <v>0</v>
      </c>
      <c r="J367" s="90">
        <v>0</v>
      </c>
      <c r="K367" s="91">
        <v>0</v>
      </c>
      <c r="L367" s="90">
        <v>0</v>
      </c>
      <c r="M367" s="90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0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2">
        <v>2020</v>
      </c>
    </row>
    <row r="368" spans="1:28" s="1" customFormat="1" ht="35.25" customHeight="1" x14ac:dyDescent="0.5">
      <c r="B368" s="86" t="s">
        <v>211</v>
      </c>
      <c r="C368" s="86"/>
      <c r="D368" s="87">
        <f t="shared" ref="D368:AA368" si="19">SUM(D369:D412)</f>
        <v>33604610.239999995</v>
      </c>
      <c r="E368" s="87">
        <f t="shared" si="19"/>
        <v>117495</v>
      </c>
      <c r="F368" s="87">
        <f t="shared" si="19"/>
        <v>1074867.2</v>
      </c>
      <c r="G368" s="87">
        <f t="shared" si="19"/>
        <v>7681119.2599999988</v>
      </c>
      <c r="H368" s="87">
        <f t="shared" si="19"/>
        <v>155581.73000000001</v>
      </c>
      <c r="I368" s="87">
        <f t="shared" si="19"/>
        <v>839366</v>
      </c>
      <c r="J368" s="87">
        <f t="shared" si="19"/>
        <v>0</v>
      </c>
      <c r="K368" s="91">
        <f t="shared" si="19"/>
        <v>6</v>
      </c>
      <c r="L368" s="87">
        <f t="shared" si="19"/>
        <v>9161260</v>
      </c>
      <c r="M368" s="87">
        <f t="shared" si="19"/>
        <v>9943286.8900000006</v>
      </c>
      <c r="N368" s="87">
        <f t="shared" si="19"/>
        <v>1396192.1</v>
      </c>
      <c r="O368" s="87">
        <f t="shared" si="19"/>
        <v>2992564.46</v>
      </c>
      <c r="P368" s="87">
        <f t="shared" si="19"/>
        <v>242877.6</v>
      </c>
      <c r="Q368" s="87">
        <f t="shared" si="19"/>
        <v>0</v>
      </c>
      <c r="R368" s="87">
        <f t="shared" si="19"/>
        <v>0</v>
      </c>
      <c r="S368" s="87">
        <f t="shared" si="19"/>
        <v>0</v>
      </c>
      <c r="T368" s="87">
        <f t="shared" si="19"/>
        <v>0</v>
      </c>
      <c r="U368" s="87">
        <f t="shared" si="19"/>
        <v>0</v>
      </c>
      <c r="V368" s="87">
        <f t="shared" si="19"/>
        <v>0</v>
      </c>
      <c r="W368" s="87">
        <f t="shared" si="19"/>
        <v>0</v>
      </c>
      <c r="X368" s="87">
        <f t="shared" si="19"/>
        <v>0</v>
      </c>
      <c r="Y368" s="87">
        <f t="shared" si="19"/>
        <v>0</v>
      </c>
      <c r="Z368" s="87">
        <f t="shared" si="19"/>
        <v>0</v>
      </c>
      <c r="AA368" s="87">
        <f t="shared" si="19"/>
        <v>0</v>
      </c>
      <c r="AB368" s="89" t="s">
        <v>131</v>
      </c>
    </row>
    <row r="369" spans="1:28" s="1" customFormat="1" ht="35.25" customHeight="1" x14ac:dyDescent="0.5">
      <c r="A369" s="1">
        <v>1</v>
      </c>
      <c r="B369" s="39">
        <f>SUBTOTAL(103,$A$11:A369)</f>
        <v>349</v>
      </c>
      <c r="C369" s="86" t="s">
        <v>528</v>
      </c>
      <c r="D369" s="87">
        <f t="shared" ref="D369:D386" si="20">E369+F369+G369+H369+I369+J369+L369+M369+N369+O369+P369+Q369+R369+S369+T369+U369+V369+W369+X369+Y369+Z369+AA369</f>
        <v>446839.2</v>
      </c>
      <c r="E369" s="90">
        <v>0</v>
      </c>
      <c r="F369" s="90">
        <v>446839.2</v>
      </c>
      <c r="G369" s="90">
        <v>0</v>
      </c>
      <c r="H369" s="90">
        <v>0</v>
      </c>
      <c r="I369" s="90">
        <v>0</v>
      </c>
      <c r="J369" s="90">
        <v>0</v>
      </c>
      <c r="K369" s="91"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0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0</v>
      </c>
      <c r="AB369" s="92">
        <v>2020</v>
      </c>
    </row>
    <row r="370" spans="1:28" s="1" customFormat="1" ht="35.25" customHeight="1" x14ac:dyDescent="0.5">
      <c r="A370" s="1">
        <v>1</v>
      </c>
      <c r="B370" s="39">
        <f>SUBTOTAL(103,$A$11:A370)</f>
        <v>350</v>
      </c>
      <c r="C370" s="86" t="s">
        <v>529</v>
      </c>
      <c r="D370" s="87">
        <f t="shared" si="20"/>
        <v>759667.19</v>
      </c>
      <c r="E370" s="90">
        <v>0</v>
      </c>
      <c r="F370" s="90">
        <v>0</v>
      </c>
      <c r="G370" s="90">
        <v>0</v>
      </c>
      <c r="H370" s="90">
        <v>0</v>
      </c>
      <c r="I370" s="90">
        <v>0</v>
      </c>
      <c r="J370" s="90">
        <v>0</v>
      </c>
      <c r="K370" s="91">
        <v>0</v>
      </c>
      <c r="L370" s="90">
        <v>0</v>
      </c>
      <c r="M370" s="90">
        <v>759667.19</v>
      </c>
      <c r="N370" s="90">
        <v>0</v>
      </c>
      <c r="O370" s="90">
        <v>0</v>
      </c>
      <c r="P370" s="90">
        <v>0</v>
      </c>
      <c r="Q370" s="90">
        <v>0</v>
      </c>
      <c r="R370" s="90">
        <v>0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0</v>
      </c>
      <c r="AB370" s="92">
        <v>2020</v>
      </c>
    </row>
    <row r="371" spans="1:28" s="1" customFormat="1" ht="35.25" customHeight="1" x14ac:dyDescent="0.5">
      <c r="A371" s="1">
        <v>1</v>
      </c>
      <c r="B371" s="39">
        <f>SUBTOTAL(103,$A$11:A371)</f>
        <v>351</v>
      </c>
      <c r="C371" s="86" t="s">
        <v>530</v>
      </c>
      <c r="D371" s="87">
        <f t="shared" si="20"/>
        <v>555588.6</v>
      </c>
      <c r="E371" s="90">
        <v>0</v>
      </c>
      <c r="F371" s="90">
        <v>0</v>
      </c>
      <c r="G371" s="90">
        <v>312711</v>
      </c>
      <c r="H371" s="90">
        <v>0</v>
      </c>
      <c r="I371" s="90">
        <v>0</v>
      </c>
      <c r="J371" s="90">
        <v>0</v>
      </c>
      <c r="K371" s="91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242877.6</v>
      </c>
      <c r="Q371" s="90">
        <v>0</v>
      </c>
      <c r="R371" s="90">
        <v>0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2">
        <v>2020</v>
      </c>
    </row>
    <row r="372" spans="1:28" s="1" customFormat="1" ht="35.25" customHeight="1" x14ac:dyDescent="0.5">
      <c r="A372" s="1">
        <v>1</v>
      </c>
      <c r="B372" s="39">
        <f>SUBTOTAL(103,$A$11:A372)</f>
        <v>352</v>
      </c>
      <c r="C372" s="86" t="s">
        <v>531</v>
      </c>
      <c r="D372" s="87">
        <f t="shared" si="20"/>
        <v>1750000</v>
      </c>
      <c r="E372" s="90">
        <v>0</v>
      </c>
      <c r="F372" s="90">
        <v>0</v>
      </c>
      <c r="G372" s="90">
        <v>0</v>
      </c>
      <c r="H372" s="90">
        <v>0</v>
      </c>
      <c r="I372" s="90">
        <v>0</v>
      </c>
      <c r="J372" s="90">
        <v>0</v>
      </c>
      <c r="K372" s="91">
        <v>1</v>
      </c>
      <c r="L372" s="90">
        <v>1750000</v>
      </c>
      <c r="M372" s="90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0</v>
      </c>
      <c r="AB372" s="92">
        <v>2020</v>
      </c>
    </row>
    <row r="373" spans="1:28" s="1" customFormat="1" ht="35.25" customHeight="1" x14ac:dyDescent="0.5">
      <c r="A373" s="1">
        <v>1</v>
      </c>
      <c r="B373" s="39">
        <f>SUBTOTAL(103,$A$11:A373)</f>
        <v>353</v>
      </c>
      <c r="C373" s="86" t="s">
        <v>532</v>
      </c>
      <c r="D373" s="87">
        <f t="shared" si="20"/>
        <v>1832116</v>
      </c>
      <c r="E373" s="90">
        <v>0</v>
      </c>
      <c r="F373" s="90">
        <v>0</v>
      </c>
      <c r="G373" s="90">
        <v>0</v>
      </c>
      <c r="H373" s="90">
        <v>0</v>
      </c>
      <c r="I373" s="90">
        <v>0</v>
      </c>
      <c r="J373" s="90">
        <v>0</v>
      </c>
      <c r="K373" s="91">
        <v>1</v>
      </c>
      <c r="L373" s="90">
        <v>1832116</v>
      </c>
      <c r="M373" s="90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0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0</v>
      </c>
      <c r="AB373" s="92">
        <v>2020</v>
      </c>
    </row>
    <row r="374" spans="1:28" s="1" customFormat="1" ht="35.25" customHeight="1" x14ac:dyDescent="0.5">
      <c r="A374" s="1">
        <v>1</v>
      </c>
      <c r="B374" s="39">
        <f>SUBTOTAL(103,$A$11:A374)</f>
        <v>354</v>
      </c>
      <c r="C374" s="86" t="s">
        <v>533</v>
      </c>
      <c r="D374" s="87">
        <f t="shared" si="20"/>
        <v>310860</v>
      </c>
      <c r="E374" s="90">
        <v>0</v>
      </c>
      <c r="F374" s="90">
        <v>0</v>
      </c>
      <c r="G374" s="90">
        <v>0</v>
      </c>
      <c r="H374" s="90">
        <v>0</v>
      </c>
      <c r="I374" s="90">
        <v>0</v>
      </c>
      <c r="J374" s="90">
        <v>0</v>
      </c>
      <c r="K374" s="91">
        <v>0</v>
      </c>
      <c r="L374" s="90">
        <v>0</v>
      </c>
      <c r="M374" s="90">
        <v>0</v>
      </c>
      <c r="N374" s="90">
        <v>0</v>
      </c>
      <c r="O374" s="90">
        <v>310860</v>
      </c>
      <c r="P374" s="90">
        <v>0</v>
      </c>
      <c r="Q374" s="90">
        <v>0</v>
      </c>
      <c r="R374" s="90">
        <v>0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0</v>
      </c>
      <c r="AB374" s="92">
        <v>2020</v>
      </c>
    </row>
    <row r="375" spans="1:28" s="1" customFormat="1" ht="35.25" customHeight="1" x14ac:dyDescent="0.5">
      <c r="A375" s="1">
        <v>1</v>
      </c>
      <c r="B375" s="39">
        <f>SUBTOTAL(103,$A$11:A375)</f>
        <v>355</v>
      </c>
      <c r="C375" s="86" t="s">
        <v>534</v>
      </c>
      <c r="D375" s="87">
        <f t="shared" si="20"/>
        <v>209441.4</v>
      </c>
      <c r="E375" s="90">
        <v>0</v>
      </c>
      <c r="F375" s="90">
        <v>0</v>
      </c>
      <c r="G375" s="90">
        <v>209441.4</v>
      </c>
      <c r="H375" s="90">
        <v>0</v>
      </c>
      <c r="I375" s="90">
        <v>0</v>
      </c>
      <c r="J375" s="90">
        <v>0</v>
      </c>
      <c r="K375" s="91"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0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0</v>
      </c>
      <c r="AB375" s="92">
        <v>2020</v>
      </c>
    </row>
    <row r="376" spans="1:28" s="1" customFormat="1" ht="35.25" customHeight="1" x14ac:dyDescent="0.5">
      <c r="A376" s="1">
        <v>1</v>
      </c>
      <c r="B376" s="39">
        <f>SUBTOTAL(103,$A$11:A376)</f>
        <v>356</v>
      </c>
      <c r="C376" s="86" t="s">
        <v>535</v>
      </c>
      <c r="D376" s="87">
        <f t="shared" si="20"/>
        <v>905050</v>
      </c>
      <c r="E376" s="90">
        <v>0</v>
      </c>
      <c r="F376" s="90">
        <v>0</v>
      </c>
      <c r="G376" s="90">
        <v>47050</v>
      </c>
      <c r="H376" s="90">
        <v>0</v>
      </c>
      <c r="I376" s="90">
        <v>0</v>
      </c>
      <c r="J376" s="90">
        <v>0</v>
      </c>
      <c r="K376" s="91">
        <v>0</v>
      </c>
      <c r="L376" s="90">
        <v>0</v>
      </c>
      <c r="M376" s="90">
        <v>858000</v>
      </c>
      <c r="N376" s="90">
        <v>0</v>
      </c>
      <c r="O376" s="90">
        <v>0</v>
      </c>
      <c r="P376" s="90">
        <v>0</v>
      </c>
      <c r="Q376" s="90">
        <v>0</v>
      </c>
      <c r="R376" s="90">
        <v>0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0</v>
      </c>
      <c r="AB376" s="92">
        <v>2020</v>
      </c>
    </row>
    <row r="377" spans="1:28" s="1" customFormat="1" ht="35.25" customHeight="1" x14ac:dyDescent="0.5">
      <c r="A377" s="1">
        <v>1</v>
      </c>
      <c r="B377" s="39">
        <f>SUBTOTAL(103,$A$11:A377)</f>
        <v>357</v>
      </c>
      <c r="C377" s="86" t="s">
        <v>536</v>
      </c>
      <c r="D377" s="87">
        <f t="shared" si="20"/>
        <v>258344.1</v>
      </c>
      <c r="E377" s="90">
        <v>0</v>
      </c>
      <c r="F377" s="90">
        <v>0</v>
      </c>
      <c r="G377" s="90">
        <v>0</v>
      </c>
      <c r="H377" s="90">
        <v>0</v>
      </c>
      <c r="I377" s="90">
        <v>0</v>
      </c>
      <c r="J377" s="90">
        <v>0</v>
      </c>
      <c r="K377" s="91">
        <v>0</v>
      </c>
      <c r="L377" s="90">
        <v>0</v>
      </c>
      <c r="M377" s="90">
        <v>0</v>
      </c>
      <c r="N377" s="90">
        <v>258344.1</v>
      </c>
      <c r="O377" s="90">
        <v>0</v>
      </c>
      <c r="P377" s="90">
        <v>0</v>
      </c>
      <c r="Q377" s="90">
        <v>0</v>
      </c>
      <c r="R377" s="90">
        <v>0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0</v>
      </c>
      <c r="AB377" s="92">
        <v>2020</v>
      </c>
    </row>
    <row r="378" spans="1:28" s="1" customFormat="1" ht="35.25" customHeight="1" x14ac:dyDescent="0.5">
      <c r="A378" s="1">
        <v>1</v>
      </c>
      <c r="B378" s="39">
        <f>SUBTOTAL(103,$A$11:A378)</f>
        <v>358</v>
      </c>
      <c r="C378" s="86" t="s">
        <v>537</v>
      </c>
      <c r="D378" s="87">
        <f t="shared" si="20"/>
        <v>543814</v>
      </c>
      <c r="E378" s="90">
        <v>0</v>
      </c>
      <c r="F378" s="90">
        <v>0</v>
      </c>
      <c r="G378" s="90">
        <v>0</v>
      </c>
      <c r="H378" s="90">
        <v>0</v>
      </c>
      <c r="I378" s="90">
        <v>0</v>
      </c>
      <c r="J378" s="90">
        <v>0</v>
      </c>
      <c r="K378" s="91">
        <v>0</v>
      </c>
      <c r="L378" s="90">
        <v>0</v>
      </c>
      <c r="M378" s="90">
        <v>543814</v>
      </c>
      <c r="N378" s="90">
        <v>0</v>
      </c>
      <c r="O378" s="90">
        <v>0</v>
      </c>
      <c r="P378" s="90">
        <v>0</v>
      </c>
      <c r="Q378" s="90">
        <v>0</v>
      </c>
      <c r="R378" s="90">
        <v>0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2">
        <v>2020</v>
      </c>
    </row>
    <row r="379" spans="1:28" s="1" customFormat="1" ht="35.25" customHeight="1" x14ac:dyDescent="0.5">
      <c r="A379" s="1">
        <v>1</v>
      </c>
      <c r="B379" s="39">
        <f>SUBTOTAL(103,$A$11:A379)</f>
        <v>359</v>
      </c>
      <c r="C379" s="86" t="s">
        <v>538</v>
      </c>
      <c r="D379" s="87">
        <f t="shared" si="20"/>
        <v>1390097</v>
      </c>
      <c r="E379" s="90">
        <v>0</v>
      </c>
      <c r="F379" s="90">
        <v>0</v>
      </c>
      <c r="G379" s="90">
        <v>0</v>
      </c>
      <c r="H379" s="90">
        <v>0</v>
      </c>
      <c r="I379" s="90">
        <v>0</v>
      </c>
      <c r="J379" s="90">
        <v>0</v>
      </c>
      <c r="K379" s="91">
        <v>0</v>
      </c>
      <c r="L379" s="90">
        <v>0</v>
      </c>
      <c r="M379" s="90">
        <v>1390097</v>
      </c>
      <c r="N379" s="90">
        <v>0</v>
      </c>
      <c r="O379" s="90">
        <v>0</v>
      </c>
      <c r="P379" s="90">
        <v>0</v>
      </c>
      <c r="Q379" s="90">
        <v>0</v>
      </c>
      <c r="R379" s="90">
        <v>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0</v>
      </c>
      <c r="AB379" s="92">
        <v>2020</v>
      </c>
    </row>
    <row r="380" spans="1:28" s="1" customFormat="1" ht="35.25" customHeight="1" x14ac:dyDescent="0.5">
      <c r="A380" s="1">
        <v>1</v>
      </c>
      <c r="B380" s="39">
        <f>SUBTOTAL(103,$A$11:A380)</f>
        <v>360</v>
      </c>
      <c r="C380" s="86" t="s">
        <v>539</v>
      </c>
      <c r="D380" s="87">
        <f t="shared" si="20"/>
        <v>863796</v>
      </c>
      <c r="E380" s="90">
        <v>0</v>
      </c>
      <c r="F380" s="90">
        <v>0</v>
      </c>
      <c r="G380" s="90">
        <v>0</v>
      </c>
      <c r="H380" s="90">
        <v>0</v>
      </c>
      <c r="I380" s="90">
        <v>0</v>
      </c>
      <c r="J380" s="90">
        <v>0</v>
      </c>
      <c r="K380" s="91">
        <v>1</v>
      </c>
      <c r="L380" s="90">
        <v>82796</v>
      </c>
      <c r="M380" s="90">
        <v>781000</v>
      </c>
      <c r="N380" s="90">
        <v>0</v>
      </c>
      <c r="O380" s="90">
        <v>0</v>
      </c>
      <c r="P380" s="90">
        <v>0</v>
      </c>
      <c r="Q380" s="90">
        <v>0</v>
      </c>
      <c r="R380" s="90">
        <v>0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0</v>
      </c>
      <c r="AB380" s="92">
        <v>2020</v>
      </c>
    </row>
    <row r="381" spans="1:28" s="1" customFormat="1" ht="35.25" customHeight="1" x14ac:dyDescent="0.5">
      <c r="A381" s="1">
        <v>1</v>
      </c>
      <c r="B381" s="39">
        <f>SUBTOTAL(103,$A$11:A381)</f>
        <v>361</v>
      </c>
      <c r="C381" s="86" t="s">
        <v>540</v>
      </c>
      <c r="D381" s="87">
        <f t="shared" si="20"/>
        <v>330086</v>
      </c>
      <c r="E381" s="90">
        <v>0</v>
      </c>
      <c r="F381" s="90">
        <v>0</v>
      </c>
      <c r="G381" s="90">
        <v>330086</v>
      </c>
      <c r="H381" s="90">
        <v>0</v>
      </c>
      <c r="I381" s="90">
        <v>0</v>
      </c>
      <c r="J381" s="90">
        <v>0</v>
      </c>
      <c r="K381" s="91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0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0</v>
      </c>
      <c r="AB381" s="92">
        <v>2020</v>
      </c>
    </row>
    <row r="382" spans="1:28" s="1" customFormat="1" ht="35.25" customHeight="1" x14ac:dyDescent="0.5">
      <c r="A382" s="1">
        <v>1</v>
      </c>
      <c r="B382" s="39">
        <f>SUBTOTAL(103,$A$11:A382)</f>
        <v>362</v>
      </c>
      <c r="C382" s="86" t="s">
        <v>541</v>
      </c>
      <c r="D382" s="87">
        <f t="shared" si="20"/>
        <v>693526</v>
      </c>
      <c r="E382" s="90">
        <v>0</v>
      </c>
      <c r="F382" s="90">
        <v>0</v>
      </c>
      <c r="G382" s="90">
        <v>0</v>
      </c>
      <c r="H382" s="90">
        <v>0</v>
      </c>
      <c r="I382" s="90">
        <v>0</v>
      </c>
      <c r="J382" s="90">
        <v>0</v>
      </c>
      <c r="K382" s="91">
        <v>0</v>
      </c>
      <c r="L382" s="90">
        <v>0</v>
      </c>
      <c r="M382" s="90">
        <v>693526</v>
      </c>
      <c r="N382" s="90">
        <v>0</v>
      </c>
      <c r="O382" s="90">
        <v>0</v>
      </c>
      <c r="P382" s="90">
        <v>0</v>
      </c>
      <c r="Q382" s="90">
        <v>0</v>
      </c>
      <c r="R382" s="90">
        <v>0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0</v>
      </c>
      <c r="AB382" s="92">
        <v>2020</v>
      </c>
    </row>
    <row r="383" spans="1:28" s="1" customFormat="1" ht="35.25" customHeight="1" x14ac:dyDescent="0.5">
      <c r="A383" s="1">
        <v>1</v>
      </c>
      <c r="B383" s="39">
        <f>SUBTOTAL(103,$A$11:A383)</f>
        <v>363</v>
      </c>
      <c r="C383" s="86" t="s">
        <v>542</v>
      </c>
      <c r="D383" s="87">
        <f t="shared" si="20"/>
        <v>347354</v>
      </c>
      <c r="E383" s="90">
        <v>0</v>
      </c>
      <c r="F383" s="90">
        <v>0</v>
      </c>
      <c r="G383" s="90">
        <v>0</v>
      </c>
      <c r="H383" s="90">
        <v>0</v>
      </c>
      <c r="I383" s="90">
        <v>347354</v>
      </c>
      <c r="J383" s="90">
        <v>0</v>
      </c>
      <c r="K383" s="91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0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0</v>
      </c>
      <c r="AB383" s="92">
        <v>2020</v>
      </c>
    </row>
    <row r="384" spans="1:28" s="1" customFormat="1" ht="35.25" customHeight="1" x14ac:dyDescent="0.5">
      <c r="A384" s="1">
        <v>1</v>
      </c>
      <c r="B384" s="39">
        <f>SUBTOTAL(103,$A$11:A384)</f>
        <v>364</v>
      </c>
      <c r="C384" s="86" t="s">
        <v>543</v>
      </c>
      <c r="D384" s="87">
        <f t="shared" si="20"/>
        <v>1832116</v>
      </c>
      <c r="E384" s="90">
        <v>0</v>
      </c>
      <c r="F384" s="90">
        <v>0</v>
      </c>
      <c r="G384" s="90">
        <v>0</v>
      </c>
      <c r="H384" s="90">
        <v>0</v>
      </c>
      <c r="I384" s="90">
        <v>0</v>
      </c>
      <c r="J384" s="90">
        <v>0</v>
      </c>
      <c r="K384" s="91">
        <v>1</v>
      </c>
      <c r="L384" s="90">
        <v>1832116</v>
      </c>
      <c r="M384" s="90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0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0</v>
      </c>
      <c r="AB384" s="92">
        <v>2020</v>
      </c>
    </row>
    <row r="385" spans="1:28" s="1" customFormat="1" ht="35.25" customHeight="1" x14ac:dyDescent="0.5">
      <c r="A385" s="1">
        <v>1</v>
      </c>
      <c r="B385" s="39">
        <f>SUBTOTAL(103,$A$11:A385)</f>
        <v>365</v>
      </c>
      <c r="C385" s="86" t="s">
        <v>544</v>
      </c>
      <c r="D385" s="87">
        <f t="shared" si="20"/>
        <v>240211</v>
      </c>
      <c r="E385" s="90">
        <v>0</v>
      </c>
      <c r="F385" s="90">
        <v>0</v>
      </c>
      <c r="G385" s="90">
        <v>0</v>
      </c>
      <c r="H385" s="90">
        <v>0</v>
      </c>
      <c r="I385" s="90">
        <v>0</v>
      </c>
      <c r="J385" s="90">
        <v>0</v>
      </c>
      <c r="K385" s="91">
        <v>0</v>
      </c>
      <c r="L385" s="90">
        <v>0</v>
      </c>
      <c r="M385" s="90">
        <v>0</v>
      </c>
      <c r="N385" s="90">
        <v>0</v>
      </c>
      <c r="O385" s="90">
        <v>240211</v>
      </c>
      <c r="P385" s="90">
        <v>0</v>
      </c>
      <c r="Q385" s="90">
        <v>0</v>
      </c>
      <c r="R385" s="90">
        <v>0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0</v>
      </c>
      <c r="AB385" s="92">
        <v>2020</v>
      </c>
    </row>
    <row r="386" spans="1:28" s="1" customFormat="1" ht="35.25" customHeight="1" x14ac:dyDescent="0.5">
      <c r="A386" s="1">
        <v>1</v>
      </c>
      <c r="B386" s="39">
        <f>SUBTOTAL(103,$A$11:A386)</f>
        <v>366</v>
      </c>
      <c r="C386" s="86" t="s">
        <v>545</v>
      </c>
      <c r="D386" s="87">
        <f t="shared" si="20"/>
        <v>155581.73000000001</v>
      </c>
      <c r="E386" s="90">
        <v>0</v>
      </c>
      <c r="F386" s="90">
        <v>0</v>
      </c>
      <c r="G386" s="90">
        <v>0</v>
      </c>
      <c r="H386" s="90">
        <v>155581.73000000001</v>
      </c>
      <c r="I386" s="90">
        <v>0</v>
      </c>
      <c r="J386" s="90">
        <v>0</v>
      </c>
      <c r="K386" s="91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0</v>
      </c>
      <c r="AB386" s="92">
        <v>2020</v>
      </c>
    </row>
    <row r="387" spans="1:28" s="1" customFormat="1" ht="35.25" customHeight="1" x14ac:dyDescent="0.5">
      <c r="A387" s="1">
        <v>1</v>
      </c>
      <c r="B387" s="39">
        <f>SUBTOTAL(103,$A$11:A387)</f>
        <v>367</v>
      </c>
      <c r="C387" s="86" t="s">
        <v>812</v>
      </c>
      <c r="D387" s="87">
        <v>1467871.96</v>
      </c>
      <c r="E387" s="90">
        <v>0</v>
      </c>
      <c r="F387" s="90">
        <v>0</v>
      </c>
      <c r="G387" s="90">
        <v>1467871.96</v>
      </c>
      <c r="H387" s="90">
        <v>0</v>
      </c>
      <c r="I387" s="90">
        <v>0</v>
      </c>
      <c r="J387" s="90">
        <v>0</v>
      </c>
      <c r="K387" s="91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0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0</v>
      </c>
      <c r="AB387" s="92">
        <v>2020</v>
      </c>
    </row>
    <row r="388" spans="1:28" s="1" customFormat="1" ht="35.25" customHeight="1" x14ac:dyDescent="0.5">
      <c r="A388" s="1">
        <v>1</v>
      </c>
      <c r="B388" s="39">
        <f>SUBTOTAL(103,$A$11:A388)</f>
        <v>368</v>
      </c>
      <c r="C388" s="86" t="s">
        <v>813</v>
      </c>
      <c r="D388" s="87">
        <v>3131855.51</v>
      </c>
      <c r="E388" s="90">
        <v>0</v>
      </c>
      <c r="F388" s="90">
        <v>0</v>
      </c>
      <c r="G388" s="90">
        <v>3131855.51</v>
      </c>
      <c r="H388" s="90">
        <v>0</v>
      </c>
      <c r="I388" s="90">
        <v>0</v>
      </c>
      <c r="J388" s="90">
        <v>0</v>
      </c>
      <c r="K388" s="91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0</v>
      </c>
      <c r="Q388" s="90">
        <v>0</v>
      </c>
      <c r="R388" s="90">
        <v>0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0</v>
      </c>
      <c r="AB388" s="92">
        <v>2020</v>
      </c>
    </row>
    <row r="389" spans="1:28" s="1" customFormat="1" ht="35.25" customHeight="1" x14ac:dyDescent="0.5">
      <c r="A389" s="1">
        <v>1</v>
      </c>
      <c r="B389" s="39">
        <f>SUBTOTAL(103,$A$11:A389)</f>
        <v>369</v>
      </c>
      <c r="C389" s="86" t="s">
        <v>814</v>
      </c>
      <c r="D389" s="87">
        <v>419031</v>
      </c>
      <c r="E389" s="90">
        <v>117495</v>
      </c>
      <c r="F389" s="90">
        <v>301536</v>
      </c>
      <c r="G389" s="90">
        <v>0</v>
      </c>
      <c r="H389" s="90">
        <v>0</v>
      </c>
      <c r="I389" s="90">
        <v>0</v>
      </c>
      <c r="J389" s="90">
        <v>0</v>
      </c>
      <c r="K389" s="91">
        <v>0</v>
      </c>
      <c r="L389" s="90">
        <v>0</v>
      </c>
      <c r="M389" s="90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0</v>
      </c>
      <c r="AB389" s="92">
        <v>2020</v>
      </c>
    </row>
    <row r="390" spans="1:28" s="1" customFormat="1" ht="35.25" customHeight="1" x14ac:dyDescent="0.5">
      <c r="A390" s="1">
        <v>1</v>
      </c>
      <c r="B390" s="39">
        <f>SUBTOTAL(103,$A$11:A390)</f>
        <v>370</v>
      </c>
      <c r="C390" s="86" t="s">
        <v>815</v>
      </c>
      <c r="D390" s="87">
        <f t="shared" ref="D390:D407" si="21">E390+F390+G390+H390+I390+J390+L390+M390+N390+O390+P390+Q390+R390+S390+T390+U390+V390+W390+X390+Y390+Z390+AA390</f>
        <v>670514.39</v>
      </c>
      <c r="E390" s="90">
        <v>0</v>
      </c>
      <c r="F390" s="90">
        <v>0</v>
      </c>
      <c r="G390" s="90">
        <v>670514.39</v>
      </c>
      <c r="H390" s="90">
        <v>0</v>
      </c>
      <c r="I390" s="90">
        <v>0</v>
      </c>
      <c r="J390" s="90">
        <v>0</v>
      </c>
      <c r="K390" s="91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0</v>
      </c>
      <c r="AB390" s="92">
        <v>2020</v>
      </c>
    </row>
    <row r="391" spans="1:28" s="1" customFormat="1" ht="35.25" customHeight="1" x14ac:dyDescent="0.5">
      <c r="A391" s="1">
        <v>1</v>
      </c>
      <c r="B391" s="39">
        <f>SUBTOTAL(103,$A$11:A391)</f>
        <v>371</v>
      </c>
      <c r="C391" s="86" t="s">
        <v>816</v>
      </c>
      <c r="D391" s="87">
        <f t="shared" si="21"/>
        <v>263492</v>
      </c>
      <c r="E391" s="90">
        <v>0</v>
      </c>
      <c r="F391" s="90">
        <v>263492</v>
      </c>
      <c r="G391" s="90">
        <v>0</v>
      </c>
      <c r="H391" s="90">
        <v>0</v>
      </c>
      <c r="I391" s="90">
        <v>0</v>
      </c>
      <c r="J391" s="90">
        <v>0</v>
      </c>
      <c r="K391" s="91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0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0</v>
      </c>
      <c r="AB391" s="92">
        <v>2020</v>
      </c>
    </row>
    <row r="392" spans="1:28" s="1" customFormat="1" ht="35.25" customHeight="1" x14ac:dyDescent="0.5">
      <c r="A392" s="1">
        <v>1</v>
      </c>
      <c r="B392" s="39">
        <f>SUBTOTAL(103,$A$11:A392)</f>
        <v>372</v>
      </c>
      <c r="C392" s="86" t="s">
        <v>817</v>
      </c>
      <c r="D392" s="87">
        <f t="shared" si="21"/>
        <v>1832116</v>
      </c>
      <c r="E392" s="90">
        <v>0</v>
      </c>
      <c r="F392" s="90">
        <v>0</v>
      </c>
      <c r="G392" s="90">
        <v>0</v>
      </c>
      <c r="H392" s="90">
        <v>0</v>
      </c>
      <c r="I392" s="90">
        <v>0</v>
      </c>
      <c r="J392" s="90">
        <v>0</v>
      </c>
      <c r="K392" s="91">
        <v>1</v>
      </c>
      <c r="L392" s="90">
        <v>1832116</v>
      </c>
      <c r="M392" s="90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0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0</v>
      </c>
      <c r="AB392" s="92">
        <v>2020</v>
      </c>
    </row>
    <row r="393" spans="1:28" s="1" customFormat="1" ht="35.25" customHeight="1" x14ac:dyDescent="0.5">
      <c r="A393" s="1">
        <v>1</v>
      </c>
      <c r="B393" s="39">
        <f>SUBTOTAL(103,$A$11:A393)</f>
        <v>373</v>
      </c>
      <c r="C393" s="86" t="s">
        <v>818</v>
      </c>
      <c r="D393" s="87">
        <f t="shared" si="21"/>
        <v>643086</v>
      </c>
      <c r="E393" s="90">
        <v>0</v>
      </c>
      <c r="F393" s="90">
        <v>0</v>
      </c>
      <c r="G393" s="90">
        <v>0</v>
      </c>
      <c r="H393" s="90">
        <v>0</v>
      </c>
      <c r="I393" s="90">
        <v>0</v>
      </c>
      <c r="J393" s="90">
        <v>0</v>
      </c>
      <c r="K393" s="91">
        <v>0</v>
      </c>
      <c r="L393" s="90">
        <v>0</v>
      </c>
      <c r="M393" s="90">
        <v>643086</v>
      </c>
      <c r="N393" s="90">
        <v>0</v>
      </c>
      <c r="O393" s="90">
        <v>0</v>
      </c>
      <c r="P393" s="90">
        <v>0</v>
      </c>
      <c r="Q393" s="90">
        <v>0</v>
      </c>
      <c r="R393" s="90">
        <v>0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0</v>
      </c>
      <c r="AB393" s="92">
        <v>2020</v>
      </c>
    </row>
    <row r="394" spans="1:28" s="1" customFormat="1" ht="35.25" customHeight="1" x14ac:dyDescent="0.5">
      <c r="A394" s="1">
        <v>1</v>
      </c>
      <c r="B394" s="39">
        <f>SUBTOTAL(103,$A$11:A394)</f>
        <v>374</v>
      </c>
      <c r="C394" s="86" t="s">
        <v>819</v>
      </c>
      <c r="D394" s="87">
        <f t="shared" si="21"/>
        <v>249000</v>
      </c>
      <c r="E394" s="90">
        <v>0</v>
      </c>
      <c r="F394" s="90">
        <v>0</v>
      </c>
      <c r="G394" s="90">
        <v>0</v>
      </c>
      <c r="H394" s="90">
        <v>0</v>
      </c>
      <c r="I394" s="90">
        <v>0</v>
      </c>
      <c r="J394" s="90">
        <v>0</v>
      </c>
      <c r="K394" s="91">
        <v>0</v>
      </c>
      <c r="L394" s="90">
        <v>0</v>
      </c>
      <c r="M394" s="90">
        <v>249000</v>
      </c>
      <c r="N394" s="90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0</v>
      </c>
      <c r="AB394" s="92">
        <v>2020</v>
      </c>
    </row>
    <row r="395" spans="1:28" s="1" customFormat="1" ht="35.25" customHeight="1" x14ac:dyDescent="0.5">
      <c r="A395" s="1">
        <v>1</v>
      </c>
      <c r="B395" s="39">
        <f>SUBTOTAL(103,$A$11:A395)</f>
        <v>375</v>
      </c>
      <c r="C395" s="86" t="s">
        <v>820</v>
      </c>
      <c r="D395" s="87">
        <f t="shared" si="21"/>
        <v>223000</v>
      </c>
      <c r="E395" s="90">
        <v>0</v>
      </c>
      <c r="F395" s="90">
        <v>0</v>
      </c>
      <c r="G395" s="90">
        <v>0</v>
      </c>
      <c r="H395" s="90">
        <v>0</v>
      </c>
      <c r="I395" s="90">
        <v>0</v>
      </c>
      <c r="J395" s="90">
        <v>0</v>
      </c>
      <c r="K395" s="91">
        <v>0</v>
      </c>
      <c r="L395" s="90">
        <v>0</v>
      </c>
      <c r="M395" s="90">
        <v>0</v>
      </c>
      <c r="N395" s="90">
        <v>0</v>
      </c>
      <c r="O395" s="90">
        <v>223000</v>
      </c>
      <c r="P395" s="90">
        <v>0</v>
      </c>
      <c r="Q395" s="90">
        <v>0</v>
      </c>
      <c r="R395" s="90">
        <v>0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0</v>
      </c>
      <c r="AB395" s="92">
        <v>2020</v>
      </c>
    </row>
    <row r="396" spans="1:28" s="1" customFormat="1" ht="35.25" customHeight="1" x14ac:dyDescent="0.5">
      <c r="A396" s="1">
        <v>1</v>
      </c>
      <c r="B396" s="39">
        <f>SUBTOTAL(103,$A$11:A396)</f>
        <v>376</v>
      </c>
      <c r="C396" s="86" t="s">
        <v>821</v>
      </c>
      <c r="D396" s="87">
        <f t="shared" si="21"/>
        <v>1137848</v>
      </c>
      <c r="E396" s="90">
        <v>0</v>
      </c>
      <c r="F396" s="90">
        <v>0</v>
      </c>
      <c r="G396" s="90">
        <v>0</v>
      </c>
      <c r="H396" s="90">
        <v>0</v>
      </c>
      <c r="I396" s="90">
        <v>0</v>
      </c>
      <c r="J396" s="90">
        <v>0</v>
      </c>
      <c r="K396" s="91">
        <v>0</v>
      </c>
      <c r="L396" s="90">
        <v>0</v>
      </c>
      <c r="M396" s="90">
        <v>0</v>
      </c>
      <c r="N396" s="90">
        <v>1137848</v>
      </c>
      <c r="O396" s="90">
        <v>0</v>
      </c>
      <c r="P396" s="90">
        <v>0</v>
      </c>
      <c r="Q396" s="90">
        <v>0</v>
      </c>
      <c r="R396" s="90">
        <v>0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0</v>
      </c>
      <c r="AB396" s="92">
        <v>2020</v>
      </c>
    </row>
    <row r="397" spans="1:28" s="1" customFormat="1" ht="35.25" customHeight="1" x14ac:dyDescent="0.5">
      <c r="A397" s="1">
        <v>1</v>
      </c>
      <c r="B397" s="39">
        <f>SUBTOTAL(103,$A$11:A397)</f>
        <v>377</v>
      </c>
      <c r="C397" s="86" t="s">
        <v>822</v>
      </c>
      <c r="D397" s="87">
        <f t="shared" si="21"/>
        <v>210700</v>
      </c>
      <c r="E397" s="90">
        <v>0</v>
      </c>
      <c r="F397" s="90">
        <v>0</v>
      </c>
      <c r="G397" s="90">
        <v>210700</v>
      </c>
      <c r="H397" s="90">
        <v>0</v>
      </c>
      <c r="I397" s="90">
        <v>0</v>
      </c>
      <c r="J397" s="90">
        <v>0</v>
      </c>
      <c r="K397" s="91">
        <v>0</v>
      </c>
      <c r="L397" s="90">
        <v>0</v>
      </c>
      <c r="M397" s="90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0</v>
      </c>
      <c r="AB397" s="92">
        <v>2020</v>
      </c>
    </row>
    <row r="398" spans="1:28" s="1" customFormat="1" ht="35.25" customHeight="1" x14ac:dyDescent="0.5">
      <c r="A398" s="1">
        <v>1</v>
      </c>
      <c r="B398" s="39">
        <f>SUBTOTAL(103,$A$11:A398)</f>
        <v>378</v>
      </c>
      <c r="C398" s="86" t="s">
        <v>823</v>
      </c>
      <c r="D398" s="87">
        <f t="shared" si="21"/>
        <v>492012</v>
      </c>
      <c r="E398" s="90">
        <v>0</v>
      </c>
      <c r="F398" s="90">
        <v>0</v>
      </c>
      <c r="G398" s="90">
        <v>0</v>
      </c>
      <c r="H398" s="90">
        <v>0</v>
      </c>
      <c r="I398" s="90">
        <v>492012</v>
      </c>
      <c r="J398" s="90">
        <v>0</v>
      </c>
      <c r="K398" s="91">
        <v>0</v>
      </c>
      <c r="L398" s="90">
        <v>0</v>
      </c>
      <c r="M398" s="90">
        <v>0</v>
      </c>
      <c r="N398" s="90">
        <v>0</v>
      </c>
      <c r="O398" s="90">
        <v>0</v>
      </c>
      <c r="P398" s="90">
        <v>0</v>
      </c>
      <c r="Q398" s="90">
        <v>0</v>
      </c>
      <c r="R398" s="90">
        <v>0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0</v>
      </c>
      <c r="AB398" s="92">
        <v>2020</v>
      </c>
    </row>
    <row r="399" spans="1:28" s="1" customFormat="1" ht="35.25" customHeight="1" x14ac:dyDescent="0.5">
      <c r="A399" s="1">
        <v>1</v>
      </c>
      <c r="B399" s="39">
        <f>SUBTOTAL(103,$A$11:A399)</f>
        <v>379</v>
      </c>
      <c r="C399" s="86" t="s">
        <v>824</v>
      </c>
      <c r="D399" s="87">
        <f t="shared" si="21"/>
        <v>63000</v>
      </c>
      <c r="E399" s="90">
        <v>0</v>
      </c>
      <c r="F399" s="90">
        <v>63000</v>
      </c>
      <c r="G399" s="90">
        <v>0</v>
      </c>
      <c r="H399" s="90">
        <v>0</v>
      </c>
      <c r="I399" s="90">
        <v>0</v>
      </c>
      <c r="J399" s="90">
        <v>0</v>
      </c>
      <c r="K399" s="91">
        <v>0</v>
      </c>
      <c r="L399" s="90">
        <v>0</v>
      </c>
      <c r="M399" s="90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0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0</v>
      </c>
      <c r="AB399" s="92">
        <v>2020</v>
      </c>
    </row>
    <row r="400" spans="1:28" s="1" customFormat="1" ht="35.25" customHeight="1" x14ac:dyDescent="0.5">
      <c r="A400" s="1">
        <v>1</v>
      </c>
      <c r="B400" s="39">
        <f>SUBTOTAL(103,$A$11:A400)</f>
        <v>380</v>
      </c>
      <c r="C400" s="86" t="s">
        <v>825</v>
      </c>
      <c r="D400" s="87">
        <f t="shared" si="21"/>
        <v>361000</v>
      </c>
      <c r="E400" s="90">
        <v>0</v>
      </c>
      <c r="F400" s="90">
        <v>0</v>
      </c>
      <c r="G400" s="90">
        <v>0</v>
      </c>
      <c r="H400" s="90">
        <v>0</v>
      </c>
      <c r="I400" s="90">
        <v>0</v>
      </c>
      <c r="J400" s="90">
        <v>0</v>
      </c>
      <c r="K400" s="91">
        <v>0</v>
      </c>
      <c r="L400" s="90">
        <v>0</v>
      </c>
      <c r="M400" s="90">
        <v>0</v>
      </c>
      <c r="N400" s="90">
        <v>0</v>
      </c>
      <c r="O400" s="90">
        <v>361000</v>
      </c>
      <c r="P400" s="90">
        <v>0</v>
      </c>
      <c r="Q400" s="90">
        <v>0</v>
      </c>
      <c r="R400" s="90">
        <v>0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0</v>
      </c>
      <c r="AB400" s="92">
        <v>2020</v>
      </c>
    </row>
    <row r="401" spans="1:28" s="1" customFormat="1" ht="35.25" customHeight="1" x14ac:dyDescent="0.5">
      <c r="A401" s="1">
        <v>1</v>
      </c>
      <c r="B401" s="39">
        <f>SUBTOTAL(103,$A$11:A401)</f>
        <v>381</v>
      </c>
      <c r="C401" s="86" t="s">
        <v>826</v>
      </c>
      <c r="D401" s="87">
        <f t="shared" si="21"/>
        <v>124000</v>
      </c>
      <c r="E401" s="90">
        <v>0</v>
      </c>
      <c r="F401" s="90">
        <v>0</v>
      </c>
      <c r="G401" s="90">
        <v>0</v>
      </c>
      <c r="H401" s="90">
        <v>0</v>
      </c>
      <c r="I401" s="90">
        <v>0</v>
      </c>
      <c r="J401" s="90">
        <v>0</v>
      </c>
      <c r="K401" s="91">
        <v>0</v>
      </c>
      <c r="L401" s="90">
        <v>0</v>
      </c>
      <c r="M401" s="90">
        <v>0</v>
      </c>
      <c r="N401" s="90">
        <v>0</v>
      </c>
      <c r="O401" s="90">
        <v>124000</v>
      </c>
      <c r="P401" s="90">
        <v>0</v>
      </c>
      <c r="Q401" s="90">
        <v>0</v>
      </c>
      <c r="R401" s="90">
        <v>0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0</v>
      </c>
      <c r="AB401" s="92">
        <v>2020</v>
      </c>
    </row>
    <row r="402" spans="1:28" s="1" customFormat="1" ht="35.25" customHeight="1" x14ac:dyDescent="0.5">
      <c r="A402" s="1">
        <v>1</v>
      </c>
      <c r="B402" s="39">
        <f>SUBTOTAL(103,$A$11:A402)</f>
        <v>382</v>
      </c>
      <c r="C402" s="86" t="s">
        <v>827</v>
      </c>
      <c r="D402" s="87">
        <f t="shared" si="21"/>
        <v>1832116</v>
      </c>
      <c r="E402" s="90">
        <v>0</v>
      </c>
      <c r="F402" s="90">
        <v>0</v>
      </c>
      <c r="G402" s="90">
        <v>0</v>
      </c>
      <c r="H402" s="90">
        <v>0</v>
      </c>
      <c r="I402" s="90">
        <v>0</v>
      </c>
      <c r="J402" s="90">
        <v>0</v>
      </c>
      <c r="K402" s="91">
        <v>1</v>
      </c>
      <c r="L402" s="90">
        <v>1832116</v>
      </c>
      <c r="M402" s="90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0</v>
      </c>
      <c r="AB402" s="92">
        <v>2020</v>
      </c>
    </row>
    <row r="403" spans="1:28" s="1" customFormat="1" ht="35.25" customHeight="1" x14ac:dyDescent="0.5">
      <c r="A403" s="1">
        <v>1</v>
      </c>
      <c r="B403" s="39">
        <f>SUBTOTAL(103,$A$11:A403)</f>
        <v>383</v>
      </c>
      <c r="C403" s="86" t="s">
        <v>828</v>
      </c>
      <c r="D403" s="87">
        <f t="shared" si="21"/>
        <v>752530</v>
      </c>
      <c r="E403" s="90">
        <v>0</v>
      </c>
      <c r="F403" s="90">
        <v>0</v>
      </c>
      <c r="G403" s="90">
        <v>0</v>
      </c>
      <c r="H403" s="90">
        <v>0</v>
      </c>
      <c r="I403" s="90">
        <v>0</v>
      </c>
      <c r="J403" s="90">
        <v>0</v>
      </c>
      <c r="K403" s="91">
        <v>0</v>
      </c>
      <c r="L403" s="90">
        <v>0</v>
      </c>
      <c r="M403" s="90">
        <v>600078</v>
      </c>
      <c r="N403" s="90">
        <v>0</v>
      </c>
      <c r="O403" s="90">
        <v>152452</v>
      </c>
      <c r="P403" s="90">
        <v>0</v>
      </c>
      <c r="Q403" s="90">
        <v>0</v>
      </c>
      <c r="R403" s="90">
        <v>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0</v>
      </c>
      <c r="AB403" s="92">
        <v>2020</v>
      </c>
    </row>
    <row r="404" spans="1:28" s="1" customFormat="1" ht="35.25" customHeight="1" x14ac:dyDescent="0.5">
      <c r="A404" s="1">
        <v>1</v>
      </c>
      <c r="B404" s="39">
        <f>SUBTOTAL(103,$A$11:A404)</f>
        <v>384</v>
      </c>
      <c r="C404" s="86" t="s">
        <v>829</v>
      </c>
      <c r="D404" s="87">
        <f t="shared" si="21"/>
        <v>317122.2</v>
      </c>
      <c r="E404" s="90">
        <v>0</v>
      </c>
      <c r="F404" s="90">
        <v>0</v>
      </c>
      <c r="G404" s="90">
        <v>0</v>
      </c>
      <c r="H404" s="90">
        <v>0</v>
      </c>
      <c r="I404" s="90">
        <v>0</v>
      </c>
      <c r="J404" s="90">
        <v>0</v>
      </c>
      <c r="K404" s="91">
        <v>0</v>
      </c>
      <c r="L404" s="90">
        <v>0</v>
      </c>
      <c r="M404" s="90">
        <v>317122.2</v>
      </c>
      <c r="N404" s="90">
        <v>0</v>
      </c>
      <c r="O404" s="90">
        <v>0</v>
      </c>
      <c r="P404" s="90">
        <v>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0</v>
      </c>
      <c r="AB404" s="92">
        <v>2020</v>
      </c>
    </row>
    <row r="405" spans="1:28" s="1" customFormat="1" ht="35.25" customHeight="1" x14ac:dyDescent="0.5">
      <c r="A405" s="1">
        <v>1</v>
      </c>
      <c r="B405" s="39">
        <f>SUBTOTAL(103,$A$11:A405)</f>
        <v>385</v>
      </c>
      <c r="C405" s="86" t="s">
        <v>830</v>
      </c>
      <c r="D405" s="87">
        <f t="shared" si="21"/>
        <v>973016</v>
      </c>
      <c r="E405" s="90">
        <v>0</v>
      </c>
      <c r="F405" s="90">
        <v>0</v>
      </c>
      <c r="G405" s="90">
        <v>0</v>
      </c>
      <c r="H405" s="90">
        <v>0</v>
      </c>
      <c r="I405" s="90">
        <v>0</v>
      </c>
      <c r="J405" s="90">
        <v>0</v>
      </c>
      <c r="K405" s="91">
        <v>0</v>
      </c>
      <c r="L405" s="90">
        <v>0</v>
      </c>
      <c r="M405" s="90">
        <v>973016</v>
      </c>
      <c r="N405" s="90">
        <v>0</v>
      </c>
      <c r="O405" s="90">
        <v>0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0</v>
      </c>
      <c r="AB405" s="92">
        <v>2020</v>
      </c>
    </row>
    <row r="406" spans="1:28" s="1" customFormat="1" ht="35.25" customHeight="1" x14ac:dyDescent="0.5">
      <c r="A406" s="1">
        <v>1</v>
      </c>
      <c r="B406" s="39">
        <f>SUBTOTAL(103,$A$11:A406)</f>
        <v>386</v>
      </c>
      <c r="C406" s="86" t="s">
        <v>831</v>
      </c>
      <c r="D406" s="87">
        <f t="shared" si="21"/>
        <v>350223</v>
      </c>
      <c r="E406" s="90">
        <v>0</v>
      </c>
      <c r="F406" s="90">
        <v>0</v>
      </c>
      <c r="G406" s="90">
        <v>0</v>
      </c>
      <c r="H406" s="90">
        <v>0</v>
      </c>
      <c r="I406" s="90">
        <v>0</v>
      </c>
      <c r="J406" s="90">
        <v>0</v>
      </c>
      <c r="K406" s="91">
        <v>0</v>
      </c>
      <c r="L406" s="90">
        <v>0</v>
      </c>
      <c r="M406" s="90">
        <v>0</v>
      </c>
      <c r="N406" s="90">
        <v>0</v>
      </c>
      <c r="O406" s="90">
        <v>350223</v>
      </c>
      <c r="P406" s="90">
        <v>0</v>
      </c>
      <c r="Q406" s="90">
        <v>0</v>
      </c>
      <c r="R406" s="90">
        <v>0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0</v>
      </c>
      <c r="AB406" s="92">
        <v>2020</v>
      </c>
    </row>
    <row r="407" spans="1:28" s="1" customFormat="1" ht="35.25" customHeight="1" x14ac:dyDescent="0.5">
      <c r="A407" s="1">
        <v>1</v>
      </c>
      <c r="B407" s="39">
        <f>SUBTOTAL(103,$A$11:A407)</f>
        <v>387</v>
      </c>
      <c r="C407" s="86" t="s">
        <v>832</v>
      </c>
      <c r="D407" s="87">
        <f t="shared" si="21"/>
        <v>1628343.96</v>
      </c>
      <c r="E407" s="90">
        <v>0</v>
      </c>
      <c r="F407" s="90">
        <v>0</v>
      </c>
      <c r="G407" s="90">
        <v>390000</v>
      </c>
      <c r="H407" s="90">
        <v>0</v>
      </c>
      <c r="I407" s="90">
        <v>0</v>
      </c>
      <c r="J407" s="90">
        <v>0</v>
      </c>
      <c r="K407" s="91">
        <v>0</v>
      </c>
      <c r="L407" s="90">
        <v>0</v>
      </c>
      <c r="M407" s="90">
        <v>623200.5</v>
      </c>
      <c r="N407" s="90">
        <v>0</v>
      </c>
      <c r="O407" s="90">
        <v>615143.46</v>
      </c>
      <c r="P407" s="90">
        <v>0</v>
      </c>
      <c r="Q407" s="90">
        <v>0</v>
      </c>
      <c r="R407" s="90">
        <v>0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0</v>
      </c>
      <c r="AB407" s="92">
        <v>2020</v>
      </c>
    </row>
    <row r="408" spans="1:28" s="1" customFormat="1" ht="35.25" customHeight="1" x14ac:dyDescent="0.5">
      <c r="A408" s="1">
        <v>1</v>
      </c>
      <c r="B408" s="39">
        <f>SUBTOTAL(103,$A$11:A408)</f>
        <v>388</v>
      </c>
      <c r="C408" s="86" t="s">
        <v>833</v>
      </c>
      <c r="D408" s="87">
        <f>E408+F408+G408+H408+I408+J408+L408+M408+N408+O408+P408+Q408+R408+S408+T408+U408+V408+W408+X408+Y408+Z408+AA408</f>
        <v>391500</v>
      </c>
      <c r="E408" s="90">
        <v>0</v>
      </c>
      <c r="F408" s="90">
        <v>0</v>
      </c>
      <c r="G408" s="90">
        <v>0</v>
      </c>
      <c r="H408" s="90">
        <v>0</v>
      </c>
      <c r="I408" s="90">
        <v>0</v>
      </c>
      <c r="J408" s="90">
        <v>0</v>
      </c>
      <c r="K408" s="91">
        <v>0</v>
      </c>
      <c r="L408" s="90">
        <v>0</v>
      </c>
      <c r="M408" s="90">
        <v>391500</v>
      </c>
      <c r="N408" s="90">
        <v>0</v>
      </c>
      <c r="O408" s="90">
        <v>0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2">
        <v>2020</v>
      </c>
    </row>
    <row r="409" spans="1:28" s="1" customFormat="1" ht="35.25" customHeight="1" x14ac:dyDescent="0.5">
      <c r="A409" s="1">
        <v>1</v>
      </c>
      <c r="B409" s="39">
        <f>SUBTOTAL(103,$A$11:A409)</f>
        <v>389</v>
      </c>
      <c r="C409" s="86" t="s">
        <v>834</v>
      </c>
      <c r="D409" s="87">
        <f>E409+F409+G409+H409+I409+J409+L409+M409+N409+O409+P409+Q409+R409+S409+T409+U409+V409+W409+X409+Y409+Z409+AA409</f>
        <v>466000</v>
      </c>
      <c r="E409" s="90">
        <v>0</v>
      </c>
      <c r="F409" s="90">
        <v>0</v>
      </c>
      <c r="G409" s="90">
        <v>0</v>
      </c>
      <c r="H409" s="90">
        <v>0</v>
      </c>
      <c r="I409" s="90">
        <v>0</v>
      </c>
      <c r="J409" s="90">
        <v>0</v>
      </c>
      <c r="K409" s="91">
        <v>0</v>
      </c>
      <c r="L409" s="90">
        <v>0</v>
      </c>
      <c r="M409" s="90">
        <v>0</v>
      </c>
      <c r="N409" s="90">
        <v>0</v>
      </c>
      <c r="O409" s="90">
        <v>466000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0</v>
      </c>
      <c r="AB409" s="92">
        <v>2020</v>
      </c>
    </row>
    <row r="410" spans="1:28" s="1" customFormat="1" ht="35.25" customHeight="1" x14ac:dyDescent="0.5">
      <c r="A410" s="1">
        <v>1</v>
      </c>
      <c r="B410" s="39">
        <f>SUBTOTAL(103,$A$11:A410)</f>
        <v>390</v>
      </c>
      <c r="C410" s="86" t="s">
        <v>835</v>
      </c>
      <c r="D410" s="87">
        <f>E410+F410+G410+H410+I410+J410+L410+M410+N410+O410+P410+Q410+R410+S410+T410+U410+V410+W410+X410+Y410+Z410+AA410</f>
        <v>852734</v>
      </c>
      <c r="E410" s="90">
        <v>0</v>
      </c>
      <c r="F410" s="90">
        <v>0</v>
      </c>
      <c r="G410" s="90">
        <v>852734</v>
      </c>
      <c r="H410" s="90">
        <v>0</v>
      </c>
      <c r="I410" s="90">
        <v>0</v>
      </c>
      <c r="J410" s="90">
        <v>0</v>
      </c>
      <c r="K410" s="91">
        <v>0</v>
      </c>
      <c r="L410" s="90">
        <v>0</v>
      </c>
      <c r="M410" s="90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0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2">
        <v>2020</v>
      </c>
    </row>
    <row r="411" spans="1:28" s="1" customFormat="1" ht="35.25" customHeight="1" x14ac:dyDescent="0.5">
      <c r="A411" s="1">
        <v>1</v>
      </c>
      <c r="B411" s="39">
        <f>SUBTOTAL(103,$A$11:A411)</f>
        <v>391</v>
      </c>
      <c r="C411" s="86" t="s">
        <v>836</v>
      </c>
      <c r="D411" s="87">
        <f>E411+F411+G411+H411+I411+J411+L411+M411+N411+O411+P411+Q411+R411+S411+T411+U411+V411+W411+X411+Y411+Z411+AA411</f>
        <v>58155</v>
      </c>
      <c r="E411" s="90">
        <v>0</v>
      </c>
      <c r="F411" s="90">
        <v>0</v>
      </c>
      <c r="G411" s="90">
        <v>58155</v>
      </c>
      <c r="H411" s="90">
        <v>0</v>
      </c>
      <c r="I411" s="90">
        <v>0</v>
      </c>
      <c r="J411" s="90">
        <v>0</v>
      </c>
      <c r="K411" s="91">
        <v>0</v>
      </c>
      <c r="L411" s="90">
        <v>0</v>
      </c>
      <c r="M411" s="90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2">
        <v>2020</v>
      </c>
    </row>
    <row r="412" spans="1:28" s="1" customFormat="1" ht="35.25" customHeight="1" x14ac:dyDescent="0.5">
      <c r="A412" s="1">
        <v>1</v>
      </c>
      <c r="B412" s="39">
        <f>SUBTOTAL(103,$A$11:A412)</f>
        <v>392</v>
      </c>
      <c r="C412" s="86" t="s">
        <v>837</v>
      </c>
      <c r="D412" s="87">
        <v>1269855</v>
      </c>
      <c r="E412" s="90">
        <v>0</v>
      </c>
      <c r="F412" s="90">
        <v>0</v>
      </c>
      <c r="G412" s="90">
        <v>0</v>
      </c>
      <c r="H412" s="90">
        <v>0</v>
      </c>
      <c r="I412" s="90">
        <v>0</v>
      </c>
      <c r="J412" s="90">
        <v>0</v>
      </c>
      <c r="K412" s="91">
        <v>0</v>
      </c>
      <c r="L412" s="90">
        <v>0</v>
      </c>
      <c r="M412" s="90">
        <v>1120180</v>
      </c>
      <c r="N412" s="90">
        <v>0</v>
      </c>
      <c r="O412" s="90">
        <v>149675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0</v>
      </c>
      <c r="AB412" s="92">
        <v>2020</v>
      </c>
    </row>
    <row r="413" spans="1:28" s="1" customFormat="1" ht="35.25" customHeight="1" x14ac:dyDescent="0.5">
      <c r="B413" s="86" t="s">
        <v>117</v>
      </c>
      <c r="C413" s="86"/>
      <c r="D413" s="87">
        <f t="shared" ref="D413:AA413" si="22">SUM(D414:D414)</f>
        <v>30800</v>
      </c>
      <c r="E413" s="87">
        <f t="shared" si="22"/>
        <v>0</v>
      </c>
      <c r="F413" s="87">
        <f t="shared" si="22"/>
        <v>0</v>
      </c>
      <c r="G413" s="87">
        <f t="shared" si="22"/>
        <v>0</v>
      </c>
      <c r="H413" s="87">
        <f t="shared" si="22"/>
        <v>0</v>
      </c>
      <c r="I413" s="87">
        <f t="shared" si="22"/>
        <v>0</v>
      </c>
      <c r="J413" s="87">
        <f t="shared" si="22"/>
        <v>0</v>
      </c>
      <c r="K413" s="88">
        <f t="shared" si="22"/>
        <v>0</v>
      </c>
      <c r="L413" s="87">
        <f t="shared" si="22"/>
        <v>0</v>
      </c>
      <c r="M413" s="87">
        <f t="shared" si="22"/>
        <v>0</v>
      </c>
      <c r="N413" s="87">
        <f t="shared" si="22"/>
        <v>0</v>
      </c>
      <c r="O413" s="87">
        <f t="shared" si="22"/>
        <v>30800</v>
      </c>
      <c r="P413" s="87">
        <f t="shared" si="22"/>
        <v>0</v>
      </c>
      <c r="Q413" s="87">
        <f t="shared" si="22"/>
        <v>0</v>
      </c>
      <c r="R413" s="87">
        <f t="shared" si="22"/>
        <v>0</v>
      </c>
      <c r="S413" s="87">
        <f t="shared" si="22"/>
        <v>0</v>
      </c>
      <c r="T413" s="87">
        <f t="shared" si="22"/>
        <v>0</v>
      </c>
      <c r="U413" s="87">
        <f t="shared" si="22"/>
        <v>0</v>
      </c>
      <c r="V413" s="87">
        <f t="shared" si="22"/>
        <v>0</v>
      </c>
      <c r="W413" s="87">
        <f t="shared" si="22"/>
        <v>0</v>
      </c>
      <c r="X413" s="87">
        <f t="shared" si="22"/>
        <v>0</v>
      </c>
      <c r="Y413" s="87">
        <f t="shared" si="22"/>
        <v>0</v>
      </c>
      <c r="Z413" s="87">
        <f t="shared" si="22"/>
        <v>0</v>
      </c>
      <c r="AA413" s="87">
        <f t="shared" si="22"/>
        <v>0</v>
      </c>
      <c r="AB413" s="89" t="s">
        <v>131</v>
      </c>
    </row>
    <row r="414" spans="1:28" s="1" customFormat="1" ht="35.25" customHeight="1" x14ac:dyDescent="0.5">
      <c r="A414" s="1">
        <v>1</v>
      </c>
      <c r="B414" s="39">
        <f>SUBTOTAL(103,$A$11:A414)</f>
        <v>393</v>
      </c>
      <c r="C414" s="86" t="s">
        <v>548</v>
      </c>
      <c r="D414" s="87">
        <f>E414+F414+G414+H414+I414+J414+L414+M414+N414+O414+P414+Q414+R414+S414+T414+U414+V414+W414+X414+Y414+Z414+AA414</f>
        <v>30800</v>
      </c>
      <c r="E414" s="90">
        <v>0</v>
      </c>
      <c r="F414" s="90">
        <v>0</v>
      </c>
      <c r="G414" s="90">
        <v>0</v>
      </c>
      <c r="H414" s="90">
        <v>0</v>
      </c>
      <c r="I414" s="90">
        <v>0</v>
      </c>
      <c r="J414" s="90">
        <v>0</v>
      </c>
      <c r="K414" s="91">
        <v>0</v>
      </c>
      <c r="L414" s="90">
        <v>0</v>
      </c>
      <c r="M414" s="90">
        <v>0</v>
      </c>
      <c r="N414" s="90">
        <v>0</v>
      </c>
      <c r="O414" s="90">
        <v>30800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0</v>
      </c>
      <c r="AB414" s="92">
        <v>2020</v>
      </c>
    </row>
    <row r="415" spans="1:28" s="1" customFormat="1" ht="35.25" customHeight="1" x14ac:dyDescent="0.5">
      <c r="B415" s="86" t="s">
        <v>116</v>
      </c>
      <c r="C415" s="86"/>
      <c r="D415" s="87">
        <f t="shared" ref="D415:AA415" si="23">SUM(D416:D416)</f>
        <v>246611</v>
      </c>
      <c r="E415" s="87">
        <f t="shared" si="23"/>
        <v>0</v>
      </c>
      <c r="F415" s="87">
        <f t="shared" si="23"/>
        <v>0</v>
      </c>
      <c r="G415" s="87">
        <f t="shared" si="23"/>
        <v>0</v>
      </c>
      <c r="H415" s="87">
        <f t="shared" si="23"/>
        <v>0</v>
      </c>
      <c r="I415" s="87">
        <f t="shared" si="23"/>
        <v>0</v>
      </c>
      <c r="J415" s="87">
        <f t="shared" si="23"/>
        <v>0</v>
      </c>
      <c r="K415" s="91">
        <f t="shared" si="23"/>
        <v>0</v>
      </c>
      <c r="L415" s="87">
        <f t="shared" si="23"/>
        <v>0</v>
      </c>
      <c r="M415" s="87">
        <f t="shared" si="23"/>
        <v>0</v>
      </c>
      <c r="N415" s="87">
        <f t="shared" si="23"/>
        <v>0</v>
      </c>
      <c r="O415" s="87">
        <f t="shared" si="23"/>
        <v>246611</v>
      </c>
      <c r="P415" s="87">
        <f t="shared" si="23"/>
        <v>0</v>
      </c>
      <c r="Q415" s="87">
        <f t="shared" si="23"/>
        <v>0</v>
      </c>
      <c r="R415" s="87">
        <f t="shared" si="23"/>
        <v>0</v>
      </c>
      <c r="S415" s="87">
        <f t="shared" si="23"/>
        <v>0</v>
      </c>
      <c r="T415" s="87">
        <f t="shared" si="23"/>
        <v>0</v>
      </c>
      <c r="U415" s="87">
        <f t="shared" si="23"/>
        <v>0</v>
      </c>
      <c r="V415" s="87">
        <f t="shared" si="23"/>
        <v>0</v>
      </c>
      <c r="W415" s="87">
        <f t="shared" si="23"/>
        <v>0</v>
      </c>
      <c r="X415" s="87">
        <f t="shared" si="23"/>
        <v>0</v>
      </c>
      <c r="Y415" s="87">
        <f t="shared" si="23"/>
        <v>0</v>
      </c>
      <c r="Z415" s="87">
        <f t="shared" si="23"/>
        <v>0</v>
      </c>
      <c r="AA415" s="87">
        <f t="shared" si="23"/>
        <v>0</v>
      </c>
      <c r="AB415" s="89" t="s">
        <v>131</v>
      </c>
    </row>
    <row r="416" spans="1:28" s="1" customFormat="1" ht="35.25" customHeight="1" x14ac:dyDescent="0.5">
      <c r="A416" s="1">
        <v>1</v>
      </c>
      <c r="B416" s="39">
        <f>SUBTOTAL(103,$A$11:A416)</f>
        <v>394</v>
      </c>
      <c r="C416" s="86" t="s">
        <v>549</v>
      </c>
      <c r="D416" s="87">
        <f>E416+F416+G416+H416+I416+J416+L416+M416+N416+O416+P416+Q416+R416+S416+T416+U416+V416+W416+X416+Y416+Z416+AA416</f>
        <v>246611</v>
      </c>
      <c r="E416" s="90">
        <v>0</v>
      </c>
      <c r="F416" s="90">
        <v>0</v>
      </c>
      <c r="G416" s="90">
        <v>0</v>
      </c>
      <c r="H416" s="90">
        <v>0</v>
      </c>
      <c r="I416" s="90">
        <v>0</v>
      </c>
      <c r="J416" s="90">
        <v>0</v>
      </c>
      <c r="K416" s="91">
        <v>0</v>
      </c>
      <c r="L416" s="90">
        <v>0</v>
      </c>
      <c r="M416" s="90">
        <v>0</v>
      </c>
      <c r="N416" s="90">
        <v>0</v>
      </c>
      <c r="O416" s="90">
        <v>246611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2">
        <v>2020</v>
      </c>
    </row>
    <row r="417" spans="1:28" s="1" customFormat="1" ht="35.25" customHeight="1" x14ac:dyDescent="0.5">
      <c r="B417" s="86" t="s">
        <v>126</v>
      </c>
      <c r="C417" s="86"/>
      <c r="D417" s="87">
        <f>SUM(D418:D419)</f>
        <v>855755</v>
      </c>
      <c r="E417" s="87">
        <f t="shared" ref="E417:AA417" si="24">SUM(E418:E419)</f>
        <v>0</v>
      </c>
      <c r="F417" s="87">
        <f t="shared" si="24"/>
        <v>0</v>
      </c>
      <c r="G417" s="87">
        <f t="shared" si="24"/>
        <v>0</v>
      </c>
      <c r="H417" s="87">
        <f t="shared" si="24"/>
        <v>0</v>
      </c>
      <c r="I417" s="87">
        <f t="shared" si="24"/>
        <v>0</v>
      </c>
      <c r="J417" s="87">
        <f t="shared" si="24"/>
        <v>0</v>
      </c>
      <c r="K417" s="91">
        <f t="shared" si="24"/>
        <v>0</v>
      </c>
      <c r="L417" s="87">
        <f t="shared" si="24"/>
        <v>0</v>
      </c>
      <c r="M417" s="87">
        <f t="shared" si="24"/>
        <v>0</v>
      </c>
      <c r="N417" s="87">
        <f t="shared" si="24"/>
        <v>855755</v>
      </c>
      <c r="O417" s="87">
        <f t="shared" si="24"/>
        <v>0</v>
      </c>
      <c r="P417" s="87">
        <f t="shared" si="24"/>
        <v>0</v>
      </c>
      <c r="Q417" s="87">
        <f t="shared" si="24"/>
        <v>0</v>
      </c>
      <c r="R417" s="87">
        <f t="shared" si="24"/>
        <v>0</v>
      </c>
      <c r="S417" s="87">
        <f t="shared" si="24"/>
        <v>0</v>
      </c>
      <c r="T417" s="87">
        <f t="shared" si="24"/>
        <v>0</v>
      </c>
      <c r="U417" s="87">
        <f t="shared" si="24"/>
        <v>0</v>
      </c>
      <c r="V417" s="87">
        <f t="shared" si="24"/>
        <v>0</v>
      </c>
      <c r="W417" s="87">
        <f t="shared" si="24"/>
        <v>0</v>
      </c>
      <c r="X417" s="87">
        <f t="shared" si="24"/>
        <v>0</v>
      </c>
      <c r="Y417" s="87">
        <f t="shared" si="24"/>
        <v>0</v>
      </c>
      <c r="Z417" s="87">
        <f t="shared" si="24"/>
        <v>0</v>
      </c>
      <c r="AA417" s="87">
        <f t="shared" si="24"/>
        <v>0</v>
      </c>
      <c r="AB417" s="89" t="s">
        <v>131</v>
      </c>
    </row>
    <row r="418" spans="1:28" s="1" customFormat="1" ht="35.25" customHeight="1" x14ac:dyDescent="0.5">
      <c r="A418" s="1">
        <v>1</v>
      </c>
      <c r="B418" s="39">
        <f>SUBTOTAL(103,$A$11:A418)</f>
        <v>395</v>
      </c>
      <c r="C418" s="86" t="s">
        <v>550</v>
      </c>
      <c r="D418" s="87">
        <f>E418+F418+G418+H418+I418+J418+L418+M418+N418+O418+P418+Q418+R418+S418+T418+U418+V418+W418+X418+Y418+Z418+AA418</f>
        <v>488555</v>
      </c>
      <c r="E418" s="90">
        <v>0</v>
      </c>
      <c r="F418" s="90">
        <v>0</v>
      </c>
      <c r="G418" s="90">
        <v>0</v>
      </c>
      <c r="H418" s="90">
        <v>0</v>
      </c>
      <c r="I418" s="90">
        <v>0</v>
      </c>
      <c r="J418" s="90">
        <v>0</v>
      </c>
      <c r="K418" s="91">
        <v>0</v>
      </c>
      <c r="L418" s="90">
        <v>0</v>
      </c>
      <c r="M418" s="90">
        <v>0</v>
      </c>
      <c r="N418" s="90">
        <v>488555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2">
        <v>2020</v>
      </c>
    </row>
    <row r="419" spans="1:28" s="1" customFormat="1" ht="35.25" customHeight="1" x14ac:dyDescent="0.5">
      <c r="A419" s="1">
        <v>1</v>
      </c>
      <c r="B419" s="39">
        <f>SUBTOTAL(103,$A$11:A419)</f>
        <v>396</v>
      </c>
      <c r="C419" s="86" t="s">
        <v>551</v>
      </c>
      <c r="D419" s="87">
        <f>E419+F419+G419+H419+I419+J419+L419+M419+N419+O419+P419+Q419+R419+S419+T419+U419+V419+W419+X419+Y419+Z419+AA419</f>
        <v>367200</v>
      </c>
      <c r="E419" s="90">
        <v>0</v>
      </c>
      <c r="F419" s="90">
        <v>0</v>
      </c>
      <c r="G419" s="90">
        <v>0</v>
      </c>
      <c r="H419" s="90">
        <v>0</v>
      </c>
      <c r="I419" s="90">
        <v>0</v>
      </c>
      <c r="J419" s="90">
        <v>0</v>
      </c>
      <c r="K419" s="91">
        <v>0</v>
      </c>
      <c r="L419" s="90">
        <v>0</v>
      </c>
      <c r="M419" s="90">
        <v>0</v>
      </c>
      <c r="N419" s="90">
        <v>367200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2">
        <v>2020</v>
      </c>
    </row>
    <row r="420" spans="1:28" s="1" customFormat="1" ht="35.25" customHeight="1" x14ac:dyDescent="0.5">
      <c r="B420" s="85" t="s">
        <v>103</v>
      </c>
      <c r="C420" s="86"/>
      <c r="D420" s="87">
        <f t="shared" ref="D420:AA420" si="25">SUM(D421:D427)</f>
        <v>2682963.6799999997</v>
      </c>
      <c r="E420" s="87">
        <f t="shared" si="25"/>
        <v>0</v>
      </c>
      <c r="F420" s="87">
        <f t="shared" si="25"/>
        <v>0</v>
      </c>
      <c r="G420" s="87">
        <f t="shared" si="25"/>
        <v>739716.67999999993</v>
      </c>
      <c r="H420" s="87">
        <f t="shared" si="25"/>
        <v>0</v>
      </c>
      <c r="I420" s="87">
        <f t="shared" si="25"/>
        <v>0</v>
      </c>
      <c r="J420" s="87">
        <f t="shared" si="25"/>
        <v>0</v>
      </c>
      <c r="K420" s="91">
        <f t="shared" si="25"/>
        <v>0</v>
      </c>
      <c r="L420" s="87">
        <f t="shared" si="25"/>
        <v>0</v>
      </c>
      <c r="M420" s="87">
        <f t="shared" si="25"/>
        <v>333320</v>
      </c>
      <c r="N420" s="87">
        <f t="shared" si="25"/>
        <v>0</v>
      </c>
      <c r="O420" s="87">
        <f t="shared" si="25"/>
        <v>1609927</v>
      </c>
      <c r="P420" s="87">
        <f t="shared" si="25"/>
        <v>0</v>
      </c>
      <c r="Q420" s="87">
        <f t="shared" si="25"/>
        <v>0</v>
      </c>
      <c r="R420" s="87">
        <f t="shared" si="25"/>
        <v>0</v>
      </c>
      <c r="S420" s="87">
        <f t="shared" si="25"/>
        <v>0</v>
      </c>
      <c r="T420" s="87">
        <f t="shared" si="25"/>
        <v>0</v>
      </c>
      <c r="U420" s="87">
        <f t="shared" si="25"/>
        <v>0</v>
      </c>
      <c r="V420" s="87">
        <f t="shared" si="25"/>
        <v>0</v>
      </c>
      <c r="W420" s="87">
        <f t="shared" si="25"/>
        <v>0</v>
      </c>
      <c r="X420" s="87">
        <f t="shared" si="25"/>
        <v>0</v>
      </c>
      <c r="Y420" s="87">
        <f t="shared" si="25"/>
        <v>0</v>
      </c>
      <c r="Z420" s="87">
        <f t="shared" si="25"/>
        <v>0</v>
      </c>
      <c r="AA420" s="87">
        <f t="shared" si="25"/>
        <v>0</v>
      </c>
      <c r="AB420" s="89" t="s">
        <v>131</v>
      </c>
    </row>
    <row r="421" spans="1:28" s="1" customFormat="1" ht="35.25" customHeight="1" x14ac:dyDescent="0.5">
      <c r="A421" s="1">
        <v>1</v>
      </c>
      <c r="B421" s="39">
        <f>SUBTOTAL(103,$A$11:A421)</f>
        <v>397</v>
      </c>
      <c r="C421" s="86" t="s">
        <v>838</v>
      </c>
      <c r="D421" s="87">
        <f t="shared" ref="D421:D431" si="26">E421+F421+G421+H421+I421+J421+L421+M421+N421+O421+P421+Q421+R421+S421+T421+U421+V421+W421+X421+Y421+Z421+AA421</f>
        <v>338400</v>
      </c>
      <c r="E421" s="93">
        <v>0</v>
      </c>
      <c r="F421" s="93">
        <v>0</v>
      </c>
      <c r="G421" s="90">
        <v>0</v>
      </c>
      <c r="H421" s="90">
        <v>0</v>
      </c>
      <c r="I421" s="90">
        <v>0</v>
      </c>
      <c r="J421" s="90">
        <v>0</v>
      </c>
      <c r="K421" s="91">
        <v>0</v>
      </c>
      <c r="L421" s="90">
        <v>0</v>
      </c>
      <c r="M421" s="93">
        <v>0</v>
      </c>
      <c r="N421" s="90">
        <v>0</v>
      </c>
      <c r="O421" s="90">
        <v>338400</v>
      </c>
      <c r="P421" s="90">
        <v>0</v>
      </c>
      <c r="Q421" s="90">
        <v>0</v>
      </c>
      <c r="R421" s="90">
        <v>0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0</v>
      </c>
      <c r="AB421" s="92">
        <v>2020</v>
      </c>
    </row>
    <row r="422" spans="1:28" s="1" customFormat="1" ht="35.25" customHeight="1" x14ac:dyDescent="0.5">
      <c r="A422" s="1">
        <v>1</v>
      </c>
      <c r="B422" s="39">
        <f>SUBTOTAL(103,$A$11:A422)</f>
        <v>398</v>
      </c>
      <c r="C422" s="86" t="s">
        <v>839</v>
      </c>
      <c r="D422" s="87">
        <f t="shared" si="26"/>
        <v>353445</v>
      </c>
      <c r="E422" s="93">
        <v>0</v>
      </c>
      <c r="F422" s="93">
        <v>0</v>
      </c>
      <c r="G422" s="90">
        <v>0</v>
      </c>
      <c r="H422" s="90">
        <v>0</v>
      </c>
      <c r="I422" s="90">
        <v>0</v>
      </c>
      <c r="J422" s="90">
        <v>0</v>
      </c>
      <c r="K422" s="91">
        <v>0</v>
      </c>
      <c r="L422" s="90">
        <v>0</v>
      </c>
      <c r="M422" s="93">
        <v>0</v>
      </c>
      <c r="N422" s="90">
        <v>0</v>
      </c>
      <c r="O422" s="90">
        <v>353445</v>
      </c>
      <c r="P422" s="90">
        <v>0</v>
      </c>
      <c r="Q422" s="90">
        <v>0</v>
      </c>
      <c r="R422" s="90">
        <v>0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0</v>
      </c>
      <c r="AB422" s="92">
        <v>2020</v>
      </c>
    </row>
    <row r="423" spans="1:28" s="1" customFormat="1" ht="35.25" customHeight="1" x14ac:dyDescent="0.5">
      <c r="A423" s="1">
        <v>1</v>
      </c>
      <c r="B423" s="39">
        <f>SUBTOTAL(103,$A$11:A423)</f>
        <v>399</v>
      </c>
      <c r="C423" s="86" t="s">
        <v>840</v>
      </c>
      <c r="D423" s="87">
        <f t="shared" si="26"/>
        <v>436897.68</v>
      </c>
      <c r="E423" s="93">
        <v>0</v>
      </c>
      <c r="F423" s="93">
        <v>0</v>
      </c>
      <c r="G423" s="90">
        <v>436897.68</v>
      </c>
      <c r="H423" s="90">
        <v>0</v>
      </c>
      <c r="I423" s="90">
        <v>0</v>
      </c>
      <c r="J423" s="90">
        <v>0</v>
      </c>
      <c r="K423" s="91">
        <v>0</v>
      </c>
      <c r="L423" s="90">
        <v>0</v>
      </c>
      <c r="M423" s="93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2">
        <v>2020</v>
      </c>
    </row>
    <row r="424" spans="1:28" s="1" customFormat="1" ht="35.25" customHeight="1" x14ac:dyDescent="0.5">
      <c r="A424" s="1">
        <v>1</v>
      </c>
      <c r="B424" s="39">
        <f>SUBTOTAL(103,$A$11:A424)</f>
        <v>400</v>
      </c>
      <c r="C424" s="86" t="s">
        <v>841</v>
      </c>
      <c r="D424" s="87">
        <f t="shared" si="26"/>
        <v>323557</v>
      </c>
      <c r="E424" s="93">
        <v>0</v>
      </c>
      <c r="F424" s="93">
        <v>0</v>
      </c>
      <c r="G424" s="90">
        <v>0</v>
      </c>
      <c r="H424" s="90">
        <v>0</v>
      </c>
      <c r="I424" s="90">
        <v>0</v>
      </c>
      <c r="J424" s="90">
        <v>0</v>
      </c>
      <c r="K424" s="91">
        <v>0</v>
      </c>
      <c r="L424" s="90">
        <v>0</v>
      </c>
      <c r="M424" s="93">
        <v>0</v>
      </c>
      <c r="N424" s="90">
        <v>0</v>
      </c>
      <c r="O424" s="90">
        <v>323557</v>
      </c>
      <c r="P424" s="90">
        <v>0</v>
      </c>
      <c r="Q424" s="90">
        <v>0</v>
      </c>
      <c r="R424" s="90">
        <v>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0</v>
      </c>
      <c r="AB424" s="92">
        <v>2020</v>
      </c>
    </row>
    <row r="425" spans="1:28" s="1" customFormat="1" ht="35.25" customHeight="1" x14ac:dyDescent="0.5">
      <c r="A425" s="1">
        <v>1</v>
      </c>
      <c r="B425" s="39">
        <f>SUBTOTAL(103,$A$11:A425)</f>
        <v>401</v>
      </c>
      <c r="C425" s="86" t="s">
        <v>842</v>
      </c>
      <c r="D425" s="87">
        <f t="shared" si="26"/>
        <v>574400</v>
      </c>
      <c r="E425" s="93">
        <v>0</v>
      </c>
      <c r="F425" s="93">
        <v>0</v>
      </c>
      <c r="G425" s="90">
        <v>0</v>
      </c>
      <c r="H425" s="90">
        <v>0</v>
      </c>
      <c r="I425" s="90">
        <v>0</v>
      </c>
      <c r="J425" s="90">
        <v>0</v>
      </c>
      <c r="K425" s="91">
        <v>0</v>
      </c>
      <c r="L425" s="90">
        <v>0</v>
      </c>
      <c r="M425" s="93">
        <v>333320</v>
      </c>
      <c r="N425" s="90">
        <v>0</v>
      </c>
      <c r="O425" s="90">
        <v>241080</v>
      </c>
      <c r="P425" s="90">
        <v>0</v>
      </c>
      <c r="Q425" s="90">
        <v>0</v>
      </c>
      <c r="R425" s="90">
        <v>0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0</v>
      </c>
      <c r="AB425" s="92">
        <v>2020</v>
      </c>
    </row>
    <row r="426" spans="1:28" s="1" customFormat="1" ht="35.25" customHeight="1" x14ac:dyDescent="0.5">
      <c r="A426" s="1">
        <v>1</v>
      </c>
      <c r="B426" s="39">
        <f>SUBTOTAL(103,$A$11:A426)</f>
        <v>402</v>
      </c>
      <c r="C426" s="86" t="s">
        <v>843</v>
      </c>
      <c r="D426" s="87">
        <f t="shared" si="26"/>
        <v>353445</v>
      </c>
      <c r="E426" s="93">
        <v>0</v>
      </c>
      <c r="F426" s="93">
        <v>0</v>
      </c>
      <c r="G426" s="90">
        <v>0</v>
      </c>
      <c r="H426" s="90">
        <v>0</v>
      </c>
      <c r="I426" s="90">
        <v>0</v>
      </c>
      <c r="J426" s="90">
        <v>0</v>
      </c>
      <c r="K426" s="91">
        <v>0</v>
      </c>
      <c r="L426" s="90">
        <v>0</v>
      </c>
      <c r="M426" s="93">
        <v>0</v>
      </c>
      <c r="N426" s="90">
        <v>0</v>
      </c>
      <c r="O426" s="90">
        <v>353445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0</v>
      </c>
      <c r="AB426" s="92">
        <v>2020</v>
      </c>
    </row>
    <row r="427" spans="1:28" s="1" customFormat="1" ht="35.25" customHeight="1" x14ac:dyDescent="0.5">
      <c r="A427" s="1">
        <v>1</v>
      </c>
      <c r="B427" s="39">
        <f>SUBTOTAL(103,$A$11:A427)</f>
        <v>403</v>
      </c>
      <c r="C427" s="86" t="s">
        <v>844</v>
      </c>
      <c r="D427" s="87">
        <f t="shared" si="26"/>
        <v>302819</v>
      </c>
      <c r="E427" s="93">
        <v>0</v>
      </c>
      <c r="F427" s="93">
        <v>0</v>
      </c>
      <c r="G427" s="90">
        <v>302819</v>
      </c>
      <c r="H427" s="90">
        <v>0</v>
      </c>
      <c r="I427" s="90">
        <v>0</v>
      </c>
      <c r="J427" s="90">
        <v>0</v>
      </c>
      <c r="K427" s="91">
        <v>0</v>
      </c>
      <c r="L427" s="90">
        <v>0</v>
      </c>
      <c r="M427" s="93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0</v>
      </c>
      <c r="AB427" s="92">
        <v>2020</v>
      </c>
    </row>
    <row r="428" spans="1:28" s="1" customFormat="1" ht="35.25" customHeight="1" x14ac:dyDescent="0.5">
      <c r="B428" s="85" t="s">
        <v>123</v>
      </c>
      <c r="C428" s="86"/>
      <c r="D428" s="87">
        <f t="shared" ref="D428:AA428" si="27">SUM(D429:D434)</f>
        <v>5113282</v>
      </c>
      <c r="E428" s="87">
        <f t="shared" si="27"/>
        <v>0</v>
      </c>
      <c r="F428" s="87">
        <f t="shared" si="27"/>
        <v>0</v>
      </c>
      <c r="G428" s="87">
        <f t="shared" si="27"/>
        <v>0</v>
      </c>
      <c r="H428" s="87">
        <f t="shared" si="27"/>
        <v>0</v>
      </c>
      <c r="I428" s="87">
        <f t="shared" si="27"/>
        <v>0</v>
      </c>
      <c r="J428" s="87">
        <f t="shared" si="27"/>
        <v>0</v>
      </c>
      <c r="K428" s="88">
        <f t="shared" si="27"/>
        <v>0</v>
      </c>
      <c r="L428" s="87">
        <f t="shared" si="27"/>
        <v>0</v>
      </c>
      <c r="M428" s="87">
        <f t="shared" si="27"/>
        <v>0</v>
      </c>
      <c r="N428" s="87">
        <f t="shared" si="27"/>
        <v>0</v>
      </c>
      <c r="O428" s="87">
        <f t="shared" si="27"/>
        <v>5113282</v>
      </c>
      <c r="P428" s="87">
        <f t="shared" si="27"/>
        <v>0</v>
      </c>
      <c r="Q428" s="87">
        <f t="shared" si="27"/>
        <v>0</v>
      </c>
      <c r="R428" s="87">
        <f t="shared" si="27"/>
        <v>0</v>
      </c>
      <c r="S428" s="87">
        <f t="shared" si="27"/>
        <v>0</v>
      </c>
      <c r="T428" s="87">
        <f t="shared" si="27"/>
        <v>0</v>
      </c>
      <c r="U428" s="87">
        <f t="shared" si="27"/>
        <v>0</v>
      </c>
      <c r="V428" s="87">
        <f t="shared" si="27"/>
        <v>0</v>
      </c>
      <c r="W428" s="87">
        <f t="shared" si="27"/>
        <v>0</v>
      </c>
      <c r="X428" s="87">
        <f t="shared" si="27"/>
        <v>0</v>
      </c>
      <c r="Y428" s="87">
        <f t="shared" si="27"/>
        <v>0</v>
      </c>
      <c r="Z428" s="87">
        <f t="shared" si="27"/>
        <v>0</v>
      </c>
      <c r="AA428" s="87">
        <f t="shared" si="27"/>
        <v>0</v>
      </c>
      <c r="AB428" s="89" t="s">
        <v>131</v>
      </c>
    </row>
    <row r="429" spans="1:28" s="1" customFormat="1" ht="35.25" customHeight="1" x14ac:dyDescent="0.5">
      <c r="A429" s="1">
        <v>1</v>
      </c>
      <c r="B429" s="39">
        <f>SUBTOTAL(103,$A$11:A429)</f>
        <v>404</v>
      </c>
      <c r="C429" s="86" t="s">
        <v>845</v>
      </c>
      <c r="D429" s="87">
        <f t="shared" si="26"/>
        <v>512725</v>
      </c>
      <c r="E429" s="90">
        <v>0</v>
      </c>
      <c r="F429" s="90">
        <v>0</v>
      </c>
      <c r="G429" s="90">
        <v>0</v>
      </c>
      <c r="H429" s="90">
        <v>0</v>
      </c>
      <c r="I429" s="90">
        <v>0</v>
      </c>
      <c r="J429" s="90">
        <v>0</v>
      </c>
      <c r="K429" s="91">
        <v>0</v>
      </c>
      <c r="L429" s="90">
        <v>0</v>
      </c>
      <c r="M429" s="90">
        <v>0</v>
      </c>
      <c r="N429" s="90">
        <v>0</v>
      </c>
      <c r="O429" s="90">
        <v>512725</v>
      </c>
      <c r="P429" s="90">
        <v>0</v>
      </c>
      <c r="Q429" s="90">
        <v>0</v>
      </c>
      <c r="R429" s="90">
        <v>0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0</v>
      </c>
      <c r="AB429" s="92">
        <v>2020</v>
      </c>
    </row>
    <row r="430" spans="1:28" s="1" customFormat="1" ht="35.25" customHeight="1" x14ac:dyDescent="0.5">
      <c r="A430" s="1">
        <v>1</v>
      </c>
      <c r="B430" s="39">
        <f>SUBTOTAL(103,$A$11:A430)</f>
        <v>405</v>
      </c>
      <c r="C430" s="86" t="s">
        <v>846</v>
      </c>
      <c r="D430" s="87">
        <f t="shared" si="26"/>
        <v>1078018</v>
      </c>
      <c r="E430" s="90">
        <v>0</v>
      </c>
      <c r="F430" s="90">
        <v>0</v>
      </c>
      <c r="G430" s="90">
        <v>0</v>
      </c>
      <c r="H430" s="90">
        <v>0</v>
      </c>
      <c r="I430" s="90">
        <v>0</v>
      </c>
      <c r="J430" s="90">
        <v>0</v>
      </c>
      <c r="K430" s="91">
        <v>0</v>
      </c>
      <c r="L430" s="90">
        <v>0</v>
      </c>
      <c r="M430" s="90">
        <v>0</v>
      </c>
      <c r="N430" s="90">
        <v>0</v>
      </c>
      <c r="O430" s="90">
        <v>1078018</v>
      </c>
      <c r="P430" s="90">
        <v>0</v>
      </c>
      <c r="Q430" s="90">
        <v>0</v>
      </c>
      <c r="R430" s="90">
        <v>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0</v>
      </c>
      <c r="AB430" s="92">
        <v>2020</v>
      </c>
    </row>
    <row r="431" spans="1:28" s="1" customFormat="1" ht="35.25" customHeight="1" x14ac:dyDescent="0.5">
      <c r="A431" s="1">
        <v>1</v>
      </c>
      <c r="B431" s="39">
        <f>SUBTOTAL(103,$A$11:A431)</f>
        <v>406</v>
      </c>
      <c r="C431" s="86" t="s">
        <v>847</v>
      </c>
      <c r="D431" s="87">
        <f t="shared" si="26"/>
        <v>302103</v>
      </c>
      <c r="E431" s="90">
        <v>0</v>
      </c>
      <c r="F431" s="90">
        <v>0</v>
      </c>
      <c r="G431" s="90">
        <v>0</v>
      </c>
      <c r="H431" s="90">
        <v>0</v>
      </c>
      <c r="I431" s="90">
        <v>0</v>
      </c>
      <c r="J431" s="90">
        <v>0</v>
      </c>
      <c r="K431" s="91">
        <v>0</v>
      </c>
      <c r="L431" s="90">
        <v>0</v>
      </c>
      <c r="M431" s="90">
        <v>0</v>
      </c>
      <c r="N431" s="90">
        <v>0</v>
      </c>
      <c r="O431" s="90">
        <v>302103</v>
      </c>
      <c r="P431" s="90">
        <v>0</v>
      </c>
      <c r="Q431" s="90">
        <v>0</v>
      </c>
      <c r="R431" s="90">
        <v>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0</v>
      </c>
      <c r="AB431" s="92">
        <v>2020</v>
      </c>
    </row>
    <row r="432" spans="1:28" s="1" customFormat="1" ht="35.25" customHeight="1" x14ac:dyDescent="0.5">
      <c r="A432" s="1">
        <v>1</v>
      </c>
      <c r="B432" s="39">
        <f>SUBTOTAL(103,$A$11:A432)</f>
        <v>407</v>
      </c>
      <c r="C432" s="86" t="s">
        <v>848</v>
      </c>
      <c r="D432" s="87">
        <f>E432+F432+G432+H432+I432+J432+L432+M432+N432+O432+P432+Q432+R432+S432+T432+U432+V432+W432+X432+Y432+Z432+AA432</f>
        <v>1078018</v>
      </c>
      <c r="E432" s="90">
        <v>0</v>
      </c>
      <c r="F432" s="90">
        <v>0</v>
      </c>
      <c r="G432" s="90">
        <v>0</v>
      </c>
      <c r="H432" s="90">
        <v>0</v>
      </c>
      <c r="I432" s="90">
        <v>0</v>
      </c>
      <c r="J432" s="90">
        <v>0</v>
      </c>
      <c r="K432" s="91">
        <v>0</v>
      </c>
      <c r="L432" s="90">
        <v>0</v>
      </c>
      <c r="M432" s="90">
        <v>0</v>
      </c>
      <c r="N432" s="90">
        <v>0</v>
      </c>
      <c r="O432" s="90">
        <v>1078018</v>
      </c>
      <c r="P432" s="90">
        <v>0</v>
      </c>
      <c r="Q432" s="90">
        <v>0</v>
      </c>
      <c r="R432" s="90">
        <v>0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0</v>
      </c>
      <c r="AB432" s="92">
        <v>2020</v>
      </c>
    </row>
    <row r="433" spans="1:28" s="1" customFormat="1" ht="35.25" customHeight="1" x14ac:dyDescent="0.5">
      <c r="A433" s="1">
        <v>1</v>
      </c>
      <c r="B433" s="39">
        <f>SUBTOTAL(103,$A$11:A433)</f>
        <v>408</v>
      </c>
      <c r="C433" s="86" t="s">
        <v>849</v>
      </c>
      <c r="D433" s="87">
        <f>E433+F433+G433+H433+I433+J433+L433+M433+N433+O433+P433+Q433+R433+S433+T433+U433+V433+W433+X433+Y433+Z433+AA433</f>
        <v>1064400</v>
      </c>
      <c r="E433" s="90">
        <v>0</v>
      </c>
      <c r="F433" s="90">
        <v>0</v>
      </c>
      <c r="G433" s="90">
        <v>0</v>
      </c>
      <c r="H433" s="90">
        <v>0</v>
      </c>
      <c r="I433" s="90">
        <v>0</v>
      </c>
      <c r="J433" s="90">
        <v>0</v>
      </c>
      <c r="K433" s="91">
        <v>0</v>
      </c>
      <c r="L433" s="90">
        <v>0</v>
      </c>
      <c r="M433" s="90">
        <v>0</v>
      </c>
      <c r="N433" s="90">
        <v>0</v>
      </c>
      <c r="O433" s="90">
        <v>1064400</v>
      </c>
      <c r="P433" s="90">
        <v>0</v>
      </c>
      <c r="Q433" s="90">
        <v>0</v>
      </c>
      <c r="R433" s="90">
        <v>0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0</v>
      </c>
      <c r="AB433" s="92">
        <v>2020</v>
      </c>
    </row>
    <row r="434" spans="1:28" s="1" customFormat="1" ht="35.25" customHeight="1" x14ac:dyDescent="0.5">
      <c r="A434" s="1">
        <v>1</v>
      </c>
      <c r="B434" s="39">
        <f>SUBTOTAL(103,$A$11:A434)</f>
        <v>409</v>
      </c>
      <c r="C434" s="86" t="s">
        <v>850</v>
      </c>
      <c r="D434" s="87">
        <f>E434+F434+G434+H434+I434+J434+L434+M434+N434+O434+P434+Q434+R434+S434+T434+U434+V434+W434+X434+Y434+Z434+AA434</f>
        <v>1078018</v>
      </c>
      <c r="E434" s="90">
        <v>0</v>
      </c>
      <c r="F434" s="90">
        <v>0</v>
      </c>
      <c r="G434" s="90">
        <v>0</v>
      </c>
      <c r="H434" s="90">
        <v>0</v>
      </c>
      <c r="I434" s="90">
        <v>0</v>
      </c>
      <c r="J434" s="90">
        <v>0</v>
      </c>
      <c r="K434" s="91">
        <v>0</v>
      </c>
      <c r="L434" s="90">
        <v>0</v>
      </c>
      <c r="M434" s="90">
        <v>0</v>
      </c>
      <c r="N434" s="90">
        <v>0</v>
      </c>
      <c r="O434" s="90">
        <v>1078018</v>
      </c>
      <c r="P434" s="90">
        <v>0</v>
      </c>
      <c r="Q434" s="90">
        <v>0</v>
      </c>
      <c r="R434" s="90">
        <v>0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0</v>
      </c>
      <c r="AB434" s="92">
        <v>2020</v>
      </c>
    </row>
    <row r="435" spans="1:28" s="1" customFormat="1" ht="35.25" customHeight="1" x14ac:dyDescent="0.5">
      <c r="B435" s="85" t="s">
        <v>100</v>
      </c>
      <c r="C435" s="86"/>
      <c r="D435" s="87">
        <f t="shared" ref="D435:AA435" si="28">SUM(D436:D441)</f>
        <v>2788697.8499999996</v>
      </c>
      <c r="E435" s="87">
        <f t="shared" si="28"/>
        <v>0</v>
      </c>
      <c r="F435" s="87">
        <f t="shared" si="28"/>
        <v>257473.3</v>
      </c>
      <c r="G435" s="87">
        <f t="shared" si="28"/>
        <v>175577</v>
      </c>
      <c r="H435" s="87">
        <f t="shared" si="28"/>
        <v>0</v>
      </c>
      <c r="I435" s="87">
        <f t="shared" si="28"/>
        <v>0</v>
      </c>
      <c r="J435" s="87">
        <f t="shared" si="28"/>
        <v>0</v>
      </c>
      <c r="K435" s="91">
        <f t="shared" si="28"/>
        <v>0</v>
      </c>
      <c r="L435" s="87">
        <f t="shared" si="28"/>
        <v>0</v>
      </c>
      <c r="M435" s="87">
        <f t="shared" si="28"/>
        <v>310640.5</v>
      </c>
      <c r="N435" s="87">
        <f t="shared" si="28"/>
        <v>348127.31</v>
      </c>
      <c r="O435" s="87">
        <f t="shared" si="28"/>
        <v>504399.24</v>
      </c>
      <c r="P435" s="87">
        <f t="shared" si="28"/>
        <v>1192480.5</v>
      </c>
      <c r="Q435" s="87">
        <f t="shared" si="28"/>
        <v>0</v>
      </c>
      <c r="R435" s="87">
        <f t="shared" si="28"/>
        <v>0</v>
      </c>
      <c r="S435" s="87">
        <f t="shared" si="28"/>
        <v>0</v>
      </c>
      <c r="T435" s="87">
        <f t="shared" si="28"/>
        <v>0</v>
      </c>
      <c r="U435" s="87">
        <f t="shared" si="28"/>
        <v>0</v>
      </c>
      <c r="V435" s="87">
        <f t="shared" si="28"/>
        <v>0</v>
      </c>
      <c r="W435" s="87">
        <f t="shared" si="28"/>
        <v>0</v>
      </c>
      <c r="X435" s="87">
        <f t="shared" si="28"/>
        <v>0</v>
      </c>
      <c r="Y435" s="87">
        <f t="shared" si="28"/>
        <v>0</v>
      </c>
      <c r="Z435" s="87">
        <f t="shared" si="28"/>
        <v>0</v>
      </c>
      <c r="AA435" s="87">
        <f t="shared" si="28"/>
        <v>0</v>
      </c>
      <c r="AB435" s="89" t="s">
        <v>131</v>
      </c>
    </row>
    <row r="436" spans="1:28" s="1" customFormat="1" ht="35.25" customHeight="1" x14ac:dyDescent="0.5">
      <c r="A436" s="1">
        <v>1</v>
      </c>
      <c r="B436" s="39">
        <f>SUBTOTAL(103,$A$11:A436)</f>
        <v>410</v>
      </c>
      <c r="C436" s="86" t="s">
        <v>851</v>
      </c>
      <c r="D436" s="87">
        <f t="shared" ref="D436:D441" si="29">E436+F436+G436+H436+I436+J436+L436+M436+N436+O436+P436+Q436+R436+S436+T436+U436+V436+W436+X436+Y436+Z436+AA436</f>
        <v>211213</v>
      </c>
      <c r="E436" s="90">
        <v>0</v>
      </c>
      <c r="F436" s="90">
        <v>211213</v>
      </c>
      <c r="G436" s="90">
        <v>0</v>
      </c>
      <c r="H436" s="90">
        <v>0</v>
      </c>
      <c r="I436" s="90">
        <v>0</v>
      </c>
      <c r="J436" s="90">
        <v>0</v>
      </c>
      <c r="K436" s="91">
        <v>0</v>
      </c>
      <c r="L436" s="90">
        <v>0</v>
      </c>
      <c r="M436" s="90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0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0</v>
      </c>
      <c r="AB436" s="92">
        <v>2020</v>
      </c>
    </row>
    <row r="437" spans="1:28" s="1" customFormat="1" ht="35.25" customHeight="1" x14ac:dyDescent="0.5">
      <c r="A437" s="1">
        <v>1</v>
      </c>
      <c r="B437" s="39">
        <f>SUBTOTAL(103,$A$11:A437)</f>
        <v>411</v>
      </c>
      <c r="C437" s="86" t="s">
        <v>852</v>
      </c>
      <c r="D437" s="87">
        <f t="shared" si="29"/>
        <v>1761201</v>
      </c>
      <c r="E437" s="90">
        <v>0</v>
      </c>
      <c r="F437" s="90">
        <v>0</v>
      </c>
      <c r="G437" s="90">
        <v>0</v>
      </c>
      <c r="H437" s="90">
        <v>0</v>
      </c>
      <c r="I437" s="90">
        <v>0</v>
      </c>
      <c r="J437" s="90">
        <v>0</v>
      </c>
      <c r="K437" s="91">
        <v>0</v>
      </c>
      <c r="L437" s="90">
        <v>0</v>
      </c>
      <c r="M437" s="90">
        <v>310640.5</v>
      </c>
      <c r="N437" s="90">
        <v>0</v>
      </c>
      <c r="O437" s="93">
        <v>258080</v>
      </c>
      <c r="P437" s="90">
        <v>1192480.5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90">
        <v>0</v>
      </c>
      <c r="W437" s="90">
        <v>0</v>
      </c>
      <c r="X437" s="90">
        <v>0</v>
      </c>
      <c r="Y437" s="90">
        <v>0</v>
      </c>
      <c r="Z437" s="90">
        <v>0</v>
      </c>
      <c r="AA437" s="90">
        <v>0</v>
      </c>
      <c r="AB437" s="92">
        <v>2020</v>
      </c>
    </row>
    <row r="438" spans="1:28" s="1" customFormat="1" ht="35.25" customHeight="1" x14ac:dyDescent="0.5">
      <c r="A438" s="1">
        <v>1</v>
      </c>
      <c r="B438" s="39">
        <f>SUBTOTAL(103,$A$11:A438)</f>
        <v>412</v>
      </c>
      <c r="C438" s="86" t="s">
        <v>853</v>
      </c>
      <c r="D438" s="87">
        <f t="shared" si="29"/>
        <v>46260.3</v>
      </c>
      <c r="E438" s="90">
        <v>0</v>
      </c>
      <c r="F438" s="90">
        <v>46260.3</v>
      </c>
      <c r="G438" s="90">
        <v>0</v>
      </c>
      <c r="H438" s="90">
        <v>0</v>
      </c>
      <c r="I438" s="90">
        <v>0</v>
      </c>
      <c r="J438" s="90">
        <v>0</v>
      </c>
      <c r="K438" s="91">
        <v>0</v>
      </c>
      <c r="L438" s="90">
        <v>0</v>
      </c>
      <c r="M438" s="90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0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0</v>
      </c>
      <c r="AB438" s="92">
        <v>2020</v>
      </c>
    </row>
    <row r="439" spans="1:28" s="1" customFormat="1" ht="35.25" customHeight="1" x14ac:dyDescent="0.5">
      <c r="A439" s="1">
        <v>1</v>
      </c>
      <c r="B439" s="39">
        <f>SUBTOTAL(103,$A$11:A439)</f>
        <v>413</v>
      </c>
      <c r="C439" s="86" t="s">
        <v>854</v>
      </c>
      <c r="D439" s="87">
        <f t="shared" si="29"/>
        <v>417626</v>
      </c>
      <c r="E439" s="90">
        <v>0</v>
      </c>
      <c r="F439" s="90">
        <v>0</v>
      </c>
      <c r="G439" s="90">
        <v>175577</v>
      </c>
      <c r="H439" s="90">
        <v>0</v>
      </c>
      <c r="I439" s="90">
        <v>0</v>
      </c>
      <c r="J439" s="90">
        <v>0</v>
      </c>
      <c r="K439" s="91">
        <v>0</v>
      </c>
      <c r="L439" s="90">
        <v>0</v>
      </c>
      <c r="M439" s="90">
        <v>0</v>
      </c>
      <c r="N439" s="90">
        <v>242049</v>
      </c>
      <c r="O439" s="90">
        <v>0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2">
        <v>2020</v>
      </c>
    </row>
    <row r="440" spans="1:28" s="1" customFormat="1" ht="35.25" customHeight="1" x14ac:dyDescent="0.5">
      <c r="A440" s="1">
        <v>1</v>
      </c>
      <c r="B440" s="39">
        <f>SUBTOTAL(103,$A$11:A440)</f>
        <v>414</v>
      </c>
      <c r="C440" s="86" t="s">
        <v>855</v>
      </c>
      <c r="D440" s="87">
        <f t="shared" si="29"/>
        <v>187333.55</v>
      </c>
      <c r="E440" s="90">
        <v>0</v>
      </c>
      <c r="F440" s="90">
        <v>0</v>
      </c>
      <c r="G440" s="90">
        <v>0</v>
      </c>
      <c r="H440" s="90">
        <v>0</v>
      </c>
      <c r="I440" s="90">
        <v>0</v>
      </c>
      <c r="J440" s="90">
        <v>0</v>
      </c>
      <c r="K440" s="91">
        <v>0</v>
      </c>
      <c r="L440" s="90">
        <v>0</v>
      </c>
      <c r="M440" s="90">
        <v>0</v>
      </c>
      <c r="N440" s="90">
        <v>106078.31</v>
      </c>
      <c r="O440" s="90">
        <v>81255.240000000005</v>
      </c>
      <c r="P440" s="90">
        <v>0</v>
      </c>
      <c r="Q440" s="90">
        <v>0</v>
      </c>
      <c r="R440" s="90">
        <v>0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0</v>
      </c>
      <c r="AB440" s="92">
        <v>2020</v>
      </c>
    </row>
    <row r="441" spans="1:28" s="1" customFormat="1" ht="35.25" customHeight="1" x14ac:dyDescent="0.5">
      <c r="A441" s="1">
        <v>1</v>
      </c>
      <c r="B441" s="39">
        <f>SUBTOTAL(103,$A$11:A441)</f>
        <v>415</v>
      </c>
      <c r="C441" s="86" t="s">
        <v>856</v>
      </c>
      <c r="D441" s="87">
        <f t="shared" si="29"/>
        <v>165064</v>
      </c>
      <c r="E441" s="90">
        <v>0</v>
      </c>
      <c r="F441" s="90">
        <v>0</v>
      </c>
      <c r="G441" s="90">
        <v>0</v>
      </c>
      <c r="H441" s="90">
        <v>0</v>
      </c>
      <c r="I441" s="90">
        <v>0</v>
      </c>
      <c r="J441" s="90">
        <v>0</v>
      </c>
      <c r="K441" s="91">
        <v>0</v>
      </c>
      <c r="L441" s="90">
        <v>0</v>
      </c>
      <c r="M441" s="90">
        <v>0</v>
      </c>
      <c r="N441" s="90">
        <v>0</v>
      </c>
      <c r="O441" s="90">
        <v>165064</v>
      </c>
      <c r="P441" s="90">
        <v>0</v>
      </c>
      <c r="Q441" s="90">
        <v>0</v>
      </c>
      <c r="R441" s="90">
        <v>0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0</v>
      </c>
      <c r="AB441" s="92">
        <v>2020</v>
      </c>
    </row>
    <row r="442" spans="1:28" s="1" customFormat="1" ht="35.25" customHeight="1" x14ac:dyDescent="0.5">
      <c r="B442" s="85" t="s">
        <v>259</v>
      </c>
      <c r="C442" s="86"/>
      <c r="D442" s="87">
        <f>SUM(D443:D445)</f>
        <v>1200715</v>
      </c>
      <c r="E442" s="87">
        <f t="shared" ref="E442:AA442" si="30">SUM(E443:E445)</f>
        <v>0</v>
      </c>
      <c r="F442" s="87">
        <f t="shared" si="30"/>
        <v>0</v>
      </c>
      <c r="G442" s="87">
        <f t="shared" si="30"/>
        <v>0</v>
      </c>
      <c r="H442" s="87">
        <f t="shared" si="30"/>
        <v>0</v>
      </c>
      <c r="I442" s="87">
        <f t="shared" si="30"/>
        <v>0</v>
      </c>
      <c r="J442" s="87">
        <f t="shared" si="30"/>
        <v>0</v>
      </c>
      <c r="K442" s="88">
        <f t="shared" si="30"/>
        <v>0</v>
      </c>
      <c r="L442" s="87">
        <f t="shared" si="30"/>
        <v>0</v>
      </c>
      <c r="M442" s="87">
        <f t="shared" si="30"/>
        <v>0</v>
      </c>
      <c r="N442" s="87">
        <f t="shared" si="30"/>
        <v>0</v>
      </c>
      <c r="O442" s="87">
        <f t="shared" si="30"/>
        <v>1200715</v>
      </c>
      <c r="P442" s="87">
        <f t="shared" si="30"/>
        <v>0</v>
      </c>
      <c r="Q442" s="87">
        <f t="shared" si="30"/>
        <v>0</v>
      </c>
      <c r="R442" s="87">
        <f t="shared" si="30"/>
        <v>0</v>
      </c>
      <c r="S442" s="87">
        <f t="shared" si="30"/>
        <v>0</v>
      </c>
      <c r="T442" s="87">
        <f t="shared" si="30"/>
        <v>0</v>
      </c>
      <c r="U442" s="87">
        <f t="shared" si="30"/>
        <v>0</v>
      </c>
      <c r="V442" s="87">
        <f t="shared" si="30"/>
        <v>0</v>
      </c>
      <c r="W442" s="87">
        <f t="shared" si="30"/>
        <v>0</v>
      </c>
      <c r="X442" s="87">
        <f t="shared" si="30"/>
        <v>0</v>
      </c>
      <c r="Y442" s="87">
        <f t="shared" si="30"/>
        <v>0</v>
      </c>
      <c r="Z442" s="87">
        <f t="shared" si="30"/>
        <v>0</v>
      </c>
      <c r="AA442" s="87">
        <f t="shared" si="30"/>
        <v>0</v>
      </c>
      <c r="AB442" s="89" t="s">
        <v>131</v>
      </c>
    </row>
    <row r="443" spans="1:28" s="1" customFormat="1" ht="35.25" customHeight="1" x14ac:dyDescent="0.5">
      <c r="A443" s="1">
        <v>1</v>
      </c>
      <c r="B443" s="39">
        <f>SUBTOTAL(103,$A$11:A443)</f>
        <v>416</v>
      </c>
      <c r="C443" s="86" t="s">
        <v>857</v>
      </c>
      <c r="D443" s="87">
        <f>E443+F443+G443+H443+I443+J443+L443+M443+N443+O443+P443+Q443+R443+S443+T443+U443+V443+W443+X443+Y443+Z443+AA443</f>
        <v>552011</v>
      </c>
      <c r="E443" s="90">
        <v>0</v>
      </c>
      <c r="F443" s="90">
        <v>0</v>
      </c>
      <c r="G443" s="90">
        <v>0</v>
      </c>
      <c r="H443" s="90">
        <v>0</v>
      </c>
      <c r="I443" s="90">
        <v>0</v>
      </c>
      <c r="J443" s="90">
        <v>0</v>
      </c>
      <c r="K443" s="91">
        <v>0</v>
      </c>
      <c r="L443" s="90">
        <v>0</v>
      </c>
      <c r="M443" s="90">
        <v>0</v>
      </c>
      <c r="N443" s="90">
        <v>0</v>
      </c>
      <c r="O443" s="90">
        <v>552011</v>
      </c>
      <c r="P443" s="90">
        <v>0</v>
      </c>
      <c r="Q443" s="90">
        <v>0</v>
      </c>
      <c r="R443" s="90">
        <v>0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0</v>
      </c>
      <c r="AB443" s="92">
        <v>2020</v>
      </c>
    </row>
    <row r="444" spans="1:28" s="1" customFormat="1" ht="35.25" customHeight="1" x14ac:dyDescent="0.5">
      <c r="A444" s="1">
        <v>1</v>
      </c>
      <c r="B444" s="39">
        <f>SUBTOTAL(103,$A$11:A444)</f>
        <v>417</v>
      </c>
      <c r="C444" s="86" t="s">
        <v>858</v>
      </c>
      <c r="D444" s="87">
        <f>E444+F444+G444+H444+I444+J444+L444+M444+N444+O444+P444+Q444+R444+S444+T444+U444+V444+W444+X444+Y444+Z444+AA444</f>
        <v>520050</v>
      </c>
      <c r="E444" s="90">
        <v>0</v>
      </c>
      <c r="F444" s="90">
        <v>0</v>
      </c>
      <c r="G444" s="90">
        <v>0</v>
      </c>
      <c r="H444" s="90">
        <v>0</v>
      </c>
      <c r="I444" s="90">
        <v>0</v>
      </c>
      <c r="J444" s="90">
        <v>0</v>
      </c>
      <c r="K444" s="91">
        <v>0</v>
      </c>
      <c r="L444" s="90">
        <v>0</v>
      </c>
      <c r="M444" s="90">
        <v>0</v>
      </c>
      <c r="N444" s="90">
        <v>0</v>
      </c>
      <c r="O444" s="90">
        <v>520050</v>
      </c>
      <c r="P444" s="90">
        <v>0</v>
      </c>
      <c r="Q444" s="90">
        <v>0</v>
      </c>
      <c r="R444" s="90">
        <v>0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0</v>
      </c>
      <c r="AB444" s="92">
        <v>2020</v>
      </c>
    </row>
    <row r="445" spans="1:28" s="1" customFormat="1" ht="35.25" customHeight="1" x14ac:dyDescent="0.5">
      <c r="A445" s="1">
        <v>1</v>
      </c>
      <c r="B445" s="39">
        <f>SUBTOTAL(103,$A$11:A445)</f>
        <v>418</v>
      </c>
      <c r="C445" s="86" t="s">
        <v>859</v>
      </c>
      <c r="D445" s="87">
        <f>E445+F445+G445+H445+I445+J445+L445+M445+N445+O445+P445+Q445+R445+S445+T445+U445+V445+W445+X445+Y445+Z445+AA445</f>
        <v>128654</v>
      </c>
      <c r="E445" s="90">
        <v>0</v>
      </c>
      <c r="F445" s="90">
        <v>0</v>
      </c>
      <c r="G445" s="90">
        <v>0</v>
      </c>
      <c r="H445" s="90">
        <v>0</v>
      </c>
      <c r="I445" s="90">
        <v>0</v>
      </c>
      <c r="J445" s="90">
        <v>0</v>
      </c>
      <c r="K445" s="91">
        <v>0</v>
      </c>
      <c r="L445" s="90">
        <v>0</v>
      </c>
      <c r="M445" s="90">
        <v>0</v>
      </c>
      <c r="N445" s="90">
        <v>0</v>
      </c>
      <c r="O445" s="90">
        <v>128654</v>
      </c>
      <c r="P445" s="90">
        <v>0</v>
      </c>
      <c r="Q445" s="90">
        <v>0</v>
      </c>
      <c r="R445" s="90">
        <v>0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2">
        <v>2020</v>
      </c>
    </row>
    <row r="446" spans="1:28" s="1" customFormat="1" ht="35.25" customHeight="1" x14ac:dyDescent="0.5">
      <c r="B446" s="85" t="s">
        <v>105</v>
      </c>
      <c r="C446" s="86"/>
      <c r="D446" s="87">
        <f>SUM(D447:D448)</f>
        <v>486500</v>
      </c>
      <c r="E446" s="87">
        <f t="shared" ref="E446:AA446" si="31">SUM(E447:E448)</f>
        <v>0</v>
      </c>
      <c r="F446" s="87">
        <f t="shared" si="31"/>
        <v>0</v>
      </c>
      <c r="G446" s="87">
        <f t="shared" si="31"/>
        <v>175000</v>
      </c>
      <c r="H446" s="87">
        <f t="shared" si="31"/>
        <v>0</v>
      </c>
      <c r="I446" s="87">
        <f t="shared" si="31"/>
        <v>0</v>
      </c>
      <c r="J446" s="87">
        <f t="shared" si="31"/>
        <v>0</v>
      </c>
      <c r="K446" s="88">
        <f t="shared" si="31"/>
        <v>0</v>
      </c>
      <c r="L446" s="87">
        <f t="shared" si="31"/>
        <v>0</v>
      </c>
      <c r="M446" s="87">
        <f t="shared" si="31"/>
        <v>0</v>
      </c>
      <c r="N446" s="87">
        <f t="shared" si="31"/>
        <v>311500</v>
      </c>
      <c r="O446" s="87">
        <f t="shared" si="31"/>
        <v>0</v>
      </c>
      <c r="P446" s="87">
        <f t="shared" si="31"/>
        <v>0</v>
      </c>
      <c r="Q446" s="87">
        <f t="shared" si="31"/>
        <v>0</v>
      </c>
      <c r="R446" s="87">
        <f t="shared" si="31"/>
        <v>0</v>
      </c>
      <c r="S446" s="87">
        <f t="shared" si="31"/>
        <v>0</v>
      </c>
      <c r="T446" s="87">
        <f t="shared" si="31"/>
        <v>0</v>
      </c>
      <c r="U446" s="87">
        <f t="shared" si="31"/>
        <v>0</v>
      </c>
      <c r="V446" s="87">
        <f t="shared" si="31"/>
        <v>0</v>
      </c>
      <c r="W446" s="87">
        <f t="shared" si="31"/>
        <v>0</v>
      </c>
      <c r="X446" s="87">
        <f t="shared" si="31"/>
        <v>0</v>
      </c>
      <c r="Y446" s="87">
        <f t="shared" si="31"/>
        <v>0</v>
      </c>
      <c r="Z446" s="87">
        <f t="shared" si="31"/>
        <v>0</v>
      </c>
      <c r="AA446" s="87">
        <f t="shared" si="31"/>
        <v>0</v>
      </c>
      <c r="AB446" s="89" t="s">
        <v>131</v>
      </c>
    </row>
    <row r="447" spans="1:28" s="1" customFormat="1" ht="35.25" customHeight="1" x14ac:dyDescent="0.5">
      <c r="A447" s="1">
        <v>1</v>
      </c>
      <c r="B447" s="39">
        <f>SUBTOTAL(103,$A$11:A447)</f>
        <v>419</v>
      </c>
      <c r="C447" s="86" t="s">
        <v>860</v>
      </c>
      <c r="D447" s="87">
        <f>E447+F447+G447+H447+I447+J447+L447+M447+N447+O447+P447+Q447+R447+S447+T447+U447+V447+W447+X447+Y447+Z447+AA447</f>
        <v>175000</v>
      </c>
      <c r="E447" s="90">
        <v>0</v>
      </c>
      <c r="F447" s="90">
        <v>0</v>
      </c>
      <c r="G447" s="90">
        <v>175000</v>
      </c>
      <c r="H447" s="90">
        <v>0</v>
      </c>
      <c r="I447" s="90">
        <v>0</v>
      </c>
      <c r="J447" s="90">
        <v>0</v>
      </c>
      <c r="K447" s="91">
        <v>0</v>
      </c>
      <c r="L447" s="90">
        <v>0</v>
      </c>
      <c r="M447" s="90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0</v>
      </c>
      <c r="AB447" s="92">
        <v>2020</v>
      </c>
    </row>
    <row r="448" spans="1:28" s="1" customFormat="1" ht="35.25" x14ac:dyDescent="0.5">
      <c r="A448" s="1">
        <v>1</v>
      </c>
      <c r="B448" s="39">
        <f>SUBTOTAL(103,$A$11:A448)</f>
        <v>420</v>
      </c>
      <c r="C448" s="86" t="s">
        <v>861</v>
      </c>
      <c r="D448" s="87">
        <f>E448+F448+G448+H448+I448+J448+L448+M448+N448+O448+P448+Q448+R448+S448+T448+U448+V448+W448+X448+Y448+Z448+AA448</f>
        <v>311500</v>
      </c>
      <c r="E448" s="90">
        <v>0</v>
      </c>
      <c r="F448" s="90">
        <v>0</v>
      </c>
      <c r="G448" s="90">
        <v>0</v>
      </c>
      <c r="H448" s="90">
        <v>0</v>
      </c>
      <c r="I448" s="90">
        <v>0</v>
      </c>
      <c r="J448" s="90">
        <v>0</v>
      </c>
      <c r="K448" s="91">
        <v>0</v>
      </c>
      <c r="L448" s="90">
        <v>0</v>
      </c>
      <c r="M448" s="90">
        <v>0</v>
      </c>
      <c r="N448" s="90">
        <v>311500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0</v>
      </c>
      <c r="AB448" s="92">
        <v>2020</v>
      </c>
    </row>
    <row r="449" spans="1:28" s="1" customFormat="1" ht="35.25" customHeight="1" x14ac:dyDescent="0.5">
      <c r="B449" s="85" t="s">
        <v>110</v>
      </c>
      <c r="C449" s="86"/>
      <c r="D449" s="87">
        <f>SUM(D450)</f>
        <v>356128.8</v>
      </c>
      <c r="E449" s="87">
        <f t="shared" ref="E449:AA449" si="32">SUM(E450)</f>
        <v>0</v>
      </c>
      <c r="F449" s="87">
        <f t="shared" si="32"/>
        <v>0</v>
      </c>
      <c r="G449" s="87">
        <f t="shared" si="32"/>
        <v>0</v>
      </c>
      <c r="H449" s="87">
        <f t="shared" si="32"/>
        <v>0</v>
      </c>
      <c r="I449" s="87">
        <f t="shared" si="32"/>
        <v>0</v>
      </c>
      <c r="J449" s="87">
        <f t="shared" si="32"/>
        <v>0</v>
      </c>
      <c r="K449" s="88">
        <f t="shared" si="32"/>
        <v>0</v>
      </c>
      <c r="L449" s="87">
        <f t="shared" si="32"/>
        <v>0</v>
      </c>
      <c r="M449" s="87">
        <f t="shared" si="32"/>
        <v>356128.8</v>
      </c>
      <c r="N449" s="87">
        <f t="shared" si="32"/>
        <v>0</v>
      </c>
      <c r="O449" s="87">
        <f t="shared" si="32"/>
        <v>0</v>
      </c>
      <c r="P449" s="87">
        <f t="shared" si="32"/>
        <v>0</v>
      </c>
      <c r="Q449" s="87">
        <f t="shared" si="32"/>
        <v>0</v>
      </c>
      <c r="R449" s="87">
        <f t="shared" si="32"/>
        <v>0</v>
      </c>
      <c r="S449" s="87">
        <f t="shared" si="32"/>
        <v>0</v>
      </c>
      <c r="T449" s="87">
        <f t="shared" si="32"/>
        <v>0</v>
      </c>
      <c r="U449" s="87">
        <f t="shared" si="32"/>
        <v>0</v>
      </c>
      <c r="V449" s="87">
        <f t="shared" si="32"/>
        <v>0</v>
      </c>
      <c r="W449" s="87">
        <f t="shared" si="32"/>
        <v>0</v>
      </c>
      <c r="X449" s="87">
        <f t="shared" si="32"/>
        <v>0</v>
      </c>
      <c r="Y449" s="87">
        <f t="shared" si="32"/>
        <v>0</v>
      </c>
      <c r="Z449" s="87">
        <f t="shared" si="32"/>
        <v>0</v>
      </c>
      <c r="AA449" s="87">
        <f t="shared" si="32"/>
        <v>0</v>
      </c>
      <c r="AB449" s="89" t="s">
        <v>131</v>
      </c>
    </row>
    <row r="450" spans="1:28" s="1" customFormat="1" ht="35.25" customHeight="1" x14ac:dyDescent="0.5">
      <c r="A450" s="1">
        <v>1</v>
      </c>
      <c r="B450" s="39">
        <f>SUBTOTAL(103,$A$11:A450)</f>
        <v>421</v>
      </c>
      <c r="C450" s="86" t="s">
        <v>862</v>
      </c>
      <c r="D450" s="87">
        <f>E450+F450+G450+H450+I450+J450+L450+M450+N450+O450+P450+Q450+R450+S450+T450+U450+V450+W450+X450+Y450+Z450+AA450</f>
        <v>356128.8</v>
      </c>
      <c r="E450" s="90">
        <v>0</v>
      </c>
      <c r="F450" s="90">
        <v>0</v>
      </c>
      <c r="G450" s="90">
        <v>0</v>
      </c>
      <c r="H450" s="90">
        <v>0</v>
      </c>
      <c r="I450" s="90">
        <v>0</v>
      </c>
      <c r="J450" s="90">
        <v>0</v>
      </c>
      <c r="K450" s="91">
        <v>0</v>
      </c>
      <c r="L450" s="90">
        <v>0</v>
      </c>
      <c r="M450" s="90">
        <v>356128.8</v>
      </c>
      <c r="N450" s="90">
        <v>0</v>
      </c>
      <c r="O450" s="90">
        <v>0</v>
      </c>
      <c r="P450" s="90">
        <v>0</v>
      </c>
      <c r="Q450" s="90">
        <v>0</v>
      </c>
      <c r="R450" s="90">
        <v>0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2">
        <v>2020</v>
      </c>
    </row>
    <row r="451" spans="1:28" s="1" customFormat="1" ht="35.25" customHeight="1" x14ac:dyDescent="0.5">
      <c r="B451" s="86" t="s">
        <v>863</v>
      </c>
      <c r="C451" s="86"/>
      <c r="D451" s="87">
        <f>D452</f>
        <v>60000</v>
      </c>
      <c r="E451" s="87">
        <f t="shared" ref="E451:AA451" si="33">E452</f>
        <v>0</v>
      </c>
      <c r="F451" s="87">
        <f t="shared" si="33"/>
        <v>0</v>
      </c>
      <c r="G451" s="87">
        <f t="shared" si="33"/>
        <v>0</v>
      </c>
      <c r="H451" s="87">
        <f t="shared" si="33"/>
        <v>0</v>
      </c>
      <c r="I451" s="87">
        <f t="shared" si="33"/>
        <v>0</v>
      </c>
      <c r="J451" s="87">
        <f t="shared" si="33"/>
        <v>0</v>
      </c>
      <c r="K451" s="88">
        <f t="shared" si="33"/>
        <v>0</v>
      </c>
      <c r="L451" s="87">
        <f t="shared" si="33"/>
        <v>0</v>
      </c>
      <c r="M451" s="87">
        <f t="shared" si="33"/>
        <v>60000</v>
      </c>
      <c r="N451" s="87">
        <f t="shared" si="33"/>
        <v>0</v>
      </c>
      <c r="O451" s="87">
        <f t="shared" si="33"/>
        <v>0</v>
      </c>
      <c r="P451" s="87">
        <f t="shared" si="33"/>
        <v>0</v>
      </c>
      <c r="Q451" s="87">
        <f t="shared" si="33"/>
        <v>0</v>
      </c>
      <c r="R451" s="87">
        <f t="shared" si="33"/>
        <v>0</v>
      </c>
      <c r="S451" s="87">
        <f t="shared" si="33"/>
        <v>0</v>
      </c>
      <c r="T451" s="87">
        <f t="shared" si="33"/>
        <v>0</v>
      </c>
      <c r="U451" s="87">
        <f t="shared" si="33"/>
        <v>0</v>
      </c>
      <c r="V451" s="87">
        <f t="shared" si="33"/>
        <v>0</v>
      </c>
      <c r="W451" s="87">
        <f t="shared" si="33"/>
        <v>0</v>
      </c>
      <c r="X451" s="87">
        <f t="shared" si="33"/>
        <v>0</v>
      </c>
      <c r="Y451" s="87">
        <f t="shared" si="33"/>
        <v>0</v>
      </c>
      <c r="Z451" s="87">
        <f t="shared" si="33"/>
        <v>0</v>
      </c>
      <c r="AA451" s="87">
        <f t="shared" si="33"/>
        <v>0</v>
      </c>
      <c r="AB451" s="89" t="s">
        <v>131</v>
      </c>
    </row>
    <row r="452" spans="1:28" s="1" customFormat="1" ht="35.25" customHeight="1" x14ac:dyDescent="0.5">
      <c r="A452" s="1">
        <v>1</v>
      </c>
      <c r="B452" s="39">
        <f>SUBTOTAL(103,$A$11:A452)</f>
        <v>422</v>
      </c>
      <c r="C452" s="86" t="s">
        <v>864</v>
      </c>
      <c r="D452" s="87">
        <f>E452+F452+G452+H452+I452+J452+L452+M452+N452+O452+P452+Q452+R452+S452+T452+U452+V452+W452+X452+Y452+Z452+AA452</f>
        <v>60000</v>
      </c>
      <c r="E452" s="90">
        <v>0</v>
      </c>
      <c r="F452" s="90">
        <v>0</v>
      </c>
      <c r="G452" s="90">
        <v>0</v>
      </c>
      <c r="H452" s="90">
        <v>0</v>
      </c>
      <c r="I452" s="90">
        <v>0</v>
      </c>
      <c r="J452" s="90">
        <v>0</v>
      </c>
      <c r="K452" s="91">
        <v>0</v>
      </c>
      <c r="L452" s="90">
        <v>0</v>
      </c>
      <c r="M452" s="90">
        <v>60000</v>
      </c>
      <c r="N452" s="90">
        <v>0</v>
      </c>
      <c r="O452" s="90">
        <v>0</v>
      </c>
      <c r="P452" s="90">
        <v>0</v>
      </c>
      <c r="Q452" s="90">
        <v>0</v>
      </c>
      <c r="R452" s="90">
        <v>0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0</v>
      </c>
      <c r="AB452" s="92">
        <v>2020</v>
      </c>
    </row>
    <row r="453" spans="1:28" s="1" customFormat="1" ht="35.25" customHeight="1" x14ac:dyDescent="0.5">
      <c r="B453" s="85" t="s">
        <v>112</v>
      </c>
      <c r="C453" s="86"/>
      <c r="D453" s="87">
        <f>SUM(D454:D456)</f>
        <v>2368604.86</v>
      </c>
      <c r="E453" s="87">
        <f t="shared" ref="E453:AA453" si="34">SUM(E454:E456)</f>
        <v>0</v>
      </c>
      <c r="F453" s="87">
        <f t="shared" si="34"/>
        <v>439256.62</v>
      </c>
      <c r="G453" s="87">
        <f t="shared" si="34"/>
        <v>0</v>
      </c>
      <c r="H453" s="87">
        <f t="shared" si="34"/>
        <v>0</v>
      </c>
      <c r="I453" s="87">
        <f t="shared" si="34"/>
        <v>0</v>
      </c>
      <c r="J453" s="87">
        <f t="shared" si="34"/>
        <v>0</v>
      </c>
      <c r="K453" s="88">
        <f t="shared" si="34"/>
        <v>0</v>
      </c>
      <c r="L453" s="87">
        <f t="shared" si="34"/>
        <v>0</v>
      </c>
      <c r="M453" s="87">
        <f t="shared" si="34"/>
        <v>1375551.24</v>
      </c>
      <c r="N453" s="87">
        <f t="shared" si="34"/>
        <v>0</v>
      </c>
      <c r="O453" s="87">
        <f t="shared" si="34"/>
        <v>553797</v>
      </c>
      <c r="P453" s="87">
        <f t="shared" si="34"/>
        <v>0</v>
      </c>
      <c r="Q453" s="87">
        <f t="shared" si="34"/>
        <v>0</v>
      </c>
      <c r="R453" s="87">
        <f t="shared" si="34"/>
        <v>0</v>
      </c>
      <c r="S453" s="87">
        <f t="shared" si="34"/>
        <v>0</v>
      </c>
      <c r="T453" s="87">
        <f t="shared" si="34"/>
        <v>0</v>
      </c>
      <c r="U453" s="87">
        <f t="shared" si="34"/>
        <v>0</v>
      </c>
      <c r="V453" s="87">
        <f t="shared" si="34"/>
        <v>0</v>
      </c>
      <c r="W453" s="87">
        <f t="shared" si="34"/>
        <v>0</v>
      </c>
      <c r="X453" s="87">
        <f t="shared" si="34"/>
        <v>0</v>
      </c>
      <c r="Y453" s="87">
        <f t="shared" si="34"/>
        <v>0</v>
      </c>
      <c r="Z453" s="87">
        <f t="shared" si="34"/>
        <v>0</v>
      </c>
      <c r="AA453" s="87">
        <f t="shared" si="34"/>
        <v>0</v>
      </c>
      <c r="AB453" s="89" t="s">
        <v>131</v>
      </c>
    </row>
    <row r="454" spans="1:28" s="1" customFormat="1" ht="35.25" customHeight="1" x14ac:dyDescent="0.5">
      <c r="A454" s="1">
        <v>1</v>
      </c>
      <c r="B454" s="39">
        <f>SUBTOTAL(103,$A$11:A454)</f>
        <v>423</v>
      </c>
      <c r="C454" s="86" t="s">
        <v>865</v>
      </c>
      <c r="D454" s="87">
        <f>E454+F454+G454+H454+I454+J454+L454+M454+N454+O454+P454+Q454+R454+S454+T454+U454+V454+W454+X454+Y454+Z454+AA454</f>
        <v>1375551.24</v>
      </c>
      <c r="E454" s="90">
        <v>0</v>
      </c>
      <c r="F454" s="90">
        <v>0</v>
      </c>
      <c r="G454" s="90">
        <v>0</v>
      </c>
      <c r="H454" s="90">
        <v>0</v>
      </c>
      <c r="I454" s="90">
        <v>0</v>
      </c>
      <c r="J454" s="90">
        <v>0</v>
      </c>
      <c r="K454" s="91">
        <v>0</v>
      </c>
      <c r="L454" s="90">
        <v>0</v>
      </c>
      <c r="M454" s="90">
        <v>1375551.24</v>
      </c>
      <c r="N454" s="90">
        <v>0</v>
      </c>
      <c r="O454" s="90">
        <v>0</v>
      </c>
      <c r="P454" s="90">
        <v>0</v>
      </c>
      <c r="Q454" s="90">
        <v>0</v>
      </c>
      <c r="R454" s="90">
        <v>0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0</v>
      </c>
      <c r="AB454" s="92">
        <v>2020</v>
      </c>
    </row>
    <row r="455" spans="1:28" s="1" customFormat="1" ht="35.25" customHeight="1" x14ac:dyDescent="0.5">
      <c r="A455" s="1">
        <v>1</v>
      </c>
      <c r="B455" s="39">
        <f>SUBTOTAL(103,$A$11:A455)</f>
        <v>424</v>
      </c>
      <c r="C455" s="86" t="s">
        <v>866</v>
      </c>
      <c r="D455" s="87">
        <f>E455+F455+G455+H455+I455+J455+L455+M455+N455+O455+P455+Q455+R455+S455+T455+U455+V455+W455+X455+Y455+Z455+AA455</f>
        <v>439256.62</v>
      </c>
      <c r="E455" s="90">
        <v>0</v>
      </c>
      <c r="F455" s="90">
        <v>439256.62</v>
      </c>
      <c r="G455" s="90">
        <v>0</v>
      </c>
      <c r="H455" s="90">
        <v>0</v>
      </c>
      <c r="I455" s="90">
        <v>0</v>
      </c>
      <c r="J455" s="90">
        <v>0</v>
      </c>
      <c r="K455" s="91">
        <v>0</v>
      </c>
      <c r="L455" s="90">
        <v>0</v>
      </c>
      <c r="M455" s="90">
        <v>0</v>
      </c>
      <c r="N455" s="90">
        <v>0</v>
      </c>
      <c r="O455" s="90">
        <v>0</v>
      </c>
      <c r="P455" s="90">
        <v>0</v>
      </c>
      <c r="Q455" s="90">
        <v>0</v>
      </c>
      <c r="R455" s="90">
        <v>0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0</v>
      </c>
      <c r="AB455" s="92">
        <v>2020</v>
      </c>
    </row>
    <row r="456" spans="1:28" s="1" customFormat="1" ht="35.25" customHeight="1" x14ac:dyDescent="0.5">
      <c r="A456" s="1">
        <v>1</v>
      </c>
      <c r="B456" s="39">
        <f>SUBTOTAL(103,$A$11:A456)</f>
        <v>425</v>
      </c>
      <c r="C456" s="86" t="s">
        <v>867</v>
      </c>
      <c r="D456" s="87">
        <f>E456+F456+G456+H456+I456+J456+L456+M456+N456+O456+P456+Q456+R456+S456+T456+U456+V456+W456+X456+Y456+Z456+AA456</f>
        <v>553797</v>
      </c>
      <c r="E456" s="90">
        <v>0</v>
      </c>
      <c r="F456" s="90">
        <v>0</v>
      </c>
      <c r="G456" s="90">
        <v>0</v>
      </c>
      <c r="H456" s="90">
        <v>0</v>
      </c>
      <c r="I456" s="90">
        <v>0</v>
      </c>
      <c r="J456" s="90">
        <v>0</v>
      </c>
      <c r="K456" s="91">
        <v>0</v>
      </c>
      <c r="L456" s="90">
        <v>0</v>
      </c>
      <c r="M456" s="90">
        <v>0</v>
      </c>
      <c r="N456" s="90">
        <v>0</v>
      </c>
      <c r="O456" s="90">
        <v>553797</v>
      </c>
      <c r="P456" s="90">
        <v>0</v>
      </c>
      <c r="Q456" s="90">
        <v>0</v>
      </c>
      <c r="R456" s="90">
        <v>0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2">
        <v>2020</v>
      </c>
    </row>
    <row r="457" spans="1:28" s="1" customFormat="1" ht="35.25" customHeight="1" x14ac:dyDescent="0.5">
      <c r="B457" s="85" t="s">
        <v>117</v>
      </c>
      <c r="C457" s="86"/>
      <c r="D457" s="87">
        <f>SUM(D458:D465)</f>
        <v>6936248.79</v>
      </c>
      <c r="E457" s="87">
        <f t="shared" ref="E457:AA457" si="35">SUM(E458:E465)</f>
        <v>117654</v>
      </c>
      <c r="F457" s="87">
        <f t="shared" si="35"/>
        <v>0</v>
      </c>
      <c r="G457" s="87">
        <f t="shared" si="35"/>
        <v>979023</v>
      </c>
      <c r="H457" s="87">
        <f t="shared" si="35"/>
        <v>0</v>
      </c>
      <c r="I457" s="87">
        <f t="shared" si="35"/>
        <v>368317</v>
      </c>
      <c r="J457" s="87">
        <f t="shared" si="35"/>
        <v>0</v>
      </c>
      <c r="K457" s="88">
        <f t="shared" si="35"/>
        <v>0</v>
      </c>
      <c r="L457" s="87">
        <f t="shared" si="35"/>
        <v>0</v>
      </c>
      <c r="M457" s="87">
        <f t="shared" si="35"/>
        <v>1531213</v>
      </c>
      <c r="N457" s="87">
        <f t="shared" si="35"/>
        <v>0</v>
      </c>
      <c r="O457" s="87">
        <f t="shared" si="35"/>
        <v>3940041.79</v>
      </c>
      <c r="P457" s="87">
        <f t="shared" si="35"/>
        <v>0</v>
      </c>
      <c r="Q457" s="87">
        <f t="shared" si="35"/>
        <v>0</v>
      </c>
      <c r="R457" s="87">
        <f t="shared" si="35"/>
        <v>0</v>
      </c>
      <c r="S457" s="87">
        <f t="shared" si="35"/>
        <v>0</v>
      </c>
      <c r="T457" s="87">
        <f t="shared" si="35"/>
        <v>0</v>
      </c>
      <c r="U457" s="87">
        <f t="shared" si="35"/>
        <v>0</v>
      </c>
      <c r="V457" s="87">
        <f t="shared" si="35"/>
        <v>0</v>
      </c>
      <c r="W457" s="87">
        <f t="shared" si="35"/>
        <v>0</v>
      </c>
      <c r="X457" s="87">
        <f t="shared" si="35"/>
        <v>0</v>
      </c>
      <c r="Y457" s="87">
        <f t="shared" si="35"/>
        <v>0</v>
      </c>
      <c r="Z457" s="87">
        <f t="shared" si="35"/>
        <v>0</v>
      </c>
      <c r="AA457" s="87">
        <f t="shared" si="35"/>
        <v>0</v>
      </c>
      <c r="AB457" s="89" t="s">
        <v>131</v>
      </c>
    </row>
    <row r="458" spans="1:28" s="1" customFormat="1" ht="35.25" customHeight="1" x14ac:dyDescent="0.5">
      <c r="A458" s="1">
        <v>1</v>
      </c>
      <c r="B458" s="39">
        <f>SUBTOTAL(103,$A$11:A458)</f>
        <v>426</v>
      </c>
      <c r="C458" s="86" t="s">
        <v>868</v>
      </c>
      <c r="D458" s="87">
        <f t="shared" ref="D458:D464" si="36">E458+F458+G458+H458+I458+J458+L458+M458+N458+O458+P458+Q458+R458+S458+T458+U458+V458+W458+X458+Y458+Z458+AA458</f>
        <v>824183</v>
      </c>
      <c r="E458" s="90">
        <v>0</v>
      </c>
      <c r="F458" s="90">
        <v>0</v>
      </c>
      <c r="G458" s="90">
        <v>0</v>
      </c>
      <c r="H458" s="90">
        <v>0</v>
      </c>
      <c r="I458" s="90">
        <v>0</v>
      </c>
      <c r="J458" s="90">
        <v>0</v>
      </c>
      <c r="K458" s="91">
        <v>0</v>
      </c>
      <c r="L458" s="90">
        <v>0</v>
      </c>
      <c r="M458" s="90">
        <v>0</v>
      </c>
      <c r="N458" s="90">
        <v>0</v>
      </c>
      <c r="O458" s="90">
        <v>824183</v>
      </c>
      <c r="P458" s="90">
        <v>0</v>
      </c>
      <c r="Q458" s="90">
        <v>0</v>
      </c>
      <c r="R458" s="90">
        <v>0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0</v>
      </c>
      <c r="AB458" s="92">
        <v>2020</v>
      </c>
    </row>
    <row r="459" spans="1:28" s="1" customFormat="1" ht="35.25" customHeight="1" x14ac:dyDescent="0.5">
      <c r="A459" s="1">
        <v>1</v>
      </c>
      <c r="B459" s="39">
        <f>SUBTOTAL(103,$A$11:A459)</f>
        <v>427</v>
      </c>
      <c r="C459" s="86" t="s">
        <v>869</v>
      </c>
      <c r="D459" s="87">
        <f t="shared" si="36"/>
        <v>851863.79</v>
      </c>
      <c r="E459" s="90">
        <v>0</v>
      </c>
      <c r="F459" s="90">
        <v>0</v>
      </c>
      <c r="G459" s="90">
        <v>0</v>
      </c>
      <c r="H459" s="90">
        <v>0</v>
      </c>
      <c r="I459" s="90">
        <v>0</v>
      </c>
      <c r="J459" s="90">
        <v>0</v>
      </c>
      <c r="K459" s="91">
        <v>0</v>
      </c>
      <c r="L459" s="90">
        <v>0</v>
      </c>
      <c r="M459" s="90">
        <v>0</v>
      </c>
      <c r="N459" s="90">
        <v>0</v>
      </c>
      <c r="O459" s="90">
        <v>851863.79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0</v>
      </c>
      <c r="AB459" s="92">
        <v>2020</v>
      </c>
    </row>
    <row r="460" spans="1:28" s="1" customFormat="1" ht="35.25" customHeight="1" x14ac:dyDescent="0.5">
      <c r="A460" s="1">
        <v>1</v>
      </c>
      <c r="B460" s="39">
        <f>SUBTOTAL(103,$A$11:A460)</f>
        <v>428</v>
      </c>
      <c r="C460" s="86" t="s">
        <v>870</v>
      </c>
      <c r="D460" s="87">
        <f t="shared" si="36"/>
        <v>979023</v>
      </c>
      <c r="E460" s="90">
        <v>0</v>
      </c>
      <c r="F460" s="90">
        <v>0</v>
      </c>
      <c r="G460" s="90">
        <v>979023</v>
      </c>
      <c r="H460" s="90">
        <v>0</v>
      </c>
      <c r="I460" s="90">
        <v>0</v>
      </c>
      <c r="J460" s="90">
        <v>0</v>
      </c>
      <c r="K460" s="91">
        <v>0</v>
      </c>
      <c r="L460" s="90">
        <v>0</v>
      </c>
      <c r="M460" s="90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0</v>
      </c>
      <c r="AB460" s="92">
        <v>2020</v>
      </c>
    </row>
    <row r="461" spans="1:28" s="1" customFormat="1" ht="35.25" customHeight="1" x14ac:dyDescent="0.5">
      <c r="A461" s="1">
        <v>1</v>
      </c>
      <c r="B461" s="39">
        <f>SUBTOTAL(103,$A$11:A461)</f>
        <v>429</v>
      </c>
      <c r="C461" s="86" t="s">
        <v>871</v>
      </c>
      <c r="D461" s="87">
        <f t="shared" si="36"/>
        <v>798318</v>
      </c>
      <c r="E461" s="90">
        <v>0</v>
      </c>
      <c r="F461" s="90">
        <v>0</v>
      </c>
      <c r="G461" s="90">
        <v>0</v>
      </c>
      <c r="H461" s="90">
        <v>0</v>
      </c>
      <c r="I461" s="90">
        <v>0</v>
      </c>
      <c r="J461" s="90">
        <v>0</v>
      </c>
      <c r="K461" s="91">
        <v>0</v>
      </c>
      <c r="L461" s="90">
        <v>0</v>
      </c>
      <c r="M461" s="90">
        <v>0</v>
      </c>
      <c r="N461" s="90">
        <v>0</v>
      </c>
      <c r="O461" s="90">
        <v>798318</v>
      </c>
      <c r="P461" s="90">
        <v>0</v>
      </c>
      <c r="Q461" s="90">
        <v>0</v>
      </c>
      <c r="R461" s="90">
        <v>0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0</v>
      </c>
      <c r="AB461" s="92">
        <v>2020</v>
      </c>
    </row>
    <row r="462" spans="1:28" s="1" customFormat="1" ht="35.25" customHeight="1" x14ac:dyDescent="0.5">
      <c r="A462" s="1">
        <v>1</v>
      </c>
      <c r="B462" s="39">
        <f>SUBTOTAL(103,$A$11:A462)</f>
        <v>430</v>
      </c>
      <c r="C462" s="86" t="s">
        <v>546</v>
      </c>
      <c r="D462" s="87">
        <f t="shared" si="36"/>
        <v>61000</v>
      </c>
      <c r="E462" s="90">
        <v>0</v>
      </c>
      <c r="F462" s="90">
        <v>0</v>
      </c>
      <c r="G462" s="90">
        <v>0</v>
      </c>
      <c r="H462" s="90">
        <v>0</v>
      </c>
      <c r="I462" s="90">
        <v>0</v>
      </c>
      <c r="J462" s="90">
        <v>0</v>
      </c>
      <c r="K462" s="91">
        <v>0</v>
      </c>
      <c r="L462" s="90">
        <v>0</v>
      </c>
      <c r="M462" s="90">
        <v>0</v>
      </c>
      <c r="N462" s="90">
        <v>0</v>
      </c>
      <c r="O462" s="90">
        <v>61000</v>
      </c>
      <c r="P462" s="90">
        <v>0</v>
      </c>
      <c r="Q462" s="90">
        <v>0</v>
      </c>
      <c r="R462" s="90">
        <v>0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0</v>
      </c>
      <c r="AB462" s="92">
        <v>2020</v>
      </c>
    </row>
    <row r="463" spans="1:28" s="1" customFormat="1" ht="35.25" customHeight="1" x14ac:dyDescent="0.5">
      <c r="A463" s="1">
        <v>1</v>
      </c>
      <c r="B463" s="39">
        <f>SUBTOTAL(103,$A$11:A463)</f>
        <v>431</v>
      </c>
      <c r="C463" s="86" t="s">
        <v>547</v>
      </c>
      <c r="D463" s="87">
        <f t="shared" si="36"/>
        <v>44000</v>
      </c>
      <c r="E463" s="90">
        <v>0</v>
      </c>
      <c r="F463" s="90">
        <v>0</v>
      </c>
      <c r="G463" s="90">
        <v>0</v>
      </c>
      <c r="H463" s="90">
        <v>0</v>
      </c>
      <c r="I463" s="90">
        <v>0</v>
      </c>
      <c r="J463" s="90">
        <v>0</v>
      </c>
      <c r="K463" s="91">
        <v>0</v>
      </c>
      <c r="L463" s="90">
        <v>0</v>
      </c>
      <c r="M463" s="90">
        <v>0</v>
      </c>
      <c r="N463" s="90">
        <v>0</v>
      </c>
      <c r="O463" s="90">
        <v>44000</v>
      </c>
      <c r="P463" s="90">
        <v>0</v>
      </c>
      <c r="Q463" s="90">
        <v>0</v>
      </c>
      <c r="R463" s="90">
        <v>0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0</v>
      </c>
      <c r="AB463" s="92">
        <v>2020</v>
      </c>
    </row>
    <row r="464" spans="1:28" s="1" customFormat="1" ht="35.25" customHeight="1" x14ac:dyDescent="0.5">
      <c r="A464" s="1">
        <v>1</v>
      </c>
      <c r="B464" s="39">
        <f>SUBTOTAL(103,$A$11:A464)</f>
        <v>432</v>
      </c>
      <c r="C464" s="86" t="s">
        <v>872</v>
      </c>
      <c r="D464" s="87">
        <f t="shared" si="36"/>
        <v>678326</v>
      </c>
      <c r="E464" s="90">
        <v>117654</v>
      </c>
      <c r="F464" s="90">
        <v>0</v>
      </c>
      <c r="G464" s="90">
        <v>0</v>
      </c>
      <c r="H464" s="90">
        <v>0</v>
      </c>
      <c r="I464" s="90">
        <v>0</v>
      </c>
      <c r="J464" s="90">
        <v>0</v>
      </c>
      <c r="K464" s="91">
        <v>0</v>
      </c>
      <c r="L464" s="90">
        <v>0</v>
      </c>
      <c r="M464" s="90">
        <v>0</v>
      </c>
      <c r="N464" s="90">
        <v>0</v>
      </c>
      <c r="O464" s="90">
        <v>560672</v>
      </c>
      <c r="P464" s="90">
        <v>0</v>
      </c>
      <c r="Q464" s="90">
        <v>0</v>
      </c>
      <c r="R464" s="90">
        <v>0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0</v>
      </c>
      <c r="AB464" s="92">
        <v>2020</v>
      </c>
    </row>
    <row r="465" spans="1:28" s="1" customFormat="1" ht="35.25" customHeight="1" x14ac:dyDescent="0.5">
      <c r="B465" s="85" t="s">
        <v>116</v>
      </c>
      <c r="C465" s="86"/>
      <c r="D465" s="87">
        <f>SUM(D466:D468)</f>
        <v>2699535</v>
      </c>
      <c r="E465" s="87">
        <f t="shared" ref="E465:AA465" si="37">SUM(E466:E468)</f>
        <v>0</v>
      </c>
      <c r="F465" s="87">
        <f t="shared" si="37"/>
        <v>0</v>
      </c>
      <c r="G465" s="87">
        <f t="shared" si="37"/>
        <v>0</v>
      </c>
      <c r="H465" s="87">
        <f t="shared" si="37"/>
        <v>0</v>
      </c>
      <c r="I465" s="87">
        <f t="shared" si="37"/>
        <v>368317</v>
      </c>
      <c r="J465" s="87">
        <f t="shared" si="37"/>
        <v>0</v>
      </c>
      <c r="K465" s="88">
        <f t="shared" si="37"/>
        <v>0</v>
      </c>
      <c r="L465" s="87">
        <f t="shared" si="37"/>
        <v>0</v>
      </c>
      <c r="M465" s="87">
        <f t="shared" si="37"/>
        <v>1531213</v>
      </c>
      <c r="N465" s="87">
        <f t="shared" si="37"/>
        <v>0</v>
      </c>
      <c r="O465" s="87">
        <f t="shared" si="37"/>
        <v>800005</v>
      </c>
      <c r="P465" s="87">
        <f t="shared" si="37"/>
        <v>0</v>
      </c>
      <c r="Q465" s="87">
        <f t="shared" si="37"/>
        <v>0</v>
      </c>
      <c r="R465" s="87">
        <f t="shared" si="37"/>
        <v>0</v>
      </c>
      <c r="S465" s="87">
        <f t="shared" si="37"/>
        <v>0</v>
      </c>
      <c r="T465" s="87">
        <f t="shared" si="37"/>
        <v>0</v>
      </c>
      <c r="U465" s="87">
        <f t="shared" si="37"/>
        <v>0</v>
      </c>
      <c r="V465" s="87">
        <f t="shared" si="37"/>
        <v>0</v>
      </c>
      <c r="W465" s="87">
        <f t="shared" si="37"/>
        <v>0</v>
      </c>
      <c r="X465" s="87">
        <f t="shared" si="37"/>
        <v>0</v>
      </c>
      <c r="Y465" s="87">
        <f t="shared" si="37"/>
        <v>0</v>
      </c>
      <c r="Z465" s="87">
        <f t="shared" si="37"/>
        <v>0</v>
      </c>
      <c r="AA465" s="87">
        <f t="shared" si="37"/>
        <v>0</v>
      </c>
      <c r="AB465" s="89" t="s">
        <v>131</v>
      </c>
    </row>
    <row r="466" spans="1:28" s="1" customFormat="1" ht="35.25" customHeight="1" x14ac:dyDescent="0.5">
      <c r="A466" s="1">
        <v>1</v>
      </c>
      <c r="B466" s="39">
        <f>SUBTOTAL(103,$A$11:A466)</f>
        <v>433</v>
      </c>
      <c r="C466" s="86" t="s">
        <v>873</v>
      </c>
      <c r="D466" s="87">
        <f>E466+F466+G466+H466+I466+J466+L466+M466+N466+O466+P466+Q466+R466+S466+T466+U466+V466+W466+X466+Y466+Z466+AA466</f>
        <v>1531213</v>
      </c>
      <c r="E466" s="90">
        <v>0</v>
      </c>
      <c r="F466" s="90">
        <v>0</v>
      </c>
      <c r="G466" s="90">
        <v>0</v>
      </c>
      <c r="H466" s="90">
        <v>0</v>
      </c>
      <c r="I466" s="90">
        <v>0</v>
      </c>
      <c r="J466" s="90">
        <v>0</v>
      </c>
      <c r="K466" s="91">
        <v>0</v>
      </c>
      <c r="L466" s="90">
        <v>0</v>
      </c>
      <c r="M466" s="90">
        <v>1531213</v>
      </c>
      <c r="N466" s="90">
        <v>0</v>
      </c>
      <c r="O466" s="90">
        <v>0</v>
      </c>
      <c r="P466" s="90">
        <v>0</v>
      </c>
      <c r="Q466" s="90">
        <v>0</v>
      </c>
      <c r="R466" s="90">
        <v>0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0</v>
      </c>
      <c r="AB466" s="92">
        <v>2020</v>
      </c>
    </row>
    <row r="467" spans="1:28" s="1" customFormat="1" ht="35.25" customHeight="1" x14ac:dyDescent="0.5">
      <c r="A467" s="1">
        <v>1</v>
      </c>
      <c r="B467" s="39">
        <f>SUBTOTAL(103,$A$11:A467)</f>
        <v>434</v>
      </c>
      <c r="C467" s="86" t="s">
        <v>874</v>
      </c>
      <c r="D467" s="87">
        <f>E467+F467+G467+H467+I467+J467+L467+M467+N467+O467+P467+Q467+R467+S467+T467+U467+V467+W467+X467+Y467+Z467+AA467</f>
        <v>800005</v>
      </c>
      <c r="E467" s="90">
        <v>0</v>
      </c>
      <c r="F467" s="90">
        <v>0</v>
      </c>
      <c r="G467" s="90">
        <v>0</v>
      </c>
      <c r="H467" s="90">
        <v>0</v>
      </c>
      <c r="I467" s="90">
        <v>0</v>
      </c>
      <c r="J467" s="90">
        <v>0</v>
      </c>
      <c r="K467" s="91">
        <v>0</v>
      </c>
      <c r="L467" s="90">
        <v>0</v>
      </c>
      <c r="M467" s="90">
        <v>0</v>
      </c>
      <c r="N467" s="90">
        <v>0</v>
      </c>
      <c r="O467" s="90">
        <v>800005</v>
      </c>
      <c r="P467" s="90">
        <v>0</v>
      </c>
      <c r="Q467" s="90">
        <v>0</v>
      </c>
      <c r="R467" s="90">
        <v>0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0</v>
      </c>
      <c r="AB467" s="92">
        <v>2020</v>
      </c>
    </row>
    <row r="468" spans="1:28" s="1" customFormat="1" ht="35.25" customHeight="1" x14ac:dyDescent="0.5">
      <c r="A468" s="1">
        <v>1</v>
      </c>
      <c r="B468" s="39">
        <f>SUBTOTAL(103,$A$11:A468)</f>
        <v>435</v>
      </c>
      <c r="C468" s="86" t="s">
        <v>875</v>
      </c>
      <c r="D468" s="87">
        <f>E468+F468+G468+H468+I468+J468+L468+M468+N468+O468+P468+Q468+R468+S468+T468+U468+V468+W468+X468+Y468+Z468+AA468</f>
        <v>368317</v>
      </c>
      <c r="E468" s="90">
        <v>0</v>
      </c>
      <c r="F468" s="90">
        <v>0</v>
      </c>
      <c r="G468" s="90">
        <v>0</v>
      </c>
      <c r="H468" s="90">
        <v>0</v>
      </c>
      <c r="I468" s="90">
        <v>368317</v>
      </c>
      <c r="J468" s="90">
        <v>0</v>
      </c>
      <c r="K468" s="91">
        <v>0</v>
      </c>
      <c r="L468" s="90">
        <v>0</v>
      </c>
      <c r="M468" s="90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0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0</v>
      </c>
      <c r="AB468" s="92">
        <v>2020</v>
      </c>
    </row>
    <row r="469" spans="1:28" s="1" customFormat="1" ht="35.25" customHeight="1" x14ac:dyDescent="0.5">
      <c r="B469" s="85" t="s">
        <v>115</v>
      </c>
      <c r="C469" s="86"/>
      <c r="D469" s="87">
        <f>SUM(D470:D473)</f>
        <v>4565291.7300000004</v>
      </c>
      <c r="E469" s="87">
        <f t="shared" ref="E469:AA469" si="38">SUM(E470:E473)</f>
        <v>0</v>
      </c>
      <c r="F469" s="87">
        <f t="shared" si="38"/>
        <v>0</v>
      </c>
      <c r="G469" s="87">
        <f t="shared" si="38"/>
        <v>0</v>
      </c>
      <c r="H469" s="87">
        <f t="shared" si="38"/>
        <v>0</v>
      </c>
      <c r="I469" s="87">
        <f t="shared" si="38"/>
        <v>0</v>
      </c>
      <c r="J469" s="87">
        <f t="shared" si="38"/>
        <v>0</v>
      </c>
      <c r="K469" s="88">
        <f t="shared" si="38"/>
        <v>0</v>
      </c>
      <c r="L469" s="87">
        <f t="shared" si="38"/>
        <v>0</v>
      </c>
      <c r="M469" s="87">
        <f t="shared" si="38"/>
        <v>3672797.36</v>
      </c>
      <c r="N469" s="87">
        <f t="shared" si="38"/>
        <v>0</v>
      </c>
      <c r="O469" s="87">
        <f t="shared" si="38"/>
        <v>663650</v>
      </c>
      <c r="P469" s="87">
        <f t="shared" si="38"/>
        <v>228844.37</v>
      </c>
      <c r="Q469" s="87">
        <f t="shared" si="38"/>
        <v>0</v>
      </c>
      <c r="R469" s="87">
        <f t="shared" si="38"/>
        <v>0</v>
      </c>
      <c r="S469" s="87">
        <f t="shared" si="38"/>
        <v>0</v>
      </c>
      <c r="T469" s="87">
        <f t="shared" si="38"/>
        <v>0</v>
      </c>
      <c r="U469" s="87">
        <f t="shared" si="38"/>
        <v>0</v>
      </c>
      <c r="V469" s="87">
        <f t="shared" si="38"/>
        <v>0</v>
      </c>
      <c r="W469" s="87">
        <f t="shared" si="38"/>
        <v>0</v>
      </c>
      <c r="X469" s="87">
        <f t="shared" si="38"/>
        <v>0</v>
      </c>
      <c r="Y469" s="87">
        <f t="shared" si="38"/>
        <v>0</v>
      </c>
      <c r="Z469" s="87">
        <f t="shared" si="38"/>
        <v>0</v>
      </c>
      <c r="AA469" s="87">
        <f t="shared" si="38"/>
        <v>0</v>
      </c>
      <c r="AB469" s="89" t="s">
        <v>131</v>
      </c>
    </row>
    <row r="470" spans="1:28" s="1" customFormat="1" ht="35.25" customHeight="1" x14ac:dyDescent="0.5">
      <c r="A470" s="1">
        <v>1</v>
      </c>
      <c r="B470" s="39">
        <f>SUBTOTAL(103,$A$11:A470)</f>
        <v>436</v>
      </c>
      <c r="C470" s="86" t="s">
        <v>876</v>
      </c>
      <c r="D470" s="87">
        <f>E470+F470+G470+H470+I470+J470+L470+M470+N470+O470+P470+Q470+R470+S470+T470+U470+V470+W470+X470+Y470+Z470+AA470</f>
        <v>598629.73</v>
      </c>
      <c r="E470" s="90">
        <v>0</v>
      </c>
      <c r="F470" s="90">
        <v>0</v>
      </c>
      <c r="G470" s="90">
        <v>0</v>
      </c>
      <c r="H470" s="90">
        <v>0</v>
      </c>
      <c r="I470" s="90">
        <v>0</v>
      </c>
      <c r="J470" s="90">
        <v>0</v>
      </c>
      <c r="K470" s="91">
        <v>0</v>
      </c>
      <c r="L470" s="90">
        <v>0</v>
      </c>
      <c r="M470" s="90">
        <v>369785.36</v>
      </c>
      <c r="N470" s="90">
        <v>0</v>
      </c>
      <c r="O470" s="90">
        <v>0</v>
      </c>
      <c r="P470" s="90">
        <v>228844.37</v>
      </c>
      <c r="Q470" s="90">
        <v>0</v>
      </c>
      <c r="R470" s="90">
        <v>0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0</v>
      </c>
      <c r="AB470" s="92">
        <v>2020</v>
      </c>
    </row>
    <row r="471" spans="1:28" s="1" customFormat="1" ht="35.25" customHeight="1" x14ac:dyDescent="0.5">
      <c r="A471" s="1">
        <v>1</v>
      </c>
      <c r="B471" s="39">
        <f>SUBTOTAL(103,$A$11:A471)</f>
        <v>437</v>
      </c>
      <c r="C471" s="86" t="s">
        <v>877</v>
      </c>
      <c r="D471" s="87">
        <f>E471+F471+G471+H471+I471+J471+L471+M471+N471+O471+P471+Q471+R471+S471+T471+U471+V471+W471+X471+Y471+Z471+AA471</f>
        <v>1940000</v>
      </c>
      <c r="E471" s="90">
        <v>0</v>
      </c>
      <c r="F471" s="90">
        <v>0</v>
      </c>
      <c r="G471" s="90">
        <v>0</v>
      </c>
      <c r="H471" s="90">
        <v>0</v>
      </c>
      <c r="I471" s="90">
        <v>0</v>
      </c>
      <c r="J471" s="90">
        <v>0</v>
      </c>
      <c r="K471" s="91">
        <v>0</v>
      </c>
      <c r="L471" s="90">
        <v>0</v>
      </c>
      <c r="M471" s="90">
        <v>1940000</v>
      </c>
      <c r="N471" s="90">
        <v>0</v>
      </c>
      <c r="O471" s="90">
        <v>0</v>
      </c>
      <c r="P471" s="90">
        <v>0</v>
      </c>
      <c r="Q471" s="90">
        <v>0</v>
      </c>
      <c r="R471" s="90">
        <v>0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0</v>
      </c>
      <c r="AB471" s="92">
        <v>2020</v>
      </c>
    </row>
    <row r="472" spans="1:28" s="1" customFormat="1" ht="35.25" customHeight="1" x14ac:dyDescent="0.5">
      <c r="A472" s="1">
        <v>1</v>
      </c>
      <c r="B472" s="39">
        <f>SUBTOTAL(103,$A$11:A472)</f>
        <v>438</v>
      </c>
      <c r="C472" s="86" t="s">
        <v>878</v>
      </c>
      <c r="D472" s="87">
        <f>E472+F472+G472+H472+I472+J472+L472+M472+N472+O472+P472+Q472+R472+S472+T472+U472+V472+W472+X472+Y472+Z472+AA472</f>
        <v>1363012</v>
      </c>
      <c r="E472" s="90">
        <v>0</v>
      </c>
      <c r="F472" s="90">
        <v>0</v>
      </c>
      <c r="G472" s="90">
        <v>0</v>
      </c>
      <c r="H472" s="90">
        <v>0</v>
      </c>
      <c r="I472" s="90">
        <v>0</v>
      </c>
      <c r="J472" s="90">
        <v>0</v>
      </c>
      <c r="K472" s="91">
        <v>0</v>
      </c>
      <c r="L472" s="90">
        <v>0</v>
      </c>
      <c r="M472" s="90">
        <v>1363012</v>
      </c>
      <c r="N472" s="90">
        <v>0</v>
      </c>
      <c r="O472" s="90">
        <v>0</v>
      </c>
      <c r="P472" s="90">
        <v>0</v>
      </c>
      <c r="Q472" s="90">
        <v>0</v>
      </c>
      <c r="R472" s="90">
        <v>0</v>
      </c>
      <c r="S472" s="90">
        <v>0</v>
      </c>
      <c r="T472" s="90">
        <v>0</v>
      </c>
      <c r="U472" s="90">
        <v>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0</v>
      </c>
      <c r="AB472" s="92">
        <v>2020</v>
      </c>
    </row>
    <row r="473" spans="1:28" s="1" customFormat="1" ht="35.25" customHeight="1" x14ac:dyDescent="0.5">
      <c r="A473" s="1">
        <v>1</v>
      </c>
      <c r="B473" s="39">
        <f>SUBTOTAL(103,$A$11:A473)</f>
        <v>439</v>
      </c>
      <c r="C473" s="86" t="s">
        <v>879</v>
      </c>
      <c r="D473" s="87">
        <f>E473+F473+G473+H473+I473+J473+L473+M473+N473+O473+P473+Q473+R473+S473+T473+U473+V473+W473+X473+Y473+Z473+AA473</f>
        <v>663650</v>
      </c>
      <c r="E473" s="90">
        <v>0</v>
      </c>
      <c r="F473" s="90">
        <v>0</v>
      </c>
      <c r="G473" s="90">
        <v>0</v>
      </c>
      <c r="H473" s="90">
        <v>0</v>
      </c>
      <c r="I473" s="90">
        <v>0</v>
      </c>
      <c r="J473" s="90">
        <v>0</v>
      </c>
      <c r="K473" s="91">
        <v>0</v>
      </c>
      <c r="L473" s="90">
        <v>0</v>
      </c>
      <c r="M473" s="90">
        <v>0</v>
      </c>
      <c r="N473" s="90">
        <v>0</v>
      </c>
      <c r="O473" s="90">
        <v>663650</v>
      </c>
      <c r="P473" s="90">
        <v>0</v>
      </c>
      <c r="Q473" s="90">
        <v>0</v>
      </c>
      <c r="R473" s="90">
        <v>0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0</v>
      </c>
      <c r="AB473" s="92">
        <v>2020</v>
      </c>
    </row>
    <row r="474" spans="1:28" s="1" customFormat="1" ht="35.25" customHeight="1" x14ac:dyDescent="0.5">
      <c r="B474" s="85" t="s">
        <v>121</v>
      </c>
      <c r="C474" s="86"/>
      <c r="D474" s="87">
        <f>SUM(D475:D480)</f>
        <v>2084622.03</v>
      </c>
      <c r="E474" s="87">
        <f t="shared" ref="E474:AA474" si="39">SUM(E475:E480)</f>
        <v>0</v>
      </c>
      <c r="F474" s="87">
        <f t="shared" si="39"/>
        <v>0</v>
      </c>
      <c r="G474" s="87">
        <f t="shared" si="39"/>
        <v>0</v>
      </c>
      <c r="H474" s="87">
        <f t="shared" si="39"/>
        <v>0</v>
      </c>
      <c r="I474" s="87">
        <f t="shared" si="39"/>
        <v>400852</v>
      </c>
      <c r="J474" s="87">
        <f t="shared" si="39"/>
        <v>0</v>
      </c>
      <c r="K474" s="88">
        <f t="shared" si="39"/>
        <v>0</v>
      </c>
      <c r="L474" s="87">
        <f t="shared" si="39"/>
        <v>0</v>
      </c>
      <c r="M474" s="87">
        <f t="shared" si="39"/>
        <v>0</v>
      </c>
      <c r="N474" s="87">
        <f t="shared" si="39"/>
        <v>78045.73</v>
      </c>
      <c r="O474" s="87">
        <f t="shared" si="39"/>
        <v>1441694.5</v>
      </c>
      <c r="P474" s="87">
        <f t="shared" si="39"/>
        <v>164029.79999999999</v>
      </c>
      <c r="Q474" s="87">
        <f t="shared" si="39"/>
        <v>0</v>
      </c>
      <c r="R474" s="87">
        <f t="shared" si="39"/>
        <v>0</v>
      </c>
      <c r="S474" s="87">
        <f t="shared" si="39"/>
        <v>0</v>
      </c>
      <c r="T474" s="87">
        <f t="shared" si="39"/>
        <v>0</v>
      </c>
      <c r="U474" s="87">
        <f t="shared" si="39"/>
        <v>0</v>
      </c>
      <c r="V474" s="87">
        <f t="shared" si="39"/>
        <v>0</v>
      </c>
      <c r="W474" s="87">
        <f t="shared" si="39"/>
        <v>0</v>
      </c>
      <c r="X474" s="87">
        <f t="shared" si="39"/>
        <v>0</v>
      </c>
      <c r="Y474" s="87">
        <f t="shared" si="39"/>
        <v>0</v>
      </c>
      <c r="Z474" s="87">
        <f t="shared" si="39"/>
        <v>0</v>
      </c>
      <c r="AA474" s="87">
        <f t="shared" si="39"/>
        <v>0</v>
      </c>
      <c r="AB474" s="89" t="s">
        <v>131</v>
      </c>
    </row>
    <row r="475" spans="1:28" s="1" customFormat="1" ht="35.25" customHeight="1" x14ac:dyDescent="0.5">
      <c r="A475" s="1">
        <v>1</v>
      </c>
      <c r="B475" s="39">
        <f>SUBTOTAL(103,$A$11:A475)</f>
        <v>440</v>
      </c>
      <c r="C475" s="86" t="s">
        <v>880</v>
      </c>
      <c r="D475" s="87">
        <f t="shared" ref="D475:D480" si="40">E475+F475+G475+H475+I475+J475+L475+M475+N475+O475+P475+Q475+R475+S475+T475+U475+V475+W475+X475+Y475+Z475+AA475</f>
        <v>190801.84</v>
      </c>
      <c r="E475" s="90">
        <v>0</v>
      </c>
      <c r="F475" s="90">
        <v>0</v>
      </c>
      <c r="G475" s="90">
        <v>0</v>
      </c>
      <c r="H475" s="90">
        <v>0</v>
      </c>
      <c r="I475" s="90">
        <v>0</v>
      </c>
      <c r="J475" s="90">
        <v>0</v>
      </c>
      <c r="K475" s="91">
        <v>0</v>
      </c>
      <c r="L475" s="90">
        <v>0</v>
      </c>
      <c r="M475" s="90">
        <v>0</v>
      </c>
      <c r="N475" s="90">
        <v>0</v>
      </c>
      <c r="O475" s="90">
        <v>190801.84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0</v>
      </c>
      <c r="AB475" s="92">
        <v>2020</v>
      </c>
    </row>
    <row r="476" spans="1:28" s="1" customFormat="1" ht="35.25" customHeight="1" x14ac:dyDescent="0.5">
      <c r="A476" s="1">
        <v>1</v>
      </c>
      <c r="B476" s="39">
        <f>SUBTOTAL(103,$A$11:A476)</f>
        <v>441</v>
      </c>
      <c r="C476" s="86" t="s">
        <v>881</v>
      </c>
      <c r="D476" s="87">
        <f t="shared" si="40"/>
        <v>78045.73</v>
      </c>
      <c r="E476" s="90">
        <v>0</v>
      </c>
      <c r="F476" s="90">
        <v>0</v>
      </c>
      <c r="G476" s="90">
        <v>0</v>
      </c>
      <c r="H476" s="90">
        <v>0</v>
      </c>
      <c r="I476" s="90">
        <v>0</v>
      </c>
      <c r="J476" s="90">
        <v>0</v>
      </c>
      <c r="K476" s="91">
        <v>0</v>
      </c>
      <c r="L476" s="90">
        <v>0</v>
      </c>
      <c r="M476" s="90">
        <v>0</v>
      </c>
      <c r="N476" s="90">
        <v>78045.73</v>
      </c>
      <c r="O476" s="90">
        <v>0</v>
      </c>
      <c r="P476" s="90">
        <v>0</v>
      </c>
      <c r="Q476" s="90">
        <v>0</v>
      </c>
      <c r="R476" s="90">
        <v>0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0</v>
      </c>
      <c r="AB476" s="92">
        <v>2020</v>
      </c>
    </row>
    <row r="477" spans="1:28" s="1" customFormat="1" ht="35.25" customHeight="1" x14ac:dyDescent="0.5">
      <c r="A477" s="1">
        <v>1</v>
      </c>
      <c r="B477" s="39">
        <f>SUBTOTAL(103,$A$11:A477)</f>
        <v>442</v>
      </c>
      <c r="C477" s="86" t="s">
        <v>882</v>
      </c>
      <c r="D477" s="87">
        <f t="shared" si="40"/>
        <v>282509.7</v>
      </c>
      <c r="E477" s="90">
        <v>0</v>
      </c>
      <c r="F477" s="90">
        <v>0</v>
      </c>
      <c r="G477" s="90">
        <v>0</v>
      </c>
      <c r="H477" s="90">
        <v>0</v>
      </c>
      <c r="I477" s="90">
        <v>0</v>
      </c>
      <c r="J477" s="90">
        <v>0</v>
      </c>
      <c r="K477" s="91">
        <v>0</v>
      </c>
      <c r="L477" s="90">
        <v>0</v>
      </c>
      <c r="M477" s="90">
        <v>0</v>
      </c>
      <c r="N477" s="90">
        <v>0</v>
      </c>
      <c r="O477" s="90">
        <v>282509.7</v>
      </c>
      <c r="P477" s="90">
        <v>0</v>
      </c>
      <c r="Q477" s="90">
        <v>0</v>
      </c>
      <c r="R477" s="90">
        <v>0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0</v>
      </c>
      <c r="AB477" s="92">
        <v>2020</v>
      </c>
    </row>
    <row r="478" spans="1:28" s="1" customFormat="1" ht="35.25" customHeight="1" x14ac:dyDescent="0.5">
      <c r="A478" s="1">
        <v>1</v>
      </c>
      <c r="B478" s="39">
        <f>SUBTOTAL(103,$A$11:A478)</f>
        <v>443</v>
      </c>
      <c r="C478" s="86" t="s">
        <v>883</v>
      </c>
      <c r="D478" s="87">
        <f t="shared" si="40"/>
        <v>711071</v>
      </c>
      <c r="E478" s="90">
        <v>0</v>
      </c>
      <c r="F478" s="90">
        <v>0</v>
      </c>
      <c r="G478" s="90">
        <v>0</v>
      </c>
      <c r="H478" s="90">
        <v>0</v>
      </c>
      <c r="I478" s="90">
        <v>400852</v>
      </c>
      <c r="J478" s="90">
        <v>0</v>
      </c>
      <c r="K478" s="91">
        <v>0</v>
      </c>
      <c r="L478" s="90">
        <v>0</v>
      </c>
      <c r="M478" s="90">
        <v>0</v>
      </c>
      <c r="N478" s="90">
        <v>0</v>
      </c>
      <c r="O478" s="90">
        <v>310219</v>
      </c>
      <c r="P478" s="90">
        <v>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0</v>
      </c>
      <c r="AB478" s="92">
        <v>2020</v>
      </c>
    </row>
    <row r="479" spans="1:28" s="1" customFormat="1" ht="35.25" customHeight="1" x14ac:dyDescent="0.5">
      <c r="A479" s="1">
        <v>1</v>
      </c>
      <c r="B479" s="39">
        <f>SUBTOTAL(103,$A$11:A479)</f>
        <v>444</v>
      </c>
      <c r="C479" s="86" t="s">
        <v>884</v>
      </c>
      <c r="D479" s="87">
        <f t="shared" si="40"/>
        <v>658163.96</v>
      </c>
      <c r="E479" s="90">
        <v>0</v>
      </c>
      <c r="F479" s="90">
        <v>0</v>
      </c>
      <c r="G479" s="90">
        <v>0</v>
      </c>
      <c r="H479" s="90">
        <v>0</v>
      </c>
      <c r="I479" s="90">
        <v>0</v>
      </c>
      <c r="J479" s="90">
        <v>0</v>
      </c>
      <c r="K479" s="91">
        <v>0</v>
      </c>
      <c r="L479" s="90">
        <v>0</v>
      </c>
      <c r="M479" s="90">
        <v>0</v>
      </c>
      <c r="N479" s="90">
        <v>0</v>
      </c>
      <c r="O479" s="90">
        <v>658163.96</v>
      </c>
      <c r="P479" s="90">
        <v>0</v>
      </c>
      <c r="Q479" s="90">
        <v>0</v>
      </c>
      <c r="R479" s="90">
        <v>0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0</v>
      </c>
      <c r="AB479" s="92">
        <v>2020</v>
      </c>
    </row>
    <row r="480" spans="1:28" s="1" customFormat="1" ht="35.25" customHeight="1" x14ac:dyDescent="0.5">
      <c r="A480" s="1">
        <v>1</v>
      </c>
      <c r="B480" s="39">
        <f>SUBTOTAL(103,$A$11:A480)</f>
        <v>445</v>
      </c>
      <c r="C480" s="86" t="s">
        <v>885</v>
      </c>
      <c r="D480" s="87">
        <f t="shared" si="40"/>
        <v>164029.79999999999</v>
      </c>
      <c r="E480" s="90">
        <v>0</v>
      </c>
      <c r="F480" s="90">
        <v>0</v>
      </c>
      <c r="G480" s="90">
        <v>0</v>
      </c>
      <c r="H480" s="90">
        <v>0</v>
      </c>
      <c r="I480" s="90">
        <v>0</v>
      </c>
      <c r="J480" s="90">
        <v>0</v>
      </c>
      <c r="K480" s="91">
        <v>0</v>
      </c>
      <c r="L480" s="90">
        <v>0</v>
      </c>
      <c r="M480" s="90">
        <v>0</v>
      </c>
      <c r="N480" s="90">
        <v>0</v>
      </c>
      <c r="O480" s="90">
        <v>0</v>
      </c>
      <c r="P480" s="90">
        <v>164029.79999999999</v>
      </c>
      <c r="Q480" s="90">
        <v>0</v>
      </c>
      <c r="R480" s="90">
        <v>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2">
        <v>2020</v>
      </c>
    </row>
    <row r="481" spans="1:28" s="1" customFormat="1" ht="35.25" customHeight="1" x14ac:dyDescent="0.5">
      <c r="B481" s="85" t="s">
        <v>886</v>
      </c>
      <c r="C481" s="86"/>
      <c r="D481" s="87">
        <f t="shared" ref="D481:AA481" si="41">SUM(D482:D483)</f>
        <v>526489.5</v>
      </c>
      <c r="E481" s="87">
        <f t="shared" si="41"/>
        <v>0</v>
      </c>
      <c r="F481" s="87">
        <f t="shared" si="41"/>
        <v>0</v>
      </c>
      <c r="G481" s="87">
        <f t="shared" si="41"/>
        <v>526489.5</v>
      </c>
      <c r="H481" s="87">
        <f t="shared" si="41"/>
        <v>0</v>
      </c>
      <c r="I481" s="87">
        <f t="shared" si="41"/>
        <v>0</v>
      </c>
      <c r="J481" s="87">
        <f t="shared" si="41"/>
        <v>0</v>
      </c>
      <c r="K481" s="88">
        <f t="shared" si="41"/>
        <v>0</v>
      </c>
      <c r="L481" s="87">
        <f t="shared" si="41"/>
        <v>0</v>
      </c>
      <c r="M481" s="87">
        <f t="shared" si="41"/>
        <v>0</v>
      </c>
      <c r="N481" s="87">
        <f t="shared" si="41"/>
        <v>0</v>
      </c>
      <c r="O481" s="87">
        <f t="shared" si="41"/>
        <v>0</v>
      </c>
      <c r="P481" s="87">
        <f t="shared" si="41"/>
        <v>0</v>
      </c>
      <c r="Q481" s="87">
        <f t="shared" si="41"/>
        <v>0</v>
      </c>
      <c r="R481" s="87">
        <f t="shared" si="41"/>
        <v>0</v>
      </c>
      <c r="S481" s="87">
        <f t="shared" si="41"/>
        <v>0</v>
      </c>
      <c r="T481" s="87">
        <f t="shared" si="41"/>
        <v>0</v>
      </c>
      <c r="U481" s="87">
        <f t="shared" si="41"/>
        <v>0</v>
      </c>
      <c r="V481" s="87">
        <f t="shared" si="41"/>
        <v>0</v>
      </c>
      <c r="W481" s="87">
        <f t="shared" si="41"/>
        <v>0</v>
      </c>
      <c r="X481" s="87">
        <f t="shared" si="41"/>
        <v>0</v>
      </c>
      <c r="Y481" s="87">
        <f t="shared" si="41"/>
        <v>0</v>
      </c>
      <c r="Z481" s="87">
        <f t="shared" si="41"/>
        <v>0</v>
      </c>
      <c r="AA481" s="87">
        <f t="shared" si="41"/>
        <v>0</v>
      </c>
      <c r="AB481" s="89" t="s">
        <v>131</v>
      </c>
    </row>
    <row r="482" spans="1:28" s="1" customFormat="1" ht="35.25" customHeight="1" x14ac:dyDescent="0.5">
      <c r="A482" s="1">
        <v>1</v>
      </c>
      <c r="B482" s="39">
        <f>SUBTOTAL(103,$A$11:A482)</f>
        <v>446</v>
      </c>
      <c r="C482" s="86" t="s">
        <v>887</v>
      </c>
      <c r="D482" s="87">
        <f>E482+F482+G482+H482+I482+J482+L482+M482+N482+O482+P482+Q482+R482+S482+T482+U482+V482+W482+X482+Y482+Z482+AA482</f>
        <v>230565</v>
      </c>
      <c r="E482" s="90">
        <v>0</v>
      </c>
      <c r="F482" s="90">
        <v>0</v>
      </c>
      <c r="G482" s="90">
        <v>230565</v>
      </c>
      <c r="H482" s="90">
        <v>0</v>
      </c>
      <c r="I482" s="90">
        <v>0</v>
      </c>
      <c r="J482" s="90">
        <v>0</v>
      </c>
      <c r="K482" s="91">
        <v>0</v>
      </c>
      <c r="L482" s="90">
        <v>0</v>
      </c>
      <c r="M482" s="90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0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2">
        <v>2020</v>
      </c>
    </row>
    <row r="483" spans="1:28" s="1" customFormat="1" ht="35.25" customHeight="1" x14ac:dyDescent="0.5">
      <c r="A483" s="1">
        <v>1</v>
      </c>
      <c r="B483" s="39">
        <f>SUBTOTAL(103,$A$11:A483)</f>
        <v>447</v>
      </c>
      <c r="C483" s="86" t="s">
        <v>888</v>
      </c>
      <c r="D483" s="87">
        <f>E483+F483+G483+H483+I483+J483+L483+M483+N483+O483+P483+Q483+R483+S483+T483+U483+V483+W483+X483+Y483+Z483+AA483</f>
        <v>295924.5</v>
      </c>
      <c r="E483" s="90">
        <v>0</v>
      </c>
      <c r="F483" s="90">
        <v>0</v>
      </c>
      <c r="G483" s="90">
        <v>295924.5</v>
      </c>
      <c r="H483" s="90">
        <v>0</v>
      </c>
      <c r="I483" s="90">
        <v>0</v>
      </c>
      <c r="J483" s="90">
        <v>0</v>
      </c>
      <c r="K483" s="91">
        <v>0</v>
      </c>
      <c r="L483" s="90">
        <v>0</v>
      </c>
      <c r="M483" s="90">
        <v>0</v>
      </c>
      <c r="N483" s="90">
        <v>0</v>
      </c>
      <c r="O483" s="90">
        <v>0</v>
      </c>
      <c r="P483" s="90">
        <v>0</v>
      </c>
      <c r="Q483" s="90">
        <v>0</v>
      </c>
      <c r="R483" s="90">
        <v>0</v>
      </c>
      <c r="S483" s="90">
        <v>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0</v>
      </c>
      <c r="AB483" s="92">
        <v>2020</v>
      </c>
    </row>
    <row r="484" spans="1:28" s="1" customFormat="1" ht="35.25" customHeight="1" x14ac:dyDescent="0.5">
      <c r="B484" s="86" t="s">
        <v>126</v>
      </c>
      <c r="C484" s="86"/>
      <c r="D484" s="87">
        <f>SUM(D485:D486)</f>
        <v>414508.1</v>
      </c>
      <c r="E484" s="87">
        <f t="shared" ref="E484:AA484" si="42">SUM(E485:E486)</f>
        <v>0</v>
      </c>
      <c r="F484" s="87">
        <f t="shared" si="42"/>
        <v>0</v>
      </c>
      <c r="G484" s="87">
        <f t="shared" si="42"/>
        <v>37496.1</v>
      </c>
      <c r="H484" s="87">
        <f t="shared" si="42"/>
        <v>0</v>
      </c>
      <c r="I484" s="87">
        <f t="shared" si="42"/>
        <v>0</v>
      </c>
      <c r="J484" s="87">
        <f t="shared" si="42"/>
        <v>0</v>
      </c>
      <c r="K484" s="88">
        <f t="shared" si="42"/>
        <v>0</v>
      </c>
      <c r="L484" s="87">
        <f t="shared" si="42"/>
        <v>0</v>
      </c>
      <c r="M484" s="87">
        <f t="shared" si="42"/>
        <v>0</v>
      </c>
      <c r="N484" s="87">
        <f t="shared" si="42"/>
        <v>0</v>
      </c>
      <c r="O484" s="87">
        <f t="shared" si="42"/>
        <v>0</v>
      </c>
      <c r="P484" s="87">
        <f t="shared" si="42"/>
        <v>377012</v>
      </c>
      <c r="Q484" s="87">
        <f t="shared" si="42"/>
        <v>0</v>
      </c>
      <c r="R484" s="87">
        <f t="shared" si="42"/>
        <v>0</v>
      </c>
      <c r="S484" s="87">
        <f t="shared" si="42"/>
        <v>0</v>
      </c>
      <c r="T484" s="87">
        <f t="shared" si="42"/>
        <v>0</v>
      </c>
      <c r="U484" s="87">
        <f t="shared" si="42"/>
        <v>0</v>
      </c>
      <c r="V484" s="87">
        <f t="shared" si="42"/>
        <v>0</v>
      </c>
      <c r="W484" s="87">
        <f t="shared" si="42"/>
        <v>0</v>
      </c>
      <c r="X484" s="87">
        <f t="shared" si="42"/>
        <v>0</v>
      </c>
      <c r="Y484" s="87">
        <f t="shared" si="42"/>
        <v>0</v>
      </c>
      <c r="Z484" s="87">
        <f t="shared" si="42"/>
        <v>0</v>
      </c>
      <c r="AA484" s="87">
        <f t="shared" si="42"/>
        <v>0</v>
      </c>
      <c r="AB484" s="89" t="s">
        <v>131</v>
      </c>
    </row>
    <row r="485" spans="1:28" s="1" customFormat="1" ht="35.25" customHeight="1" x14ac:dyDescent="0.5">
      <c r="A485" s="1">
        <v>1</v>
      </c>
      <c r="B485" s="39">
        <f>SUBTOTAL(103,$A$11:A485)</f>
        <v>448</v>
      </c>
      <c r="C485" s="86" t="s">
        <v>889</v>
      </c>
      <c r="D485" s="87">
        <f>E485+F485+G485+H485+I485+J485+L485+M485+N485+O485+P485+Q485+R485+S485+T485+U485+V485+W485+X485+Y485+Z485+AA485</f>
        <v>37496.1</v>
      </c>
      <c r="E485" s="90">
        <v>0</v>
      </c>
      <c r="F485" s="90">
        <v>0</v>
      </c>
      <c r="G485" s="90">
        <v>37496.1</v>
      </c>
      <c r="H485" s="90">
        <v>0</v>
      </c>
      <c r="I485" s="90">
        <v>0</v>
      </c>
      <c r="J485" s="90">
        <v>0</v>
      </c>
      <c r="K485" s="91">
        <v>0</v>
      </c>
      <c r="L485" s="90">
        <v>0</v>
      </c>
      <c r="M485" s="90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0</v>
      </c>
      <c r="AB485" s="92">
        <v>2020</v>
      </c>
    </row>
    <row r="486" spans="1:28" s="1" customFormat="1" ht="35.25" x14ac:dyDescent="0.5">
      <c r="A486" s="1">
        <v>1</v>
      </c>
      <c r="B486" s="39">
        <f>SUBTOTAL(103,$A$11:A486)</f>
        <v>449</v>
      </c>
      <c r="C486" s="86" t="s">
        <v>890</v>
      </c>
      <c r="D486" s="87">
        <f>E486+F486+G486+H486+I486+J486+L486+M486+N486+O486+P486+Q486+R486+S486+T486+U486+V486+W486+X486+Y486+Z486+AA486</f>
        <v>377012</v>
      </c>
      <c r="E486" s="90">
        <v>0</v>
      </c>
      <c r="F486" s="90">
        <v>0</v>
      </c>
      <c r="G486" s="90">
        <v>0</v>
      </c>
      <c r="H486" s="90">
        <v>0</v>
      </c>
      <c r="I486" s="90">
        <v>0</v>
      </c>
      <c r="J486" s="90">
        <v>0</v>
      </c>
      <c r="K486" s="91">
        <v>0</v>
      </c>
      <c r="L486" s="90">
        <v>0</v>
      </c>
      <c r="M486" s="90">
        <v>0</v>
      </c>
      <c r="N486" s="90">
        <v>0</v>
      </c>
      <c r="O486" s="90">
        <v>0</v>
      </c>
      <c r="P486" s="90">
        <v>377012</v>
      </c>
      <c r="Q486" s="90">
        <v>0</v>
      </c>
      <c r="R486" s="90">
        <v>0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0</v>
      </c>
      <c r="AB486" s="92">
        <v>2020</v>
      </c>
    </row>
  </sheetData>
  <autoFilter ref="A11:AB486"/>
  <mergeCells count="24">
    <mergeCell ref="S7:S8"/>
    <mergeCell ref="A5:AB5"/>
    <mergeCell ref="B6:B9"/>
    <mergeCell ref="C6:C9"/>
    <mergeCell ref="D6:D8"/>
    <mergeCell ref="E6:P6"/>
    <mergeCell ref="Q6:AA6"/>
    <mergeCell ref="AB6:AB9"/>
    <mergeCell ref="E7:J7"/>
    <mergeCell ref="K7:L8"/>
    <mergeCell ref="M7:M8"/>
    <mergeCell ref="N7:N8"/>
    <mergeCell ref="O7:O8"/>
    <mergeCell ref="P7:P8"/>
    <mergeCell ref="Q7:Q8"/>
    <mergeCell ref="R7:R8"/>
    <mergeCell ref="Z7:Z8"/>
    <mergeCell ref="AA7:AA8"/>
    <mergeCell ref="T7:T8"/>
    <mergeCell ref="U7:U8"/>
    <mergeCell ref="V7:V8"/>
    <mergeCell ref="W7:W8"/>
    <mergeCell ref="X7:X8"/>
    <mergeCell ref="Y7:Y8"/>
  </mergeCells>
  <conditionalFormatting sqref="C487:C65532">
    <cfRule type="duplicateValues" dxfId="26" priority="75" stopIfTrue="1"/>
  </conditionalFormatting>
  <conditionalFormatting sqref="C26">
    <cfRule type="duplicateValues" dxfId="25" priority="9" stopIfTrue="1"/>
  </conditionalFormatting>
  <conditionalFormatting sqref="C44">
    <cfRule type="duplicateValues" dxfId="24" priority="8" stopIfTrue="1"/>
  </conditionalFormatting>
  <conditionalFormatting sqref="C30">
    <cfRule type="duplicateValues" dxfId="23" priority="7" stopIfTrue="1"/>
  </conditionalFormatting>
  <conditionalFormatting sqref="C33">
    <cfRule type="duplicateValues" dxfId="22" priority="6" stopIfTrue="1"/>
  </conditionalFormatting>
  <conditionalFormatting sqref="C368:C372 C11:C12 C230 C232 C234:C242 C374:C383 C385:C419 C184:C228 C326:C330 C333:C340">
    <cfRule type="duplicateValues" dxfId="21" priority="24" stopIfTrue="1"/>
  </conditionalFormatting>
  <conditionalFormatting sqref="C341:C342">
    <cfRule type="duplicateValues" dxfId="20" priority="23" stopIfTrue="1"/>
  </conditionalFormatting>
  <conditionalFormatting sqref="C348">
    <cfRule type="duplicateValues" dxfId="19" priority="22" stopIfTrue="1"/>
  </conditionalFormatting>
  <conditionalFormatting sqref="C347">
    <cfRule type="duplicateValues" dxfId="18" priority="21" stopIfTrue="1"/>
  </conditionalFormatting>
  <conditionalFormatting sqref="C346">
    <cfRule type="duplicateValues" dxfId="17" priority="20" stopIfTrue="1"/>
  </conditionalFormatting>
  <conditionalFormatting sqref="C345">
    <cfRule type="duplicateValues" dxfId="16" priority="19" stopIfTrue="1"/>
  </conditionalFormatting>
  <conditionalFormatting sqref="C344">
    <cfRule type="duplicateValues" dxfId="15" priority="18" stopIfTrue="1"/>
  </conditionalFormatting>
  <conditionalFormatting sqref="C343">
    <cfRule type="duplicateValues" dxfId="14" priority="17" stopIfTrue="1"/>
  </conditionalFormatting>
  <conditionalFormatting sqref="C229">
    <cfRule type="duplicateValues" dxfId="13" priority="16" stopIfTrue="1"/>
  </conditionalFormatting>
  <conditionalFormatting sqref="C231">
    <cfRule type="duplicateValues" dxfId="12" priority="15" stopIfTrue="1"/>
  </conditionalFormatting>
  <conditionalFormatting sqref="C233">
    <cfRule type="duplicateValues" dxfId="11" priority="14" stopIfTrue="1"/>
  </conditionalFormatting>
  <conditionalFormatting sqref="C373">
    <cfRule type="duplicateValues" dxfId="10" priority="13" stopIfTrue="1"/>
  </conditionalFormatting>
  <conditionalFormatting sqref="C384">
    <cfRule type="duplicateValues" dxfId="9" priority="12" stopIfTrue="1"/>
  </conditionalFormatting>
  <conditionalFormatting sqref="C183 C79:C108">
    <cfRule type="duplicateValues" dxfId="8" priority="10" stopIfTrue="1"/>
  </conditionalFormatting>
  <conditionalFormatting sqref="C183 C13:C108">
    <cfRule type="duplicateValues" dxfId="7" priority="11" stopIfTrue="1"/>
  </conditionalFormatting>
  <conditionalFormatting sqref="C11:C108 C183:C278 C280:C330 C333:C349 C367:C434">
    <cfRule type="duplicateValues" dxfId="6" priority="5" stopIfTrue="1"/>
  </conditionalFormatting>
  <conditionalFormatting sqref="C279">
    <cfRule type="duplicateValues" dxfId="5" priority="4" stopIfTrue="1"/>
  </conditionalFormatting>
  <conditionalFormatting sqref="C279">
    <cfRule type="duplicateValues" dxfId="4" priority="3" stopIfTrue="1"/>
  </conditionalFormatting>
  <conditionalFormatting sqref="C331:C332">
    <cfRule type="duplicateValues" dxfId="3" priority="2" stopIfTrue="1"/>
  </conditionalFormatting>
  <conditionalFormatting sqref="C331:C332">
    <cfRule type="duplicateValues" dxfId="2" priority="1" stopIfTrue="1"/>
  </conditionalFormatting>
  <conditionalFormatting sqref="C45:C78 C27:C29 C31:C32 C34:C43 C13:C25">
    <cfRule type="duplicateValues" dxfId="1" priority="25" stopIfTrue="1"/>
  </conditionalFormatting>
  <conditionalFormatting sqref="C280:C325 C243:C278">
    <cfRule type="duplicateValues" dxfId="0" priority="26" stopIfTrue="1"/>
  </conditionalFormatting>
  <pageMargins left="0.25" right="0.25" top="0.53" bottom="0.3" header="0.3" footer="0.3"/>
  <pageSetup paperSize="9" scale="1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6"/>
  <sheetViews>
    <sheetView topLeftCell="C7" zoomScale="55" zoomScaleNormal="55" zoomScaleSheetLayoutView="30" workbookViewId="0">
      <selection activeCell="A13" sqref="A13:XFD13"/>
    </sheetView>
  </sheetViews>
  <sheetFormatPr defaultRowHeight="15" x14ac:dyDescent="0.25"/>
  <cols>
    <col min="1" max="2" width="0" style="407" hidden="1" customWidth="1"/>
    <col min="3" max="3" width="15.7109375" style="407" customWidth="1"/>
    <col min="4" max="4" width="106.85546875" style="407" customWidth="1"/>
    <col min="5" max="5" width="32.28515625" style="407" customWidth="1"/>
    <col min="6" max="6" width="23.7109375" style="407" customWidth="1"/>
    <col min="7" max="7" width="26.42578125" style="407" customWidth="1"/>
    <col min="8" max="8" width="26.5703125" style="407" customWidth="1"/>
    <col min="9" max="9" width="27.85546875" style="407" customWidth="1"/>
    <col min="10" max="10" width="28.140625" style="407" customWidth="1"/>
    <col min="11" max="11" width="24.28515625" style="407" customWidth="1"/>
    <col min="12" max="12" width="13.140625" style="407" customWidth="1"/>
    <col min="13" max="13" width="19.85546875" style="407" customWidth="1"/>
    <col min="14" max="14" width="34.42578125" style="407" customWidth="1"/>
    <col min="15" max="15" width="18.140625" style="407" customWidth="1"/>
    <col min="16" max="16" width="24.7109375" style="407" customWidth="1"/>
    <col min="17" max="17" width="23.28515625" style="407" customWidth="1"/>
    <col min="18" max="18" width="18.42578125" style="407" customWidth="1"/>
    <col min="19" max="19" width="27.85546875" style="407" customWidth="1"/>
    <col min="20" max="20" width="49.42578125" style="407" customWidth="1"/>
    <col min="21" max="21" width="32.140625" style="407" customWidth="1"/>
    <col min="22" max="22" width="22.42578125" style="407" customWidth="1"/>
    <col min="23" max="23" width="33" style="407" customWidth="1"/>
    <col min="24" max="24" width="58.85546875" style="407" customWidth="1"/>
    <col min="25" max="25" width="37.85546875" style="407" customWidth="1"/>
    <col min="26" max="26" width="17.5703125" style="407" customWidth="1"/>
    <col min="27" max="27" width="16.5703125" style="407" customWidth="1"/>
    <col min="28" max="28" width="28.7109375" style="407" customWidth="1"/>
    <col min="29" max="29" width="23.85546875" style="407" customWidth="1"/>
    <col min="30" max="256" width="9.140625" style="407"/>
    <col min="257" max="258" width="0" style="407" hidden="1" customWidth="1"/>
    <col min="259" max="259" width="15.7109375" style="407" customWidth="1"/>
    <col min="260" max="260" width="93.42578125" style="407" customWidth="1"/>
    <col min="261" max="261" width="32.28515625" style="407" customWidth="1"/>
    <col min="262" max="262" width="23.7109375" style="407" customWidth="1"/>
    <col min="263" max="263" width="26.42578125" style="407" customWidth="1"/>
    <col min="264" max="264" width="26.5703125" style="407" customWidth="1"/>
    <col min="265" max="265" width="27.85546875" style="407" customWidth="1"/>
    <col min="266" max="266" width="28.140625" style="407" customWidth="1"/>
    <col min="267" max="267" width="24.28515625" style="407" customWidth="1"/>
    <col min="268" max="268" width="13.140625" style="407" customWidth="1"/>
    <col min="269" max="269" width="19.85546875" style="407" customWidth="1"/>
    <col min="270" max="270" width="34.42578125" style="407" customWidth="1"/>
    <col min="271" max="271" width="18.140625" style="407" customWidth="1"/>
    <col min="272" max="272" width="24.7109375" style="407" customWidth="1"/>
    <col min="273" max="273" width="23.28515625" style="407" customWidth="1"/>
    <col min="274" max="274" width="18.42578125" style="407" customWidth="1"/>
    <col min="275" max="275" width="27.85546875" style="407" customWidth="1"/>
    <col min="276" max="276" width="49.42578125" style="407" customWidth="1"/>
    <col min="277" max="277" width="32.140625" style="407" customWidth="1"/>
    <col min="278" max="278" width="22.42578125" style="407" customWidth="1"/>
    <col min="279" max="279" width="33" style="407" customWidth="1"/>
    <col min="280" max="280" width="58.85546875" style="407" customWidth="1"/>
    <col min="281" max="281" width="37.85546875" style="407" customWidth="1"/>
    <col min="282" max="282" width="17.5703125" style="407" customWidth="1"/>
    <col min="283" max="283" width="16.5703125" style="407" customWidth="1"/>
    <col min="284" max="284" width="28.7109375" style="407" customWidth="1"/>
    <col min="285" max="285" width="23.85546875" style="407" customWidth="1"/>
    <col min="286" max="512" width="9.140625" style="407"/>
    <col min="513" max="514" width="0" style="407" hidden="1" customWidth="1"/>
    <col min="515" max="515" width="15.7109375" style="407" customWidth="1"/>
    <col min="516" max="516" width="93.42578125" style="407" customWidth="1"/>
    <col min="517" max="517" width="32.28515625" style="407" customWidth="1"/>
    <col min="518" max="518" width="23.7109375" style="407" customWidth="1"/>
    <col min="519" max="519" width="26.42578125" style="407" customWidth="1"/>
    <col min="520" max="520" width="26.5703125" style="407" customWidth="1"/>
    <col min="521" max="521" width="27.85546875" style="407" customWidth="1"/>
    <col min="522" max="522" width="28.140625" style="407" customWidth="1"/>
    <col min="523" max="523" width="24.28515625" style="407" customWidth="1"/>
    <col min="524" max="524" width="13.140625" style="407" customWidth="1"/>
    <col min="525" max="525" width="19.85546875" style="407" customWidth="1"/>
    <col min="526" max="526" width="34.42578125" style="407" customWidth="1"/>
    <col min="527" max="527" width="18.140625" style="407" customWidth="1"/>
    <col min="528" max="528" width="24.7109375" style="407" customWidth="1"/>
    <col min="529" max="529" width="23.28515625" style="407" customWidth="1"/>
    <col min="530" max="530" width="18.42578125" style="407" customWidth="1"/>
    <col min="531" max="531" width="27.85546875" style="407" customWidth="1"/>
    <col min="532" max="532" width="49.42578125" style="407" customWidth="1"/>
    <col min="533" max="533" width="32.140625" style="407" customWidth="1"/>
    <col min="534" max="534" width="22.42578125" style="407" customWidth="1"/>
    <col min="535" max="535" width="33" style="407" customWidth="1"/>
    <col min="536" max="536" width="58.85546875" style="407" customWidth="1"/>
    <col min="537" max="537" width="37.85546875" style="407" customWidth="1"/>
    <col min="538" max="538" width="17.5703125" style="407" customWidth="1"/>
    <col min="539" max="539" width="16.5703125" style="407" customWidth="1"/>
    <col min="540" max="540" width="28.7109375" style="407" customWidth="1"/>
    <col min="541" max="541" width="23.85546875" style="407" customWidth="1"/>
    <col min="542" max="768" width="9.140625" style="407"/>
    <col min="769" max="770" width="0" style="407" hidden="1" customWidth="1"/>
    <col min="771" max="771" width="15.7109375" style="407" customWidth="1"/>
    <col min="772" max="772" width="93.42578125" style="407" customWidth="1"/>
    <col min="773" max="773" width="32.28515625" style="407" customWidth="1"/>
    <col min="774" max="774" width="23.7109375" style="407" customWidth="1"/>
    <col min="775" max="775" width="26.42578125" style="407" customWidth="1"/>
    <col min="776" max="776" width="26.5703125" style="407" customWidth="1"/>
    <col min="777" max="777" width="27.85546875" style="407" customWidth="1"/>
    <col min="778" max="778" width="28.140625" style="407" customWidth="1"/>
    <col min="779" max="779" width="24.28515625" style="407" customWidth="1"/>
    <col min="780" max="780" width="13.140625" style="407" customWidth="1"/>
    <col min="781" max="781" width="19.85546875" style="407" customWidth="1"/>
    <col min="782" max="782" width="34.42578125" style="407" customWidth="1"/>
    <col min="783" max="783" width="18.140625" style="407" customWidth="1"/>
    <col min="784" max="784" width="24.7109375" style="407" customWidth="1"/>
    <col min="785" max="785" width="23.28515625" style="407" customWidth="1"/>
    <col min="786" max="786" width="18.42578125" style="407" customWidth="1"/>
    <col min="787" max="787" width="27.85546875" style="407" customWidth="1"/>
    <col min="788" max="788" width="49.42578125" style="407" customWidth="1"/>
    <col min="789" max="789" width="32.140625" style="407" customWidth="1"/>
    <col min="790" max="790" width="22.42578125" style="407" customWidth="1"/>
    <col min="791" max="791" width="33" style="407" customWidth="1"/>
    <col min="792" max="792" width="58.85546875" style="407" customWidth="1"/>
    <col min="793" max="793" width="37.85546875" style="407" customWidth="1"/>
    <col min="794" max="794" width="17.5703125" style="407" customWidth="1"/>
    <col min="795" max="795" width="16.5703125" style="407" customWidth="1"/>
    <col min="796" max="796" width="28.7109375" style="407" customWidth="1"/>
    <col min="797" max="797" width="23.85546875" style="407" customWidth="1"/>
    <col min="798" max="1024" width="9.140625" style="407"/>
    <col min="1025" max="1026" width="0" style="407" hidden="1" customWidth="1"/>
    <col min="1027" max="1027" width="15.7109375" style="407" customWidth="1"/>
    <col min="1028" max="1028" width="93.42578125" style="407" customWidth="1"/>
    <col min="1029" max="1029" width="32.28515625" style="407" customWidth="1"/>
    <col min="1030" max="1030" width="23.7109375" style="407" customWidth="1"/>
    <col min="1031" max="1031" width="26.42578125" style="407" customWidth="1"/>
    <col min="1032" max="1032" width="26.5703125" style="407" customWidth="1"/>
    <col min="1033" max="1033" width="27.85546875" style="407" customWidth="1"/>
    <col min="1034" max="1034" width="28.140625" style="407" customWidth="1"/>
    <col min="1035" max="1035" width="24.28515625" style="407" customWidth="1"/>
    <col min="1036" max="1036" width="13.140625" style="407" customWidth="1"/>
    <col min="1037" max="1037" width="19.85546875" style="407" customWidth="1"/>
    <col min="1038" max="1038" width="34.42578125" style="407" customWidth="1"/>
    <col min="1039" max="1039" width="18.140625" style="407" customWidth="1"/>
    <col min="1040" max="1040" width="24.7109375" style="407" customWidth="1"/>
    <col min="1041" max="1041" width="23.28515625" style="407" customWidth="1"/>
    <col min="1042" max="1042" width="18.42578125" style="407" customWidth="1"/>
    <col min="1043" max="1043" width="27.85546875" style="407" customWidth="1"/>
    <col min="1044" max="1044" width="49.42578125" style="407" customWidth="1"/>
    <col min="1045" max="1045" width="32.140625" style="407" customWidth="1"/>
    <col min="1046" max="1046" width="22.42578125" style="407" customWidth="1"/>
    <col min="1047" max="1047" width="33" style="407" customWidth="1"/>
    <col min="1048" max="1048" width="58.85546875" style="407" customWidth="1"/>
    <col min="1049" max="1049" width="37.85546875" style="407" customWidth="1"/>
    <col min="1050" max="1050" width="17.5703125" style="407" customWidth="1"/>
    <col min="1051" max="1051" width="16.5703125" style="407" customWidth="1"/>
    <col min="1052" max="1052" width="28.7109375" style="407" customWidth="1"/>
    <col min="1053" max="1053" width="23.85546875" style="407" customWidth="1"/>
    <col min="1054" max="1280" width="9.140625" style="407"/>
    <col min="1281" max="1282" width="0" style="407" hidden="1" customWidth="1"/>
    <col min="1283" max="1283" width="15.7109375" style="407" customWidth="1"/>
    <col min="1284" max="1284" width="93.42578125" style="407" customWidth="1"/>
    <col min="1285" max="1285" width="32.28515625" style="407" customWidth="1"/>
    <col min="1286" max="1286" width="23.7109375" style="407" customWidth="1"/>
    <col min="1287" max="1287" width="26.42578125" style="407" customWidth="1"/>
    <col min="1288" max="1288" width="26.5703125" style="407" customWidth="1"/>
    <col min="1289" max="1289" width="27.85546875" style="407" customWidth="1"/>
    <col min="1290" max="1290" width="28.140625" style="407" customWidth="1"/>
    <col min="1291" max="1291" width="24.28515625" style="407" customWidth="1"/>
    <col min="1292" max="1292" width="13.140625" style="407" customWidth="1"/>
    <col min="1293" max="1293" width="19.85546875" style="407" customWidth="1"/>
    <col min="1294" max="1294" width="34.42578125" style="407" customWidth="1"/>
    <col min="1295" max="1295" width="18.140625" style="407" customWidth="1"/>
    <col min="1296" max="1296" width="24.7109375" style="407" customWidth="1"/>
    <col min="1297" max="1297" width="23.28515625" style="407" customWidth="1"/>
    <col min="1298" max="1298" width="18.42578125" style="407" customWidth="1"/>
    <col min="1299" max="1299" width="27.85546875" style="407" customWidth="1"/>
    <col min="1300" max="1300" width="49.42578125" style="407" customWidth="1"/>
    <col min="1301" max="1301" width="32.140625" style="407" customWidth="1"/>
    <col min="1302" max="1302" width="22.42578125" style="407" customWidth="1"/>
    <col min="1303" max="1303" width="33" style="407" customWidth="1"/>
    <col min="1304" max="1304" width="58.85546875" style="407" customWidth="1"/>
    <col min="1305" max="1305" width="37.85546875" style="407" customWidth="1"/>
    <col min="1306" max="1306" width="17.5703125" style="407" customWidth="1"/>
    <col min="1307" max="1307" width="16.5703125" style="407" customWidth="1"/>
    <col min="1308" max="1308" width="28.7109375" style="407" customWidth="1"/>
    <col min="1309" max="1309" width="23.85546875" style="407" customWidth="1"/>
    <col min="1310" max="1536" width="9.140625" style="407"/>
    <col min="1537" max="1538" width="0" style="407" hidden="1" customWidth="1"/>
    <col min="1539" max="1539" width="15.7109375" style="407" customWidth="1"/>
    <col min="1540" max="1540" width="93.42578125" style="407" customWidth="1"/>
    <col min="1541" max="1541" width="32.28515625" style="407" customWidth="1"/>
    <col min="1542" max="1542" width="23.7109375" style="407" customWidth="1"/>
    <col min="1543" max="1543" width="26.42578125" style="407" customWidth="1"/>
    <col min="1544" max="1544" width="26.5703125" style="407" customWidth="1"/>
    <col min="1545" max="1545" width="27.85546875" style="407" customWidth="1"/>
    <col min="1546" max="1546" width="28.140625" style="407" customWidth="1"/>
    <col min="1547" max="1547" width="24.28515625" style="407" customWidth="1"/>
    <col min="1548" max="1548" width="13.140625" style="407" customWidth="1"/>
    <col min="1549" max="1549" width="19.85546875" style="407" customWidth="1"/>
    <col min="1550" max="1550" width="34.42578125" style="407" customWidth="1"/>
    <col min="1551" max="1551" width="18.140625" style="407" customWidth="1"/>
    <col min="1552" max="1552" width="24.7109375" style="407" customWidth="1"/>
    <col min="1553" max="1553" width="23.28515625" style="407" customWidth="1"/>
    <col min="1554" max="1554" width="18.42578125" style="407" customWidth="1"/>
    <col min="1555" max="1555" width="27.85546875" style="407" customWidth="1"/>
    <col min="1556" max="1556" width="49.42578125" style="407" customWidth="1"/>
    <col min="1557" max="1557" width="32.140625" style="407" customWidth="1"/>
    <col min="1558" max="1558" width="22.42578125" style="407" customWidth="1"/>
    <col min="1559" max="1559" width="33" style="407" customWidth="1"/>
    <col min="1560" max="1560" width="58.85546875" style="407" customWidth="1"/>
    <col min="1561" max="1561" width="37.85546875" style="407" customWidth="1"/>
    <col min="1562" max="1562" width="17.5703125" style="407" customWidth="1"/>
    <col min="1563" max="1563" width="16.5703125" style="407" customWidth="1"/>
    <col min="1564" max="1564" width="28.7109375" style="407" customWidth="1"/>
    <col min="1565" max="1565" width="23.85546875" style="407" customWidth="1"/>
    <col min="1566" max="1792" width="9.140625" style="407"/>
    <col min="1793" max="1794" width="0" style="407" hidden="1" customWidth="1"/>
    <col min="1795" max="1795" width="15.7109375" style="407" customWidth="1"/>
    <col min="1796" max="1796" width="93.42578125" style="407" customWidth="1"/>
    <col min="1797" max="1797" width="32.28515625" style="407" customWidth="1"/>
    <col min="1798" max="1798" width="23.7109375" style="407" customWidth="1"/>
    <col min="1799" max="1799" width="26.42578125" style="407" customWidth="1"/>
    <col min="1800" max="1800" width="26.5703125" style="407" customWidth="1"/>
    <col min="1801" max="1801" width="27.85546875" style="407" customWidth="1"/>
    <col min="1802" max="1802" width="28.140625" style="407" customWidth="1"/>
    <col min="1803" max="1803" width="24.28515625" style="407" customWidth="1"/>
    <col min="1804" max="1804" width="13.140625" style="407" customWidth="1"/>
    <col min="1805" max="1805" width="19.85546875" style="407" customWidth="1"/>
    <col min="1806" max="1806" width="34.42578125" style="407" customWidth="1"/>
    <col min="1807" max="1807" width="18.140625" style="407" customWidth="1"/>
    <col min="1808" max="1808" width="24.7109375" style="407" customWidth="1"/>
    <col min="1809" max="1809" width="23.28515625" style="407" customWidth="1"/>
    <col min="1810" max="1810" width="18.42578125" style="407" customWidth="1"/>
    <col min="1811" max="1811" width="27.85546875" style="407" customWidth="1"/>
    <col min="1812" max="1812" width="49.42578125" style="407" customWidth="1"/>
    <col min="1813" max="1813" width="32.140625" style="407" customWidth="1"/>
    <col min="1814" max="1814" width="22.42578125" style="407" customWidth="1"/>
    <col min="1815" max="1815" width="33" style="407" customWidth="1"/>
    <col min="1816" max="1816" width="58.85546875" style="407" customWidth="1"/>
    <col min="1817" max="1817" width="37.85546875" style="407" customWidth="1"/>
    <col min="1818" max="1818" width="17.5703125" style="407" customWidth="1"/>
    <col min="1819" max="1819" width="16.5703125" style="407" customWidth="1"/>
    <col min="1820" max="1820" width="28.7109375" style="407" customWidth="1"/>
    <col min="1821" max="1821" width="23.85546875" style="407" customWidth="1"/>
    <col min="1822" max="2048" width="9.140625" style="407"/>
    <col min="2049" max="2050" width="0" style="407" hidden="1" customWidth="1"/>
    <col min="2051" max="2051" width="15.7109375" style="407" customWidth="1"/>
    <col min="2052" max="2052" width="93.42578125" style="407" customWidth="1"/>
    <col min="2053" max="2053" width="32.28515625" style="407" customWidth="1"/>
    <col min="2054" max="2054" width="23.7109375" style="407" customWidth="1"/>
    <col min="2055" max="2055" width="26.42578125" style="407" customWidth="1"/>
    <col min="2056" max="2056" width="26.5703125" style="407" customWidth="1"/>
    <col min="2057" max="2057" width="27.85546875" style="407" customWidth="1"/>
    <col min="2058" max="2058" width="28.140625" style="407" customWidth="1"/>
    <col min="2059" max="2059" width="24.28515625" style="407" customWidth="1"/>
    <col min="2060" max="2060" width="13.140625" style="407" customWidth="1"/>
    <col min="2061" max="2061" width="19.85546875" style="407" customWidth="1"/>
    <col min="2062" max="2062" width="34.42578125" style="407" customWidth="1"/>
    <col min="2063" max="2063" width="18.140625" style="407" customWidth="1"/>
    <col min="2064" max="2064" width="24.7109375" style="407" customWidth="1"/>
    <col min="2065" max="2065" width="23.28515625" style="407" customWidth="1"/>
    <col min="2066" max="2066" width="18.42578125" style="407" customWidth="1"/>
    <col min="2067" max="2067" width="27.85546875" style="407" customWidth="1"/>
    <col min="2068" max="2068" width="49.42578125" style="407" customWidth="1"/>
    <col min="2069" max="2069" width="32.140625" style="407" customWidth="1"/>
    <col min="2070" max="2070" width="22.42578125" style="407" customWidth="1"/>
    <col min="2071" max="2071" width="33" style="407" customWidth="1"/>
    <col min="2072" max="2072" width="58.85546875" style="407" customWidth="1"/>
    <col min="2073" max="2073" width="37.85546875" style="407" customWidth="1"/>
    <col min="2074" max="2074" width="17.5703125" style="407" customWidth="1"/>
    <col min="2075" max="2075" width="16.5703125" style="407" customWidth="1"/>
    <col min="2076" max="2076" width="28.7109375" style="407" customWidth="1"/>
    <col min="2077" max="2077" width="23.85546875" style="407" customWidth="1"/>
    <col min="2078" max="2304" width="9.140625" style="407"/>
    <col min="2305" max="2306" width="0" style="407" hidden="1" customWidth="1"/>
    <col min="2307" max="2307" width="15.7109375" style="407" customWidth="1"/>
    <col min="2308" max="2308" width="93.42578125" style="407" customWidth="1"/>
    <col min="2309" max="2309" width="32.28515625" style="407" customWidth="1"/>
    <col min="2310" max="2310" width="23.7109375" style="407" customWidth="1"/>
    <col min="2311" max="2311" width="26.42578125" style="407" customWidth="1"/>
    <col min="2312" max="2312" width="26.5703125" style="407" customWidth="1"/>
    <col min="2313" max="2313" width="27.85546875" style="407" customWidth="1"/>
    <col min="2314" max="2314" width="28.140625" style="407" customWidth="1"/>
    <col min="2315" max="2315" width="24.28515625" style="407" customWidth="1"/>
    <col min="2316" max="2316" width="13.140625" style="407" customWidth="1"/>
    <col min="2317" max="2317" width="19.85546875" style="407" customWidth="1"/>
    <col min="2318" max="2318" width="34.42578125" style="407" customWidth="1"/>
    <col min="2319" max="2319" width="18.140625" style="407" customWidth="1"/>
    <col min="2320" max="2320" width="24.7109375" style="407" customWidth="1"/>
    <col min="2321" max="2321" width="23.28515625" style="407" customWidth="1"/>
    <col min="2322" max="2322" width="18.42578125" style="407" customWidth="1"/>
    <col min="2323" max="2323" width="27.85546875" style="407" customWidth="1"/>
    <col min="2324" max="2324" width="49.42578125" style="407" customWidth="1"/>
    <col min="2325" max="2325" width="32.140625" style="407" customWidth="1"/>
    <col min="2326" max="2326" width="22.42578125" style="407" customWidth="1"/>
    <col min="2327" max="2327" width="33" style="407" customWidth="1"/>
    <col min="2328" max="2328" width="58.85546875" style="407" customWidth="1"/>
    <col min="2329" max="2329" width="37.85546875" style="407" customWidth="1"/>
    <col min="2330" max="2330" width="17.5703125" style="407" customWidth="1"/>
    <col min="2331" max="2331" width="16.5703125" style="407" customWidth="1"/>
    <col min="2332" max="2332" width="28.7109375" style="407" customWidth="1"/>
    <col min="2333" max="2333" width="23.85546875" style="407" customWidth="1"/>
    <col min="2334" max="2560" width="9.140625" style="407"/>
    <col min="2561" max="2562" width="0" style="407" hidden="1" customWidth="1"/>
    <col min="2563" max="2563" width="15.7109375" style="407" customWidth="1"/>
    <col min="2564" max="2564" width="93.42578125" style="407" customWidth="1"/>
    <col min="2565" max="2565" width="32.28515625" style="407" customWidth="1"/>
    <col min="2566" max="2566" width="23.7109375" style="407" customWidth="1"/>
    <col min="2567" max="2567" width="26.42578125" style="407" customWidth="1"/>
    <col min="2568" max="2568" width="26.5703125" style="407" customWidth="1"/>
    <col min="2569" max="2569" width="27.85546875" style="407" customWidth="1"/>
    <col min="2570" max="2570" width="28.140625" style="407" customWidth="1"/>
    <col min="2571" max="2571" width="24.28515625" style="407" customWidth="1"/>
    <col min="2572" max="2572" width="13.140625" style="407" customWidth="1"/>
    <col min="2573" max="2573" width="19.85546875" style="407" customWidth="1"/>
    <col min="2574" max="2574" width="34.42578125" style="407" customWidth="1"/>
    <col min="2575" max="2575" width="18.140625" style="407" customWidth="1"/>
    <col min="2576" max="2576" width="24.7109375" style="407" customWidth="1"/>
    <col min="2577" max="2577" width="23.28515625" style="407" customWidth="1"/>
    <col min="2578" max="2578" width="18.42578125" style="407" customWidth="1"/>
    <col min="2579" max="2579" width="27.85546875" style="407" customWidth="1"/>
    <col min="2580" max="2580" width="49.42578125" style="407" customWidth="1"/>
    <col min="2581" max="2581" width="32.140625" style="407" customWidth="1"/>
    <col min="2582" max="2582" width="22.42578125" style="407" customWidth="1"/>
    <col min="2583" max="2583" width="33" style="407" customWidth="1"/>
    <col min="2584" max="2584" width="58.85546875" style="407" customWidth="1"/>
    <col min="2585" max="2585" width="37.85546875" style="407" customWidth="1"/>
    <col min="2586" max="2586" width="17.5703125" style="407" customWidth="1"/>
    <col min="2587" max="2587" width="16.5703125" style="407" customWidth="1"/>
    <col min="2588" max="2588" width="28.7109375" style="407" customWidth="1"/>
    <col min="2589" max="2589" width="23.85546875" style="407" customWidth="1"/>
    <col min="2590" max="2816" width="9.140625" style="407"/>
    <col min="2817" max="2818" width="0" style="407" hidden="1" customWidth="1"/>
    <col min="2819" max="2819" width="15.7109375" style="407" customWidth="1"/>
    <col min="2820" max="2820" width="93.42578125" style="407" customWidth="1"/>
    <col min="2821" max="2821" width="32.28515625" style="407" customWidth="1"/>
    <col min="2822" max="2822" width="23.7109375" style="407" customWidth="1"/>
    <col min="2823" max="2823" width="26.42578125" style="407" customWidth="1"/>
    <col min="2824" max="2824" width="26.5703125" style="407" customWidth="1"/>
    <col min="2825" max="2825" width="27.85546875" style="407" customWidth="1"/>
    <col min="2826" max="2826" width="28.140625" style="407" customWidth="1"/>
    <col min="2827" max="2827" width="24.28515625" style="407" customWidth="1"/>
    <col min="2828" max="2828" width="13.140625" style="407" customWidth="1"/>
    <col min="2829" max="2829" width="19.85546875" style="407" customWidth="1"/>
    <col min="2830" max="2830" width="34.42578125" style="407" customWidth="1"/>
    <col min="2831" max="2831" width="18.140625" style="407" customWidth="1"/>
    <col min="2832" max="2832" width="24.7109375" style="407" customWidth="1"/>
    <col min="2833" max="2833" width="23.28515625" style="407" customWidth="1"/>
    <col min="2834" max="2834" width="18.42578125" style="407" customWidth="1"/>
    <col min="2835" max="2835" width="27.85546875" style="407" customWidth="1"/>
    <col min="2836" max="2836" width="49.42578125" style="407" customWidth="1"/>
    <col min="2837" max="2837" width="32.140625" style="407" customWidth="1"/>
    <col min="2838" max="2838" width="22.42578125" style="407" customWidth="1"/>
    <col min="2839" max="2839" width="33" style="407" customWidth="1"/>
    <col min="2840" max="2840" width="58.85546875" style="407" customWidth="1"/>
    <col min="2841" max="2841" width="37.85546875" style="407" customWidth="1"/>
    <col min="2842" max="2842" width="17.5703125" style="407" customWidth="1"/>
    <col min="2843" max="2843" width="16.5703125" style="407" customWidth="1"/>
    <col min="2844" max="2844" width="28.7109375" style="407" customWidth="1"/>
    <col min="2845" max="2845" width="23.85546875" style="407" customWidth="1"/>
    <col min="2846" max="3072" width="9.140625" style="407"/>
    <col min="3073" max="3074" width="0" style="407" hidden="1" customWidth="1"/>
    <col min="3075" max="3075" width="15.7109375" style="407" customWidth="1"/>
    <col min="3076" max="3076" width="93.42578125" style="407" customWidth="1"/>
    <col min="3077" max="3077" width="32.28515625" style="407" customWidth="1"/>
    <col min="3078" max="3078" width="23.7109375" style="407" customWidth="1"/>
    <col min="3079" max="3079" width="26.42578125" style="407" customWidth="1"/>
    <col min="3080" max="3080" width="26.5703125" style="407" customWidth="1"/>
    <col min="3081" max="3081" width="27.85546875" style="407" customWidth="1"/>
    <col min="3082" max="3082" width="28.140625" style="407" customWidth="1"/>
    <col min="3083" max="3083" width="24.28515625" style="407" customWidth="1"/>
    <col min="3084" max="3084" width="13.140625" style="407" customWidth="1"/>
    <col min="3085" max="3085" width="19.85546875" style="407" customWidth="1"/>
    <col min="3086" max="3086" width="34.42578125" style="407" customWidth="1"/>
    <col min="3087" max="3087" width="18.140625" style="407" customWidth="1"/>
    <col min="3088" max="3088" width="24.7109375" style="407" customWidth="1"/>
    <col min="3089" max="3089" width="23.28515625" style="407" customWidth="1"/>
    <col min="3090" max="3090" width="18.42578125" style="407" customWidth="1"/>
    <col min="3091" max="3091" width="27.85546875" style="407" customWidth="1"/>
    <col min="3092" max="3092" width="49.42578125" style="407" customWidth="1"/>
    <col min="3093" max="3093" width="32.140625" style="407" customWidth="1"/>
    <col min="3094" max="3094" width="22.42578125" style="407" customWidth="1"/>
    <col min="3095" max="3095" width="33" style="407" customWidth="1"/>
    <col min="3096" max="3096" width="58.85546875" style="407" customWidth="1"/>
    <col min="3097" max="3097" width="37.85546875" style="407" customWidth="1"/>
    <col min="3098" max="3098" width="17.5703125" style="407" customWidth="1"/>
    <col min="3099" max="3099" width="16.5703125" style="407" customWidth="1"/>
    <col min="3100" max="3100" width="28.7109375" style="407" customWidth="1"/>
    <col min="3101" max="3101" width="23.85546875" style="407" customWidth="1"/>
    <col min="3102" max="3328" width="9.140625" style="407"/>
    <col min="3329" max="3330" width="0" style="407" hidden="1" customWidth="1"/>
    <col min="3331" max="3331" width="15.7109375" style="407" customWidth="1"/>
    <col min="3332" max="3332" width="93.42578125" style="407" customWidth="1"/>
    <col min="3333" max="3333" width="32.28515625" style="407" customWidth="1"/>
    <col min="3334" max="3334" width="23.7109375" style="407" customWidth="1"/>
    <col min="3335" max="3335" width="26.42578125" style="407" customWidth="1"/>
    <col min="3336" max="3336" width="26.5703125" style="407" customWidth="1"/>
    <col min="3337" max="3337" width="27.85546875" style="407" customWidth="1"/>
    <col min="3338" max="3338" width="28.140625" style="407" customWidth="1"/>
    <col min="3339" max="3339" width="24.28515625" style="407" customWidth="1"/>
    <col min="3340" max="3340" width="13.140625" style="407" customWidth="1"/>
    <col min="3341" max="3341" width="19.85546875" style="407" customWidth="1"/>
    <col min="3342" max="3342" width="34.42578125" style="407" customWidth="1"/>
    <col min="3343" max="3343" width="18.140625" style="407" customWidth="1"/>
    <col min="3344" max="3344" width="24.7109375" style="407" customWidth="1"/>
    <col min="3345" max="3345" width="23.28515625" style="407" customWidth="1"/>
    <col min="3346" max="3346" width="18.42578125" style="407" customWidth="1"/>
    <col min="3347" max="3347" width="27.85546875" style="407" customWidth="1"/>
    <col min="3348" max="3348" width="49.42578125" style="407" customWidth="1"/>
    <col min="3349" max="3349" width="32.140625" style="407" customWidth="1"/>
    <col min="3350" max="3350" width="22.42578125" style="407" customWidth="1"/>
    <col min="3351" max="3351" width="33" style="407" customWidth="1"/>
    <col min="3352" max="3352" width="58.85546875" style="407" customWidth="1"/>
    <col min="3353" max="3353" width="37.85546875" style="407" customWidth="1"/>
    <col min="3354" max="3354" width="17.5703125" style="407" customWidth="1"/>
    <col min="3355" max="3355" width="16.5703125" style="407" customWidth="1"/>
    <col min="3356" max="3356" width="28.7109375" style="407" customWidth="1"/>
    <col min="3357" max="3357" width="23.85546875" style="407" customWidth="1"/>
    <col min="3358" max="3584" width="9.140625" style="407"/>
    <col min="3585" max="3586" width="0" style="407" hidden="1" customWidth="1"/>
    <col min="3587" max="3587" width="15.7109375" style="407" customWidth="1"/>
    <col min="3588" max="3588" width="93.42578125" style="407" customWidth="1"/>
    <col min="3589" max="3589" width="32.28515625" style="407" customWidth="1"/>
    <col min="3590" max="3590" width="23.7109375" style="407" customWidth="1"/>
    <col min="3591" max="3591" width="26.42578125" style="407" customWidth="1"/>
    <col min="3592" max="3592" width="26.5703125" style="407" customWidth="1"/>
    <col min="3593" max="3593" width="27.85546875" style="407" customWidth="1"/>
    <col min="3594" max="3594" width="28.140625" style="407" customWidth="1"/>
    <col min="3595" max="3595" width="24.28515625" style="407" customWidth="1"/>
    <col min="3596" max="3596" width="13.140625" style="407" customWidth="1"/>
    <col min="3597" max="3597" width="19.85546875" style="407" customWidth="1"/>
    <col min="3598" max="3598" width="34.42578125" style="407" customWidth="1"/>
    <col min="3599" max="3599" width="18.140625" style="407" customWidth="1"/>
    <col min="3600" max="3600" width="24.7109375" style="407" customWidth="1"/>
    <col min="3601" max="3601" width="23.28515625" style="407" customWidth="1"/>
    <col min="3602" max="3602" width="18.42578125" style="407" customWidth="1"/>
    <col min="3603" max="3603" width="27.85546875" style="407" customWidth="1"/>
    <col min="3604" max="3604" width="49.42578125" style="407" customWidth="1"/>
    <col min="3605" max="3605" width="32.140625" style="407" customWidth="1"/>
    <col min="3606" max="3606" width="22.42578125" style="407" customWidth="1"/>
    <col min="3607" max="3607" width="33" style="407" customWidth="1"/>
    <col min="3608" max="3608" width="58.85546875" style="407" customWidth="1"/>
    <col min="3609" max="3609" width="37.85546875" style="407" customWidth="1"/>
    <col min="3610" max="3610" width="17.5703125" style="407" customWidth="1"/>
    <col min="3611" max="3611" width="16.5703125" style="407" customWidth="1"/>
    <col min="3612" max="3612" width="28.7109375" style="407" customWidth="1"/>
    <col min="3613" max="3613" width="23.85546875" style="407" customWidth="1"/>
    <col min="3614" max="3840" width="9.140625" style="407"/>
    <col min="3841" max="3842" width="0" style="407" hidden="1" customWidth="1"/>
    <col min="3843" max="3843" width="15.7109375" style="407" customWidth="1"/>
    <col min="3844" max="3844" width="93.42578125" style="407" customWidth="1"/>
    <col min="3845" max="3845" width="32.28515625" style="407" customWidth="1"/>
    <col min="3846" max="3846" width="23.7109375" style="407" customWidth="1"/>
    <col min="3847" max="3847" width="26.42578125" style="407" customWidth="1"/>
    <col min="3848" max="3848" width="26.5703125" style="407" customWidth="1"/>
    <col min="3849" max="3849" width="27.85546875" style="407" customWidth="1"/>
    <col min="3850" max="3850" width="28.140625" style="407" customWidth="1"/>
    <col min="3851" max="3851" width="24.28515625" style="407" customWidth="1"/>
    <col min="3852" max="3852" width="13.140625" style="407" customWidth="1"/>
    <col min="3853" max="3853" width="19.85546875" style="407" customWidth="1"/>
    <col min="3854" max="3854" width="34.42578125" style="407" customWidth="1"/>
    <col min="3855" max="3855" width="18.140625" style="407" customWidth="1"/>
    <col min="3856" max="3856" width="24.7109375" style="407" customWidth="1"/>
    <col min="3857" max="3857" width="23.28515625" style="407" customWidth="1"/>
    <col min="3858" max="3858" width="18.42578125" style="407" customWidth="1"/>
    <col min="3859" max="3859" width="27.85546875" style="407" customWidth="1"/>
    <col min="3860" max="3860" width="49.42578125" style="407" customWidth="1"/>
    <col min="3861" max="3861" width="32.140625" style="407" customWidth="1"/>
    <col min="3862" max="3862" width="22.42578125" style="407" customWidth="1"/>
    <col min="3863" max="3863" width="33" style="407" customWidth="1"/>
    <col min="3864" max="3864" width="58.85546875" style="407" customWidth="1"/>
    <col min="3865" max="3865" width="37.85546875" style="407" customWidth="1"/>
    <col min="3866" max="3866" width="17.5703125" style="407" customWidth="1"/>
    <col min="3867" max="3867" width="16.5703125" style="407" customWidth="1"/>
    <col min="3868" max="3868" width="28.7109375" style="407" customWidth="1"/>
    <col min="3869" max="3869" width="23.85546875" style="407" customWidth="1"/>
    <col min="3870" max="4096" width="9.140625" style="407"/>
    <col min="4097" max="4098" width="0" style="407" hidden="1" customWidth="1"/>
    <col min="4099" max="4099" width="15.7109375" style="407" customWidth="1"/>
    <col min="4100" max="4100" width="93.42578125" style="407" customWidth="1"/>
    <col min="4101" max="4101" width="32.28515625" style="407" customWidth="1"/>
    <col min="4102" max="4102" width="23.7109375" style="407" customWidth="1"/>
    <col min="4103" max="4103" width="26.42578125" style="407" customWidth="1"/>
    <col min="4104" max="4104" width="26.5703125" style="407" customWidth="1"/>
    <col min="4105" max="4105" width="27.85546875" style="407" customWidth="1"/>
    <col min="4106" max="4106" width="28.140625" style="407" customWidth="1"/>
    <col min="4107" max="4107" width="24.28515625" style="407" customWidth="1"/>
    <col min="4108" max="4108" width="13.140625" style="407" customWidth="1"/>
    <col min="4109" max="4109" width="19.85546875" style="407" customWidth="1"/>
    <col min="4110" max="4110" width="34.42578125" style="407" customWidth="1"/>
    <col min="4111" max="4111" width="18.140625" style="407" customWidth="1"/>
    <col min="4112" max="4112" width="24.7109375" style="407" customWidth="1"/>
    <col min="4113" max="4113" width="23.28515625" style="407" customWidth="1"/>
    <col min="4114" max="4114" width="18.42578125" style="407" customWidth="1"/>
    <col min="4115" max="4115" width="27.85546875" style="407" customWidth="1"/>
    <col min="4116" max="4116" width="49.42578125" style="407" customWidth="1"/>
    <col min="4117" max="4117" width="32.140625" style="407" customWidth="1"/>
    <col min="4118" max="4118" width="22.42578125" style="407" customWidth="1"/>
    <col min="4119" max="4119" width="33" style="407" customWidth="1"/>
    <col min="4120" max="4120" width="58.85546875" style="407" customWidth="1"/>
    <col min="4121" max="4121" width="37.85546875" style="407" customWidth="1"/>
    <col min="4122" max="4122" width="17.5703125" style="407" customWidth="1"/>
    <col min="4123" max="4123" width="16.5703125" style="407" customWidth="1"/>
    <col min="4124" max="4124" width="28.7109375" style="407" customWidth="1"/>
    <col min="4125" max="4125" width="23.85546875" style="407" customWidth="1"/>
    <col min="4126" max="4352" width="9.140625" style="407"/>
    <col min="4353" max="4354" width="0" style="407" hidden="1" customWidth="1"/>
    <col min="4355" max="4355" width="15.7109375" style="407" customWidth="1"/>
    <col min="4356" max="4356" width="93.42578125" style="407" customWidth="1"/>
    <col min="4357" max="4357" width="32.28515625" style="407" customWidth="1"/>
    <col min="4358" max="4358" width="23.7109375" style="407" customWidth="1"/>
    <col min="4359" max="4359" width="26.42578125" style="407" customWidth="1"/>
    <col min="4360" max="4360" width="26.5703125" style="407" customWidth="1"/>
    <col min="4361" max="4361" width="27.85546875" style="407" customWidth="1"/>
    <col min="4362" max="4362" width="28.140625" style="407" customWidth="1"/>
    <col min="4363" max="4363" width="24.28515625" style="407" customWidth="1"/>
    <col min="4364" max="4364" width="13.140625" style="407" customWidth="1"/>
    <col min="4365" max="4365" width="19.85546875" style="407" customWidth="1"/>
    <col min="4366" max="4366" width="34.42578125" style="407" customWidth="1"/>
    <col min="4367" max="4367" width="18.140625" style="407" customWidth="1"/>
    <col min="4368" max="4368" width="24.7109375" style="407" customWidth="1"/>
    <col min="4369" max="4369" width="23.28515625" style="407" customWidth="1"/>
    <col min="4370" max="4370" width="18.42578125" style="407" customWidth="1"/>
    <col min="4371" max="4371" width="27.85546875" style="407" customWidth="1"/>
    <col min="4372" max="4372" width="49.42578125" style="407" customWidth="1"/>
    <col min="4373" max="4373" width="32.140625" style="407" customWidth="1"/>
    <col min="4374" max="4374" width="22.42578125" style="407" customWidth="1"/>
    <col min="4375" max="4375" width="33" style="407" customWidth="1"/>
    <col min="4376" max="4376" width="58.85546875" style="407" customWidth="1"/>
    <col min="4377" max="4377" width="37.85546875" style="407" customWidth="1"/>
    <col min="4378" max="4378" width="17.5703125" style="407" customWidth="1"/>
    <col min="4379" max="4379" width="16.5703125" style="407" customWidth="1"/>
    <col min="4380" max="4380" width="28.7109375" style="407" customWidth="1"/>
    <col min="4381" max="4381" width="23.85546875" style="407" customWidth="1"/>
    <col min="4382" max="4608" width="9.140625" style="407"/>
    <col min="4609" max="4610" width="0" style="407" hidden="1" customWidth="1"/>
    <col min="4611" max="4611" width="15.7109375" style="407" customWidth="1"/>
    <col min="4612" max="4612" width="93.42578125" style="407" customWidth="1"/>
    <col min="4613" max="4613" width="32.28515625" style="407" customWidth="1"/>
    <col min="4614" max="4614" width="23.7109375" style="407" customWidth="1"/>
    <col min="4615" max="4615" width="26.42578125" style="407" customWidth="1"/>
    <col min="4616" max="4616" width="26.5703125" style="407" customWidth="1"/>
    <col min="4617" max="4617" width="27.85546875" style="407" customWidth="1"/>
    <col min="4618" max="4618" width="28.140625" style="407" customWidth="1"/>
    <col min="4619" max="4619" width="24.28515625" style="407" customWidth="1"/>
    <col min="4620" max="4620" width="13.140625" style="407" customWidth="1"/>
    <col min="4621" max="4621" width="19.85546875" style="407" customWidth="1"/>
    <col min="4622" max="4622" width="34.42578125" style="407" customWidth="1"/>
    <col min="4623" max="4623" width="18.140625" style="407" customWidth="1"/>
    <col min="4624" max="4624" width="24.7109375" style="407" customWidth="1"/>
    <col min="4625" max="4625" width="23.28515625" style="407" customWidth="1"/>
    <col min="4626" max="4626" width="18.42578125" style="407" customWidth="1"/>
    <col min="4627" max="4627" width="27.85546875" style="407" customWidth="1"/>
    <col min="4628" max="4628" width="49.42578125" style="407" customWidth="1"/>
    <col min="4629" max="4629" width="32.140625" style="407" customWidth="1"/>
    <col min="4630" max="4630" width="22.42578125" style="407" customWidth="1"/>
    <col min="4631" max="4631" width="33" style="407" customWidth="1"/>
    <col min="4632" max="4632" width="58.85546875" style="407" customWidth="1"/>
    <col min="4633" max="4633" width="37.85546875" style="407" customWidth="1"/>
    <col min="4634" max="4634" width="17.5703125" style="407" customWidth="1"/>
    <col min="4635" max="4635" width="16.5703125" style="407" customWidth="1"/>
    <col min="4636" max="4636" width="28.7109375" style="407" customWidth="1"/>
    <col min="4637" max="4637" width="23.85546875" style="407" customWidth="1"/>
    <col min="4638" max="4864" width="9.140625" style="407"/>
    <col min="4865" max="4866" width="0" style="407" hidden="1" customWidth="1"/>
    <col min="4867" max="4867" width="15.7109375" style="407" customWidth="1"/>
    <col min="4868" max="4868" width="93.42578125" style="407" customWidth="1"/>
    <col min="4869" max="4869" width="32.28515625" style="407" customWidth="1"/>
    <col min="4870" max="4870" width="23.7109375" style="407" customWidth="1"/>
    <col min="4871" max="4871" width="26.42578125" style="407" customWidth="1"/>
    <col min="4872" max="4872" width="26.5703125" style="407" customWidth="1"/>
    <col min="4873" max="4873" width="27.85546875" style="407" customWidth="1"/>
    <col min="4874" max="4874" width="28.140625" style="407" customWidth="1"/>
    <col min="4875" max="4875" width="24.28515625" style="407" customWidth="1"/>
    <col min="4876" max="4876" width="13.140625" style="407" customWidth="1"/>
    <col min="4877" max="4877" width="19.85546875" style="407" customWidth="1"/>
    <col min="4878" max="4878" width="34.42578125" style="407" customWidth="1"/>
    <col min="4879" max="4879" width="18.140625" style="407" customWidth="1"/>
    <col min="4880" max="4880" width="24.7109375" style="407" customWidth="1"/>
    <col min="4881" max="4881" width="23.28515625" style="407" customWidth="1"/>
    <col min="4882" max="4882" width="18.42578125" style="407" customWidth="1"/>
    <col min="4883" max="4883" width="27.85546875" style="407" customWidth="1"/>
    <col min="4884" max="4884" width="49.42578125" style="407" customWidth="1"/>
    <col min="4885" max="4885" width="32.140625" style="407" customWidth="1"/>
    <col min="4886" max="4886" width="22.42578125" style="407" customWidth="1"/>
    <col min="4887" max="4887" width="33" style="407" customWidth="1"/>
    <col min="4888" max="4888" width="58.85546875" style="407" customWidth="1"/>
    <col min="4889" max="4889" width="37.85546875" style="407" customWidth="1"/>
    <col min="4890" max="4890" width="17.5703125" style="407" customWidth="1"/>
    <col min="4891" max="4891" width="16.5703125" style="407" customWidth="1"/>
    <col min="4892" max="4892" width="28.7109375" style="407" customWidth="1"/>
    <col min="4893" max="4893" width="23.85546875" style="407" customWidth="1"/>
    <col min="4894" max="5120" width="9.140625" style="407"/>
    <col min="5121" max="5122" width="0" style="407" hidden="1" customWidth="1"/>
    <col min="5123" max="5123" width="15.7109375" style="407" customWidth="1"/>
    <col min="5124" max="5124" width="93.42578125" style="407" customWidth="1"/>
    <col min="5125" max="5125" width="32.28515625" style="407" customWidth="1"/>
    <col min="5126" max="5126" width="23.7109375" style="407" customWidth="1"/>
    <col min="5127" max="5127" width="26.42578125" style="407" customWidth="1"/>
    <col min="5128" max="5128" width="26.5703125" style="407" customWidth="1"/>
    <col min="5129" max="5129" width="27.85546875" style="407" customWidth="1"/>
    <col min="5130" max="5130" width="28.140625" style="407" customWidth="1"/>
    <col min="5131" max="5131" width="24.28515625" style="407" customWidth="1"/>
    <col min="5132" max="5132" width="13.140625" style="407" customWidth="1"/>
    <col min="5133" max="5133" width="19.85546875" style="407" customWidth="1"/>
    <col min="5134" max="5134" width="34.42578125" style="407" customWidth="1"/>
    <col min="5135" max="5135" width="18.140625" style="407" customWidth="1"/>
    <col min="5136" max="5136" width="24.7109375" style="407" customWidth="1"/>
    <col min="5137" max="5137" width="23.28515625" style="407" customWidth="1"/>
    <col min="5138" max="5138" width="18.42578125" style="407" customWidth="1"/>
    <col min="5139" max="5139" width="27.85546875" style="407" customWidth="1"/>
    <col min="5140" max="5140" width="49.42578125" style="407" customWidth="1"/>
    <col min="5141" max="5141" width="32.140625" style="407" customWidth="1"/>
    <col min="5142" max="5142" width="22.42578125" style="407" customWidth="1"/>
    <col min="5143" max="5143" width="33" style="407" customWidth="1"/>
    <col min="5144" max="5144" width="58.85546875" style="407" customWidth="1"/>
    <col min="5145" max="5145" width="37.85546875" style="407" customWidth="1"/>
    <col min="5146" max="5146" width="17.5703125" style="407" customWidth="1"/>
    <col min="5147" max="5147" width="16.5703125" style="407" customWidth="1"/>
    <col min="5148" max="5148" width="28.7109375" style="407" customWidth="1"/>
    <col min="5149" max="5149" width="23.85546875" style="407" customWidth="1"/>
    <col min="5150" max="5376" width="9.140625" style="407"/>
    <col min="5377" max="5378" width="0" style="407" hidden="1" customWidth="1"/>
    <col min="5379" max="5379" width="15.7109375" style="407" customWidth="1"/>
    <col min="5380" max="5380" width="93.42578125" style="407" customWidth="1"/>
    <col min="5381" max="5381" width="32.28515625" style="407" customWidth="1"/>
    <col min="5382" max="5382" width="23.7109375" style="407" customWidth="1"/>
    <col min="5383" max="5383" width="26.42578125" style="407" customWidth="1"/>
    <col min="5384" max="5384" width="26.5703125" style="407" customWidth="1"/>
    <col min="5385" max="5385" width="27.85546875" style="407" customWidth="1"/>
    <col min="5386" max="5386" width="28.140625" style="407" customWidth="1"/>
    <col min="5387" max="5387" width="24.28515625" style="407" customWidth="1"/>
    <col min="5388" max="5388" width="13.140625" style="407" customWidth="1"/>
    <col min="5389" max="5389" width="19.85546875" style="407" customWidth="1"/>
    <col min="5390" max="5390" width="34.42578125" style="407" customWidth="1"/>
    <col min="5391" max="5391" width="18.140625" style="407" customWidth="1"/>
    <col min="5392" max="5392" width="24.7109375" style="407" customWidth="1"/>
    <col min="5393" max="5393" width="23.28515625" style="407" customWidth="1"/>
    <col min="5394" max="5394" width="18.42578125" style="407" customWidth="1"/>
    <col min="5395" max="5395" width="27.85546875" style="407" customWidth="1"/>
    <col min="5396" max="5396" width="49.42578125" style="407" customWidth="1"/>
    <col min="5397" max="5397" width="32.140625" style="407" customWidth="1"/>
    <col min="5398" max="5398" width="22.42578125" style="407" customWidth="1"/>
    <col min="5399" max="5399" width="33" style="407" customWidth="1"/>
    <col min="5400" max="5400" width="58.85546875" style="407" customWidth="1"/>
    <col min="5401" max="5401" width="37.85546875" style="407" customWidth="1"/>
    <col min="5402" max="5402" width="17.5703125" style="407" customWidth="1"/>
    <col min="5403" max="5403" width="16.5703125" style="407" customWidth="1"/>
    <col min="5404" max="5404" width="28.7109375" style="407" customWidth="1"/>
    <col min="5405" max="5405" width="23.85546875" style="407" customWidth="1"/>
    <col min="5406" max="5632" width="9.140625" style="407"/>
    <col min="5633" max="5634" width="0" style="407" hidden="1" customWidth="1"/>
    <col min="5635" max="5635" width="15.7109375" style="407" customWidth="1"/>
    <col min="5636" max="5636" width="93.42578125" style="407" customWidth="1"/>
    <col min="5637" max="5637" width="32.28515625" style="407" customWidth="1"/>
    <col min="5638" max="5638" width="23.7109375" style="407" customWidth="1"/>
    <col min="5639" max="5639" width="26.42578125" style="407" customWidth="1"/>
    <col min="5640" max="5640" width="26.5703125" style="407" customWidth="1"/>
    <col min="5641" max="5641" width="27.85546875" style="407" customWidth="1"/>
    <col min="5642" max="5642" width="28.140625" style="407" customWidth="1"/>
    <col min="5643" max="5643" width="24.28515625" style="407" customWidth="1"/>
    <col min="5644" max="5644" width="13.140625" style="407" customWidth="1"/>
    <col min="5645" max="5645" width="19.85546875" style="407" customWidth="1"/>
    <col min="5646" max="5646" width="34.42578125" style="407" customWidth="1"/>
    <col min="5647" max="5647" width="18.140625" style="407" customWidth="1"/>
    <col min="5648" max="5648" width="24.7109375" style="407" customWidth="1"/>
    <col min="5649" max="5649" width="23.28515625" style="407" customWidth="1"/>
    <col min="5650" max="5650" width="18.42578125" style="407" customWidth="1"/>
    <col min="5651" max="5651" width="27.85546875" style="407" customWidth="1"/>
    <col min="5652" max="5652" width="49.42578125" style="407" customWidth="1"/>
    <col min="5653" max="5653" width="32.140625" style="407" customWidth="1"/>
    <col min="5654" max="5654" width="22.42578125" style="407" customWidth="1"/>
    <col min="5655" max="5655" width="33" style="407" customWidth="1"/>
    <col min="5656" max="5656" width="58.85546875" style="407" customWidth="1"/>
    <col min="5657" max="5657" width="37.85546875" style="407" customWidth="1"/>
    <col min="5658" max="5658" width="17.5703125" style="407" customWidth="1"/>
    <col min="5659" max="5659" width="16.5703125" style="407" customWidth="1"/>
    <col min="5660" max="5660" width="28.7109375" style="407" customWidth="1"/>
    <col min="5661" max="5661" width="23.85546875" style="407" customWidth="1"/>
    <col min="5662" max="5888" width="9.140625" style="407"/>
    <col min="5889" max="5890" width="0" style="407" hidden="1" customWidth="1"/>
    <col min="5891" max="5891" width="15.7109375" style="407" customWidth="1"/>
    <col min="5892" max="5892" width="93.42578125" style="407" customWidth="1"/>
    <col min="5893" max="5893" width="32.28515625" style="407" customWidth="1"/>
    <col min="5894" max="5894" width="23.7109375" style="407" customWidth="1"/>
    <col min="5895" max="5895" width="26.42578125" style="407" customWidth="1"/>
    <col min="5896" max="5896" width="26.5703125" style="407" customWidth="1"/>
    <col min="5897" max="5897" width="27.85546875" style="407" customWidth="1"/>
    <col min="5898" max="5898" width="28.140625" style="407" customWidth="1"/>
    <col min="5899" max="5899" width="24.28515625" style="407" customWidth="1"/>
    <col min="5900" max="5900" width="13.140625" style="407" customWidth="1"/>
    <col min="5901" max="5901" width="19.85546875" style="407" customWidth="1"/>
    <col min="5902" max="5902" width="34.42578125" style="407" customWidth="1"/>
    <col min="5903" max="5903" width="18.140625" style="407" customWidth="1"/>
    <col min="5904" max="5904" width="24.7109375" style="407" customWidth="1"/>
    <col min="5905" max="5905" width="23.28515625" style="407" customWidth="1"/>
    <col min="5906" max="5906" width="18.42578125" style="407" customWidth="1"/>
    <col min="5907" max="5907" width="27.85546875" style="407" customWidth="1"/>
    <col min="5908" max="5908" width="49.42578125" style="407" customWidth="1"/>
    <col min="5909" max="5909" width="32.140625" style="407" customWidth="1"/>
    <col min="5910" max="5910" width="22.42578125" style="407" customWidth="1"/>
    <col min="5911" max="5911" width="33" style="407" customWidth="1"/>
    <col min="5912" max="5912" width="58.85546875" style="407" customWidth="1"/>
    <col min="5913" max="5913" width="37.85546875" style="407" customWidth="1"/>
    <col min="5914" max="5914" width="17.5703125" style="407" customWidth="1"/>
    <col min="5915" max="5915" width="16.5703125" style="407" customWidth="1"/>
    <col min="5916" max="5916" width="28.7109375" style="407" customWidth="1"/>
    <col min="5917" max="5917" width="23.85546875" style="407" customWidth="1"/>
    <col min="5918" max="6144" width="9.140625" style="407"/>
    <col min="6145" max="6146" width="0" style="407" hidden="1" customWidth="1"/>
    <col min="6147" max="6147" width="15.7109375" style="407" customWidth="1"/>
    <col min="6148" max="6148" width="93.42578125" style="407" customWidth="1"/>
    <col min="6149" max="6149" width="32.28515625" style="407" customWidth="1"/>
    <col min="6150" max="6150" width="23.7109375" style="407" customWidth="1"/>
    <col min="6151" max="6151" width="26.42578125" style="407" customWidth="1"/>
    <col min="6152" max="6152" width="26.5703125" style="407" customWidth="1"/>
    <col min="6153" max="6153" width="27.85546875" style="407" customWidth="1"/>
    <col min="6154" max="6154" width="28.140625" style="407" customWidth="1"/>
    <col min="6155" max="6155" width="24.28515625" style="407" customWidth="1"/>
    <col min="6156" max="6156" width="13.140625" style="407" customWidth="1"/>
    <col min="6157" max="6157" width="19.85546875" style="407" customWidth="1"/>
    <col min="6158" max="6158" width="34.42578125" style="407" customWidth="1"/>
    <col min="6159" max="6159" width="18.140625" style="407" customWidth="1"/>
    <col min="6160" max="6160" width="24.7109375" style="407" customWidth="1"/>
    <col min="6161" max="6161" width="23.28515625" style="407" customWidth="1"/>
    <col min="6162" max="6162" width="18.42578125" style="407" customWidth="1"/>
    <col min="6163" max="6163" width="27.85546875" style="407" customWidth="1"/>
    <col min="6164" max="6164" width="49.42578125" style="407" customWidth="1"/>
    <col min="6165" max="6165" width="32.140625" style="407" customWidth="1"/>
    <col min="6166" max="6166" width="22.42578125" style="407" customWidth="1"/>
    <col min="6167" max="6167" width="33" style="407" customWidth="1"/>
    <col min="6168" max="6168" width="58.85546875" style="407" customWidth="1"/>
    <col min="6169" max="6169" width="37.85546875" style="407" customWidth="1"/>
    <col min="6170" max="6170" width="17.5703125" style="407" customWidth="1"/>
    <col min="6171" max="6171" width="16.5703125" style="407" customWidth="1"/>
    <col min="6172" max="6172" width="28.7109375" style="407" customWidth="1"/>
    <col min="6173" max="6173" width="23.85546875" style="407" customWidth="1"/>
    <col min="6174" max="6400" width="9.140625" style="407"/>
    <col min="6401" max="6402" width="0" style="407" hidden="1" customWidth="1"/>
    <col min="6403" max="6403" width="15.7109375" style="407" customWidth="1"/>
    <col min="6404" max="6404" width="93.42578125" style="407" customWidth="1"/>
    <col min="6405" max="6405" width="32.28515625" style="407" customWidth="1"/>
    <col min="6406" max="6406" width="23.7109375" style="407" customWidth="1"/>
    <col min="6407" max="6407" width="26.42578125" style="407" customWidth="1"/>
    <col min="6408" max="6408" width="26.5703125" style="407" customWidth="1"/>
    <col min="6409" max="6409" width="27.85546875" style="407" customWidth="1"/>
    <col min="6410" max="6410" width="28.140625" style="407" customWidth="1"/>
    <col min="6411" max="6411" width="24.28515625" style="407" customWidth="1"/>
    <col min="6412" max="6412" width="13.140625" style="407" customWidth="1"/>
    <col min="6413" max="6413" width="19.85546875" style="407" customWidth="1"/>
    <col min="6414" max="6414" width="34.42578125" style="407" customWidth="1"/>
    <col min="6415" max="6415" width="18.140625" style="407" customWidth="1"/>
    <col min="6416" max="6416" width="24.7109375" style="407" customWidth="1"/>
    <col min="6417" max="6417" width="23.28515625" style="407" customWidth="1"/>
    <col min="6418" max="6418" width="18.42578125" style="407" customWidth="1"/>
    <col min="6419" max="6419" width="27.85546875" style="407" customWidth="1"/>
    <col min="6420" max="6420" width="49.42578125" style="407" customWidth="1"/>
    <col min="6421" max="6421" width="32.140625" style="407" customWidth="1"/>
    <col min="6422" max="6422" width="22.42578125" style="407" customWidth="1"/>
    <col min="6423" max="6423" width="33" style="407" customWidth="1"/>
    <col min="6424" max="6424" width="58.85546875" style="407" customWidth="1"/>
    <col min="6425" max="6425" width="37.85546875" style="407" customWidth="1"/>
    <col min="6426" max="6426" width="17.5703125" style="407" customWidth="1"/>
    <col min="6427" max="6427" width="16.5703125" style="407" customWidth="1"/>
    <col min="6428" max="6428" width="28.7109375" style="407" customWidth="1"/>
    <col min="6429" max="6429" width="23.85546875" style="407" customWidth="1"/>
    <col min="6430" max="6656" width="9.140625" style="407"/>
    <col min="6657" max="6658" width="0" style="407" hidden="1" customWidth="1"/>
    <col min="6659" max="6659" width="15.7109375" style="407" customWidth="1"/>
    <col min="6660" max="6660" width="93.42578125" style="407" customWidth="1"/>
    <col min="6661" max="6661" width="32.28515625" style="407" customWidth="1"/>
    <col min="6662" max="6662" width="23.7109375" style="407" customWidth="1"/>
    <col min="6663" max="6663" width="26.42578125" style="407" customWidth="1"/>
    <col min="6664" max="6664" width="26.5703125" style="407" customWidth="1"/>
    <col min="6665" max="6665" width="27.85546875" style="407" customWidth="1"/>
    <col min="6666" max="6666" width="28.140625" style="407" customWidth="1"/>
    <col min="6667" max="6667" width="24.28515625" style="407" customWidth="1"/>
    <col min="6668" max="6668" width="13.140625" style="407" customWidth="1"/>
    <col min="6669" max="6669" width="19.85546875" style="407" customWidth="1"/>
    <col min="6670" max="6670" width="34.42578125" style="407" customWidth="1"/>
    <col min="6671" max="6671" width="18.140625" style="407" customWidth="1"/>
    <col min="6672" max="6672" width="24.7109375" style="407" customWidth="1"/>
    <col min="6673" max="6673" width="23.28515625" style="407" customWidth="1"/>
    <col min="6674" max="6674" width="18.42578125" style="407" customWidth="1"/>
    <col min="6675" max="6675" width="27.85546875" style="407" customWidth="1"/>
    <col min="6676" max="6676" width="49.42578125" style="407" customWidth="1"/>
    <col min="6677" max="6677" width="32.140625" style="407" customWidth="1"/>
    <col min="6678" max="6678" width="22.42578125" style="407" customWidth="1"/>
    <col min="6679" max="6679" width="33" style="407" customWidth="1"/>
    <col min="6680" max="6680" width="58.85546875" style="407" customWidth="1"/>
    <col min="6681" max="6681" width="37.85546875" style="407" customWidth="1"/>
    <col min="6682" max="6682" width="17.5703125" style="407" customWidth="1"/>
    <col min="6683" max="6683" width="16.5703125" style="407" customWidth="1"/>
    <col min="6684" max="6684" width="28.7109375" style="407" customWidth="1"/>
    <col min="6685" max="6685" width="23.85546875" style="407" customWidth="1"/>
    <col min="6686" max="6912" width="9.140625" style="407"/>
    <col min="6913" max="6914" width="0" style="407" hidden="1" customWidth="1"/>
    <col min="6915" max="6915" width="15.7109375" style="407" customWidth="1"/>
    <col min="6916" max="6916" width="93.42578125" style="407" customWidth="1"/>
    <col min="6917" max="6917" width="32.28515625" style="407" customWidth="1"/>
    <col min="6918" max="6918" width="23.7109375" style="407" customWidth="1"/>
    <col min="6919" max="6919" width="26.42578125" style="407" customWidth="1"/>
    <col min="6920" max="6920" width="26.5703125" style="407" customWidth="1"/>
    <col min="6921" max="6921" width="27.85546875" style="407" customWidth="1"/>
    <col min="6922" max="6922" width="28.140625" style="407" customWidth="1"/>
    <col min="6923" max="6923" width="24.28515625" style="407" customWidth="1"/>
    <col min="6924" max="6924" width="13.140625" style="407" customWidth="1"/>
    <col min="6925" max="6925" width="19.85546875" style="407" customWidth="1"/>
    <col min="6926" max="6926" width="34.42578125" style="407" customWidth="1"/>
    <col min="6927" max="6927" width="18.140625" style="407" customWidth="1"/>
    <col min="6928" max="6928" width="24.7109375" style="407" customWidth="1"/>
    <col min="6929" max="6929" width="23.28515625" style="407" customWidth="1"/>
    <col min="6930" max="6930" width="18.42578125" style="407" customWidth="1"/>
    <col min="6931" max="6931" width="27.85546875" style="407" customWidth="1"/>
    <col min="6932" max="6932" width="49.42578125" style="407" customWidth="1"/>
    <col min="6933" max="6933" width="32.140625" style="407" customWidth="1"/>
    <col min="6934" max="6934" width="22.42578125" style="407" customWidth="1"/>
    <col min="6935" max="6935" width="33" style="407" customWidth="1"/>
    <col min="6936" max="6936" width="58.85546875" style="407" customWidth="1"/>
    <col min="6937" max="6937" width="37.85546875" style="407" customWidth="1"/>
    <col min="6938" max="6938" width="17.5703125" style="407" customWidth="1"/>
    <col min="6939" max="6939" width="16.5703125" style="407" customWidth="1"/>
    <col min="6940" max="6940" width="28.7109375" style="407" customWidth="1"/>
    <col min="6941" max="6941" width="23.85546875" style="407" customWidth="1"/>
    <col min="6942" max="7168" width="9.140625" style="407"/>
    <col min="7169" max="7170" width="0" style="407" hidden="1" customWidth="1"/>
    <col min="7171" max="7171" width="15.7109375" style="407" customWidth="1"/>
    <col min="7172" max="7172" width="93.42578125" style="407" customWidth="1"/>
    <col min="7173" max="7173" width="32.28515625" style="407" customWidth="1"/>
    <col min="7174" max="7174" width="23.7109375" style="407" customWidth="1"/>
    <col min="7175" max="7175" width="26.42578125" style="407" customWidth="1"/>
    <col min="7176" max="7176" width="26.5703125" style="407" customWidth="1"/>
    <col min="7177" max="7177" width="27.85546875" style="407" customWidth="1"/>
    <col min="7178" max="7178" width="28.140625" style="407" customWidth="1"/>
    <col min="7179" max="7179" width="24.28515625" style="407" customWidth="1"/>
    <col min="7180" max="7180" width="13.140625" style="407" customWidth="1"/>
    <col min="7181" max="7181" width="19.85546875" style="407" customWidth="1"/>
    <col min="7182" max="7182" width="34.42578125" style="407" customWidth="1"/>
    <col min="7183" max="7183" width="18.140625" style="407" customWidth="1"/>
    <col min="7184" max="7184" width="24.7109375" style="407" customWidth="1"/>
    <col min="7185" max="7185" width="23.28515625" style="407" customWidth="1"/>
    <col min="7186" max="7186" width="18.42578125" style="407" customWidth="1"/>
    <col min="7187" max="7187" width="27.85546875" style="407" customWidth="1"/>
    <col min="7188" max="7188" width="49.42578125" style="407" customWidth="1"/>
    <col min="7189" max="7189" width="32.140625" style="407" customWidth="1"/>
    <col min="7190" max="7190" width="22.42578125" style="407" customWidth="1"/>
    <col min="7191" max="7191" width="33" style="407" customWidth="1"/>
    <col min="7192" max="7192" width="58.85546875" style="407" customWidth="1"/>
    <col min="7193" max="7193" width="37.85546875" style="407" customWidth="1"/>
    <col min="7194" max="7194" width="17.5703125" style="407" customWidth="1"/>
    <col min="7195" max="7195" width="16.5703125" style="407" customWidth="1"/>
    <col min="7196" max="7196" width="28.7109375" style="407" customWidth="1"/>
    <col min="7197" max="7197" width="23.85546875" style="407" customWidth="1"/>
    <col min="7198" max="7424" width="9.140625" style="407"/>
    <col min="7425" max="7426" width="0" style="407" hidden="1" customWidth="1"/>
    <col min="7427" max="7427" width="15.7109375" style="407" customWidth="1"/>
    <col min="7428" max="7428" width="93.42578125" style="407" customWidth="1"/>
    <col min="7429" max="7429" width="32.28515625" style="407" customWidth="1"/>
    <col min="7430" max="7430" width="23.7109375" style="407" customWidth="1"/>
    <col min="7431" max="7431" width="26.42578125" style="407" customWidth="1"/>
    <col min="7432" max="7432" width="26.5703125" style="407" customWidth="1"/>
    <col min="7433" max="7433" width="27.85546875" style="407" customWidth="1"/>
    <col min="7434" max="7434" width="28.140625" style="407" customWidth="1"/>
    <col min="7435" max="7435" width="24.28515625" style="407" customWidth="1"/>
    <col min="7436" max="7436" width="13.140625" style="407" customWidth="1"/>
    <col min="7437" max="7437" width="19.85546875" style="407" customWidth="1"/>
    <col min="7438" max="7438" width="34.42578125" style="407" customWidth="1"/>
    <col min="7439" max="7439" width="18.140625" style="407" customWidth="1"/>
    <col min="7440" max="7440" width="24.7109375" style="407" customWidth="1"/>
    <col min="7441" max="7441" width="23.28515625" style="407" customWidth="1"/>
    <col min="7442" max="7442" width="18.42578125" style="407" customWidth="1"/>
    <col min="7443" max="7443" width="27.85546875" style="407" customWidth="1"/>
    <col min="7444" max="7444" width="49.42578125" style="407" customWidth="1"/>
    <col min="7445" max="7445" width="32.140625" style="407" customWidth="1"/>
    <col min="7446" max="7446" width="22.42578125" style="407" customWidth="1"/>
    <col min="7447" max="7447" width="33" style="407" customWidth="1"/>
    <col min="7448" max="7448" width="58.85546875" style="407" customWidth="1"/>
    <col min="7449" max="7449" width="37.85546875" style="407" customWidth="1"/>
    <col min="7450" max="7450" width="17.5703125" style="407" customWidth="1"/>
    <col min="7451" max="7451" width="16.5703125" style="407" customWidth="1"/>
    <col min="7452" max="7452" width="28.7109375" style="407" customWidth="1"/>
    <col min="7453" max="7453" width="23.85546875" style="407" customWidth="1"/>
    <col min="7454" max="7680" width="9.140625" style="407"/>
    <col min="7681" max="7682" width="0" style="407" hidden="1" customWidth="1"/>
    <col min="7683" max="7683" width="15.7109375" style="407" customWidth="1"/>
    <col min="7684" max="7684" width="93.42578125" style="407" customWidth="1"/>
    <col min="7685" max="7685" width="32.28515625" style="407" customWidth="1"/>
    <col min="7686" max="7686" width="23.7109375" style="407" customWidth="1"/>
    <col min="7687" max="7687" width="26.42578125" style="407" customWidth="1"/>
    <col min="7688" max="7688" width="26.5703125" style="407" customWidth="1"/>
    <col min="7689" max="7689" width="27.85546875" style="407" customWidth="1"/>
    <col min="7690" max="7690" width="28.140625" style="407" customWidth="1"/>
    <col min="7691" max="7691" width="24.28515625" style="407" customWidth="1"/>
    <col min="7692" max="7692" width="13.140625" style="407" customWidth="1"/>
    <col min="7693" max="7693" width="19.85546875" style="407" customWidth="1"/>
    <col min="7694" max="7694" width="34.42578125" style="407" customWidth="1"/>
    <col min="7695" max="7695" width="18.140625" style="407" customWidth="1"/>
    <col min="7696" max="7696" width="24.7109375" style="407" customWidth="1"/>
    <col min="7697" max="7697" width="23.28515625" style="407" customWidth="1"/>
    <col min="7698" max="7698" width="18.42578125" style="407" customWidth="1"/>
    <col min="7699" max="7699" width="27.85546875" style="407" customWidth="1"/>
    <col min="7700" max="7700" width="49.42578125" style="407" customWidth="1"/>
    <col min="7701" max="7701" width="32.140625" style="407" customWidth="1"/>
    <col min="7702" max="7702" width="22.42578125" style="407" customWidth="1"/>
    <col min="7703" max="7703" width="33" style="407" customWidth="1"/>
    <col min="7704" max="7704" width="58.85546875" style="407" customWidth="1"/>
    <col min="7705" max="7705" width="37.85546875" style="407" customWidth="1"/>
    <col min="7706" max="7706" width="17.5703125" style="407" customWidth="1"/>
    <col min="7707" max="7707" width="16.5703125" style="407" customWidth="1"/>
    <col min="7708" max="7708" width="28.7109375" style="407" customWidth="1"/>
    <col min="7709" max="7709" width="23.85546875" style="407" customWidth="1"/>
    <col min="7710" max="7936" width="9.140625" style="407"/>
    <col min="7937" max="7938" width="0" style="407" hidden="1" customWidth="1"/>
    <col min="7939" max="7939" width="15.7109375" style="407" customWidth="1"/>
    <col min="7940" max="7940" width="93.42578125" style="407" customWidth="1"/>
    <col min="7941" max="7941" width="32.28515625" style="407" customWidth="1"/>
    <col min="7942" max="7942" width="23.7109375" style="407" customWidth="1"/>
    <col min="7943" max="7943" width="26.42578125" style="407" customWidth="1"/>
    <col min="7944" max="7944" width="26.5703125" style="407" customWidth="1"/>
    <col min="7945" max="7945" width="27.85546875" style="407" customWidth="1"/>
    <col min="7946" max="7946" width="28.140625" style="407" customWidth="1"/>
    <col min="7947" max="7947" width="24.28515625" style="407" customWidth="1"/>
    <col min="7948" max="7948" width="13.140625" style="407" customWidth="1"/>
    <col min="7949" max="7949" width="19.85546875" style="407" customWidth="1"/>
    <col min="7950" max="7950" width="34.42578125" style="407" customWidth="1"/>
    <col min="7951" max="7951" width="18.140625" style="407" customWidth="1"/>
    <col min="7952" max="7952" width="24.7109375" style="407" customWidth="1"/>
    <col min="7953" max="7953" width="23.28515625" style="407" customWidth="1"/>
    <col min="7954" max="7954" width="18.42578125" style="407" customWidth="1"/>
    <col min="7955" max="7955" width="27.85546875" style="407" customWidth="1"/>
    <col min="7956" max="7956" width="49.42578125" style="407" customWidth="1"/>
    <col min="7957" max="7957" width="32.140625" style="407" customWidth="1"/>
    <col min="7958" max="7958" width="22.42578125" style="407" customWidth="1"/>
    <col min="7959" max="7959" width="33" style="407" customWidth="1"/>
    <col min="7960" max="7960" width="58.85546875" style="407" customWidth="1"/>
    <col min="7961" max="7961" width="37.85546875" style="407" customWidth="1"/>
    <col min="7962" max="7962" width="17.5703125" style="407" customWidth="1"/>
    <col min="7963" max="7963" width="16.5703125" style="407" customWidth="1"/>
    <col min="7964" max="7964" width="28.7109375" style="407" customWidth="1"/>
    <col min="7965" max="7965" width="23.85546875" style="407" customWidth="1"/>
    <col min="7966" max="8192" width="9.140625" style="407"/>
    <col min="8193" max="8194" width="0" style="407" hidden="1" customWidth="1"/>
    <col min="8195" max="8195" width="15.7109375" style="407" customWidth="1"/>
    <col min="8196" max="8196" width="93.42578125" style="407" customWidth="1"/>
    <col min="8197" max="8197" width="32.28515625" style="407" customWidth="1"/>
    <col min="8198" max="8198" width="23.7109375" style="407" customWidth="1"/>
    <col min="8199" max="8199" width="26.42578125" style="407" customWidth="1"/>
    <col min="8200" max="8200" width="26.5703125" style="407" customWidth="1"/>
    <col min="8201" max="8201" width="27.85546875" style="407" customWidth="1"/>
    <col min="8202" max="8202" width="28.140625" style="407" customWidth="1"/>
    <col min="8203" max="8203" width="24.28515625" style="407" customWidth="1"/>
    <col min="8204" max="8204" width="13.140625" style="407" customWidth="1"/>
    <col min="8205" max="8205" width="19.85546875" style="407" customWidth="1"/>
    <col min="8206" max="8206" width="34.42578125" style="407" customWidth="1"/>
    <col min="8207" max="8207" width="18.140625" style="407" customWidth="1"/>
    <col min="8208" max="8208" width="24.7109375" style="407" customWidth="1"/>
    <col min="8209" max="8209" width="23.28515625" style="407" customWidth="1"/>
    <col min="8210" max="8210" width="18.42578125" style="407" customWidth="1"/>
    <col min="8211" max="8211" width="27.85546875" style="407" customWidth="1"/>
    <col min="8212" max="8212" width="49.42578125" style="407" customWidth="1"/>
    <col min="8213" max="8213" width="32.140625" style="407" customWidth="1"/>
    <col min="8214" max="8214" width="22.42578125" style="407" customWidth="1"/>
    <col min="8215" max="8215" width="33" style="407" customWidth="1"/>
    <col min="8216" max="8216" width="58.85546875" style="407" customWidth="1"/>
    <col min="8217" max="8217" width="37.85546875" style="407" customWidth="1"/>
    <col min="8218" max="8218" width="17.5703125" style="407" customWidth="1"/>
    <col min="8219" max="8219" width="16.5703125" style="407" customWidth="1"/>
    <col min="8220" max="8220" width="28.7109375" style="407" customWidth="1"/>
    <col min="8221" max="8221" width="23.85546875" style="407" customWidth="1"/>
    <col min="8222" max="8448" width="9.140625" style="407"/>
    <col min="8449" max="8450" width="0" style="407" hidden="1" customWidth="1"/>
    <col min="8451" max="8451" width="15.7109375" style="407" customWidth="1"/>
    <col min="8452" max="8452" width="93.42578125" style="407" customWidth="1"/>
    <col min="8453" max="8453" width="32.28515625" style="407" customWidth="1"/>
    <col min="8454" max="8454" width="23.7109375" style="407" customWidth="1"/>
    <col min="8455" max="8455" width="26.42578125" style="407" customWidth="1"/>
    <col min="8456" max="8456" width="26.5703125" style="407" customWidth="1"/>
    <col min="8457" max="8457" width="27.85546875" style="407" customWidth="1"/>
    <col min="8458" max="8458" width="28.140625" style="407" customWidth="1"/>
    <col min="8459" max="8459" width="24.28515625" style="407" customWidth="1"/>
    <col min="8460" max="8460" width="13.140625" style="407" customWidth="1"/>
    <col min="8461" max="8461" width="19.85546875" style="407" customWidth="1"/>
    <col min="8462" max="8462" width="34.42578125" style="407" customWidth="1"/>
    <col min="8463" max="8463" width="18.140625" style="407" customWidth="1"/>
    <col min="8464" max="8464" width="24.7109375" style="407" customWidth="1"/>
    <col min="8465" max="8465" width="23.28515625" style="407" customWidth="1"/>
    <col min="8466" max="8466" width="18.42578125" style="407" customWidth="1"/>
    <col min="8467" max="8467" width="27.85546875" style="407" customWidth="1"/>
    <col min="8468" max="8468" width="49.42578125" style="407" customWidth="1"/>
    <col min="8469" max="8469" width="32.140625" style="407" customWidth="1"/>
    <col min="8470" max="8470" width="22.42578125" style="407" customWidth="1"/>
    <col min="8471" max="8471" width="33" style="407" customWidth="1"/>
    <col min="8472" max="8472" width="58.85546875" style="407" customWidth="1"/>
    <col min="8473" max="8473" width="37.85546875" style="407" customWidth="1"/>
    <col min="8474" max="8474" width="17.5703125" style="407" customWidth="1"/>
    <col min="8475" max="8475" width="16.5703125" style="407" customWidth="1"/>
    <col min="8476" max="8476" width="28.7109375" style="407" customWidth="1"/>
    <col min="8477" max="8477" width="23.85546875" style="407" customWidth="1"/>
    <col min="8478" max="8704" width="9.140625" style="407"/>
    <col min="8705" max="8706" width="0" style="407" hidden="1" customWidth="1"/>
    <col min="8707" max="8707" width="15.7109375" style="407" customWidth="1"/>
    <col min="8708" max="8708" width="93.42578125" style="407" customWidth="1"/>
    <col min="8709" max="8709" width="32.28515625" style="407" customWidth="1"/>
    <col min="8710" max="8710" width="23.7109375" style="407" customWidth="1"/>
    <col min="8711" max="8711" width="26.42578125" style="407" customWidth="1"/>
    <col min="8712" max="8712" width="26.5703125" style="407" customWidth="1"/>
    <col min="8713" max="8713" width="27.85546875" style="407" customWidth="1"/>
    <col min="8714" max="8714" width="28.140625" style="407" customWidth="1"/>
    <col min="8715" max="8715" width="24.28515625" style="407" customWidth="1"/>
    <col min="8716" max="8716" width="13.140625" style="407" customWidth="1"/>
    <col min="8717" max="8717" width="19.85546875" style="407" customWidth="1"/>
    <col min="8718" max="8718" width="34.42578125" style="407" customWidth="1"/>
    <col min="8719" max="8719" width="18.140625" style="407" customWidth="1"/>
    <col min="8720" max="8720" width="24.7109375" style="407" customWidth="1"/>
    <col min="8721" max="8721" width="23.28515625" style="407" customWidth="1"/>
    <col min="8722" max="8722" width="18.42578125" style="407" customWidth="1"/>
    <col min="8723" max="8723" width="27.85546875" style="407" customWidth="1"/>
    <col min="8724" max="8724" width="49.42578125" style="407" customWidth="1"/>
    <col min="8725" max="8725" width="32.140625" style="407" customWidth="1"/>
    <col min="8726" max="8726" width="22.42578125" style="407" customWidth="1"/>
    <col min="8727" max="8727" width="33" style="407" customWidth="1"/>
    <col min="8728" max="8728" width="58.85546875" style="407" customWidth="1"/>
    <col min="8729" max="8729" width="37.85546875" style="407" customWidth="1"/>
    <col min="8730" max="8730" width="17.5703125" style="407" customWidth="1"/>
    <col min="8731" max="8731" width="16.5703125" style="407" customWidth="1"/>
    <col min="8732" max="8732" width="28.7109375" style="407" customWidth="1"/>
    <col min="8733" max="8733" width="23.85546875" style="407" customWidth="1"/>
    <col min="8734" max="8960" width="9.140625" style="407"/>
    <col min="8961" max="8962" width="0" style="407" hidden="1" customWidth="1"/>
    <col min="8963" max="8963" width="15.7109375" style="407" customWidth="1"/>
    <col min="8964" max="8964" width="93.42578125" style="407" customWidth="1"/>
    <col min="8965" max="8965" width="32.28515625" style="407" customWidth="1"/>
    <col min="8966" max="8966" width="23.7109375" style="407" customWidth="1"/>
    <col min="8967" max="8967" width="26.42578125" style="407" customWidth="1"/>
    <col min="8968" max="8968" width="26.5703125" style="407" customWidth="1"/>
    <col min="8969" max="8969" width="27.85546875" style="407" customWidth="1"/>
    <col min="8970" max="8970" width="28.140625" style="407" customWidth="1"/>
    <col min="8971" max="8971" width="24.28515625" style="407" customWidth="1"/>
    <col min="8972" max="8972" width="13.140625" style="407" customWidth="1"/>
    <col min="8973" max="8973" width="19.85546875" style="407" customWidth="1"/>
    <col min="8974" max="8974" width="34.42578125" style="407" customWidth="1"/>
    <col min="8975" max="8975" width="18.140625" style="407" customWidth="1"/>
    <col min="8976" max="8976" width="24.7109375" style="407" customWidth="1"/>
    <col min="8977" max="8977" width="23.28515625" style="407" customWidth="1"/>
    <col min="8978" max="8978" width="18.42578125" style="407" customWidth="1"/>
    <col min="8979" max="8979" width="27.85546875" style="407" customWidth="1"/>
    <col min="8980" max="8980" width="49.42578125" style="407" customWidth="1"/>
    <col min="8981" max="8981" width="32.140625" style="407" customWidth="1"/>
    <col min="8982" max="8982" width="22.42578125" style="407" customWidth="1"/>
    <col min="8983" max="8983" width="33" style="407" customWidth="1"/>
    <col min="8984" max="8984" width="58.85546875" style="407" customWidth="1"/>
    <col min="8985" max="8985" width="37.85546875" style="407" customWidth="1"/>
    <col min="8986" max="8986" width="17.5703125" style="407" customWidth="1"/>
    <col min="8987" max="8987" width="16.5703125" style="407" customWidth="1"/>
    <col min="8988" max="8988" width="28.7109375" style="407" customWidth="1"/>
    <col min="8989" max="8989" width="23.85546875" style="407" customWidth="1"/>
    <col min="8990" max="9216" width="9.140625" style="407"/>
    <col min="9217" max="9218" width="0" style="407" hidden="1" customWidth="1"/>
    <col min="9219" max="9219" width="15.7109375" style="407" customWidth="1"/>
    <col min="9220" max="9220" width="93.42578125" style="407" customWidth="1"/>
    <col min="9221" max="9221" width="32.28515625" style="407" customWidth="1"/>
    <col min="9222" max="9222" width="23.7109375" style="407" customWidth="1"/>
    <col min="9223" max="9223" width="26.42578125" style="407" customWidth="1"/>
    <col min="9224" max="9224" width="26.5703125" style="407" customWidth="1"/>
    <col min="9225" max="9225" width="27.85546875" style="407" customWidth="1"/>
    <col min="9226" max="9226" width="28.140625" style="407" customWidth="1"/>
    <col min="9227" max="9227" width="24.28515625" style="407" customWidth="1"/>
    <col min="9228" max="9228" width="13.140625" style="407" customWidth="1"/>
    <col min="9229" max="9229" width="19.85546875" style="407" customWidth="1"/>
    <col min="9230" max="9230" width="34.42578125" style="407" customWidth="1"/>
    <col min="9231" max="9231" width="18.140625" style="407" customWidth="1"/>
    <col min="9232" max="9232" width="24.7109375" style="407" customWidth="1"/>
    <col min="9233" max="9233" width="23.28515625" style="407" customWidth="1"/>
    <col min="9234" max="9234" width="18.42578125" style="407" customWidth="1"/>
    <col min="9235" max="9235" width="27.85546875" style="407" customWidth="1"/>
    <col min="9236" max="9236" width="49.42578125" style="407" customWidth="1"/>
    <col min="9237" max="9237" width="32.140625" style="407" customWidth="1"/>
    <col min="9238" max="9238" width="22.42578125" style="407" customWidth="1"/>
    <col min="9239" max="9239" width="33" style="407" customWidth="1"/>
    <col min="9240" max="9240" width="58.85546875" style="407" customWidth="1"/>
    <col min="9241" max="9241" width="37.85546875" style="407" customWidth="1"/>
    <col min="9242" max="9242" width="17.5703125" style="407" customWidth="1"/>
    <col min="9243" max="9243" width="16.5703125" style="407" customWidth="1"/>
    <col min="9244" max="9244" width="28.7109375" style="407" customWidth="1"/>
    <col min="9245" max="9245" width="23.85546875" style="407" customWidth="1"/>
    <col min="9246" max="9472" width="9.140625" style="407"/>
    <col min="9473" max="9474" width="0" style="407" hidden="1" customWidth="1"/>
    <col min="9475" max="9475" width="15.7109375" style="407" customWidth="1"/>
    <col min="9476" max="9476" width="93.42578125" style="407" customWidth="1"/>
    <col min="9477" max="9477" width="32.28515625" style="407" customWidth="1"/>
    <col min="9478" max="9478" width="23.7109375" style="407" customWidth="1"/>
    <col min="9479" max="9479" width="26.42578125" style="407" customWidth="1"/>
    <col min="9480" max="9480" width="26.5703125" style="407" customWidth="1"/>
    <col min="9481" max="9481" width="27.85546875" style="407" customWidth="1"/>
    <col min="9482" max="9482" width="28.140625" style="407" customWidth="1"/>
    <col min="9483" max="9483" width="24.28515625" style="407" customWidth="1"/>
    <col min="9484" max="9484" width="13.140625" style="407" customWidth="1"/>
    <col min="9485" max="9485" width="19.85546875" style="407" customWidth="1"/>
    <col min="9486" max="9486" width="34.42578125" style="407" customWidth="1"/>
    <col min="9487" max="9487" width="18.140625" style="407" customWidth="1"/>
    <col min="9488" max="9488" width="24.7109375" style="407" customWidth="1"/>
    <col min="9489" max="9489" width="23.28515625" style="407" customWidth="1"/>
    <col min="9490" max="9490" width="18.42578125" style="407" customWidth="1"/>
    <col min="9491" max="9491" width="27.85546875" style="407" customWidth="1"/>
    <col min="9492" max="9492" width="49.42578125" style="407" customWidth="1"/>
    <col min="9493" max="9493" width="32.140625" style="407" customWidth="1"/>
    <col min="9494" max="9494" width="22.42578125" style="407" customWidth="1"/>
    <col min="9495" max="9495" width="33" style="407" customWidth="1"/>
    <col min="9496" max="9496" width="58.85546875" style="407" customWidth="1"/>
    <col min="9497" max="9497" width="37.85546875" style="407" customWidth="1"/>
    <col min="9498" max="9498" width="17.5703125" style="407" customWidth="1"/>
    <col min="9499" max="9499" width="16.5703125" style="407" customWidth="1"/>
    <col min="9500" max="9500" width="28.7109375" style="407" customWidth="1"/>
    <col min="9501" max="9501" width="23.85546875" style="407" customWidth="1"/>
    <col min="9502" max="9728" width="9.140625" style="407"/>
    <col min="9729" max="9730" width="0" style="407" hidden="1" customWidth="1"/>
    <col min="9731" max="9731" width="15.7109375" style="407" customWidth="1"/>
    <col min="9732" max="9732" width="93.42578125" style="407" customWidth="1"/>
    <col min="9733" max="9733" width="32.28515625" style="407" customWidth="1"/>
    <col min="9734" max="9734" width="23.7109375" style="407" customWidth="1"/>
    <col min="9735" max="9735" width="26.42578125" style="407" customWidth="1"/>
    <col min="9736" max="9736" width="26.5703125" style="407" customWidth="1"/>
    <col min="9737" max="9737" width="27.85546875" style="407" customWidth="1"/>
    <col min="9738" max="9738" width="28.140625" style="407" customWidth="1"/>
    <col min="9739" max="9739" width="24.28515625" style="407" customWidth="1"/>
    <col min="9740" max="9740" width="13.140625" style="407" customWidth="1"/>
    <col min="9741" max="9741" width="19.85546875" style="407" customWidth="1"/>
    <col min="9742" max="9742" width="34.42578125" style="407" customWidth="1"/>
    <col min="9743" max="9743" width="18.140625" style="407" customWidth="1"/>
    <col min="9744" max="9744" width="24.7109375" style="407" customWidth="1"/>
    <col min="9745" max="9745" width="23.28515625" style="407" customWidth="1"/>
    <col min="9746" max="9746" width="18.42578125" style="407" customWidth="1"/>
    <col min="9747" max="9747" width="27.85546875" style="407" customWidth="1"/>
    <col min="9748" max="9748" width="49.42578125" style="407" customWidth="1"/>
    <col min="9749" max="9749" width="32.140625" style="407" customWidth="1"/>
    <col min="9750" max="9750" width="22.42578125" style="407" customWidth="1"/>
    <col min="9751" max="9751" width="33" style="407" customWidth="1"/>
    <col min="9752" max="9752" width="58.85546875" style="407" customWidth="1"/>
    <col min="9753" max="9753" width="37.85546875" style="407" customWidth="1"/>
    <col min="9754" max="9754" width="17.5703125" style="407" customWidth="1"/>
    <col min="9755" max="9755" width="16.5703125" style="407" customWidth="1"/>
    <col min="9756" max="9756" width="28.7109375" style="407" customWidth="1"/>
    <col min="9757" max="9757" width="23.85546875" style="407" customWidth="1"/>
    <col min="9758" max="9984" width="9.140625" style="407"/>
    <col min="9985" max="9986" width="0" style="407" hidden="1" customWidth="1"/>
    <col min="9987" max="9987" width="15.7109375" style="407" customWidth="1"/>
    <col min="9988" max="9988" width="93.42578125" style="407" customWidth="1"/>
    <col min="9989" max="9989" width="32.28515625" style="407" customWidth="1"/>
    <col min="9990" max="9990" width="23.7109375" style="407" customWidth="1"/>
    <col min="9991" max="9991" width="26.42578125" style="407" customWidth="1"/>
    <col min="9992" max="9992" width="26.5703125" style="407" customWidth="1"/>
    <col min="9993" max="9993" width="27.85546875" style="407" customWidth="1"/>
    <col min="9994" max="9994" width="28.140625" style="407" customWidth="1"/>
    <col min="9995" max="9995" width="24.28515625" style="407" customWidth="1"/>
    <col min="9996" max="9996" width="13.140625" style="407" customWidth="1"/>
    <col min="9997" max="9997" width="19.85546875" style="407" customWidth="1"/>
    <col min="9998" max="9998" width="34.42578125" style="407" customWidth="1"/>
    <col min="9999" max="9999" width="18.140625" style="407" customWidth="1"/>
    <col min="10000" max="10000" width="24.7109375" style="407" customWidth="1"/>
    <col min="10001" max="10001" width="23.28515625" style="407" customWidth="1"/>
    <col min="10002" max="10002" width="18.42578125" style="407" customWidth="1"/>
    <col min="10003" max="10003" width="27.85546875" style="407" customWidth="1"/>
    <col min="10004" max="10004" width="49.42578125" style="407" customWidth="1"/>
    <col min="10005" max="10005" width="32.140625" style="407" customWidth="1"/>
    <col min="10006" max="10006" width="22.42578125" style="407" customWidth="1"/>
    <col min="10007" max="10007" width="33" style="407" customWidth="1"/>
    <col min="10008" max="10008" width="58.85546875" style="407" customWidth="1"/>
    <col min="10009" max="10009" width="37.85546875" style="407" customWidth="1"/>
    <col min="10010" max="10010" width="17.5703125" style="407" customWidth="1"/>
    <col min="10011" max="10011" width="16.5703125" style="407" customWidth="1"/>
    <col min="10012" max="10012" width="28.7109375" style="407" customWidth="1"/>
    <col min="10013" max="10013" width="23.85546875" style="407" customWidth="1"/>
    <col min="10014" max="10240" width="9.140625" style="407"/>
    <col min="10241" max="10242" width="0" style="407" hidden="1" customWidth="1"/>
    <col min="10243" max="10243" width="15.7109375" style="407" customWidth="1"/>
    <col min="10244" max="10244" width="93.42578125" style="407" customWidth="1"/>
    <col min="10245" max="10245" width="32.28515625" style="407" customWidth="1"/>
    <col min="10246" max="10246" width="23.7109375" style="407" customWidth="1"/>
    <col min="10247" max="10247" width="26.42578125" style="407" customWidth="1"/>
    <col min="10248" max="10248" width="26.5703125" style="407" customWidth="1"/>
    <col min="10249" max="10249" width="27.85546875" style="407" customWidth="1"/>
    <col min="10250" max="10250" width="28.140625" style="407" customWidth="1"/>
    <col min="10251" max="10251" width="24.28515625" style="407" customWidth="1"/>
    <col min="10252" max="10252" width="13.140625" style="407" customWidth="1"/>
    <col min="10253" max="10253" width="19.85546875" style="407" customWidth="1"/>
    <col min="10254" max="10254" width="34.42578125" style="407" customWidth="1"/>
    <col min="10255" max="10255" width="18.140625" style="407" customWidth="1"/>
    <col min="10256" max="10256" width="24.7109375" style="407" customWidth="1"/>
    <col min="10257" max="10257" width="23.28515625" style="407" customWidth="1"/>
    <col min="10258" max="10258" width="18.42578125" style="407" customWidth="1"/>
    <col min="10259" max="10259" width="27.85546875" style="407" customWidth="1"/>
    <col min="10260" max="10260" width="49.42578125" style="407" customWidth="1"/>
    <col min="10261" max="10261" width="32.140625" style="407" customWidth="1"/>
    <col min="10262" max="10262" width="22.42578125" style="407" customWidth="1"/>
    <col min="10263" max="10263" width="33" style="407" customWidth="1"/>
    <col min="10264" max="10264" width="58.85546875" style="407" customWidth="1"/>
    <col min="10265" max="10265" width="37.85546875" style="407" customWidth="1"/>
    <col min="10266" max="10266" width="17.5703125" style="407" customWidth="1"/>
    <col min="10267" max="10267" width="16.5703125" style="407" customWidth="1"/>
    <col min="10268" max="10268" width="28.7109375" style="407" customWidth="1"/>
    <col min="10269" max="10269" width="23.85546875" style="407" customWidth="1"/>
    <col min="10270" max="10496" width="9.140625" style="407"/>
    <col min="10497" max="10498" width="0" style="407" hidden="1" customWidth="1"/>
    <col min="10499" max="10499" width="15.7109375" style="407" customWidth="1"/>
    <col min="10500" max="10500" width="93.42578125" style="407" customWidth="1"/>
    <col min="10501" max="10501" width="32.28515625" style="407" customWidth="1"/>
    <col min="10502" max="10502" width="23.7109375" style="407" customWidth="1"/>
    <col min="10503" max="10503" width="26.42578125" style="407" customWidth="1"/>
    <col min="10504" max="10504" width="26.5703125" style="407" customWidth="1"/>
    <col min="10505" max="10505" width="27.85546875" style="407" customWidth="1"/>
    <col min="10506" max="10506" width="28.140625" style="407" customWidth="1"/>
    <col min="10507" max="10507" width="24.28515625" style="407" customWidth="1"/>
    <col min="10508" max="10508" width="13.140625" style="407" customWidth="1"/>
    <col min="10509" max="10509" width="19.85546875" style="407" customWidth="1"/>
    <col min="10510" max="10510" width="34.42578125" style="407" customWidth="1"/>
    <col min="10511" max="10511" width="18.140625" style="407" customWidth="1"/>
    <col min="10512" max="10512" width="24.7109375" style="407" customWidth="1"/>
    <col min="10513" max="10513" width="23.28515625" style="407" customWidth="1"/>
    <col min="10514" max="10514" width="18.42578125" style="407" customWidth="1"/>
    <col min="10515" max="10515" width="27.85546875" style="407" customWidth="1"/>
    <col min="10516" max="10516" width="49.42578125" style="407" customWidth="1"/>
    <col min="10517" max="10517" width="32.140625" style="407" customWidth="1"/>
    <col min="10518" max="10518" width="22.42578125" style="407" customWidth="1"/>
    <col min="10519" max="10519" width="33" style="407" customWidth="1"/>
    <col min="10520" max="10520" width="58.85546875" style="407" customWidth="1"/>
    <col min="10521" max="10521" width="37.85546875" style="407" customWidth="1"/>
    <col min="10522" max="10522" width="17.5703125" style="407" customWidth="1"/>
    <col min="10523" max="10523" width="16.5703125" style="407" customWidth="1"/>
    <col min="10524" max="10524" width="28.7109375" style="407" customWidth="1"/>
    <col min="10525" max="10525" width="23.85546875" style="407" customWidth="1"/>
    <col min="10526" max="10752" width="9.140625" style="407"/>
    <col min="10753" max="10754" width="0" style="407" hidden="1" customWidth="1"/>
    <col min="10755" max="10755" width="15.7109375" style="407" customWidth="1"/>
    <col min="10756" max="10756" width="93.42578125" style="407" customWidth="1"/>
    <col min="10757" max="10757" width="32.28515625" style="407" customWidth="1"/>
    <col min="10758" max="10758" width="23.7109375" style="407" customWidth="1"/>
    <col min="10759" max="10759" width="26.42578125" style="407" customWidth="1"/>
    <col min="10760" max="10760" width="26.5703125" style="407" customWidth="1"/>
    <col min="10761" max="10761" width="27.85546875" style="407" customWidth="1"/>
    <col min="10762" max="10762" width="28.140625" style="407" customWidth="1"/>
    <col min="10763" max="10763" width="24.28515625" style="407" customWidth="1"/>
    <col min="10764" max="10764" width="13.140625" style="407" customWidth="1"/>
    <col min="10765" max="10765" width="19.85546875" style="407" customWidth="1"/>
    <col min="10766" max="10766" width="34.42578125" style="407" customWidth="1"/>
    <col min="10767" max="10767" width="18.140625" style="407" customWidth="1"/>
    <col min="10768" max="10768" width="24.7109375" style="407" customWidth="1"/>
    <col min="10769" max="10769" width="23.28515625" style="407" customWidth="1"/>
    <col min="10770" max="10770" width="18.42578125" style="407" customWidth="1"/>
    <col min="10771" max="10771" width="27.85546875" style="407" customWidth="1"/>
    <col min="10772" max="10772" width="49.42578125" style="407" customWidth="1"/>
    <col min="10773" max="10773" width="32.140625" style="407" customWidth="1"/>
    <col min="10774" max="10774" width="22.42578125" style="407" customWidth="1"/>
    <col min="10775" max="10775" width="33" style="407" customWidth="1"/>
    <col min="10776" max="10776" width="58.85546875" style="407" customWidth="1"/>
    <col min="10777" max="10777" width="37.85546875" style="407" customWidth="1"/>
    <col min="10778" max="10778" width="17.5703125" style="407" customWidth="1"/>
    <col min="10779" max="10779" width="16.5703125" style="407" customWidth="1"/>
    <col min="10780" max="10780" width="28.7109375" style="407" customWidth="1"/>
    <col min="10781" max="10781" width="23.85546875" style="407" customWidth="1"/>
    <col min="10782" max="11008" width="9.140625" style="407"/>
    <col min="11009" max="11010" width="0" style="407" hidden="1" customWidth="1"/>
    <col min="11011" max="11011" width="15.7109375" style="407" customWidth="1"/>
    <col min="11012" max="11012" width="93.42578125" style="407" customWidth="1"/>
    <col min="11013" max="11013" width="32.28515625" style="407" customWidth="1"/>
    <col min="11014" max="11014" width="23.7109375" style="407" customWidth="1"/>
    <col min="11015" max="11015" width="26.42578125" style="407" customWidth="1"/>
    <col min="11016" max="11016" width="26.5703125" style="407" customWidth="1"/>
    <col min="11017" max="11017" width="27.85546875" style="407" customWidth="1"/>
    <col min="11018" max="11018" width="28.140625" style="407" customWidth="1"/>
    <col min="11019" max="11019" width="24.28515625" style="407" customWidth="1"/>
    <col min="11020" max="11020" width="13.140625" style="407" customWidth="1"/>
    <col min="11021" max="11021" width="19.85546875" style="407" customWidth="1"/>
    <col min="11022" max="11022" width="34.42578125" style="407" customWidth="1"/>
    <col min="11023" max="11023" width="18.140625" style="407" customWidth="1"/>
    <col min="11024" max="11024" width="24.7109375" style="407" customWidth="1"/>
    <col min="11025" max="11025" width="23.28515625" style="407" customWidth="1"/>
    <col min="11026" max="11026" width="18.42578125" style="407" customWidth="1"/>
    <col min="11027" max="11027" width="27.85546875" style="407" customWidth="1"/>
    <col min="11028" max="11028" width="49.42578125" style="407" customWidth="1"/>
    <col min="11029" max="11029" width="32.140625" style="407" customWidth="1"/>
    <col min="11030" max="11030" width="22.42578125" style="407" customWidth="1"/>
    <col min="11031" max="11031" width="33" style="407" customWidth="1"/>
    <col min="11032" max="11032" width="58.85546875" style="407" customWidth="1"/>
    <col min="11033" max="11033" width="37.85546875" style="407" customWidth="1"/>
    <col min="11034" max="11034" width="17.5703125" style="407" customWidth="1"/>
    <col min="11035" max="11035" width="16.5703125" style="407" customWidth="1"/>
    <col min="11036" max="11036" width="28.7109375" style="407" customWidth="1"/>
    <col min="11037" max="11037" width="23.85546875" style="407" customWidth="1"/>
    <col min="11038" max="11264" width="9.140625" style="407"/>
    <col min="11265" max="11266" width="0" style="407" hidden="1" customWidth="1"/>
    <col min="11267" max="11267" width="15.7109375" style="407" customWidth="1"/>
    <col min="11268" max="11268" width="93.42578125" style="407" customWidth="1"/>
    <col min="11269" max="11269" width="32.28515625" style="407" customWidth="1"/>
    <col min="11270" max="11270" width="23.7109375" style="407" customWidth="1"/>
    <col min="11271" max="11271" width="26.42578125" style="407" customWidth="1"/>
    <col min="11272" max="11272" width="26.5703125" style="407" customWidth="1"/>
    <col min="11273" max="11273" width="27.85546875" style="407" customWidth="1"/>
    <col min="11274" max="11274" width="28.140625" style="407" customWidth="1"/>
    <col min="11275" max="11275" width="24.28515625" style="407" customWidth="1"/>
    <col min="11276" max="11276" width="13.140625" style="407" customWidth="1"/>
    <col min="11277" max="11277" width="19.85546875" style="407" customWidth="1"/>
    <col min="11278" max="11278" width="34.42578125" style="407" customWidth="1"/>
    <col min="11279" max="11279" width="18.140625" style="407" customWidth="1"/>
    <col min="11280" max="11280" width="24.7109375" style="407" customWidth="1"/>
    <col min="11281" max="11281" width="23.28515625" style="407" customWidth="1"/>
    <col min="11282" max="11282" width="18.42578125" style="407" customWidth="1"/>
    <col min="11283" max="11283" width="27.85546875" style="407" customWidth="1"/>
    <col min="11284" max="11284" width="49.42578125" style="407" customWidth="1"/>
    <col min="11285" max="11285" width="32.140625" style="407" customWidth="1"/>
    <col min="11286" max="11286" width="22.42578125" style="407" customWidth="1"/>
    <col min="11287" max="11287" width="33" style="407" customWidth="1"/>
    <col min="11288" max="11288" width="58.85546875" style="407" customWidth="1"/>
    <col min="11289" max="11289" width="37.85546875" style="407" customWidth="1"/>
    <col min="11290" max="11290" width="17.5703125" style="407" customWidth="1"/>
    <col min="11291" max="11291" width="16.5703125" style="407" customWidth="1"/>
    <col min="11292" max="11292" width="28.7109375" style="407" customWidth="1"/>
    <col min="11293" max="11293" width="23.85546875" style="407" customWidth="1"/>
    <col min="11294" max="11520" width="9.140625" style="407"/>
    <col min="11521" max="11522" width="0" style="407" hidden="1" customWidth="1"/>
    <col min="11523" max="11523" width="15.7109375" style="407" customWidth="1"/>
    <col min="11524" max="11524" width="93.42578125" style="407" customWidth="1"/>
    <col min="11525" max="11525" width="32.28515625" style="407" customWidth="1"/>
    <col min="11526" max="11526" width="23.7109375" style="407" customWidth="1"/>
    <col min="11527" max="11527" width="26.42578125" style="407" customWidth="1"/>
    <col min="11528" max="11528" width="26.5703125" style="407" customWidth="1"/>
    <col min="11529" max="11529" width="27.85546875" style="407" customWidth="1"/>
    <col min="11530" max="11530" width="28.140625" style="407" customWidth="1"/>
    <col min="11531" max="11531" width="24.28515625" style="407" customWidth="1"/>
    <col min="11532" max="11532" width="13.140625" style="407" customWidth="1"/>
    <col min="11533" max="11533" width="19.85546875" style="407" customWidth="1"/>
    <col min="11534" max="11534" width="34.42578125" style="407" customWidth="1"/>
    <col min="11535" max="11535" width="18.140625" style="407" customWidth="1"/>
    <col min="11536" max="11536" width="24.7109375" style="407" customWidth="1"/>
    <col min="11537" max="11537" width="23.28515625" style="407" customWidth="1"/>
    <col min="11538" max="11538" width="18.42578125" style="407" customWidth="1"/>
    <col min="11539" max="11539" width="27.85546875" style="407" customWidth="1"/>
    <col min="11540" max="11540" width="49.42578125" style="407" customWidth="1"/>
    <col min="11541" max="11541" width="32.140625" style="407" customWidth="1"/>
    <col min="11542" max="11542" width="22.42578125" style="407" customWidth="1"/>
    <col min="11543" max="11543" width="33" style="407" customWidth="1"/>
    <col min="11544" max="11544" width="58.85546875" style="407" customWidth="1"/>
    <col min="11545" max="11545" width="37.85546875" style="407" customWidth="1"/>
    <col min="11546" max="11546" width="17.5703125" style="407" customWidth="1"/>
    <col min="11547" max="11547" width="16.5703125" style="407" customWidth="1"/>
    <col min="11548" max="11548" width="28.7109375" style="407" customWidth="1"/>
    <col min="11549" max="11549" width="23.85546875" style="407" customWidth="1"/>
    <col min="11550" max="11776" width="9.140625" style="407"/>
    <col min="11777" max="11778" width="0" style="407" hidden="1" customWidth="1"/>
    <col min="11779" max="11779" width="15.7109375" style="407" customWidth="1"/>
    <col min="11780" max="11780" width="93.42578125" style="407" customWidth="1"/>
    <col min="11781" max="11781" width="32.28515625" style="407" customWidth="1"/>
    <col min="11782" max="11782" width="23.7109375" style="407" customWidth="1"/>
    <col min="11783" max="11783" width="26.42578125" style="407" customWidth="1"/>
    <col min="11784" max="11784" width="26.5703125" style="407" customWidth="1"/>
    <col min="11785" max="11785" width="27.85546875" style="407" customWidth="1"/>
    <col min="11786" max="11786" width="28.140625" style="407" customWidth="1"/>
    <col min="11787" max="11787" width="24.28515625" style="407" customWidth="1"/>
    <col min="11788" max="11788" width="13.140625" style="407" customWidth="1"/>
    <col min="11789" max="11789" width="19.85546875" style="407" customWidth="1"/>
    <col min="11790" max="11790" width="34.42578125" style="407" customWidth="1"/>
    <col min="11791" max="11791" width="18.140625" style="407" customWidth="1"/>
    <col min="11792" max="11792" width="24.7109375" style="407" customWidth="1"/>
    <col min="11793" max="11793" width="23.28515625" style="407" customWidth="1"/>
    <col min="11794" max="11794" width="18.42578125" style="407" customWidth="1"/>
    <col min="11795" max="11795" width="27.85546875" style="407" customWidth="1"/>
    <col min="11796" max="11796" width="49.42578125" style="407" customWidth="1"/>
    <col min="11797" max="11797" width="32.140625" style="407" customWidth="1"/>
    <col min="11798" max="11798" width="22.42578125" style="407" customWidth="1"/>
    <col min="11799" max="11799" width="33" style="407" customWidth="1"/>
    <col min="11800" max="11800" width="58.85546875" style="407" customWidth="1"/>
    <col min="11801" max="11801" width="37.85546875" style="407" customWidth="1"/>
    <col min="11802" max="11802" width="17.5703125" style="407" customWidth="1"/>
    <col min="11803" max="11803" width="16.5703125" style="407" customWidth="1"/>
    <col min="11804" max="11804" width="28.7109375" style="407" customWidth="1"/>
    <col min="11805" max="11805" width="23.85546875" style="407" customWidth="1"/>
    <col min="11806" max="12032" width="9.140625" style="407"/>
    <col min="12033" max="12034" width="0" style="407" hidden="1" customWidth="1"/>
    <col min="12035" max="12035" width="15.7109375" style="407" customWidth="1"/>
    <col min="12036" max="12036" width="93.42578125" style="407" customWidth="1"/>
    <col min="12037" max="12037" width="32.28515625" style="407" customWidth="1"/>
    <col min="12038" max="12038" width="23.7109375" style="407" customWidth="1"/>
    <col min="12039" max="12039" width="26.42578125" style="407" customWidth="1"/>
    <col min="12040" max="12040" width="26.5703125" style="407" customWidth="1"/>
    <col min="12041" max="12041" width="27.85546875" style="407" customWidth="1"/>
    <col min="12042" max="12042" width="28.140625" style="407" customWidth="1"/>
    <col min="12043" max="12043" width="24.28515625" style="407" customWidth="1"/>
    <col min="12044" max="12044" width="13.140625" style="407" customWidth="1"/>
    <col min="12045" max="12045" width="19.85546875" style="407" customWidth="1"/>
    <col min="12046" max="12046" width="34.42578125" style="407" customWidth="1"/>
    <col min="12047" max="12047" width="18.140625" style="407" customWidth="1"/>
    <col min="12048" max="12048" width="24.7109375" style="407" customWidth="1"/>
    <col min="12049" max="12049" width="23.28515625" style="407" customWidth="1"/>
    <col min="12050" max="12050" width="18.42578125" style="407" customWidth="1"/>
    <col min="12051" max="12051" width="27.85546875" style="407" customWidth="1"/>
    <col min="12052" max="12052" width="49.42578125" style="407" customWidth="1"/>
    <col min="12053" max="12053" width="32.140625" style="407" customWidth="1"/>
    <col min="12054" max="12054" width="22.42578125" style="407" customWidth="1"/>
    <col min="12055" max="12055" width="33" style="407" customWidth="1"/>
    <col min="12056" max="12056" width="58.85546875" style="407" customWidth="1"/>
    <col min="12057" max="12057" width="37.85546875" style="407" customWidth="1"/>
    <col min="12058" max="12058" width="17.5703125" style="407" customWidth="1"/>
    <col min="12059" max="12059" width="16.5703125" style="407" customWidth="1"/>
    <col min="12060" max="12060" width="28.7109375" style="407" customWidth="1"/>
    <col min="12061" max="12061" width="23.85546875" style="407" customWidth="1"/>
    <col min="12062" max="12288" width="9.140625" style="407"/>
    <col min="12289" max="12290" width="0" style="407" hidden="1" customWidth="1"/>
    <col min="12291" max="12291" width="15.7109375" style="407" customWidth="1"/>
    <col min="12292" max="12292" width="93.42578125" style="407" customWidth="1"/>
    <col min="12293" max="12293" width="32.28515625" style="407" customWidth="1"/>
    <col min="12294" max="12294" width="23.7109375" style="407" customWidth="1"/>
    <col min="12295" max="12295" width="26.42578125" style="407" customWidth="1"/>
    <col min="12296" max="12296" width="26.5703125" style="407" customWidth="1"/>
    <col min="12297" max="12297" width="27.85546875" style="407" customWidth="1"/>
    <col min="12298" max="12298" width="28.140625" style="407" customWidth="1"/>
    <col min="12299" max="12299" width="24.28515625" style="407" customWidth="1"/>
    <col min="12300" max="12300" width="13.140625" style="407" customWidth="1"/>
    <col min="12301" max="12301" width="19.85546875" style="407" customWidth="1"/>
    <col min="12302" max="12302" width="34.42578125" style="407" customWidth="1"/>
    <col min="12303" max="12303" width="18.140625" style="407" customWidth="1"/>
    <col min="12304" max="12304" width="24.7109375" style="407" customWidth="1"/>
    <col min="12305" max="12305" width="23.28515625" style="407" customWidth="1"/>
    <col min="12306" max="12306" width="18.42578125" style="407" customWidth="1"/>
    <col min="12307" max="12307" width="27.85546875" style="407" customWidth="1"/>
    <col min="12308" max="12308" width="49.42578125" style="407" customWidth="1"/>
    <col min="12309" max="12309" width="32.140625" style="407" customWidth="1"/>
    <col min="12310" max="12310" width="22.42578125" style="407" customWidth="1"/>
    <col min="12311" max="12311" width="33" style="407" customWidth="1"/>
    <col min="12312" max="12312" width="58.85546875" style="407" customWidth="1"/>
    <col min="12313" max="12313" width="37.85546875" style="407" customWidth="1"/>
    <col min="12314" max="12314" width="17.5703125" style="407" customWidth="1"/>
    <col min="12315" max="12315" width="16.5703125" style="407" customWidth="1"/>
    <col min="12316" max="12316" width="28.7109375" style="407" customWidth="1"/>
    <col min="12317" max="12317" width="23.85546875" style="407" customWidth="1"/>
    <col min="12318" max="12544" width="9.140625" style="407"/>
    <col min="12545" max="12546" width="0" style="407" hidden="1" customWidth="1"/>
    <col min="12547" max="12547" width="15.7109375" style="407" customWidth="1"/>
    <col min="12548" max="12548" width="93.42578125" style="407" customWidth="1"/>
    <col min="12549" max="12549" width="32.28515625" style="407" customWidth="1"/>
    <col min="12550" max="12550" width="23.7109375" style="407" customWidth="1"/>
    <col min="12551" max="12551" width="26.42578125" style="407" customWidth="1"/>
    <col min="12552" max="12552" width="26.5703125" style="407" customWidth="1"/>
    <col min="12553" max="12553" width="27.85546875" style="407" customWidth="1"/>
    <col min="12554" max="12554" width="28.140625" style="407" customWidth="1"/>
    <col min="12555" max="12555" width="24.28515625" style="407" customWidth="1"/>
    <col min="12556" max="12556" width="13.140625" style="407" customWidth="1"/>
    <col min="12557" max="12557" width="19.85546875" style="407" customWidth="1"/>
    <col min="12558" max="12558" width="34.42578125" style="407" customWidth="1"/>
    <col min="12559" max="12559" width="18.140625" style="407" customWidth="1"/>
    <col min="12560" max="12560" width="24.7109375" style="407" customWidth="1"/>
    <col min="12561" max="12561" width="23.28515625" style="407" customWidth="1"/>
    <col min="12562" max="12562" width="18.42578125" style="407" customWidth="1"/>
    <col min="12563" max="12563" width="27.85546875" style="407" customWidth="1"/>
    <col min="12564" max="12564" width="49.42578125" style="407" customWidth="1"/>
    <col min="12565" max="12565" width="32.140625" style="407" customWidth="1"/>
    <col min="12566" max="12566" width="22.42578125" style="407" customWidth="1"/>
    <col min="12567" max="12567" width="33" style="407" customWidth="1"/>
    <col min="12568" max="12568" width="58.85546875" style="407" customWidth="1"/>
    <col min="12569" max="12569" width="37.85546875" style="407" customWidth="1"/>
    <col min="12570" max="12570" width="17.5703125" style="407" customWidth="1"/>
    <col min="12571" max="12571" width="16.5703125" style="407" customWidth="1"/>
    <col min="12572" max="12572" width="28.7109375" style="407" customWidth="1"/>
    <col min="12573" max="12573" width="23.85546875" style="407" customWidth="1"/>
    <col min="12574" max="12800" width="9.140625" style="407"/>
    <col min="12801" max="12802" width="0" style="407" hidden="1" customWidth="1"/>
    <col min="12803" max="12803" width="15.7109375" style="407" customWidth="1"/>
    <col min="12804" max="12804" width="93.42578125" style="407" customWidth="1"/>
    <col min="12805" max="12805" width="32.28515625" style="407" customWidth="1"/>
    <col min="12806" max="12806" width="23.7109375" style="407" customWidth="1"/>
    <col min="12807" max="12807" width="26.42578125" style="407" customWidth="1"/>
    <col min="12808" max="12808" width="26.5703125" style="407" customWidth="1"/>
    <col min="12809" max="12809" width="27.85546875" style="407" customWidth="1"/>
    <col min="12810" max="12810" width="28.140625" style="407" customWidth="1"/>
    <col min="12811" max="12811" width="24.28515625" style="407" customWidth="1"/>
    <col min="12812" max="12812" width="13.140625" style="407" customWidth="1"/>
    <col min="12813" max="12813" width="19.85546875" style="407" customWidth="1"/>
    <col min="12814" max="12814" width="34.42578125" style="407" customWidth="1"/>
    <col min="12815" max="12815" width="18.140625" style="407" customWidth="1"/>
    <col min="12816" max="12816" width="24.7109375" style="407" customWidth="1"/>
    <col min="12817" max="12817" width="23.28515625" style="407" customWidth="1"/>
    <col min="12818" max="12818" width="18.42578125" style="407" customWidth="1"/>
    <col min="12819" max="12819" width="27.85546875" style="407" customWidth="1"/>
    <col min="12820" max="12820" width="49.42578125" style="407" customWidth="1"/>
    <col min="12821" max="12821" width="32.140625" style="407" customWidth="1"/>
    <col min="12822" max="12822" width="22.42578125" style="407" customWidth="1"/>
    <col min="12823" max="12823" width="33" style="407" customWidth="1"/>
    <col min="12824" max="12824" width="58.85546875" style="407" customWidth="1"/>
    <col min="12825" max="12825" width="37.85546875" style="407" customWidth="1"/>
    <col min="12826" max="12826" width="17.5703125" style="407" customWidth="1"/>
    <col min="12827" max="12827" width="16.5703125" style="407" customWidth="1"/>
    <col min="12828" max="12828" width="28.7109375" style="407" customWidth="1"/>
    <col min="12829" max="12829" width="23.85546875" style="407" customWidth="1"/>
    <col min="12830" max="13056" width="9.140625" style="407"/>
    <col min="13057" max="13058" width="0" style="407" hidden="1" customWidth="1"/>
    <col min="13059" max="13059" width="15.7109375" style="407" customWidth="1"/>
    <col min="13060" max="13060" width="93.42578125" style="407" customWidth="1"/>
    <col min="13061" max="13061" width="32.28515625" style="407" customWidth="1"/>
    <col min="13062" max="13062" width="23.7109375" style="407" customWidth="1"/>
    <col min="13063" max="13063" width="26.42578125" style="407" customWidth="1"/>
    <col min="13064" max="13064" width="26.5703125" style="407" customWidth="1"/>
    <col min="13065" max="13065" width="27.85546875" style="407" customWidth="1"/>
    <col min="13066" max="13066" width="28.140625" style="407" customWidth="1"/>
    <col min="13067" max="13067" width="24.28515625" style="407" customWidth="1"/>
    <col min="13068" max="13068" width="13.140625" style="407" customWidth="1"/>
    <col min="13069" max="13069" width="19.85546875" style="407" customWidth="1"/>
    <col min="13070" max="13070" width="34.42578125" style="407" customWidth="1"/>
    <col min="13071" max="13071" width="18.140625" style="407" customWidth="1"/>
    <col min="13072" max="13072" width="24.7109375" style="407" customWidth="1"/>
    <col min="13073" max="13073" width="23.28515625" style="407" customWidth="1"/>
    <col min="13074" max="13074" width="18.42578125" style="407" customWidth="1"/>
    <col min="13075" max="13075" width="27.85546875" style="407" customWidth="1"/>
    <col min="13076" max="13076" width="49.42578125" style="407" customWidth="1"/>
    <col min="13077" max="13077" width="32.140625" style="407" customWidth="1"/>
    <col min="13078" max="13078" width="22.42578125" style="407" customWidth="1"/>
    <col min="13079" max="13079" width="33" style="407" customWidth="1"/>
    <col min="13080" max="13080" width="58.85546875" style="407" customWidth="1"/>
    <col min="13081" max="13081" width="37.85546875" style="407" customWidth="1"/>
    <col min="13082" max="13082" width="17.5703125" style="407" customWidth="1"/>
    <col min="13083" max="13083" width="16.5703125" style="407" customWidth="1"/>
    <col min="13084" max="13084" width="28.7109375" style="407" customWidth="1"/>
    <col min="13085" max="13085" width="23.85546875" style="407" customWidth="1"/>
    <col min="13086" max="13312" width="9.140625" style="407"/>
    <col min="13313" max="13314" width="0" style="407" hidden="1" customWidth="1"/>
    <col min="13315" max="13315" width="15.7109375" style="407" customWidth="1"/>
    <col min="13316" max="13316" width="93.42578125" style="407" customWidth="1"/>
    <col min="13317" max="13317" width="32.28515625" style="407" customWidth="1"/>
    <col min="13318" max="13318" width="23.7109375" style="407" customWidth="1"/>
    <col min="13319" max="13319" width="26.42578125" style="407" customWidth="1"/>
    <col min="13320" max="13320" width="26.5703125" style="407" customWidth="1"/>
    <col min="13321" max="13321" width="27.85546875" style="407" customWidth="1"/>
    <col min="13322" max="13322" width="28.140625" style="407" customWidth="1"/>
    <col min="13323" max="13323" width="24.28515625" style="407" customWidth="1"/>
    <col min="13324" max="13324" width="13.140625" style="407" customWidth="1"/>
    <col min="13325" max="13325" width="19.85546875" style="407" customWidth="1"/>
    <col min="13326" max="13326" width="34.42578125" style="407" customWidth="1"/>
    <col min="13327" max="13327" width="18.140625" style="407" customWidth="1"/>
    <col min="13328" max="13328" width="24.7109375" style="407" customWidth="1"/>
    <col min="13329" max="13329" width="23.28515625" style="407" customWidth="1"/>
    <col min="13330" max="13330" width="18.42578125" style="407" customWidth="1"/>
    <col min="13331" max="13331" width="27.85546875" style="407" customWidth="1"/>
    <col min="13332" max="13332" width="49.42578125" style="407" customWidth="1"/>
    <col min="13333" max="13333" width="32.140625" style="407" customWidth="1"/>
    <col min="13334" max="13334" width="22.42578125" style="407" customWidth="1"/>
    <col min="13335" max="13335" width="33" style="407" customWidth="1"/>
    <col min="13336" max="13336" width="58.85546875" style="407" customWidth="1"/>
    <col min="13337" max="13337" width="37.85546875" style="407" customWidth="1"/>
    <col min="13338" max="13338" width="17.5703125" style="407" customWidth="1"/>
    <col min="13339" max="13339" width="16.5703125" style="407" customWidth="1"/>
    <col min="13340" max="13340" width="28.7109375" style="407" customWidth="1"/>
    <col min="13341" max="13341" width="23.85546875" style="407" customWidth="1"/>
    <col min="13342" max="13568" width="9.140625" style="407"/>
    <col min="13569" max="13570" width="0" style="407" hidden="1" customWidth="1"/>
    <col min="13571" max="13571" width="15.7109375" style="407" customWidth="1"/>
    <col min="13572" max="13572" width="93.42578125" style="407" customWidth="1"/>
    <col min="13573" max="13573" width="32.28515625" style="407" customWidth="1"/>
    <col min="13574" max="13574" width="23.7109375" style="407" customWidth="1"/>
    <col min="13575" max="13575" width="26.42578125" style="407" customWidth="1"/>
    <col min="13576" max="13576" width="26.5703125" style="407" customWidth="1"/>
    <col min="13577" max="13577" width="27.85546875" style="407" customWidth="1"/>
    <col min="13578" max="13578" width="28.140625" style="407" customWidth="1"/>
    <col min="13579" max="13579" width="24.28515625" style="407" customWidth="1"/>
    <col min="13580" max="13580" width="13.140625" style="407" customWidth="1"/>
    <col min="13581" max="13581" width="19.85546875" style="407" customWidth="1"/>
    <col min="13582" max="13582" width="34.42578125" style="407" customWidth="1"/>
    <col min="13583" max="13583" width="18.140625" style="407" customWidth="1"/>
    <col min="13584" max="13584" width="24.7109375" style="407" customWidth="1"/>
    <col min="13585" max="13585" width="23.28515625" style="407" customWidth="1"/>
    <col min="13586" max="13586" width="18.42578125" style="407" customWidth="1"/>
    <col min="13587" max="13587" width="27.85546875" style="407" customWidth="1"/>
    <col min="13588" max="13588" width="49.42578125" style="407" customWidth="1"/>
    <col min="13589" max="13589" width="32.140625" style="407" customWidth="1"/>
    <col min="13590" max="13590" width="22.42578125" style="407" customWidth="1"/>
    <col min="13591" max="13591" width="33" style="407" customWidth="1"/>
    <col min="13592" max="13592" width="58.85546875" style="407" customWidth="1"/>
    <col min="13593" max="13593" width="37.85546875" style="407" customWidth="1"/>
    <col min="13594" max="13594" width="17.5703125" style="407" customWidth="1"/>
    <col min="13595" max="13595" width="16.5703125" style="407" customWidth="1"/>
    <col min="13596" max="13596" width="28.7109375" style="407" customWidth="1"/>
    <col min="13597" max="13597" width="23.85546875" style="407" customWidth="1"/>
    <col min="13598" max="13824" width="9.140625" style="407"/>
    <col min="13825" max="13826" width="0" style="407" hidden="1" customWidth="1"/>
    <col min="13827" max="13827" width="15.7109375" style="407" customWidth="1"/>
    <col min="13828" max="13828" width="93.42578125" style="407" customWidth="1"/>
    <col min="13829" max="13829" width="32.28515625" style="407" customWidth="1"/>
    <col min="13830" max="13830" width="23.7109375" style="407" customWidth="1"/>
    <col min="13831" max="13831" width="26.42578125" style="407" customWidth="1"/>
    <col min="13832" max="13832" width="26.5703125" style="407" customWidth="1"/>
    <col min="13833" max="13833" width="27.85546875" style="407" customWidth="1"/>
    <col min="13834" max="13834" width="28.140625" style="407" customWidth="1"/>
    <col min="13835" max="13835" width="24.28515625" style="407" customWidth="1"/>
    <col min="13836" max="13836" width="13.140625" style="407" customWidth="1"/>
    <col min="13837" max="13837" width="19.85546875" style="407" customWidth="1"/>
    <col min="13838" max="13838" width="34.42578125" style="407" customWidth="1"/>
    <col min="13839" max="13839" width="18.140625" style="407" customWidth="1"/>
    <col min="13840" max="13840" width="24.7109375" style="407" customWidth="1"/>
    <col min="13841" max="13841" width="23.28515625" style="407" customWidth="1"/>
    <col min="13842" max="13842" width="18.42578125" style="407" customWidth="1"/>
    <col min="13843" max="13843" width="27.85546875" style="407" customWidth="1"/>
    <col min="13844" max="13844" width="49.42578125" style="407" customWidth="1"/>
    <col min="13845" max="13845" width="32.140625" style="407" customWidth="1"/>
    <col min="13846" max="13846" width="22.42578125" style="407" customWidth="1"/>
    <col min="13847" max="13847" width="33" style="407" customWidth="1"/>
    <col min="13848" max="13848" width="58.85546875" style="407" customWidth="1"/>
    <col min="13849" max="13849" width="37.85546875" style="407" customWidth="1"/>
    <col min="13850" max="13850" width="17.5703125" style="407" customWidth="1"/>
    <col min="13851" max="13851" width="16.5703125" style="407" customWidth="1"/>
    <col min="13852" max="13852" width="28.7109375" style="407" customWidth="1"/>
    <col min="13853" max="13853" width="23.85546875" style="407" customWidth="1"/>
    <col min="13854" max="14080" width="9.140625" style="407"/>
    <col min="14081" max="14082" width="0" style="407" hidden="1" customWidth="1"/>
    <col min="14083" max="14083" width="15.7109375" style="407" customWidth="1"/>
    <col min="14084" max="14084" width="93.42578125" style="407" customWidth="1"/>
    <col min="14085" max="14085" width="32.28515625" style="407" customWidth="1"/>
    <col min="14086" max="14086" width="23.7109375" style="407" customWidth="1"/>
    <col min="14087" max="14087" width="26.42578125" style="407" customWidth="1"/>
    <col min="14088" max="14088" width="26.5703125" style="407" customWidth="1"/>
    <col min="14089" max="14089" width="27.85546875" style="407" customWidth="1"/>
    <col min="14090" max="14090" width="28.140625" style="407" customWidth="1"/>
    <col min="14091" max="14091" width="24.28515625" style="407" customWidth="1"/>
    <col min="14092" max="14092" width="13.140625" style="407" customWidth="1"/>
    <col min="14093" max="14093" width="19.85546875" style="407" customWidth="1"/>
    <col min="14094" max="14094" width="34.42578125" style="407" customWidth="1"/>
    <col min="14095" max="14095" width="18.140625" style="407" customWidth="1"/>
    <col min="14096" max="14096" width="24.7109375" style="407" customWidth="1"/>
    <col min="14097" max="14097" width="23.28515625" style="407" customWidth="1"/>
    <col min="14098" max="14098" width="18.42578125" style="407" customWidth="1"/>
    <col min="14099" max="14099" width="27.85546875" style="407" customWidth="1"/>
    <col min="14100" max="14100" width="49.42578125" style="407" customWidth="1"/>
    <col min="14101" max="14101" width="32.140625" style="407" customWidth="1"/>
    <col min="14102" max="14102" width="22.42578125" style="407" customWidth="1"/>
    <col min="14103" max="14103" width="33" style="407" customWidth="1"/>
    <col min="14104" max="14104" width="58.85546875" style="407" customWidth="1"/>
    <col min="14105" max="14105" width="37.85546875" style="407" customWidth="1"/>
    <col min="14106" max="14106" width="17.5703125" style="407" customWidth="1"/>
    <col min="14107" max="14107" width="16.5703125" style="407" customWidth="1"/>
    <col min="14108" max="14108" width="28.7109375" style="407" customWidth="1"/>
    <col min="14109" max="14109" width="23.85546875" style="407" customWidth="1"/>
    <col min="14110" max="14336" width="9.140625" style="407"/>
    <col min="14337" max="14338" width="0" style="407" hidden="1" customWidth="1"/>
    <col min="14339" max="14339" width="15.7109375" style="407" customWidth="1"/>
    <col min="14340" max="14340" width="93.42578125" style="407" customWidth="1"/>
    <col min="14341" max="14341" width="32.28515625" style="407" customWidth="1"/>
    <col min="14342" max="14342" width="23.7109375" style="407" customWidth="1"/>
    <col min="14343" max="14343" width="26.42578125" style="407" customWidth="1"/>
    <col min="14344" max="14344" width="26.5703125" style="407" customWidth="1"/>
    <col min="14345" max="14345" width="27.85546875" style="407" customWidth="1"/>
    <col min="14346" max="14346" width="28.140625" style="407" customWidth="1"/>
    <col min="14347" max="14347" width="24.28515625" style="407" customWidth="1"/>
    <col min="14348" max="14348" width="13.140625" style="407" customWidth="1"/>
    <col min="14349" max="14349" width="19.85546875" style="407" customWidth="1"/>
    <col min="14350" max="14350" width="34.42578125" style="407" customWidth="1"/>
    <col min="14351" max="14351" width="18.140625" style="407" customWidth="1"/>
    <col min="14352" max="14352" width="24.7109375" style="407" customWidth="1"/>
    <col min="14353" max="14353" width="23.28515625" style="407" customWidth="1"/>
    <col min="14354" max="14354" width="18.42578125" style="407" customWidth="1"/>
    <col min="14355" max="14355" width="27.85546875" style="407" customWidth="1"/>
    <col min="14356" max="14356" width="49.42578125" style="407" customWidth="1"/>
    <col min="14357" max="14357" width="32.140625" style="407" customWidth="1"/>
    <col min="14358" max="14358" width="22.42578125" style="407" customWidth="1"/>
    <col min="14359" max="14359" width="33" style="407" customWidth="1"/>
    <col min="14360" max="14360" width="58.85546875" style="407" customWidth="1"/>
    <col min="14361" max="14361" width="37.85546875" style="407" customWidth="1"/>
    <col min="14362" max="14362" width="17.5703125" style="407" customWidth="1"/>
    <col min="14363" max="14363" width="16.5703125" style="407" customWidth="1"/>
    <col min="14364" max="14364" width="28.7109375" style="407" customWidth="1"/>
    <col min="14365" max="14365" width="23.85546875" style="407" customWidth="1"/>
    <col min="14366" max="14592" width="9.140625" style="407"/>
    <col min="14593" max="14594" width="0" style="407" hidden="1" customWidth="1"/>
    <col min="14595" max="14595" width="15.7109375" style="407" customWidth="1"/>
    <col min="14596" max="14596" width="93.42578125" style="407" customWidth="1"/>
    <col min="14597" max="14597" width="32.28515625" style="407" customWidth="1"/>
    <col min="14598" max="14598" width="23.7109375" style="407" customWidth="1"/>
    <col min="14599" max="14599" width="26.42578125" style="407" customWidth="1"/>
    <col min="14600" max="14600" width="26.5703125" style="407" customWidth="1"/>
    <col min="14601" max="14601" width="27.85546875" style="407" customWidth="1"/>
    <col min="14602" max="14602" width="28.140625" style="407" customWidth="1"/>
    <col min="14603" max="14603" width="24.28515625" style="407" customWidth="1"/>
    <col min="14604" max="14604" width="13.140625" style="407" customWidth="1"/>
    <col min="14605" max="14605" width="19.85546875" style="407" customWidth="1"/>
    <col min="14606" max="14606" width="34.42578125" style="407" customWidth="1"/>
    <col min="14607" max="14607" width="18.140625" style="407" customWidth="1"/>
    <col min="14608" max="14608" width="24.7109375" style="407" customWidth="1"/>
    <col min="14609" max="14609" width="23.28515625" style="407" customWidth="1"/>
    <col min="14610" max="14610" width="18.42578125" style="407" customWidth="1"/>
    <col min="14611" max="14611" width="27.85546875" style="407" customWidth="1"/>
    <col min="14612" max="14612" width="49.42578125" style="407" customWidth="1"/>
    <col min="14613" max="14613" width="32.140625" style="407" customWidth="1"/>
    <col min="14614" max="14614" width="22.42578125" style="407" customWidth="1"/>
    <col min="14615" max="14615" width="33" style="407" customWidth="1"/>
    <col min="14616" max="14616" width="58.85546875" style="407" customWidth="1"/>
    <col min="14617" max="14617" width="37.85546875" style="407" customWidth="1"/>
    <col min="14618" max="14618" width="17.5703125" style="407" customWidth="1"/>
    <col min="14619" max="14619" width="16.5703125" style="407" customWidth="1"/>
    <col min="14620" max="14620" width="28.7109375" style="407" customWidth="1"/>
    <col min="14621" max="14621" width="23.85546875" style="407" customWidth="1"/>
    <col min="14622" max="14848" width="9.140625" style="407"/>
    <col min="14849" max="14850" width="0" style="407" hidden="1" customWidth="1"/>
    <col min="14851" max="14851" width="15.7109375" style="407" customWidth="1"/>
    <col min="14852" max="14852" width="93.42578125" style="407" customWidth="1"/>
    <col min="14853" max="14853" width="32.28515625" style="407" customWidth="1"/>
    <col min="14854" max="14854" width="23.7109375" style="407" customWidth="1"/>
    <col min="14855" max="14855" width="26.42578125" style="407" customWidth="1"/>
    <col min="14856" max="14856" width="26.5703125" style="407" customWidth="1"/>
    <col min="14857" max="14857" width="27.85546875" style="407" customWidth="1"/>
    <col min="14858" max="14858" width="28.140625" style="407" customWidth="1"/>
    <col min="14859" max="14859" width="24.28515625" style="407" customWidth="1"/>
    <col min="14860" max="14860" width="13.140625" style="407" customWidth="1"/>
    <col min="14861" max="14861" width="19.85546875" style="407" customWidth="1"/>
    <col min="14862" max="14862" width="34.42578125" style="407" customWidth="1"/>
    <col min="14863" max="14863" width="18.140625" style="407" customWidth="1"/>
    <col min="14864" max="14864" width="24.7109375" style="407" customWidth="1"/>
    <col min="14865" max="14865" width="23.28515625" style="407" customWidth="1"/>
    <col min="14866" max="14866" width="18.42578125" style="407" customWidth="1"/>
    <col min="14867" max="14867" width="27.85546875" style="407" customWidth="1"/>
    <col min="14868" max="14868" width="49.42578125" style="407" customWidth="1"/>
    <col min="14869" max="14869" width="32.140625" style="407" customWidth="1"/>
    <col min="14870" max="14870" width="22.42578125" style="407" customWidth="1"/>
    <col min="14871" max="14871" width="33" style="407" customWidth="1"/>
    <col min="14872" max="14872" width="58.85546875" style="407" customWidth="1"/>
    <col min="14873" max="14873" width="37.85546875" style="407" customWidth="1"/>
    <col min="14874" max="14874" width="17.5703125" style="407" customWidth="1"/>
    <col min="14875" max="14875" width="16.5703125" style="407" customWidth="1"/>
    <col min="14876" max="14876" width="28.7109375" style="407" customWidth="1"/>
    <col min="14877" max="14877" width="23.85546875" style="407" customWidth="1"/>
    <col min="14878" max="15104" width="9.140625" style="407"/>
    <col min="15105" max="15106" width="0" style="407" hidden="1" customWidth="1"/>
    <col min="15107" max="15107" width="15.7109375" style="407" customWidth="1"/>
    <col min="15108" max="15108" width="93.42578125" style="407" customWidth="1"/>
    <col min="15109" max="15109" width="32.28515625" style="407" customWidth="1"/>
    <col min="15110" max="15110" width="23.7109375" style="407" customWidth="1"/>
    <col min="15111" max="15111" width="26.42578125" style="407" customWidth="1"/>
    <col min="15112" max="15112" width="26.5703125" style="407" customWidth="1"/>
    <col min="15113" max="15113" width="27.85546875" style="407" customWidth="1"/>
    <col min="15114" max="15114" width="28.140625" style="407" customWidth="1"/>
    <col min="15115" max="15115" width="24.28515625" style="407" customWidth="1"/>
    <col min="15116" max="15116" width="13.140625" style="407" customWidth="1"/>
    <col min="15117" max="15117" width="19.85546875" style="407" customWidth="1"/>
    <col min="15118" max="15118" width="34.42578125" style="407" customWidth="1"/>
    <col min="15119" max="15119" width="18.140625" style="407" customWidth="1"/>
    <col min="15120" max="15120" width="24.7109375" style="407" customWidth="1"/>
    <col min="15121" max="15121" width="23.28515625" style="407" customWidth="1"/>
    <col min="15122" max="15122" width="18.42578125" style="407" customWidth="1"/>
    <col min="15123" max="15123" width="27.85546875" style="407" customWidth="1"/>
    <col min="15124" max="15124" width="49.42578125" style="407" customWidth="1"/>
    <col min="15125" max="15125" width="32.140625" style="407" customWidth="1"/>
    <col min="15126" max="15126" width="22.42578125" style="407" customWidth="1"/>
    <col min="15127" max="15127" width="33" style="407" customWidth="1"/>
    <col min="15128" max="15128" width="58.85546875" style="407" customWidth="1"/>
    <col min="15129" max="15129" width="37.85546875" style="407" customWidth="1"/>
    <col min="15130" max="15130" width="17.5703125" style="407" customWidth="1"/>
    <col min="15131" max="15131" width="16.5703125" style="407" customWidth="1"/>
    <col min="15132" max="15132" width="28.7109375" style="407" customWidth="1"/>
    <col min="15133" max="15133" width="23.85546875" style="407" customWidth="1"/>
    <col min="15134" max="15360" width="9.140625" style="407"/>
    <col min="15361" max="15362" width="0" style="407" hidden="1" customWidth="1"/>
    <col min="15363" max="15363" width="15.7109375" style="407" customWidth="1"/>
    <col min="15364" max="15364" width="93.42578125" style="407" customWidth="1"/>
    <col min="15365" max="15365" width="32.28515625" style="407" customWidth="1"/>
    <col min="15366" max="15366" width="23.7109375" style="407" customWidth="1"/>
    <col min="15367" max="15367" width="26.42578125" style="407" customWidth="1"/>
    <col min="15368" max="15368" width="26.5703125" style="407" customWidth="1"/>
    <col min="15369" max="15369" width="27.85546875" style="407" customWidth="1"/>
    <col min="15370" max="15370" width="28.140625" style="407" customWidth="1"/>
    <col min="15371" max="15371" width="24.28515625" style="407" customWidth="1"/>
    <col min="15372" max="15372" width="13.140625" style="407" customWidth="1"/>
    <col min="15373" max="15373" width="19.85546875" style="407" customWidth="1"/>
    <col min="15374" max="15374" width="34.42578125" style="407" customWidth="1"/>
    <col min="15375" max="15375" width="18.140625" style="407" customWidth="1"/>
    <col min="15376" max="15376" width="24.7109375" style="407" customWidth="1"/>
    <col min="15377" max="15377" width="23.28515625" style="407" customWidth="1"/>
    <col min="15378" max="15378" width="18.42578125" style="407" customWidth="1"/>
    <col min="15379" max="15379" width="27.85546875" style="407" customWidth="1"/>
    <col min="15380" max="15380" width="49.42578125" style="407" customWidth="1"/>
    <col min="15381" max="15381" width="32.140625" style="407" customWidth="1"/>
    <col min="15382" max="15382" width="22.42578125" style="407" customWidth="1"/>
    <col min="15383" max="15383" width="33" style="407" customWidth="1"/>
    <col min="15384" max="15384" width="58.85546875" style="407" customWidth="1"/>
    <col min="15385" max="15385" width="37.85546875" style="407" customWidth="1"/>
    <col min="15386" max="15386" width="17.5703125" style="407" customWidth="1"/>
    <col min="15387" max="15387" width="16.5703125" style="407" customWidth="1"/>
    <col min="15388" max="15388" width="28.7109375" style="407" customWidth="1"/>
    <col min="15389" max="15389" width="23.85546875" style="407" customWidth="1"/>
    <col min="15390" max="15616" width="9.140625" style="407"/>
    <col min="15617" max="15618" width="0" style="407" hidden="1" customWidth="1"/>
    <col min="15619" max="15619" width="15.7109375" style="407" customWidth="1"/>
    <col min="15620" max="15620" width="93.42578125" style="407" customWidth="1"/>
    <col min="15621" max="15621" width="32.28515625" style="407" customWidth="1"/>
    <col min="15622" max="15622" width="23.7109375" style="407" customWidth="1"/>
    <col min="15623" max="15623" width="26.42578125" style="407" customWidth="1"/>
    <col min="15624" max="15624" width="26.5703125" style="407" customWidth="1"/>
    <col min="15625" max="15625" width="27.85546875" style="407" customWidth="1"/>
    <col min="15626" max="15626" width="28.140625" style="407" customWidth="1"/>
    <col min="15627" max="15627" width="24.28515625" style="407" customWidth="1"/>
    <col min="15628" max="15628" width="13.140625" style="407" customWidth="1"/>
    <col min="15629" max="15629" width="19.85546875" style="407" customWidth="1"/>
    <col min="15630" max="15630" width="34.42578125" style="407" customWidth="1"/>
    <col min="15631" max="15631" width="18.140625" style="407" customWidth="1"/>
    <col min="15632" max="15632" width="24.7109375" style="407" customWidth="1"/>
    <col min="15633" max="15633" width="23.28515625" style="407" customWidth="1"/>
    <col min="15634" max="15634" width="18.42578125" style="407" customWidth="1"/>
    <col min="15635" max="15635" width="27.85546875" style="407" customWidth="1"/>
    <col min="15636" max="15636" width="49.42578125" style="407" customWidth="1"/>
    <col min="15637" max="15637" width="32.140625" style="407" customWidth="1"/>
    <col min="15638" max="15638" width="22.42578125" style="407" customWidth="1"/>
    <col min="15639" max="15639" width="33" style="407" customWidth="1"/>
    <col min="15640" max="15640" width="58.85546875" style="407" customWidth="1"/>
    <col min="15641" max="15641" width="37.85546875" style="407" customWidth="1"/>
    <col min="15642" max="15642" width="17.5703125" style="407" customWidth="1"/>
    <col min="15643" max="15643" width="16.5703125" style="407" customWidth="1"/>
    <col min="15644" max="15644" width="28.7109375" style="407" customWidth="1"/>
    <col min="15645" max="15645" width="23.85546875" style="407" customWidth="1"/>
    <col min="15646" max="15872" width="9.140625" style="407"/>
    <col min="15873" max="15874" width="0" style="407" hidden="1" customWidth="1"/>
    <col min="15875" max="15875" width="15.7109375" style="407" customWidth="1"/>
    <col min="15876" max="15876" width="93.42578125" style="407" customWidth="1"/>
    <col min="15877" max="15877" width="32.28515625" style="407" customWidth="1"/>
    <col min="15878" max="15878" width="23.7109375" style="407" customWidth="1"/>
    <col min="15879" max="15879" width="26.42578125" style="407" customWidth="1"/>
    <col min="15880" max="15880" width="26.5703125" style="407" customWidth="1"/>
    <col min="15881" max="15881" width="27.85546875" style="407" customWidth="1"/>
    <col min="15882" max="15882" width="28.140625" style="407" customWidth="1"/>
    <col min="15883" max="15883" width="24.28515625" style="407" customWidth="1"/>
    <col min="15884" max="15884" width="13.140625" style="407" customWidth="1"/>
    <col min="15885" max="15885" width="19.85546875" style="407" customWidth="1"/>
    <col min="15886" max="15886" width="34.42578125" style="407" customWidth="1"/>
    <col min="15887" max="15887" width="18.140625" style="407" customWidth="1"/>
    <col min="15888" max="15888" width="24.7109375" style="407" customWidth="1"/>
    <col min="15889" max="15889" width="23.28515625" style="407" customWidth="1"/>
    <col min="15890" max="15890" width="18.42578125" style="407" customWidth="1"/>
    <col min="15891" max="15891" width="27.85546875" style="407" customWidth="1"/>
    <col min="15892" max="15892" width="49.42578125" style="407" customWidth="1"/>
    <col min="15893" max="15893" width="32.140625" style="407" customWidth="1"/>
    <col min="15894" max="15894" width="22.42578125" style="407" customWidth="1"/>
    <col min="15895" max="15895" width="33" style="407" customWidth="1"/>
    <col min="15896" max="15896" width="58.85546875" style="407" customWidth="1"/>
    <col min="15897" max="15897" width="37.85546875" style="407" customWidth="1"/>
    <col min="15898" max="15898" width="17.5703125" style="407" customWidth="1"/>
    <col min="15899" max="15899" width="16.5703125" style="407" customWidth="1"/>
    <col min="15900" max="15900" width="28.7109375" style="407" customWidth="1"/>
    <col min="15901" max="15901" width="23.85546875" style="407" customWidth="1"/>
    <col min="15902" max="16128" width="9.140625" style="407"/>
    <col min="16129" max="16130" width="0" style="407" hidden="1" customWidth="1"/>
    <col min="16131" max="16131" width="15.7109375" style="407" customWidth="1"/>
    <col min="16132" max="16132" width="93.42578125" style="407" customWidth="1"/>
    <col min="16133" max="16133" width="32.28515625" style="407" customWidth="1"/>
    <col min="16134" max="16134" width="23.7109375" style="407" customWidth="1"/>
    <col min="16135" max="16135" width="26.42578125" style="407" customWidth="1"/>
    <col min="16136" max="16136" width="26.5703125" style="407" customWidth="1"/>
    <col min="16137" max="16137" width="27.85546875" style="407" customWidth="1"/>
    <col min="16138" max="16138" width="28.140625" style="407" customWidth="1"/>
    <col min="16139" max="16139" width="24.28515625" style="407" customWidth="1"/>
    <col min="16140" max="16140" width="13.140625" style="407" customWidth="1"/>
    <col min="16141" max="16141" width="19.85546875" style="407" customWidth="1"/>
    <col min="16142" max="16142" width="34.42578125" style="407" customWidth="1"/>
    <col min="16143" max="16143" width="18.140625" style="407" customWidth="1"/>
    <col min="16144" max="16144" width="24.7109375" style="407" customWidth="1"/>
    <col min="16145" max="16145" width="23.28515625" style="407" customWidth="1"/>
    <col min="16146" max="16146" width="18.42578125" style="407" customWidth="1"/>
    <col min="16147" max="16147" width="27.85546875" style="407" customWidth="1"/>
    <col min="16148" max="16148" width="49.42578125" style="407" customWidth="1"/>
    <col min="16149" max="16149" width="32.140625" style="407" customWidth="1"/>
    <col min="16150" max="16150" width="22.42578125" style="407" customWidth="1"/>
    <col min="16151" max="16151" width="33" style="407" customWidth="1"/>
    <col min="16152" max="16152" width="58.85546875" style="407" customWidth="1"/>
    <col min="16153" max="16153" width="37.85546875" style="407" customWidth="1"/>
    <col min="16154" max="16154" width="17.5703125" style="407" customWidth="1"/>
    <col min="16155" max="16155" width="16.5703125" style="407" customWidth="1"/>
    <col min="16156" max="16156" width="28.7109375" style="407" customWidth="1"/>
    <col min="16157" max="16157" width="23.85546875" style="407" customWidth="1"/>
    <col min="16158" max="16384" width="9.140625" style="407"/>
  </cols>
  <sheetData>
    <row r="1" spans="1:29" ht="31.5" x14ac:dyDescent="0.5">
      <c r="F1" s="408"/>
      <c r="G1" s="408"/>
      <c r="H1" s="408"/>
      <c r="I1" s="408"/>
      <c r="J1" s="408"/>
      <c r="K1" s="408"/>
      <c r="L1" s="409"/>
      <c r="M1" s="409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10"/>
      <c r="AA1" s="411"/>
      <c r="AB1" s="411"/>
      <c r="AC1" s="411"/>
    </row>
    <row r="2" spans="1:29" ht="20.25" x14ac:dyDescent="0.3">
      <c r="Z2" s="411"/>
      <c r="AA2" s="411"/>
      <c r="AB2" s="411"/>
      <c r="AC2" s="411"/>
    </row>
    <row r="3" spans="1:29" ht="21" x14ac:dyDescent="0.35">
      <c r="Z3" s="410"/>
      <c r="AA3" s="411"/>
      <c r="AB3" s="411"/>
      <c r="AC3" s="411"/>
    </row>
    <row r="4" spans="1:29" ht="31.5" x14ac:dyDescent="0.5">
      <c r="AA4" s="408"/>
      <c r="AB4" s="412"/>
      <c r="AC4" s="413"/>
    </row>
    <row r="5" spans="1:29" ht="147.75" customHeight="1" x14ac:dyDescent="0.25">
      <c r="C5" s="414" t="s">
        <v>2284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</row>
    <row r="6" spans="1:29" s="415" customFormat="1" ht="30.75" customHeight="1" x14ac:dyDescent="0.4">
      <c r="C6" s="416" t="s">
        <v>0</v>
      </c>
      <c r="D6" s="416" t="s">
        <v>1</v>
      </c>
      <c r="E6" s="417" t="s">
        <v>2</v>
      </c>
      <c r="F6" s="418" t="s">
        <v>167</v>
      </c>
      <c r="G6" s="418"/>
      <c r="H6" s="418"/>
      <c r="I6" s="418"/>
      <c r="J6" s="418"/>
      <c r="K6" s="418"/>
      <c r="L6" s="418"/>
      <c r="M6" s="418"/>
      <c r="N6" s="418"/>
      <c r="O6" s="418"/>
      <c r="P6" s="418"/>
      <c r="Q6" s="418"/>
      <c r="R6" s="419" t="s">
        <v>3</v>
      </c>
      <c r="S6" s="420"/>
      <c r="T6" s="420"/>
      <c r="U6" s="420"/>
      <c r="V6" s="420"/>
      <c r="W6" s="420"/>
      <c r="X6" s="420"/>
      <c r="Y6" s="420"/>
      <c r="Z6" s="420"/>
      <c r="AA6" s="420"/>
      <c r="AB6" s="420"/>
      <c r="AC6" s="421" t="s">
        <v>2285</v>
      </c>
    </row>
    <row r="7" spans="1:29" s="415" customFormat="1" ht="48.75" customHeight="1" x14ac:dyDescent="0.4">
      <c r="C7" s="416"/>
      <c r="D7" s="416"/>
      <c r="E7" s="422"/>
      <c r="F7" s="418" t="s">
        <v>7</v>
      </c>
      <c r="G7" s="418"/>
      <c r="H7" s="418"/>
      <c r="I7" s="418"/>
      <c r="J7" s="418"/>
      <c r="K7" s="418"/>
      <c r="L7" s="423" t="s">
        <v>8</v>
      </c>
      <c r="M7" s="423"/>
      <c r="N7" s="423" t="s">
        <v>9</v>
      </c>
      <c r="O7" s="423" t="s">
        <v>10</v>
      </c>
      <c r="P7" s="423" t="s">
        <v>11</v>
      </c>
      <c r="Q7" s="423" t="s">
        <v>12</v>
      </c>
      <c r="R7" s="424" t="s">
        <v>2286</v>
      </c>
      <c r="S7" s="424" t="s">
        <v>2287</v>
      </c>
      <c r="T7" s="424" t="s">
        <v>2288</v>
      </c>
      <c r="U7" s="424" t="s">
        <v>2289</v>
      </c>
      <c r="V7" s="424" t="s">
        <v>17</v>
      </c>
      <c r="W7" s="424" t="s">
        <v>2290</v>
      </c>
      <c r="X7" s="424" t="s">
        <v>2291</v>
      </c>
      <c r="Y7" s="424" t="s">
        <v>2292</v>
      </c>
      <c r="Z7" s="424" t="s">
        <v>19</v>
      </c>
      <c r="AA7" s="424" t="s">
        <v>20</v>
      </c>
      <c r="AB7" s="424" t="s">
        <v>2293</v>
      </c>
      <c r="AC7" s="421"/>
    </row>
    <row r="8" spans="1:29" s="415" customFormat="1" ht="409.5" customHeight="1" x14ac:dyDescent="0.4">
      <c r="C8" s="416"/>
      <c r="D8" s="416"/>
      <c r="E8" s="425"/>
      <c r="F8" s="426" t="s">
        <v>21</v>
      </c>
      <c r="G8" s="426" t="s">
        <v>22</v>
      </c>
      <c r="H8" s="426" t="s">
        <v>23</v>
      </c>
      <c r="I8" s="426" t="s">
        <v>24</v>
      </c>
      <c r="J8" s="426" t="s">
        <v>25</v>
      </c>
      <c r="K8" s="426" t="s">
        <v>26</v>
      </c>
      <c r="L8" s="423"/>
      <c r="M8" s="423"/>
      <c r="N8" s="423"/>
      <c r="O8" s="423"/>
      <c r="P8" s="423"/>
      <c r="Q8" s="423"/>
      <c r="R8" s="427"/>
      <c r="S8" s="427"/>
      <c r="T8" s="427"/>
      <c r="U8" s="427"/>
      <c r="V8" s="427"/>
      <c r="W8" s="427"/>
      <c r="X8" s="427"/>
      <c r="Y8" s="427"/>
      <c r="Z8" s="427"/>
      <c r="AA8" s="427"/>
      <c r="AB8" s="427"/>
      <c r="AC8" s="421"/>
    </row>
    <row r="9" spans="1:29" s="415" customFormat="1" ht="38.25" customHeight="1" x14ac:dyDescent="0.4">
      <c r="C9" s="416"/>
      <c r="D9" s="416"/>
      <c r="E9" s="428" t="s">
        <v>27</v>
      </c>
      <c r="F9" s="429" t="s">
        <v>27</v>
      </c>
      <c r="G9" s="429" t="s">
        <v>27</v>
      </c>
      <c r="H9" s="429" t="s">
        <v>27</v>
      </c>
      <c r="I9" s="429" t="s">
        <v>27</v>
      </c>
      <c r="J9" s="429" t="s">
        <v>27</v>
      </c>
      <c r="K9" s="429" t="s">
        <v>27</v>
      </c>
      <c r="L9" s="429" t="s">
        <v>28</v>
      </c>
      <c r="M9" s="429" t="s">
        <v>27</v>
      </c>
      <c r="N9" s="429" t="s">
        <v>27</v>
      </c>
      <c r="O9" s="429" t="s">
        <v>27</v>
      </c>
      <c r="P9" s="429" t="s">
        <v>27</v>
      </c>
      <c r="Q9" s="429" t="s">
        <v>27</v>
      </c>
      <c r="R9" s="429" t="s">
        <v>27</v>
      </c>
      <c r="S9" s="429" t="s">
        <v>27</v>
      </c>
      <c r="T9" s="429" t="s">
        <v>27</v>
      </c>
      <c r="U9" s="429" t="s">
        <v>27</v>
      </c>
      <c r="V9" s="429" t="s">
        <v>27</v>
      </c>
      <c r="W9" s="429" t="s">
        <v>27</v>
      </c>
      <c r="X9" s="429" t="s">
        <v>27</v>
      </c>
      <c r="Y9" s="429" t="s">
        <v>27</v>
      </c>
      <c r="Z9" s="429" t="s">
        <v>27</v>
      </c>
      <c r="AA9" s="429" t="s">
        <v>27</v>
      </c>
      <c r="AB9" s="429" t="s">
        <v>27</v>
      </c>
      <c r="AC9" s="421"/>
    </row>
    <row r="10" spans="1:29" s="415" customFormat="1" ht="34.5" customHeight="1" x14ac:dyDescent="0.45">
      <c r="A10" s="415">
        <v>1</v>
      </c>
      <c r="C10" s="430">
        <v>1</v>
      </c>
      <c r="D10" s="430">
        <v>2</v>
      </c>
      <c r="E10" s="431">
        <f>D10+1</f>
        <v>3</v>
      </c>
      <c r="F10" s="431">
        <f>E10+1</f>
        <v>4</v>
      </c>
      <c r="G10" s="431">
        <v>5</v>
      </c>
      <c r="H10" s="431">
        <v>6</v>
      </c>
      <c r="I10" s="431">
        <v>7</v>
      </c>
      <c r="J10" s="431">
        <v>8</v>
      </c>
      <c r="K10" s="431">
        <v>9</v>
      </c>
      <c r="L10" s="431">
        <v>10</v>
      </c>
      <c r="M10" s="431">
        <v>11</v>
      </c>
      <c r="N10" s="431">
        <v>12</v>
      </c>
      <c r="O10" s="431">
        <v>13</v>
      </c>
      <c r="P10" s="431">
        <v>14</v>
      </c>
      <c r="Q10" s="431">
        <v>15</v>
      </c>
      <c r="R10" s="431">
        <v>16</v>
      </c>
      <c r="S10" s="431">
        <v>17</v>
      </c>
      <c r="T10" s="431">
        <v>18</v>
      </c>
      <c r="U10" s="431">
        <v>19</v>
      </c>
      <c r="V10" s="431">
        <v>20</v>
      </c>
      <c r="W10" s="431">
        <v>21</v>
      </c>
      <c r="X10" s="431">
        <v>22</v>
      </c>
      <c r="Y10" s="431">
        <v>23</v>
      </c>
      <c r="Z10" s="431">
        <v>24</v>
      </c>
      <c r="AA10" s="431">
        <v>25</v>
      </c>
      <c r="AB10" s="431">
        <v>26</v>
      </c>
      <c r="AC10" s="431">
        <v>27</v>
      </c>
    </row>
    <row r="11" spans="1:29" s="415" customFormat="1" ht="27.75" x14ac:dyDescent="0.4">
      <c r="C11" s="432" t="s">
        <v>2294</v>
      </c>
      <c r="D11" s="430"/>
      <c r="E11" s="433">
        <f>E12</f>
        <v>58937.15</v>
      </c>
      <c r="F11" s="433">
        <f t="shared" ref="F11:AB15" si="0">F12</f>
        <v>0</v>
      </c>
      <c r="G11" s="433">
        <f t="shared" si="0"/>
        <v>0</v>
      </c>
      <c r="H11" s="433">
        <f t="shared" si="0"/>
        <v>0</v>
      </c>
      <c r="I11" s="433">
        <f t="shared" si="0"/>
        <v>58937.15</v>
      </c>
      <c r="J11" s="433">
        <f t="shared" si="0"/>
        <v>0</v>
      </c>
      <c r="K11" s="433">
        <f t="shared" si="0"/>
        <v>0</v>
      </c>
      <c r="L11" s="434">
        <f t="shared" si="0"/>
        <v>0</v>
      </c>
      <c r="M11" s="433">
        <f t="shared" si="0"/>
        <v>0</v>
      </c>
      <c r="N11" s="433">
        <f t="shared" si="0"/>
        <v>0</v>
      </c>
      <c r="O11" s="433">
        <f t="shared" si="0"/>
        <v>0</v>
      </c>
      <c r="P11" s="433">
        <f t="shared" si="0"/>
        <v>0</v>
      </c>
      <c r="Q11" s="433">
        <f t="shared" si="0"/>
        <v>0</v>
      </c>
      <c r="R11" s="433">
        <f t="shared" si="0"/>
        <v>0</v>
      </c>
      <c r="S11" s="433">
        <f t="shared" si="0"/>
        <v>0</v>
      </c>
      <c r="T11" s="433">
        <f t="shared" si="0"/>
        <v>0</v>
      </c>
      <c r="U11" s="433">
        <f t="shared" si="0"/>
        <v>0</v>
      </c>
      <c r="V11" s="433">
        <f t="shared" si="0"/>
        <v>0</v>
      </c>
      <c r="W11" s="433">
        <f t="shared" si="0"/>
        <v>0</v>
      </c>
      <c r="X11" s="433">
        <f t="shared" si="0"/>
        <v>0</v>
      </c>
      <c r="Y11" s="433">
        <f t="shared" si="0"/>
        <v>0</v>
      </c>
      <c r="Z11" s="433">
        <f t="shared" si="0"/>
        <v>0</v>
      </c>
      <c r="AA11" s="433">
        <f t="shared" si="0"/>
        <v>0</v>
      </c>
      <c r="AB11" s="433">
        <f t="shared" si="0"/>
        <v>0</v>
      </c>
      <c r="AC11" s="430" t="s">
        <v>131</v>
      </c>
    </row>
    <row r="12" spans="1:29" s="415" customFormat="1" ht="27.75" x14ac:dyDescent="0.4">
      <c r="C12" s="435" t="s">
        <v>399</v>
      </c>
      <c r="D12" s="430"/>
      <c r="E12" s="433">
        <f>E13</f>
        <v>58937.15</v>
      </c>
      <c r="F12" s="433">
        <f t="shared" si="0"/>
        <v>0</v>
      </c>
      <c r="G12" s="433">
        <f t="shared" si="0"/>
        <v>0</v>
      </c>
      <c r="H12" s="433">
        <f t="shared" si="0"/>
        <v>0</v>
      </c>
      <c r="I12" s="433">
        <f t="shared" si="0"/>
        <v>58937.15</v>
      </c>
      <c r="J12" s="433">
        <f t="shared" si="0"/>
        <v>0</v>
      </c>
      <c r="K12" s="433">
        <f t="shared" si="0"/>
        <v>0</v>
      </c>
      <c r="L12" s="434">
        <f t="shared" si="0"/>
        <v>0</v>
      </c>
      <c r="M12" s="433">
        <f t="shared" si="0"/>
        <v>0</v>
      </c>
      <c r="N12" s="433">
        <f t="shared" si="0"/>
        <v>0</v>
      </c>
      <c r="O12" s="433">
        <f t="shared" si="0"/>
        <v>0</v>
      </c>
      <c r="P12" s="433">
        <f t="shared" si="0"/>
        <v>0</v>
      </c>
      <c r="Q12" s="433">
        <f t="shared" si="0"/>
        <v>0</v>
      </c>
      <c r="R12" s="433">
        <f t="shared" si="0"/>
        <v>0</v>
      </c>
      <c r="S12" s="433">
        <f t="shared" si="0"/>
        <v>0</v>
      </c>
      <c r="T12" s="433">
        <f t="shared" si="0"/>
        <v>0</v>
      </c>
      <c r="U12" s="433">
        <f t="shared" si="0"/>
        <v>0</v>
      </c>
      <c r="V12" s="433">
        <f t="shared" si="0"/>
        <v>0</v>
      </c>
      <c r="W12" s="433">
        <f t="shared" si="0"/>
        <v>0</v>
      </c>
      <c r="X12" s="433">
        <f t="shared" si="0"/>
        <v>0</v>
      </c>
      <c r="Y12" s="433">
        <f t="shared" si="0"/>
        <v>0</v>
      </c>
      <c r="Z12" s="433">
        <f t="shared" si="0"/>
        <v>0</v>
      </c>
      <c r="AA12" s="433">
        <f t="shared" si="0"/>
        <v>0</v>
      </c>
      <c r="AB12" s="433">
        <f t="shared" si="0"/>
        <v>0</v>
      </c>
      <c r="AC12" s="430" t="s">
        <v>131</v>
      </c>
    </row>
    <row r="13" spans="1:29" s="415" customFormat="1" ht="27.75" x14ac:dyDescent="0.4">
      <c r="A13" s="415">
        <v>2</v>
      </c>
      <c r="C13" s="435" t="s">
        <v>2295</v>
      </c>
      <c r="D13" s="430"/>
      <c r="E13" s="433">
        <f t="shared" ref="E13:E16" si="1">F13+G13+H13+I13+J13+K13+M13+N13+O13+P13+Q13+R13+S13+T13+U13+V13+W13+X13+Y13+Z13+AA13+AB13</f>
        <v>58937.15</v>
      </c>
      <c r="F13" s="433">
        <f t="shared" si="0"/>
        <v>0</v>
      </c>
      <c r="G13" s="433">
        <f t="shared" si="0"/>
        <v>0</v>
      </c>
      <c r="H13" s="433">
        <f t="shared" si="0"/>
        <v>0</v>
      </c>
      <c r="I13" s="433">
        <f t="shared" si="0"/>
        <v>58937.15</v>
      </c>
      <c r="J13" s="433">
        <f t="shared" si="0"/>
        <v>0</v>
      </c>
      <c r="K13" s="433">
        <f t="shared" si="0"/>
        <v>0</v>
      </c>
      <c r="L13" s="434">
        <f t="shared" si="0"/>
        <v>0</v>
      </c>
      <c r="M13" s="433">
        <f t="shared" si="0"/>
        <v>0</v>
      </c>
      <c r="N13" s="433">
        <f t="shared" si="0"/>
        <v>0</v>
      </c>
      <c r="O13" s="433">
        <f t="shared" si="0"/>
        <v>0</v>
      </c>
      <c r="P13" s="433">
        <f t="shared" si="0"/>
        <v>0</v>
      </c>
      <c r="Q13" s="433">
        <f t="shared" si="0"/>
        <v>0</v>
      </c>
      <c r="R13" s="433">
        <v>0</v>
      </c>
      <c r="S13" s="433">
        <v>0</v>
      </c>
      <c r="T13" s="433">
        <v>0</v>
      </c>
      <c r="U13" s="433">
        <v>0</v>
      </c>
      <c r="V13" s="433">
        <v>0</v>
      </c>
      <c r="W13" s="433">
        <v>0</v>
      </c>
      <c r="X13" s="433">
        <v>0</v>
      </c>
      <c r="Y13" s="433">
        <v>0</v>
      </c>
      <c r="Z13" s="433">
        <f t="shared" si="0"/>
        <v>0</v>
      </c>
      <c r="AA13" s="433">
        <f t="shared" si="0"/>
        <v>0</v>
      </c>
      <c r="AB13" s="433">
        <f t="shared" si="0"/>
        <v>0</v>
      </c>
      <c r="AC13" s="430" t="s">
        <v>131</v>
      </c>
    </row>
    <row r="14" spans="1:29" s="415" customFormat="1" ht="27.75" x14ac:dyDescent="0.4">
      <c r="A14" s="415">
        <v>3</v>
      </c>
      <c r="B14" s="415">
        <v>1</v>
      </c>
      <c r="C14" s="436">
        <v>1</v>
      </c>
      <c r="D14" s="437" t="s">
        <v>2296</v>
      </c>
      <c r="E14" s="433">
        <f t="shared" si="1"/>
        <v>58937.15</v>
      </c>
      <c r="F14" s="438">
        <v>0</v>
      </c>
      <c r="G14" s="438">
        <v>0</v>
      </c>
      <c r="H14" s="438">
        <v>0</v>
      </c>
      <c r="I14" s="438">
        <v>58937.15</v>
      </c>
      <c r="J14" s="438">
        <v>0</v>
      </c>
      <c r="K14" s="438">
        <v>0</v>
      </c>
      <c r="L14" s="437">
        <v>0</v>
      </c>
      <c r="M14" s="438">
        <v>0</v>
      </c>
      <c r="N14" s="438">
        <v>0</v>
      </c>
      <c r="O14" s="438">
        <v>0</v>
      </c>
      <c r="P14" s="438">
        <v>0</v>
      </c>
      <c r="Q14" s="438">
        <v>0</v>
      </c>
      <c r="R14" s="438">
        <v>0</v>
      </c>
      <c r="S14" s="438">
        <v>0</v>
      </c>
      <c r="T14" s="438">
        <v>0</v>
      </c>
      <c r="U14" s="438">
        <v>0</v>
      </c>
      <c r="V14" s="438">
        <v>0</v>
      </c>
      <c r="W14" s="438">
        <v>0</v>
      </c>
      <c r="X14" s="438">
        <v>0</v>
      </c>
      <c r="Y14" s="438">
        <v>0</v>
      </c>
      <c r="Z14" s="438">
        <v>0</v>
      </c>
      <c r="AA14" s="438">
        <v>0</v>
      </c>
      <c r="AB14" s="438">
        <v>0</v>
      </c>
      <c r="AC14" s="436">
        <v>2020</v>
      </c>
    </row>
    <row r="15" spans="1:29" s="415" customFormat="1" ht="27.75" x14ac:dyDescent="0.4">
      <c r="A15" s="415">
        <v>2</v>
      </c>
      <c r="C15" s="435" t="s">
        <v>209</v>
      </c>
      <c r="D15" s="430"/>
      <c r="E15" s="433">
        <f t="shared" si="1"/>
        <v>560539.34</v>
      </c>
      <c r="F15" s="433">
        <f t="shared" si="0"/>
        <v>0</v>
      </c>
      <c r="G15" s="433">
        <f t="shared" si="0"/>
        <v>0</v>
      </c>
      <c r="H15" s="433">
        <f t="shared" si="0"/>
        <v>560539.34</v>
      </c>
      <c r="I15" s="433">
        <f t="shared" si="0"/>
        <v>0</v>
      </c>
      <c r="J15" s="433">
        <f t="shared" si="0"/>
        <v>0</v>
      </c>
      <c r="K15" s="433">
        <f t="shared" si="0"/>
        <v>0</v>
      </c>
      <c r="L15" s="434">
        <f t="shared" si="0"/>
        <v>0</v>
      </c>
      <c r="M15" s="433">
        <f t="shared" si="0"/>
        <v>0</v>
      </c>
      <c r="N15" s="433">
        <f t="shared" si="0"/>
        <v>0</v>
      </c>
      <c r="O15" s="433">
        <f t="shared" si="0"/>
        <v>0</v>
      </c>
      <c r="P15" s="433">
        <f t="shared" si="0"/>
        <v>0</v>
      </c>
      <c r="Q15" s="433">
        <f t="shared" si="0"/>
        <v>0</v>
      </c>
      <c r="R15" s="433">
        <v>0</v>
      </c>
      <c r="S15" s="433">
        <v>0</v>
      </c>
      <c r="T15" s="433">
        <v>0</v>
      </c>
      <c r="U15" s="433">
        <v>0</v>
      </c>
      <c r="V15" s="433">
        <v>0</v>
      </c>
      <c r="W15" s="433">
        <v>0</v>
      </c>
      <c r="X15" s="433">
        <v>0</v>
      </c>
      <c r="Y15" s="433">
        <v>0</v>
      </c>
      <c r="Z15" s="433">
        <f t="shared" si="0"/>
        <v>0</v>
      </c>
      <c r="AA15" s="433">
        <f t="shared" si="0"/>
        <v>0</v>
      </c>
      <c r="AB15" s="433">
        <f t="shared" si="0"/>
        <v>0</v>
      </c>
      <c r="AC15" s="430" t="s">
        <v>131</v>
      </c>
    </row>
    <row r="16" spans="1:29" s="415" customFormat="1" ht="27.75" x14ac:dyDescent="0.4">
      <c r="A16" s="415">
        <v>3</v>
      </c>
      <c r="B16" s="415">
        <v>1</v>
      </c>
      <c r="C16" s="436">
        <v>2</v>
      </c>
      <c r="D16" s="437" t="s">
        <v>2297</v>
      </c>
      <c r="E16" s="433">
        <f t="shared" si="1"/>
        <v>560539.34</v>
      </c>
      <c r="F16" s="438">
        <v>0</v>
      </c>
      <c r="G16" s="438">
        <v>0</v>
      </c>
      <c r="H16" s="438">
        <v>560539.34</v>
      </c>
      <c r="I16" s="438">
        <v>0</v>
      </c>
      <c r="J16" s="438">
        <v>0</v>
      </c>
      <c r="K16" s="438">
        <v>0</v>
      </c>
      <c r="L16" s="437">
        <v>0</v>
      </c>
      <c r="M16" s="438">
        <v>0</v>
      </c>
      <c r="N16" s="438">
        <v>0</v>
      </c>
      <c r="O16" s="438">
        <v>0</v>
      </c>
      <c r="P16" s="438">
        <v>0</v>
      </c>
      <c r="Q16" s="438">
        <v>0</v>
      </c>
      <c r="R16" s="438">
        <v>0</v>
      </c>
      <c r="S16" s="438">
        <v>0</v>
      </c>
      <c r="T16" s="438">
        <v>0</v>
      </c>
      <c r="U16" s="438">
        <v>0</v>
      </c>
      <c r="V16" s="438">
        <v>0</v>
      </c>
      <c r="W16" s="438">
        <v>0</v>
      </c>
      <c r="X16" s="438">
        <v>0</v>
      </c>
      <c r="Y16" s="438">
        <v>0</v>
      </c>
      <c r="Z16" s="438">
        <v>0</v>
      </c>
      <c r="AA16" s="438">
        <v>0</v>
      </c>
      <c r="AB16" s="438">
        <v>0</v>
      </c>
      <c r="AC16" s="436">
        <v>2020</v>
      </c>
    </row>
  </sheetData>
  <autoFilter ref="A13:WWK13"/>
  <mergeCells count="28">
    <mergeCell ref="AA7:AA8"/>
    <mergeCell ref="AB7:AB8"/>
    <mergeCell ref="U7:U8"/>
    <mergeCell ref="V7:V8"/>
    <mergeCell ref="W7:W8"/>
    <mergeCell ref="X7:X8"/>
    <mergeCell ref="Y7:Y8"/>
    <mergeCell ref="Z7:Z8"/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L1:M1"/>
    <mergeCell ref="AA1:AC1"/>
    <mergeCell ref="Z2:AC2"/>
    <mergeCell ref="AA3:AC3"/>
    <mergeCell ref="C5:AC5"/>
    <mergeCell ref="C6:C9"/>
    <mergeCell ref="D6:D9"/>
    <mergeCell ref="E6:E8"/>
    <mergeCell ref="F6:Q6"/>
    <mergeCell ref="R6:AB6"/>
  </mergeCells>
  <pageMargins left="0" right="0" top="0" bottom="0" header="0" footer="0"/>
  <pageSetup paperSize="9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243"/>
  <sheetViews>
    <sheetView topLeftCell="B1" zoomScale="20" zoomScaleNormal="20" workbookViewId="0">
      <selection activeCell="I95" sqref="I95"/>
    </sheetView>
  </sheetViews>
  <sheetFormatPr defaultRowHeight="15" x14ac:dyDescent="0.25"/>
  <cols>
    <col min="1" max="1" width="9.140625" style="1" hidden="1" customWidth="1"/>
    <col min="2" max="2" width="26.42578125" style="1" customWidth="1"/>
    <col min="3" max="3" width="253.42578125" style="1" customWidth="1"/>
    <col min="4" max="4" width="58.85546875" style="1" customWidth="1"/>
    <col min="5" max="5" width="72.140625" style="1" customWidth="1"/>
    <col min="6" max="6" width="53.5703125" style="1" customWidth="1"/>
    <col min="7" max="9" width="54.28515625" style="1" customWidth="1"/>
    <col min="10" max="10" width="49.28515625" style="1" customWidth="1"/>
    <col min="11" max="11" width="52.85546875" style="1" customWidth="1"/>
    <col min="12" max="12" width="47.85546875" style="1" customWidth="1"/>
    <col min="13" max="13" width="40.140625" style="17" customWidth="1"/>
    <col min="14" max="14" width="44.42578125" style="1" customWidth="1"/>
    <col min="15" max="15" width="43.7109375" style="1" customWidth="1"/>
    <col min="16" max="16" width="58.5703125" style="1" customWidth="1"/>
    <col min="17" max="17" width="41.42578125" style="1" customWidth="1"/>
    <col min="18" max="18" width="42.5703125" style="1" customWidth="1"/>
    <col min="19" max="19" width="43.85546875" style="1" customWidth="1"/>
    <col min="20" max="20" width="60.28515625" style="1" customWidth="1"/>
    <col min="21" max="21" width="35.42578125" style="1" customWidth="1"/>
    <col min="22" max="22" width="49.140625" style="1" customWidth="1"/>
    <col min="23" max="23" width="34.28515625" style="1" customWidth="1"/>
    <col min="24" max="24" width="58" style="1" customWidth="1"/>
    <col min="25" max="25" width="66.28515625" style="1" customWidth="1"/>
    <col min="26" max="26" width="51.85546875" style="1" customWidth="1"/>
    <col min="27" max="27" width="41.42578125" style="1" customWidth="1"/>
    <col min="28" max="28" width="69" style="1" customWidth="1"/>
    <col min="29" max="29" width="96.7109375" style="1" customWidth="1"/>
    <col min="30" max="30" width="55.28515625" style="1" customWidth="1"/>
    <col min="31" max="32" width="51" style="1" customWidth="1"/>
    <col min="33" max="33" width="63.28515625" style="1" customWidth="1"/>
    <col min="34" max="34" width="38.140625" style="1" customWidth="1"/>
    <col min="35" max="35" width="41.7109375" style="1" customWidth="1"/>
    <col min="36" max="36" width="36.7109375" style="1" customWidth="1"/>
    <col min="37" max="16384" width="9.140625" style="1"/>
  </cols>
  <sheetData>
    <row r="1" spans="2:36" s="47" customFormat="1" ht="126.75" customHeight="1" x14ac:dyDescent="1.25">
      <c r="N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74"/>
      <c r="AC1" s="8"/>
      <c r="AJ1" s="62" t="s">
        <v>899</v>
      </c>
    </row>
    <row r="2" spans="2:36" s="47" customFormat="1" ht="126.75" customHeight="1" x14ac:dyDescent="0.5"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74"/>
      <c r="AC2" s="8"/>
      <c r="AJ2" s="84" t="s">
        <v>891</v>
      </c>
    </row>
    <row r="3" spans="2:36" s="47" customFormat="1" ht="126.75" customHeight="1" x14ac:dyDescent="0.5"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74"/>
      <c r="AC3" s="8"/>
      <c r="AJ3" s="84" t="s">
        <v>163</v>
      </c>
    </row>
    <row r="4" spans="2:36" s="47" customFormat="1" ht="126.75" customHeight="1" x14ac:dyDescent="0.5"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74"/>
      <c r="AC4" s="8"/>
      <c r="AJ4" s="84"/>
    </row>
    <row r="5" spans="2:36" ht="90" x14ac:dyDescent="1.1499999999999999">
      <c r="B5" s="149" t="s">
        <v>164</v>
      </c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</row>
    <row r="6" spans="2:36" ht="90" x14ac:dyDescent="0.25">
      <c r="B6" s="150" t="s">
        <v>584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</row>
    <row r="7" spans="2:36" ht="76.5" x14ac:dyDescent="1.05">
      <c r="B7" s="13" t="s">
        <v>165</v>
      </c>
      <c r="C7" s="151" t="s">
        <v>896</v>
      </c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</row>
    <row r="8" spans="2:36" ht="76.5" x14ac:dyDescent="0.25">
      <c r="B8" s="13" t="s">
        <v>166</v>
      </c>
      <c r="C8" s="152" t="s">
        <v>172</v>
      </c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</row>
    <row r="9" spans="2:36" ht="45.75" customHeight="1" x14ac:dyDescent="0.25">
      <c r="B9" s="148" t="s">
        <v>0</v>
      </c>
      <c r="C9" s="148" t="s">
        <v>1</v>
      </c>
      <c r="D9" s="153" t="s">
        <v>173</v>
      </c>
      <c r="E9" s="153" t="s">
        <v>174</v>
      </c>
      <c r="F9" s="156" t="s">
        <v>2</v>
      </c>
      <c r="G9" s="148" t="s">
        <v>167</v>
      </c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59" t="s">
        <v>3</v>
      </c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41" t="s">
        <v>4</v>
      </c>
      <c r="AI9" s="141" t="s">
        <v>5</v>
      </c>
      <c r="AJ9" s="141" t="s">
        <v>6</v>
      </c>
    </row>
    <row r="10" spans="2:36" ht="45.75" x14ac:dyDescent="0.25">
      <c r="B10" s="148"/>
      <c r="C10" s="148"/>
      <c r="D10" s="154"/>
      <c r="E10" s="154"/>
      <c r="F10" s="157"/>
      <c r="G10" s="148" t="s">
        <v>7</v>
      </c>
      <c r="H10" s="148"/>
      <c r="I10" s="148"/>
      <c r="J10" s="148"/>
      <c r="K10" s="148"/>
      <c r="L10" s="148"/>
      <c r="M10" s="144" t="s">
        <v>8</v>
      </c>
      <c r="N10" s="145"/>
      <c r="O10" s="144" t="s">
        <v>9</v>
      </c>
      <c r="P10" s="145"/>
      <c r="Q10" s="144" t="s">
        <v>10</v>
      </c>
      <c r="R10" s="145"/>
      <c r="S10" s="144" t="s">
        <v>11</v>
      </c>
      <c r="T10" s="145"/>
      <c r="U10" s="144" t="s">
        <v>12</v>
      </c>
      <c r="V10" s="145"/>
      <c r="W10" s="137" t="s">
        <v>13</v>
      </c>
      <c r="X10" s="137" t="s">
        <v>175</v>
      </c>
      <c r="Y10" s="137" t="s">
        <v>15</v>
      </c>
      <c r="Z10" s="137" t="s">
        <v>16</v>
      </c>
      <c r="AA10" s="137" t="s">
        <v>17</v>
      </c>
      <c r="AB10" s="137" t="s">
        <v>176</v>
      </c>
      <c r="AC10" s="137" t="s">
        <v>177</v>
      </c>
      <c r="AD10" s="137" t="s">
        <v>178</v>
      </c>
      <c r="AE10" s="139" t="s">
        <v>19</v>
      </c>
      <c r="AF10" s="139" t="s">
        <v>20</v>
      </c>
      <c r="AG10" s="139" t="s">
        <v>179</v>
      </c>
      <c r="AH10" s="142"/>
      <c r="AI10" s="142"/>
      <c r="AJ10" s="142"/>
    </row>
    <row r="11" spans="2:36" ht="303" customHeight="1" x14ac:dyDescent="0.25">
      <c r="B11" s="148"/>
      <c r="C11" s="148"/>
      <c r="D11" s="154"/>
      <c r="E11" s="155"/>
      <c r="F11" s="158"/>
      <c r="G11" s="14" t="s">
        <v>21</v>
      </c>
      <c r="H11" s="14" t="s">
        <v>22</v>
      </c>
      <c r="I11" s="14" t="s">
        <v>23</v>
      </c>
      <c r="J11" s="14" t="s">
        <v>24</v>
      </c>
      <c r="K11" s="14" t="s">
        <v>25</v>
      </c>
      <c r="L11" s="14" t="s">
        <v>26</v>
      </c>
      <c r="M11" s="146"/>
      <c r="N11" s="147"/>
      <c r="O11" s="146"/>
      <c r="P11" s="147"/>
      <c r="Q11" s="146"/>
      <c r="R11" s="147"/>
      <c r="S11" s="146"/>
      <c r="T11" s="147"/>
      <c r="U11" s="146"/>
      <c r="V11" s="147"/>
      <c r="W11" s="138"/>
      <c r="X11" s="138"/>
      <c r="Y11" s="138"/>
      <c r="Z11" s="138"/>
      <c r="AA11" s="138"/>
      <c r="AB11" s="138"/>
      <c r="AC11" s="138"/>
      <c r="AD11" s="138"/>
      <c r="AE11" s="140"/>
      <c r="AF11" s="140"/>
      <c r="AG11" s="140"/>
      <c r="AH11" s="142"/>
      <c r="AI11" s="142"/>
      <c r="AJ11" s="142"/>
    </row>
    <row r="12" spans="2:36" ht="45.75" x14ac:dyDescent="0.25">
      <c r="B12" s="148"/>
      <c r="C12" s="148"/>
      <c r="D12" s="155"/>
      <c r="E12" s="60" t="s">
        <v>180</v>
      </c>
      <c r="F12" s="59" t="s">
        <v>27</v>
      </c>
      <c r="G12" s="60" t="s">
        <v>27</v>
      </c>
      <c r="H12" s="60" t="s">
        <v>27</v>
      </c>
      <c r="I12" s="60" t="s">
        <v>27</v>
      </c>
      <c r="J12" s="60" t="s">
        <v>27</v>
      </c>
      <c r="K12" s="60" t="s">
        <v>27</v>
      </c>
      <c r="L12" s="60" t="s">
        <v>27</v>
      </c>
      <c r="M12" s="4" t="s">
        <v>28</v>
      </c>
      <c r="N12" s="60" t="s">
        <v>27</v>
      </c>
      <c r="O12" s="60" t="s">
        <v>29</v>
      </c>
      <c r="P12" s="60" t="s">
        <v>27</v>
      </c>
      <c r="Q12" s="60" t="s">
        <v>29</v>
      </c>
      <c r="R12" s="60" t="s">
        <v>27</v>
      </c>
      <c r="S12" s="60" t="s">
        <v>29</v>
      </c>
      <c r="T12" s="60" t="s">
        <v>27</v>
      </c>
      <c r="U12" s="60" t="s">
        <v>30</v>
      </c>
      <c r="V12" s="60" t="s">
        <v>27</v>
      </c>
      <c r="W12" s="60" t="s">
        <v>27</v>
      </c>
      <c r="X12" s="60" t="s">
        <v>27</v>
      </c>
      <c r="Y12" s="60" t="s">
        <v>27</v>
      </c>
      <c r="Z12" s="60" t="s">
        <v>27</v>
      </c>
      <c r="AA12" s="60" t="s">
        <v>27</v>
      </c>
      <c r="AB12" s="60" t="s">
        <v>27</v>
      </c>
      <c r="AC12" s="60" t="s">
        <v>27</v>
      </c>
      <c r="AD12" s="60" t="s">
        <v>27</v>
      </c>
      <c r="AE12" s="60" t="s">
        <v>27</v>
      </c>
      <c r="AF12" s="60" t="s">
        <v>27</v>
      </c>
      <c r="AG12" s="60" t="s">
        <v>27</v>
      </c>
      <c r="AH12" s="143"/>
      <c r="AI12" s="143"/>
      <c r="AJ12" s="143"/>
    </row>
    <row r="13" spans="2:36" ht="45.75" x14ac:dyDescent="0.65">
      <c r="B13" s="61">
        <v>1</v>
      </c>
      <c r="C13" s="61">
        <v>2</v>
      </c>
      <c r="D13" s="61">
        <v>3</v>
      </c>
      <c r="E13" s="61">
        <v>4</v>
      </c>
      <c r="F13" s="61">
        <v>5</v>
      </c>
      <c r="G13" s="61">
        <v>6</v>
      </c>
      <c r="H13" s="61">
        <v>7</v>
      </c>
      <c r="I13" s="61">
        <v>8</v>
      </c>
      <c r="J13" s="61">
        <v>9</v>
      </c>
      <c r="K13" s="61">
        <v>10</v>
      </c>
      <c r="L13" s="61">
        <v>11</v>
      </c>
      <c r="M13" s="15">
        <v>12</v>
      </c>
      <c r="N13" s="61">
        <v>13</v>
      </c>
      <c r="O13" s="61">
        <v>14</v>
      </c>
      <c r="P13" s="61">
        <v>15</v>
      </c>
      <c r="Q13" s="61">
        <v>16</v>
      </c>
      <c r="R13" s="61">
        <v>17</v>
      </c>
      <c r="S13" s="61">
        <v>18</v>
      </c>
      <c r="T13" s="61">
        <v>19</v>
      </c>
      <c r="U13" s="61">
        <v>20</v>
      </c>
      <c r="V13" s="61">
        <v>21</v>
      </c>
      <c r="W13" s="61">
        <v>22</v>
      </c>
      <c r="X13" s="61">
        <v>23</v>
      </c>
      <c r="Y13" s="61">
        <v>24</v>
      </c>
      <c r="Z13" s="61">
        <v>25</v>
      </c>
      <c r="AA13" s="61">
        <v>26</v>
      </c>
      <c r="AB13" s="61">
        <v>27</v>
      </c>
      <c r="AC13" s="61">
        <v>28</v>
      </c>
      <c r="AD13" s="61">
        <v>29</v>
      </c>
      <c r="AE13" s="61">
        <v>30</v>
      </c>
      <c r="AF13" s="61">
        <v>31</v>
      </c>
      <c r="AG13" s="61">
        <v>32</v>
      </c>
      <c r="AH13" s="61">
        <v>33</v>
      </c>
      <c r="AI13" s="61">
        <v>34</v>
      </c>
      <c r="AJ13" s="61">
        <v>35</v>
      </c>
    </row>
    <row r="14" spans="2:36" ht="61.5" x14ac:dyDescent="0.25">
      <c r="B14" s="136" t="s">
        <v>181</v>
      </c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</row>
    <row r="15" spans="2:36" s="24" customFormat="1" ht="61.5" x14ac:dyDescent="0.85">
      <c r="B15" s="50" t="s">
        <v>582</v>
      </c>
      <c r="C15" s="25"/>
      <c r="D15" s="20" t="s">
        <v>131</v>
      </c>
      <c r="E15" s="21">
        <f>AVERAGE(E17:E63)</f>
        <v>1.007232092198582</v>
      </c>
      <c r="F15" s="5">
        <f t="shared" ref="F15:AG15" si="0">F16+F68</f>
        <v>82117834.670000002</v>
      </c>
      <c r="G15" s="5">
        <f t="shared" si="0"/>
        <v>0</v>
      </c>
      <c r="H15" s="5">
        <f t="shared" si="0"/>
        <v>0</v>
      </c>
      <c r="I15" s="5">
        <f t="shared" si="0"/>
        <v>0</v>
      </c>
      <c r="J15" s="5">
        <f t="shared" si="0"/>
        <v>0</v>
      </c>
      <c r="K15" s="5">
        <f t="shared" si="0"/>
        <v>597348</v>
      </c>
      <c r="L15" s="5">
        <f t="shared" si="0"/>
        <v>0</v>
      </c>
      <c r="M15" s="26">
        <f t="shared" si="0"/>
        <v>0</v>
      </c>
      <c r="N15" s="5">
        <f t="shared" si="0"/>
        <v>0</v>
      </c>
      <c r="O15" s="5">
        <f t="shared" si="0"/>
        <v>16242.12</v>
      </c>
      <c r="P15" s="5">
        <f t="shared" si="0"/>
        <v>73750185.430000007</v>
      </c>
      <c r="Q15" s="5">
        <f t="shared" si="0"/>
        <v>0</v>
      </c>
      <c r="R15" s="5">
        <f t="shared" si="0"/>
        <v>0</v>
      </c>
      <c r="S15" s="5">
        <f t="shared" si="0"/>
        <v>1379.5099999999998</v>
      </c>
      <c r="T15" s="5">
        <f t="shared" si="0"/>
        <v>5125367.97</v>
      </c>
      <c r="U15" s="5">
        <f t="shared" si="0"/>
        <v>0</v>
      </c>
      <c r="V15" s="5">
        <f t="shared" si="0"/>
        <v>0</v>
      </c>
      <c r="W15" s="5">
        <f t="shared" si="0"/>
        <v>0</v>
      </c>
      <c r="X15" s="5">
        <f t="shared" si="0"/>
        <v>0</v>
      </c>
      <c r="Y15" s="5">
        <f t="shared" si="0"/>
        <v>0</v>
      </c>
      <c r="Z15" s="5">
        <f t="shared" si="0"/>
        <v>0</v>
      </c>
      <c r="AA15" s="5">
        <f t="shared" si="0"/>
        <v>0</v>
      </c>
      <c r="AB15" s="5">
        <f t="shared" si="0"/>
        <v>0</v>
      </c>
      <c r="AC15" s="5">
        <f t="shared" si="0"/>
        <v>0</v>
      </c>
      <c r="AD15" s="5">
        <f t="shared" si="0"/>
        <v>0</v>
      </c>
      <c r="AE15" s="5">
        <f t="shared" si="0"/>
        <v>940505.33000000007</v>
      </c>
      <c r="AF15" s="5">
        <f t="shared" si="0"/>
        <v>1879449.64</v>
      </c>
      <c r="AG15" s="5">
        <f t="shared" si="0"/>
        <v>0</v>
      </c>
      <c r="AH15" s="6" t="s">
        <v>131</v>
      </c>
      <c r="AI15" s="6" t="s">
        <v>131</v>
      </c>
      <c r="AJ15" s="6" t="s">
        <v>131</v>
      </c>
    </row>
    <row r="16" spans="2:36" s="24" customFormat="1" ht="61.5" x14ac:dyDescent="0.85">
      <c r="B16" s="50" t="s">
        <v>391</v>
      </c>
      <c r="C16" s="25"/>
      <c r="D16" s="20" t="s">
        <v>131</v>
      </c>
      <c r="E16" s="21">
        <f>AVERAGE(E18:E64)</f>
        <v>1.0073227704202374</v>
      </c>
      <c r="F16" s="5">
        <f t="shared" ref="F16:AG16" si="1">F17+F19+F28+F30+F32+F34+F37+F40+F44+F46+F48+F52+F54+F56+F58+F62+F64+F66</f>
        <v>51890376.860000007</v>
      </c>
      <c r="G16" s="5">
        <f t="shared" si="1"/>
        <v>0</v>
      </c>
      <c r="H16" s="5">
        <f t="shared" si="1"/>
        <v>0</v>
      </c>
      <c r="I16" s="5">
        <f t="shared" si="1"/>
        <v>0</v>
      </c>
      <c r="J16" s="5">
        <f t="shared" si="1"/>
        <v>0</v>
      </c>
      <c r="K16" s="5">
        <f t="shared" si="1"/>
        <v>597348</v>
      </c>
      <c r="L16" s="5">
        <f t="shared" si="1"/>
        <v>0</v>
      </c>
      <c r="M16" s="26">
        <f t="shared" si="1"/>
        <v>0</v>
      </c>
      <c r="N16" s="5">
        <f t="shared" si="1"/>
        <v>0</v>
      </c>
      <c r="O16" s="5">
        <f t="shared" si="1"/>
        <v>10990.28</v>
      </c>
      <c r="P16" s="5">
        <f t="shared" si="1"/>
        <v>46821722.030000001</v>
      </c>
      <c r="Q16" s="5">
        <f t="shared" si="1"/>
        <v>0</v>
      </c>
      <c r="R16" s="5">
        <f t="shared" si="1"/>
        <v>0</v>
      </c>
      <c r="S16" s="5">
        <f t="shared" si="1"/>
        <v>857.57999999999993</v>
      </c>
      <c r="T16" s="5">
        <f t="shared" si="1"/>
        <v>2568651.2599999998</v>
      </c>
      <c r="U16" s="5">
        <f t="shared" si="1"/>
        <v>0</v>
      </c>
      <c r="V16" s="5">
        <f t="shared" si="1"/>
        <v>0</v>
      </c>
      <c r="W16" s="5">
        <f t="shared" si="1"/>
        <v>0</v>
      </c>
      <c r="X16" s="5">
        <f t="shared" si="1"/>
        <v>0</v>
      </c>
      <c r="Y16" s="5">
        <f t="shared" si="1"/>
        <v>0</v>
      </c>
      <c r="Z16" s="5">
        <f t="shared" si="1"/>
        <v>0</v>
      </c>
      <c r="AA16" s="5">
        <f t="shared" si="1"/>
        <v>0</v>
      </c>
      <c r="AB16" s="5">
        <f t="shared" si="1"/>
        <v>0</v>
      </c>
      <c r="AC16" s="5">
        <f t="shared" si="1"/>
        <v>0</v>
      </c>
      <c r="AD16" s="5">
        <f t="shared" si="1"/>
        <v>0</v>
      </c>
      <c r="AE16" s="5">
        <f t="shared" si="1"/>
        <v>498227.63000000006</v>
      </c>
      <c r="AF16" s="5">
        <f t="shared" si="1"/>
        <v>1579449.64</v>
      </c>
      <c r="AG16" s="5">
        <f t="shared" si="1"/>
        <v>0</v>
      </c>
      <c r="AH16" s="6" t="s">
        <v>131</v>
      </c>
      <c r="AI16" s="6" t="s">
        <v>131</v>
      </c>
      <c r="AJ16" s="6" t="s">
        <v>131</v>
      </c>
    </row>
    <row r="17" spans="1:36" s="2" customFormat="1" ht="61.5" x14ac:dyDescent="0.85">
      <c r="B17" s="22" t="s">
        <v>96</v>
      </c>
      <c r="C17" s="3"/>
      <c r="D17" s="20" t="s">
        <v>131</v>
      </c>
      <c r="E17" s="21">
        <f>AVERAGE(E18:E18)</f>
        <v>1.0055000000000001</v>
      </c>
      <c r="F17" s="5">
        <f>F18</f>
        <v>2142518.84</v>
      </c>
      <c r="G17" s="5">
        <f t="shared" ref="G17:AG17" si="2">G18</f>
        <v>0</v>
      </c>
      <c r="H17" s="5">
        <f t="shared" si="2"/>
        <v>0</v>
      </c>
      <c r="I17" s="5">
        <f t="shared" si="2"/>
        <v>0</v>
      </c>
      <c r="J17" s="5">
        <f t="shared" si="2"/>
        <v>0</v>
      </c>
      <c r="K17" s="5">
        <f t="shared" si="2"/>
        <v>0</v>
      </c>
      <c r="L17" s="5">
        <f t="shared" si="2"/>
        <v>0</v>
      </c>
      <c r="M17" s="26">
        <f t="shared" si="2"/>
        <v>0</v>
      </c>
      <c r="N17" s="5">
        <f t="shared" si="2"/>
        <v>0</v>
      </c>
      <c r="O17" s="5">
        <f t="shared" si="2"/>
        <v>521</v>
      </c>
      <c r="P17" s="5">
        <v>2285877.7000000002</v>
      </c>
      <c r="Q17" s="5">
        <f t="shared" si="2"/>
        <v>0</v>
      </c>
      <c r="R17" s="5">
        <f t="shared" si="2"/>
        <v>0</v>
      </c>
      <c r="S17" s="5">
        <f t="shared" si="2"/>
        <v>0</v>
      </c>
      <c r="T17" s="5">
        <f t="shared" si="2"/>
        <v>0</v>
      </c>
      <c r="U17" s="5">
        <f t="shared" si="2"/>
        <v>0</v>
      </c>
      <c r="V17" s="5">
        <f t="shared" si="2"/>
        <v>0</v>
      </c>
      <c r="W17" s="5">
        <f t="shared" si="2"/>
        <v>0</v>
      </c>
      <c r="X17" s="5">
        <f t="shared" si="2"/>
        <v>0</v>
      </c>
      <c r="Y17" s="5">
        <f t="shared" si="2"/>
        <v>0</v>
      </c>
      <c r="Z17" s="5">
        <f t="shared" si="2"/>
        <v>0</v>
      </c>
      <c r="AA17" s="5">
        <f t="shared" si="2"/>
        <v>0</v>
      </c>
      <c r="AB17" s="5">
        <f t="shared" si="2"/>
        <v>0</v>
      </c>
      <c r="AC17" s="5">
        <f t="shared" si="2"/>
        <v>0</v>
      </c>
      <c r="AD17" s="5">
        <f t="shared" si="2"/>
        <v>0</v>
      </c>
      <c r="AE17" s="19">
        <f t="shared" si="2"/>
        <v>31662.84</v>
      </c>
      <c r="AF17" s="19">
        <f t="shared" si="2"/>
        <v>0</v>
      </c>
      <c r="AG17" s="5">
        <f t="shared" si="2"/>
        <v>0</v>
      </c>
      <c r="AH17" s="6" t="s">
        <v>131</v>
      </c>
      <c r="AI17" s="6" t="s">
        <v>131</v>
      </c>
      <c r="AJ17" s="6" t="s">
        <v>131</v>
      </c>
    </row>
    <row r="18" spans="1:36" s="2" customFormat="1" ht="61.5" x14ac:dyDescent="0.85">
      <c r="A18" s="2">
        <v>1</v>
      </c>
      <c r="B18" s="18">
        <f>SUBTOTAL(103,$A18:A$18)</f>
        <v>1</v>
      </c>
      <c r="C18" s="3" t="s">
        <v>182</v>
      </c>
      <c r="D18" s="20" t="s">
        <v>201</v>
      </c>
      <c r="E18" s="21">
        <v>1.0055000000000001</v>
      </c>
      <c r="F18" s="5">
        <f>G18+H18+I18+J18+K18+L18+N18+P18+R18+T18+V18+W18+X18+Y18+Z18+AA18+AB18+AC18+AD18+AE18+AF18+AG18</f>
        <v>2142518.84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26">
        <v>0</v>
      </c>
      <c r="N18" s="5">
        <v>0</v>
      </c>
      <c r="O18" s="7">
        <v>521</v>
      </c>
      <c r="P18" s="7">
        <v>2110856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19">
        <f>ROUND(P18*1.5%,2)</f>
        <v>31662.84</v>
      </c>
      <c r="AF18" s="19">
        <v>0</v>
      </c>
      <c r="AG18" s="19">
        <v>0</v>
      </c>
      <c r="AH18" s="6" t="s">
        <v>49</v>
      </c>
      <c r="AI18" s="6">
        <v>2020</v>
      </c>
      <c r="AJ18" s="6">
        <v>2020</v>
      </c>
    </row>
    <row r="19" spans="1:36" s="2" customFormat="1" ht="61.5" x14ac:dyDescent="0.85">
      <c r="B19" s="22" t="s">
        <v>209</v>
      </c>
      <c r="C19" s="3"/>
      <c r="D19" s="20" t="s">
        <v>131</v>
      </c>
      <c r="E19" s="21">
        <f>AVERAGE(E20:E27)</f>
        <v>1.0039750000000001</v>
      </c>
      <c r="F19" s="5">
        <f t="shared" ref="F19:AG19" si="3">SUM(F20:F27)</f>
        <v>14491975.379999999</v>
      </c>
      <c r="G19" s="5">
        <f t="shared" si="3"/>
        <v>0</v>
      </c>
      <c r="H19" s="5">
        <f t="shared" si="3"/>
        <v>0</v>
      </c>
      <c r="I19" s="5">
        <f t="shared" si="3"/>
        <v>0</v>
      </c>
      <c r="J19" s="5">
        <f t="shared" si="3"/>
        <v>0</v>
      </c>
      <c r="K19" s="5">
        <f t="shared" si="3"/>
        <v>0</v>
      </c>
      <c r="L19" s="5">
        <f t="shared" si="3"/>
        <v>0</v>
      </c>
      <c r="M19" s="26">
        <f t="shared" si="3"/>
        <v>0</v>
      </c>
      <c r="N19" s="5">
        <f t="shared" si="3"/>
        <v>0</v>
      </c>
      <c r="O19" s="5">
        <f t="shared" si="3"/>
        <v>2958.4</v>
      </c>
      <c r="P19" s="5">
        <f t="shared" si="3"/>
        <v>13156592.109999999</v>
      </c>
      <c r="Q19" s="5">
        <f t="shared" si="3"/>
        <v>0</v>
      </c>
      <c r="R19" s="5">
        <f t="shared" si="3"/>
        <v>0</v>
      </c>
      <c r="S19" s="5">
        <f t="shared" si="3"/>
        <v>419</v>
      </c>
      <c r="T19" s="5">
        <f t="shared" si="3"/>
        <v>981934.24</v>
      </c>
      <c r="U19" s="5">
        <f t="shared" si="3"/>
        <v>0</v>
      </c>
      <c r="V19" s="5">
        <f t="shared" si="3"/>
        <v>0</v>
      </c>
      <c r="W19" s="5">
        <f t="shared" si="3"/>
        <v>0</v>
      </c>
      <c r="X19" s="5">
        <f t="shared" si="3"/>
        <v>0</v>
      </c>
      <c r="Y19" s="5">
        <f t="shared" si="3"/>
        <v>0</v>
      </c>
      <c r="Z19" s="5">
        <f t="shared" si="3"/>
        <v>0</v>
      </c>
      <c r="AA19" s="5">
        <f t="shared" si="3"/>
        <v>0</v>
      </c>
      <c r="AB19" s="5">
        <f t="shared" si="3"/>
        <v>0</v>
      </c>
      <c r="AC19" s="5">
        <f t="shared" si="3"/>
        <v>0</v>
      </c>
      <c r="AD19" s="5">
        <f t="shared" si="3"/>
        <v>0</v>
      </c>
      <c r="AE19" s="5">
        <f t="shared" si="3"/>
        <v>197658.57</v>
      </c>
      <c r="AF19" s="5">
        <f t="shared" si="3"/>
        <v>155790.46000000002</v>
      </c>
      <c r="AG19" s="5">
        <f t="shared" si="3"/>
        <v>0</v>
      </c>
      <c r="AH19" s="6" t="s">
        <v>131</v>
      </c>
      <c r="AI19" s="6" t="s">
        <v>131</v>
      </c>
      <c r="AJ19" s="6" t="s">
        <v>131</v>
      </c>
    </row>
    <row r="20" spans="1:36" s="2" customFormat="1" ht="61.5" x14ac:dyDescent="0.85">
      <c r="A20" s="2">
        <v>1</v>
      </c>
      <c r="B20" s="18">
        <f>SUBTOTAL(103,$A$18:A20)</f>
        <v>2</v>
      </c>
      <c r="C20" s="3" t="s">
        <v>183</v>
      </c>
      <c r="D20" s="20" t="s">
        <v>202</v>
      </c>
      <c r="E20" s="21">
        <v>1.0047999999999999</v>
      </c>
      <c r="F20" s="5">
        <f t="shared" ref="F20:F67" si="4">G20+H20+I20+J20+K20+L20+N20+P20+R20+T20+V20+W20+X20+Y20+Z20+AA20+AB20+AC20+AD20+AE20+AF20+AG20</f>
        <v>6213014.2000000002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26">
        <v>0</v>
      </c>
      <c r="N20" s="5">
        <v>0</v>
      </c>
      <c r="O20" s="5">
        <v>1441</v>
      </c>
      <c r="P20" s="98">
        <v>6128441.7000000002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99">
        <v>84572.5</v>
      </c>
      <c r="AF20" s="19">
        <v>0</v>
      </c>
      <c r="AG20" s="19">
        <v>0</v>
      </c>
      <c r="AH20" s="6" t="s">
        <v>49</v>
      </c>
      <c r="AI20" s="6">
        <v>2020</v>
      </c>
      <c r="AJ20" s="6">
        <v>2020</v>
      </c>
    </row>
    <row r="21" spans="1:36" s="2" customFormat="1" ht="61.5" x14ac:dyDescent="0.85">
      <c r="A21" s="2">
        <v>1</v>
      </c>
      <c r="B21" s="18">
        <f>SUBTOTAL(103,$A$18:A21)</f>
        <v>3</v>
      </c>
      <c r="C21" s="3" t="s">
        <v>184</v>
      </c>
      <c r="D21" s="20" t="s">
        <v>201</v>
      </c>
      <c r="E21" s="21">
        <v>1</v>
      </c>
      <c r="F21" s="5">
        <f t="shared" si="4"/>
        <v>987000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26">
        <v>0</v>
      </c>
      <c r="N21" s="5">
        <v>0</v>
      </c>
      <c r="O21" s="5">
        <v>240</v>
      </c>
      <c r="P21" s="5">
        <v>972413.79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19">
        <f>ROUND(P21*1.5%,2)</f>
        <v>14586.21</v>
      </c>
      <c r="AF21" s="19">
        <v>0</v>
      </c>
      <c r="AG21" s="19">
        <v>0</v>
      </c>
      <c r="AH21" s="6" t="s">
        <v>49</v>
      </c>
      <c r="AI21" s="6">
        <v>2020</v>
      </c>
      <c r="AJ21" s="6">
        <v>2020</v>
      </c>
    </row>
    <row r="22" spans="1:36" s="2" customFormat="1" ht="61.5" x14ac:dyDescent="0.85">
      <c r="A22" s="2">
        <v>1</v>
      </c>
      <c r="B22" s="18">
        <f>SUBTOTAL(103,$A$18:A22)</f>
        <v>4</v>
      </c>
      <c r="C22" s="3" t="s">
        <v>185</v>
      </c>
      <c r="D22" s="20" t="s">
        <v>203</v>
      </c>
      <c r="E22" s="21">
        <v>1.0003</v>
      </c>
      <c r="F22" s="5">
        <f t="shared" si="4"/>
        <v>61989.62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26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19">
        <f>ROUND(P22*1.5%,2)</f>
        <v>0</v>
      </c>
      <c r="AF22" s="51">
        <v>61989.62</v>
      </c>
      <c r="AG22" s="19">
        <v>0</v>
      </c>
      <c r="AH22" s="6">
        <v>2020</v>
      </c>
      <c r="AI22" s="6" t="s">
        <v>49</v>
      </c>
      <c r="AJ22" s="6" t="s">
        <v>49</v>
      </c>
    </row>
    <row r="23" spans="1:36" s="2" customFormat="1" ht="61.5" x14ac:dyDescent="0.85">
      <c r="A23" s="2">
        <v>1</v>
      </c>
      <c r="B23" s="18">
        <f>SUBTOTAL(103,$A$18:A23)</f>
        <v>5</v>
      </c>
      <c r="C23" s="3" t="s">
        <v>198</v>
      </c>
      <c r="D23" s="20" t="s">
        <v>202</v>
      </c>
      <c r="E23" s="21">
        <v>1.0178</v>
      </c>
      <c r="F23" s="5">
        <f t="shared" si="4"/>
        <v>995484.92999999993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26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7">
        <v>419</v>
      </c>
      <c r="T23" s="7">
        <v>981934.24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7">
        <v>13550.69</v>
      </c>
      <c r="AF23" s="19">
        <v>0</v>
      </c>
      <c r="AG23" s="19">
        <v>0</v>
      </c>
      <c r="AH23" s="6" t="s">
        <v>49</v>
      </c>
      <c r="AI23" s="6">
        <v>2020</v>
      </c>
      <c r="AJ23" s="6">
        <v>2020</v>
      </c>
    </row>
    <row r="24" spans="1:36" s="2" customFormat="1" ht="61.5" x14ac:dyDescent="0.85">
      <c r="A24" s="2">
        <v>1</v>
      </c>
      <c r="B24" s="18">
        <f>SUBTOTAL(103,$A$18:A24)</f>
        <v>6</v>
      </c>
      <c r="C24" s="3" t="s">
        <v>230</v>
      </c>
      <c r="D24" s="20" t="s">
        <v>204</v>
      </c>
      <c r="E24" s="21">
        <v>1</v>
      </c>
      <c r="F24" s="5">
        <f t="shared" si="4"/>
        <v>4973435.79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26">
        <v>0</v>
      </c>
      <c r="N24" s="5">
        <v>0</v>
      </c>
      <c r="O24" s="100">
        <v>977</v>
      </c>
      <c r="P24" s="100">
        <v>4905736.62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19">
        <f>ROUND(P24*1.38%,2)</f>
        <v>67699.17</v>
      </c>
      <c r="AF24" s="19">
        <v>0</v>
      </c>
      <c r="AG24" s="19">
        <v>0</v>
      </c>
      <c r="AH24" s="6" t="s">
        <v>49</v>
      </c>
      <c r="AI24" s="6">
        <v>2020</v>
      </c>
      <c r="AJ24" s="6">
        <v>2020</v>
      </c>
    </row>
    <row r="25" spans="1:36" s="2" customFormat="1" ht="61.5" x14ac:dyDescent="0.85">
      <c r="A25" s="2">
        <v>1</v>
      </c>
      <c r="B25" s="18">
        <f>SUBTOTAL(103,$A$18:A25)</f>
        <v>7</v>
      </c>
      <c r="C25" s="3" t="s">
        <v>234</v>
      </c>
      <c r="D25" s="20" t="s">
        <v>202</v>
      </c>
      <c r="E25" s="21">
        <v>1.0053000000000001</v>
      </c>
      <c r="F25" s="5">
        <f t="shared" si="4"/>
        <v>50283.37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26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19">
        <f>ROUND(P25*1.5%,2)</f>
        <v>0</v>
      </c>
      <c r="AF25" s="51">
        <v>50283.37</v>
      </c>
      <c r="AG25" s="19">
        <v>0</v>
      </c>
      <c r="AH25" s="6">
        <v>2020</v>
      </c>
      <c r="AI25" s="6" t="s">
        <v>49</v>
      </c>
      <c r="AJ25" s="6" t="s">
        <v>49</v>
      </c>
    </row>
    <row r="26" spans="1:36" s="2" customFormat="1" ht="61.5" x14ac:dyDescent="0.85">
      <c r="A26" s="2">
        <v>1</v>
      </c>
      <c r="B26" s="18">
        <f>SUBTOTAL(103,$A$18:A26)</f>
        <v>8</v>
      </c>
      <c r="C26" s="3" t="s">
        <v>253</v>
      </c>
      <c r="D26" s="20" t="s">
        <v>202</v>
      </c>
      <c r="E26" s="21">
        <v>1.0036</v>
      </c>
      <c r="F26" s="5">
        <f t="shared" ref="F26" si="5">G26+H26+I26+J26+K26+L26+N26+P26+R26+T26+V26+W26+X26+Y26+Z26+AA26+AB26+AC26+AD26+AE26+AF26+AG26</f>
        <v>43517.47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26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19">
        <f>ROUND(P26*1.5%,2)</f>
        <v>0</v>
      </c>
      <c r="AF26" s="51">
        <v>43517.47</v>
      </c>
      <c r="AG26" s="19">
        <v>0</v>
      </c>
      <c r="AH26" s="6">
        <v>2020</v>
      </c>
      <c r="AI26" s="6" t="s">
        <v>49</v>
      </c>
      <c r="AJ26" s="6" t="s">
        <v>49</v>
      </c>
    </row>
    <row r="27" spans="1:36" s="2" customFormat="1" ht="61.5" x14ac:dyDescent="0.85">
      <c r="A27" s="2">
        <v>1</v>
      </c>
      <c r="B27" s="18">
        <f>SUBTOTAL(103,$A$18:A27)</f>
        <v>9</v>
      </c>
      <c r="C27" s="3" t="s">
        <v>400</v>
      </c>
      <c r="D27" s="20" t="s">
        <v>203</v>
      </c>
      <c r="E27" s="21">
        <v>1</v>
      </c>
      <c r="F27" s="5">
        <f t="shared" si="4"/>
        <v>1167250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26">
        <v>0</v>
      </c>
      <c r="N27" s="5">
        <v>0</v>
      </c>
      <c r="O27" s="5">
        <v>300.39999999999998</v>
      </c>
      <c r="P27" s="5">
        <v>1150000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19">
        <f>ROUND(P27*1.5%,2)</f>
        <v>17250</v>
      </c>
      <c r="AF27" s="37">
        <v>0</v>
      </c>
      <c r="AG27" s="19">
        <v>0</v>
      </c>
      <c r="AH27" s="6" t="s">
        <v>49</v>
      </c>
      <c r="AI27" s="6">
        <v>2020</v>
      </c>
      <c r="AJ27" s="6">
        <v>2020</v>
      </c>
    </row>
    <row r="28" spans="1:36" s="2" customFormat="1" ht="61.5" x14ac:dyDescent="0.85">
      <c r="B28" s="22" t="s">
        <v>98</v>
      </c>
      <c r="C28" s="3"/>
      <c r="D28" s="20" t="s">
        <v>131</v>
      </c>
      <c r="E28" s="21">
        <f>AVERAGE(E29)</f>
        <v>1.0267999999999999</v>
      </c>
      <c r="F28" s="5">
        <f>F29</f>
        <v>2196540.5</v>
      </c>
      <c r="G28" s="5">
        <f t="shared" ref="G28:AG28" si="6">G29</f>
        <v>0</v>
      </c>
      <c r="H28" s="5">
        <f t="shared" si="6"/>
        <v>0</v>
      </c>
      <c r="I28" s="5">
        <f t="shared" si="6"/>
        <v>0</v>
      </c>
      <c r="J28" s="5">
        <f t="shared" si="6"/>
        <v>0</v>
      </c>
      <c r="K28" s="5">
        <f t="shared" si="6"/>
        <v>0</v>
      </c>
      <c r="L28" s="5">
        <f t="shared" si="6"/>
        <v>0</v>
      </c>
      <c r="M28" s="26">
        <f t="shared" si="6"/>
        <v>0</v>
      </c>
      <c r="N28" s="5">
        <f t="shared" si="6"/>
        <v>0</v>
      </c>
      <c r="O28" s="5">
        <f t="shared" si="6"/>
        <v>386.8</v>
      </c>
      <c r="P28" s="5">
        <f t="shared" si="6"/>
        <v>2085233.76</v>
      </c>
      <c r="Q28" s="5">
        <f t="shared" si="6"/>
        <v>0</v>
      </c>
      <c r="R28" s="5">
        <f t="shared" si="6"/>
        <v>0</v>
      </c>
      <c r="S28" s="5">
        <f t="shared" si="6"/>
        <v>0</v>
      </c>
      <c r="T28" s="5">
        <f t="shared" si="6"/>
        <v>0</v>
      </c>
      <c r="U28" s="5">
        <f t="shared" si="6"/>
        <v>0</v>
      </c>
      <c r="V28" s="5">
        <f t="shared" si="6"/>
        <v>0</v>
      </c>
      <c r="W28" s="5">
        <f t="shared" si="6"/>
        <v>0</v>
      </c>
      <c r="X28" s="5">
        <f t="shared" si="6"/>
        <v>0</v>
      </c>
      <c r="Y28" s="5">
        <f t="shared" si="6"/>
        <v>0</v>
      </c>
      <c r="Z28" s="5">
        <f t="shared" si="6"/>
        <v>0</v>
      </c>
      <c r="AA28" s="5">
        <f t="shared" si="6"/>
        <v>0</v>
      </c>
      <c r="AB28" s="5">
        <f t="shared" si="6"/>
        <v>0</v>
      </c>
      <c r="AC28" s="5">
        <f t="shared" si="6"/>
        <v>0</v>
      </c>
      <c r="AD28" s="5">
        <f t="shared" si="6"/>
        <v>0</v>
      </c>
      <c r="AE28" s="19">
        <f t="shared" si="6"/>
        <v>31278.51</v>
      </c>
      <c r="AF28" s="19">
        <f t="shared" si="6"/>
        <v>80028.23</v>
      </c>
      <c r="AG28" s="5">
        <f t="shared" si="6"/>
        <v>0</v>
      </c>
      <c r="AH28" s="6" t="s">
        <v>131</v>
      </c>
      <c r="AI28" s="6" t="s">
        <v>131</v>
      </c>
      <c r="AJ28" s="6" t="s">
        <v>131</v>
      </c>
    </row>
    <row r="29" spans="1:36" s="2" customFormat="1" ht="61.5" x14ac:dyDescent="0.85">
      <c r="A29" s="2">
        <v>1</v>
      </c>
      <c r="B29" s="18">
        <f>SUBTOTAL(103,$A$18:A29)</f>
        <v>10</v>
      </c>
      <c r="C29" s="3" t="s">
        <v>83</v>
      </c>
      <c r="D29" s="20" t="s">
        <v>204</v>
      </c>
      <c r="E29" s="21">
        <v>1.0267999999999999</v>
      </c>
      <c r="F29" s="5">
        <f t="shared" si="4"/>
        <v>2196540.5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26">
        <v>0</v>
      </c>
      <c r="N29" s="5">
        <v>0</v>
      </c>
      <c r="O29" s="5">
        <v>386.8</v>
      </c>
      <c r="P29" s="5">
        <v>2085233.76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19">
        <f>ROUND(P29*1.5%,2)</f>
        <v>31278.51</v>
      </c>
      <c r="AF29" s="51">
        <v>80028.23</v>
      </c>
      <c r="AG29" s="5">
        <v>0</v>
      </c>
      <c r="AH29" s="6">
        <v>2020</v>
      </c>
      <c r="AI29" s="6">
        <v>2020</v>
      </c>
      <c r="AJ29" s="6">
        <v>2020</v>
      </c>
    </row>
    <row r="30" spans="1:36" s="2" customFormat="1" ht="61.5" x14ac:dyDescent="0.85">
      <c r="B30" s="22" t="s">
        <v>100</v>
      </c>
      <c r="C30" s="3"/>
      <c r="D30" s="20" t="s">
        <v>131</v>
      </c>
      <c r="E30" s="21">
        <f>AVERAGE(E31)</f>
        <v>1</v>
      </c>
      <c r="F30" s="5">
        <f>F31</f>
        <v>5153989.53</v>
      </c>
      <c r="G30" s="5">
        <f t="shared" ref="G30:AG30" si="7">G31</f>
        <v>0</v>
      </c>
      <c r="H30" s="5">
        <f t="shared" si="7"/>
        <v>0</v>
      </c>
      <c r="I30" s="5">
        <f t="shared" si="7"/>
        <v>0</v>
      </c>
      <c r="J30" s="5">
        <f t="shared" si="7"/>
        <v>0</v>
      </c>
      <c r="K30" s="5">
        <f t="shared" si="7"/>
        <v>0</v>
      </c>
      <c r="L30" s="5">
        <f t="shared" si="7"/>
        <v>0</v>
      </c>
      <c r="M30" s="26">
        <f t="shared" si="7"/>
        <v>0</v>
      </c>
      <c r="N30" s="5">
        <f t="shared" si="7"/>
        <v>0</v>
      </c>
      <c r="O30" s="5">
        <f t="shared" si="7"/>
        <v>1080.5999999999999</v>
      </c>
      <c r="P30" s="5">
        <f t="shared" si="7"/>
        <v>5102328.45</v>
      </c>
      <c r="Q30" s="5">
        <f t="shared" si="7"/>
        <v>0</v>
      </c>
      <c r="R30" s="5">
        <f t="shared" si="7"/>
        <v>0</v>
      </c>
      <c r="S30" s="5">
        <f t="shared" si="7"/>
        <v>0</v>
      </c>
      <c r="T30" s="5">
        <f t="shared" si="7"/>
        <v>0</v>
      </c>
      <c r="U30" s="5">
        <f t="shared" si="7"/>
        <v>0</v>
      </c>
      <c r="V30" s="5">
        <f t="shared" si="7"/>
        <v>0</v>
      </c>
      <c r="W30" s="5">
        <f t="shared" si="7"/>
        <v>0</v>
      </c>
      <c r="X30" s="5">
        <f t="shared" si="7"/>
        <v>0</v>
      </c>
      <c r="Y30" s="5">
        <f t="shared" si="7"/>
        <v>0</v>
      </c>
      <c r="Z30" s="5">
        <f t="shared" si="7"/>
        <v>0</v>
      </c>
      <c r="AA30" s="5">
        <f t="shared" si="7"/>
        <v>0</v>
      </c>
      <c r="AB30" s="5">
        <f t="shared" si="7"/>
        <v>0</v>
      </c>
      <c r="AC30" s="5">
        <f t="shared" si="7"/>
        <v>0</v>
      </c>
      <c r="AD30" s="5">
        <f t="shared" si="7"/>
        <v>0</v>
      </c>
      <c r="AE30" s="19">
        <f t="shared" si="7"/>
        <v>51661.08</v>
      </c>
      <c r="AF30" s="19">
        <f t="shared" si="7"/>
        <v>0</v>
      </c>
      <c r="AG30" s="5">
        <f t="shared" si="7"/>
        <v>0</v>
      </c>
      <c r="AH30" s="6" t="s">
        <v>131</v>
      </c>
      <c r="AI30" s="6" t="s">
        <v>131</v>
      </c>
      <c r="AJ30" s="6" t="s">
        <v>131</v>
      </c>
    </row>
    <row r="31" spans="1:36" s="2" customFormat="1" ht="61.5" x14ac:dyDescent="0.85">
      <c r="A31" s="2">
        <v>1</v>
      </c>
      <c r="B31" s="18">
        <f>SUBTOTAL(103,$A$18:A31)</f>
        <v>11</v>
      </c>
      <c r="C31" s="3" t="s">
        <v>225</v>
      </c>
      <c r="D31" s="20" t="s">
        <v>205</v>
      </c>
      <c r="E31" s="21">
        <v>1</v>
      </c>
      <c r="F31" s="5">
        <f t="shared" si="4"/>
        <v>5153989.53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26">
        <v>0</v>
      </c>
      <c r="N31" s="5">
        <v>0</v>
      </c>
      <c r="O31" s="7">
        <v>1080.5999999999999</v>
      </c>
      <c r="P31" s="7">
        <v>5102328.45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7">
        <v>51661.08</v>
      </c>
      <c r="AF31" s="19">
        <v>0</v>
      </c>
      <c r="AG31" s="5">
        <v>0</v>
      </c>
      <c r="AH31" s="6" t="s">
        <v>49</v>
      </c>
      <c r="AI31" s="6">
        <v>2020</v>
      </c>
      <c r="AJ31" s="6">
        <v>2020</v>
      </c>
    </row>
    <row r="32" spans="1:36" s="2" customFormat="1" ht="61.5" x14ac:dyDescent="0.85">
      <c r="B32" s="22" t="s">
        <v>101</v>
      </c>
      <c r="C32" s="3"/>
      <c r="D32" s="20" t="s">
        <v>131</v>
      </c>
      <c r="E32" s="21">
        <f>AVERAGE(E33)</f>
        <v>1.0308999999999999</v>
      </c>
      <c r="F32" s="5">
        <f>F33</f>
        <v>48440.03</v>
      </c>
      <c r="G32" s="5">
        <f t="shared" ref="G32:AG32" si="8">G33</f>
        <v>0</v>
      </c>
      <c r="H32" s="5">
        <f t="shared" si="8"/>
        <v>0</v>
      </c>
      <c r="I32" s="5">
        <f t="shared" si="8"/>
        <v>0</v>
      </c>
      <c r="J32" s="5">
        <f t="shared" si="8"/>
        <v>0</v>
      </c>
      <c r="K32" s="5">
        <f t="shared" si="8"/>
        <v>0</v>
      </c>
      <c r="L32" s="5">
        <f t="shared" si="8"/>
        <v>0</v>
      </c>
      <c r="M32" s="26">
        <f t="shared" si="8"/>
        <v>0</v>
      </c>
      <c r="N32" s="5">
        <f t="shared" si="8"/>
        <v>0</v>
      </c>
      <c r="O32" s="5">
        <f t="shared" si="8"/>
        <v>0</v>
      </c>
      <c r="P32" s="5">
        <f t="shared" si="8"/>
        <v>0</v>
      </c>
      <c r="Q32" s="5">
        <f t="shared" si="8"/>
        <v>0</v>
      </c>
      <c r="R32" s="5">
        <f t="shared" si="8"/>
        <v>0</v>
      </c>
      <c r="S32" s="5">
        <f t="shared" si="8"/>
        <v>0</v>
      </c>
      <c r="T32" s="5">
        <f t="shared" si="8"/>
        <v>0</v>
      </c>
      <c r="U32" s="5">
        <f t="shared" si="8"/>
        <v>0</v>
      </c>
      <c r="V32" s="5">
        <f t="shared" si="8"/>
        <v>0</v>
      </c>
      <c r="W32" s="5">
        <f t="shared" si="8"/>
        <v>0</v>
      </c>
      <c r="X32" s="5">
        <f t="shared" si="8"/>
        <v>0</v>
      </c>
      <c r="Y32" s="5">
        <f t="shared" si="8"/>
        <v>0</v>
      </c>
      <c r="Z32" s="5">
        <f t="shared" si="8"/>
        <v>0</v>
      </c>
      <c r="AA32" s="5">
        <f t="shared" si="8"/>
        <v>0</v>
      </c>
      <c r="AB32" s="5">
        <f t="shared" si="8"/>
        <v>0</v>
      </c>
      <c r="AC32" s="5">
        <f t="shared" si="8"/>
        <v>0</v>
      </c>
      <c r="AD32" s="5">
        <f t="shared" si="8"/>
        <v>0</v>
      </c>
      <c r="AE32" s="19">
        <f t="shared" si="8"/>
        <v>0</v>
      </c>
      <c r="AF32" s="19">
        <f t="shared" si="8"/>
        <v>48440.03</v>
      </c>
      <c r="AG32" s="5">
        <f t="shared" si="8"/>
        <v>0</v>
      </c>
      <c r="AH32" s="6" t="s">
        <v>131</v>
      </c>
      <c r="AI32" s="6" t="s">
        <v>131</v>
      </c>
      <c r="AJ32" s="6" t="s">
        <v>131</v>
      </c>
    </row>
    <row r="33" spans="1:36" s="2" customFormat="1" ht="61.5" x14ac:dyDescent="0.85">
      <c r="A33" s="2">
        <v>1</v>
      </c>
      <c r="B33" s="18">
        <f>SUBTOTAL(103,$A$18:A33)</f>
        <v>12</v>
      </c>
      <c r="C33" s="3" t="s">
        <v>186</v>
      </c>
      <c r="D33" s="20" t="s">
        <v>201</v>
      </c>
      <c r="E33" s="21">
        <v>1.0308999999999999</v>
      </c>
      <c r="F33" s="5">
        <f t="shared" si="4"/>
        <v>48440.03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26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19">
        <f>ROUND(P33*1.5%,2)</f>
        <v>0</v>
      </c>
      <c r="AF33" s="51">
        <v>48440.03</v>
      </c>
      <c r="AG33" s="5">
        <v>0</v>
      </c>
      <c r="AH33" s="6">
        <v>2020</v>
      </c>
      <c r="AI33" s="6" t="s">
        <v>49</v>
      </c>
      <c r="AJ33" s="6" t="s">
        <v>49</v>
      </c>
    </row>
    <row r="34" spans="1:36" s="2" customFormat="1" ht="61.5" x14ac:dyDescent="0.85">
      <c r="B34" s="22" t="s">
        <v>210</v>
      </c>
      <c r="C34" s="3"/>
      <c r="D34" s="20" t="s">
        <v>131</v>
      </c>
      <c r="E34" s="21">
        <f>AVERAGE(E35:E36)</f>
        <v>1.0206</v>
      </c>
      <c r="F34" s="5">
        <f t="shared" ref="F34:AG34" si="9">SUM(F35:F36)</f>
        <v>31767</v>
      </c>
      <c r="G34" s="5">
        <f t="shared" si="9"/>
        <v>0</v>
      </c>
      <c r="H34" s="5">
        <f t="shared" si="9"/>
        <v>0</v>
      </c>
      <c r="I34" s="5">
        <f t="shared" si="9"/>
        <v>0</v>
      </c>
      <c r="J34" s="5">
        <f t="shared" si="9"/>
        <v>0</v>
      </c>
      <c r="K34" s="5">
        <f t="shared" si="9"/>
        <v>0</v>
      </c>
      <c r="L34" s="5">
        <f t="shared" si="9"/>
        <v>0</v>
      </c>
      <c r="M34" s="26">
        <f t="shared" si="9"/>
        <v>0</v>
      </c>
      <c r="N34" s="5">
        <f t="shared" si="9"/>
        <v>0</v>
      </c>
      <c r="O34" s="5">
        <f t="shared" si="9"/>
        <v>0</v>
      </c>
      <c r="P34" s="5">
        <f t="shared" si="9"/>
        <v>0</v>
      </c>
      <c r="Q34" s="5">
        <f t="shared" si="9"/>
        <v>0</v>
      </c>
      <c r="R34" s="5">
        <f t="shared" si="9"/>
        <v>0</v>
      </c>
      <c r="S34" s="5">
        <f t="shared" si="9"/>
        <v>0</v>
      </c>
      <c r="T34" s="5">
        <f t="shared" si="9"/>
        <v>0</v>
      </c>
      <c r="U34" s="5">
        <f t="shared" si="9"/>
        <v>0</v>
      </c>
      <c r="V34" s="5">
        <f t="shared" si="9"/>
        <v>0</v>
      </c>
      <c r="W34" s="5">
        <f t="shared" si="9"/>
        <v>0</v>
      </c>
      <c r="X34" s="5">
        <f t="shared" si="9"/>
        <v>0</v>
      </c>
      <c r="Y34" s="5">
        <f t="shared" si="9"/>
        <v>0</v>
      </c>
      <c r="Z34" s="5">
        <f t="shared" si="9"/>
        <v>0</v>
      </c>
      <c r="AA34" s="5">
        <f t="shared" si="9"/>
        <v>0</v>
      </c>
      <c r="AB34" s="5">
        <f t="shared" si="9"/>
        <v>0</v>
      </c>
      <c r="AC34" s="5">
        <f t="shared" si="9"/>
        <v>0</v>
      </c>
      <c r="AD34" s="5">
        <f t="shared" si="9"/>
        <v>0</v>
      </c>
      <c r="AE34" s="19">
        <f t="shared" si="9"/>
        <v>0</v>
      </c>
      <c r="AF34" s="19">
        <f t="shared" si="9"/>
        <v>31767</v>
      </c>
      <c r="AG34" s="5">
        <f t="shared" si="9"/>
        <v>0</v>
      </c>
      <c r="AH34" s="6" t="s">
        <v>131</v>
      </c>
      <c r="AI34" s="6" t="s">
        <v>131</v>
      </c>
      <c r="AJ34" s="6" t="s">
        <v>131</v>
      </c>
    </row>
    <row r="35" spans="1:36" s="2" customFormat="1" ht="61.5" x14ac:dyDescent="0.85">
      <c r="A35" s="2">
        <v>1</v>
      </c>
      <c r="B35" s="18">
        <f>SUBTOTAL(103,$A$18:A35)</f>
        <v>13</v>
      </c>
      <c r="C35" s="3" t="s">
        <v>187</v>
      </c>
      <c r="D35" s="20" t="s">
        <v>204</v>
      </c>
      <c r="E35" s="21">
        <v>1.0385</v>
      </c>
      <c r="F35" s="5">
        <f t="shared" si="4"/>
        <v>13099.1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26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19">
        <f>ROUND(P35*1.5%,2)</f>
        <v>0</v>
      </c>
      <c r="AF35" s="51">
        <v>13099.1</v>
      </c>
      <c r="AG35" s="5">
        <v>0</v>
      </c>
      <c r="AH35" s="6">
        <v>2020</v>
      </c>
      <c r="AI35" s="6" t="s">
        <v>49</v>
      </c>
      <c r="AJ35" s="6" t="s">
        <v>49</v>
      </c>
    </row>
    <row r="36" spans="1:36" s="2" customFormat="1" ht="61.5" x14ac:dyDescent="0.85">
      <c r="A36" s="2">
        <v>1</v>
      </c>
      <c r="B36" s="18">
        <f>SUBTOTAL(103,$A$18:A36)</f>
        <v>14</v>
      </c>
      <c r="C36" s="3" t="s">
        <v>188</v>
      </c>
      <c r="D36" s="20" t="s">
        <v>204</v>
      </c>
      <c r="E36" s="21">
        <v>1.0026999999999999</v>
      </c>
      <c r="F36" s="5">
        <f t="shared" si="4"/>
        <v>18667.900000000001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26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19">
        <f>ROUND(T36*1.5%,2)</f>
        <v>0</v>
      </c>
      <c r="AF36" s="51">
        <v>18667.900000000001</v>
      </c>
      <c r="AG36" s="5">
        <v>0</v>
      </c>
      <c r="AH36" s="6">
        <v>2020</v>
      </c>
      <c r="AI36" s="6" t="s">
        <v>49</v>
      </c>
      <c r="AJ36" s="6" t="s">
        <v>49</v>
      </c>
    </row>
    <row r="37" spans="1:36" s="2" customFormat="1" ht="61.5" x14ac:dyDescent="0.85">
      <c r="B37" s="22" t="s">
        <v>105</v>
      </c>
      <c r="C37" s="3"/>
      <c r="D37" s="20" t="s">
        <v>131</v>
      </c>
      <c r="E37" s="21">
        <f>AVERAGE(E38:E39)</f>
        <v>1</v>
      </c>
      <c r="F37" s="5">
        <f>SUM(F38:F39)</f>
        <v>3557815.66</v>
      </c>
      <c r="G37" s="5">
        <f t="shared" ref="G37:AG37" si="10">SUM(G38:G39)</f>
        <v>0</v>
      </c>
      <c r="H37" s="5">
        <f t="shared" si="10"/>
        <v>0</v>
      </c>
      <c r="I37" s="5">
        <f t="shared" si="10"/>
        <v>0</v>
      </c>
      <c r="J37" s="5">
        <f t="shared" si="10"/>
        <v>0</v>
      </c>
      <c r="K37" s="5">
        <f t="shared" si="10"/>
        <v>0</v>
      </c>
      <c r="L37" s="5">
        <f t="shared" si="10"/>
        <v>0</v>
      </c>
      <c r="M37" s="26">
        <f t="shared" si="10"/>
        <v>0</v>
      </c>
      <c r="N37" s="5">
        <f t="shared" si="10"/>
        <v>0</v>
      </c>
      <c r="O37" s="5">
        <f t="shared" si="10"/>
        <v>828.5</v>
      </c>
      <c r="P37" s="5">
        <f t="shared" si="10"/>
        <v>3438664.78</v>
      </c>
      <c r="Q37" s="5">
        <f t="shared" si="10"/>
        <v>0</v>
      </c>
      <c r="R37" s="5">
        <f t="shared" si="10"/>
        <v>0</v>
      </c>
      <c r="S37" s="5">
        <f t="shared" si="10"/>
        <v>0</v>
      </c>
      <c r="T37" s="5">
        <f t="shared" si="10"/>
        <v>0</v>
      </c>
      <c r="U37" s="5">
        <f t="shared" si="10"/>
        <v>0</v>
      </c>
      <c r="V37" s="5">
        <f t="shared" si="10"/>
        <v>0</v>
      </c>
      <c r="W37" s="5">
        <f t="shared" si="10"/>
        <v>0</v>
      </c>
      <c r="X37" s="5">
        <f t="shared" si="10"/>
        <v>0</v>
      </c>
      <c r="Y37" s="5">
        <f t="shared" si="10"/>
        <v>0</v>
      </c>
      <c r="Z37" s="5">
        <f t="shared" si="10"/>
        <v>0</v>
      </c>
      <c r="AA37" s="5">
        <f t="shared" si="10"/>
        <v>0</v>
      </c>
      <c r="AB37" s="5">
        <f t="shared" si="10"/>
        <v>0</v>
      </c>
      <c r="AC37" s="5">
        <f t="shared" si="10"/>
        <v>0</v>
      </c>
      <c r="AD37" s="5">
        <f t="shared" si="10"/>
        <v>0</v>
      </c>
      <c r="AE37" s="19">
        <f t="shared" si="10"/>
        <v>20632</v>
      </c>
      <c r="AF37" s="19">
        <f t="shared" si="10"/>
        <v>98518.88</v>
      </c>
      <c r="AG37" s="5">
        <f t="shared" si="10"/>
        <v>0</v>
      </c>
      <c r="AH37" s="6" t="s">
        <v>131</v>
      </c>
      <c r="AI37" s="6" t="s">
        <v>131</v>
      </c>
      <c r="AJ37" s="6" t="s">
        <v>131</v>
      </c>
    </row>
    <row r="38" spans="1:36" s="2" customFormat="1" ht="61.5" x14ac:dyDescent="0.85">
      <c r="A38" s="2">
        <v>1</v>
      </c>
      <c r="B38" s="18">
        <f>SUBTOTAL(103,$A$18:A38)</f>
        <v>15</v>
      </c>
      <c r="C38" s="3" t="s">
        <v>208</v>
      </c>
      <c r="D38" s="20" t="s">
        <v>202</v>
      </c>
      <c r="E38" s="21">
        <v>1</v>
      </c>
      <c r="F38" s="5">
        <f t="shared" si="4"/>
        <v>2576429.98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26">
        <v>0</v>
      </c>
      <c r="N38" s="5">
        <v>0</v>
      </c>
      <c r="O38" s="7">
        <v>604.54</v>
      </c>
      <c r="P38" s="7">
        <v>2510284.38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19">
        <f>ROUND(P38*0.6%,2)</f>
        <v>15061.71</v>
      </c>
      <c r="AF38" s="37">
        <v>51083.89</v>
      </c>
      <c r="AG38" s="5">
        <v>0</v>
      </c>
      <c r="AH38" s="6">
        <v>2020</v>
      </c>
      <c r="AI38" s="6">
        <v>2020</v>
      </c>
      <c r="AJ38" s="6">
        <v>2020</v>
      </c>
    </row>
    <row r="39" spans="1:36" s="2" customFormat="1" ht="61.5" x14ac:dyDescent="0.85">
      <c r="A39" s="2">
        <v>1</v>
      </c>
      <c r="B39" s="18">
        <f>SUBTOTAL(103,$A$18:A39)</f>
        <v>16</v>
      </c>
      <c r="C39" s="3" t="s">
        <v>189</v>
      </c>
      <c r="D39" s="20" t="s">
        <v>202</v>
      </c>
      <c r="E39" s="21">
        <v>1</v>
      </c>
      <c r="F39" s="5">
        <f t="shared" si="4"/>
        <v>981385.68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26">
        <v>0</v>
      </c>
      <c r="N39" s="5">
        <v>0</v>
      </c>
      <c r="O39" s="7">
        <v>223.96</v>
      </c>
      <c r="P39" s="7">
        <v>928380.4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7">
        <v>5570.29</v>
      </c>
      <c r="AF39" s="37">
        <v>47434.99</v>
      </c>
      <c r="AG39" s="5">
        <v>0</v>
      </c>
      <c r="AH39" s="6">
        <v>2020</v>
      </c>
      <c r="AI39" s="6">
        <v>2020</v>
      </c>
      <c r="AJ39" s="6">
        <v>2020</v>
      </c>
    </row>
    <row r="40" spans="1:36" s="2" customFormat="1" ht="61.5" x14ac:dyDescent="0.85">
      <c r="B40" s="22" t="s">
        <v>91</v>
      </c>
      <c r="C40" s="3"/>
      <c r="D40" s="20" t="s">
        <v>131</v>
      </c>
      <c r="E40" s="21">
        <f>AVERAGE(E41:E45)</f>
        <v>1.0075000000000001</v>
      </c>
      <c r="F40" s="5">
        <f>SUM(F41:F43)</f>
        <v>223917.22</v>
      </c>
      <c r="G40" s="5">
        <f t="shared" ref="G40:AG40" si="11">SUM(G41:G43)</f>
        <v>0</v>
      </c>
      <c r="H40" s="5">
        <f t="shared" si="11"/>
        <v>0</v>
      </c>
      <c r="I40" s="5">
        <f t="shared" si="11"/>
        <v>0</v>
      </c>
      <c r="J40" s="5">
        <f t="shared" si="11"/>
        <v>0</v>
      </c>
      <c r="K40" s="5">
        <f t="shared" si="11"/>
        <v>0</v>
      </c>
      <c r="L40" s="5">
        <f t="shared" si="11"/>
        <v>0</v>
      </c>
      <c r="M40" s="26">
        <f t="shared" si="11"/>
        <v>0</v>
      </c>
      <c r="N40" s="5">
        <f t="shared" si="11"/>
        <v>0</v>
      </c>
      <c r="O40" s="5">
        <f t="shared" si="11"/>
        <v>0</v>
      </c>
      <c r="P40" s="5">
        <f t="shared" si="11"/>
        <v>0</v>
      </c>
      <c r="Q40" s="5">
        <f t="shared" si="11"/>
        <v>0</v>
      </c>
      <c r="R40" s="5">
        <f t="shared" si="11"/>
        <v>0</v>
      </c>
      <c r="S40" s="5">
        <f t="shared" si="11"/>
        <v>0</v>
      </c>
      <c r="T40" s="5">
        <f t="shared" si="11"/>
        <v>0</v>
      </c>
      <c r="U40" s="5">
        <f t="shared" si="11"/>
        <v>0</v>
      </c>
      <c r="V40" s="5">
        <f t="shared" si="11"/>
        <v>0</v>
      </c>
      <c r="W40" s="5">
        <f t="shared" si="11"/>
        <v>0</v>
      </c>
      <c r="X40" s="5">
        <f t="shared" si="11"/>
        <v>0</v>
      </c>
      <c r="Y40" s="5">
        <f t="shared" si="11"/>
        <v>0</v>
      </c>
      <c r="Z40" s="5">
        <f t="shared" si="11"/>
        <v>0</v>
      </c>
      <c r="AA40" s="5">
        <f t="shared" si="11"/>
        <v>0</v>
      </c>
      <c r="AB40" s="5">
        <f t="shared" si="11"/>
        <v>0</v>
      </c>
      <c r="AC40" s="5">
        <f t="shared" si="11"/>
        <v>0</v>
      </c>
      <c r="AD40" s="5">
        <f t="shared" si="11"/>
        <v>0</v>
      </c>
      <c r="AE40" s="19">
        <f t="shared" si="11"/>
        <v>0</v>
      </c>
      <c r="AF40" s="19">
        <f t="shared" si="11"/>
        <v>223917.22</v>
      </c>
      <c r="AG40" s="5">
        <f t="shared" si="11"/>
        <v>0</v>
      </c>
      <c r="AH40" s="6" t="s">
        <v>131</v>
      </c>
      <c r="AI40" s="6" t="s">
        <v>131</v>
      </c>
      <c r="AJ40" s="6" t="s">
        <v>131</v>
      </c>
    </row>
    <row r="41" spans="1:36" s="2" customFormat="1" ht="61.5" x14ac:dyDescent="0.85">
      <c r="A41" s="2">
        <v>1</v>
      </c>
      <c r="B41" s="18">
        <f>SUBTOTAL(103,$A$18:A41)</f>
        <v>17</v>
      </c>
      <c r="C41" s="3" t="s">
        <v>190</v>
      </c>
      <c r="D41" s="20" t="s">
        <v>203</v>
      </c>
      <c r="E41" s="21">
        <v>1.0043</v>
      </c>
      <c r="F41" s="5">
        <f t="shared" si="4"/>
        <v>47271.85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26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19">
        <f>ROUND(P41*1.5%,2)</f>
        <v>0</v>
      </c>
      <c r="AF41" s="7">
        <v>47271.85</v>
      </c>
      <c r="AG41" s="5">
        <v>0</v>
      </c>
      <c r="AH41" s="6">
        <v>2020</v>
      </c>
      <c r="AI41" s="6" t="s">
        <v>49</v>
      </c>
      <c r="AJ41" s="6" t="s">
        <v>49</v>
      </c>
    </row>
    <row r="42" spans="1:36" s="2" customFormat="1" ht="61.5" x14ac:dyDescent="0.85">
      <c r="A42" s="2">
        <v>1</v>
      </c>
      <c r="B42" s="18">
        <f>SUBTOTAL(103,$A$18:A42)</f>
        <v>18</v>
      </c>
      <c r="C42" s="3" t="s">
        <v>93</v>
      </c>
      <c r="D42" s="20" t="s">
        <v>203</v>
      </c>
      <c r="E42" s="21">
        <v>1.0185999999999999</v>
      </c>
      <c r="F42" s="5">
        <f t="shared" si="4"/>
        <v>99352.46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26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19">
        <f>ROUND(P42*1.5%,2)</f>
        <v>0</v>
      </c>
      <c r="AF42" s="7">
        <v>99352.46</v>
      </c>
      <c r="AG42" s="5">
        <v>0</v>
      </c>
      <c r="AH42" s="6">
        <v>2020</v>
      </c>
      <c r="AI42" s="6" t="s">
        <v>49</v>
      </c>
      <c r="AJ42" s="6" t="s">
        <v>49</v>
      </c>
    </row>
    <row r="43" spans="1:36" s="2" customFormat="1" ht="61.5" x14ac:dyDescent="0.85">
      <c r="A43" s="2">
        <v>1</v>
      </c>
      <c r="B43" s="18">
        <f>SUBTOTAL(103,$A$18:A43)</f>
        <v>19</v>
      </c>
      <c r="C43" s="3" t="s">
        <v>92</v>
      </c>
      <c r="D43" s="20" t="s">
        <v>203</v>
      </c>
      <c r="E43" s="21">
        <v>1.0064</v>
      </c>
      <c r="F43" s="5">
        <f t="shared" si="4"/>
        <v>77292.91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26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19">
        <f>ROUND(P43*1.5%,2)</f>
        <v>0</v>
      </c>
      <c r="AF43" s="7">
        <v>77292.91</v>
      </c>
      <c r="AG43" s="5">
        <v>0</v>
      </c>
      <c r="AH43" s="6">
        <v>2020</v>
      </c>
      <c r="AI43" s="6" t="s">
        <v>49</v>
      </c>
      <c r="AJ43" s="6" t="s">
        <v>49</v>
      </c>
    </row>
    <row r="44" spans="1:36" s="2" customFormat="1" ht="61.5" x14ac:dyDescent="0.85">
      <c r="B44" s="22" t="s">
        <v>108</v>
      </c>
      <c r="C44" s="3"/>
      <c r="D44" s="20" t="s">
        <v>131</v>
      </c>
      <c r="E44" s="21">
        <f>AVERAGE(E45)</f>
        <v>1.0041</v>
      </c>
      <c r="F44" s="5">
        <f>F45</f>
        <v>3265341.36</v>
      </c>
      <c r="G44" s="5">
        <f t="shared" ref="G44:AG44" si="12">G45</f>
        <v>0</v>
      </c>
      <c r="H44" s="5">
        <f t="shared" si="12"/>
        <v>0</v>
      </c>
      <c r="I44" s="5">
        <f t="shared" si="12"/>
        <v>0</v>
      </c>
      <c r="J44" s="5">
        <f t="shared" si="12"/>
        <v>0</v>
      </c>
      <c r="K44" s="5">
        <f t="shared" si="12"/>
        <v>0</v>
      </c>
      <c r="L44" s="5">
        <f t="shared" si="12"/>
        <v>0</v>
      </c>
      <c r="M44" s="26">
        <f t="shared" si="12"/>
        <v>0</v>
      </c>
      <c r="N44" s="5">
        <f t="shared" si="12"/>
        <v>0</v>
      </c>
      <c r="O44" s="5">
        <f t="shared" si="12"/>
        <v>695</v>
      </c>
      <c r="P44" s="5">
        <f t="shared" si="12"/>
        <v>3166427.79</v>
      </c>
      <c r="Q44" s="5">
        <f t="shared" si="12"/>
        <v>0</v>
      </c>
      <c r="R44" s="5">
        <f t="shared" si="12"/>
        <v>0</v>
      </c>
      <c r="S44" s="5">
        <f t="shared" si="12"/>
        <v>0</v>
      </c>
      <c r="T44" s="5">
        <f t="shared" si="12"/>
        <v>0</v>
      </c>
      <c r="U44" s="5">
        <f t="shared" si="12"/>
        <v>0</v>
      </c>
      <c r="V44" s="5">
        <f t="shared" si="12"/>
        <v>0</v>
      </c>
      <c r="W44" s="5">
        <f t="shared" si="12"/>
        <v>0</v>
      </c>
      <c r="X44" s="5">
        <f t="shared" si="12"/>
        <v>0</v>
      </c>
      <c r="Y44" s="5">
        <f t="shared" si="12"/>
        <v>0</v>
      </c>
      <c r="Z44" s="5">
        <f t="shared" si="12"/>
        <v>0</v>
      </c>
      <c r="AA44" s="5">
        <f t="shared" si="12"/>
        <v>0</v>
      </c>
      <c r="AB44" s="5">
        <f t="shared" si="12"/>
        <v>0</v>
      </c>
      <c r="AC44" s="5">
        <f t="shared" si="12"/>
        <v>0</v>
      </c>
      <c r="AD44" s="5">
        <f t="shared" si="12"/>
        <v>0</v>
      </c>
      <c r="AE44" s="19">
        <f t="shared" si="12"/>
        <v>18998.57</v>
      </c>
      <c r="AF44" s="19">
        <f t="shared" si="12"/>
        <v>79915</v>
      </c>
      <c r="AG44" s="5">
        <f t="shared" si="12"/>
        <v>0</v>
      </c>
      <c r="AH44" s="6" t="s">
        <v>131</v>
      </c>
      <c r="AI44" s="6" t="s">
        <v>131</v>
      </c>
      <c r="AJ44" s="6" t="s">
        <v>131</v>
      </c>
    </row>
    <row r="45" spans="1:36" s="2" customFormat="1" ht="61.5" x14ac:dyDescent="0.85">
      <c r="A45" s="2">
        <v>1</v>
      </c>
      <c r="B45" s="18">
        <f>SUBTOTAL(103,$A$18:A45)</f>
        <v>20</v>
      </c>
      <c r="C45" s="3" t="s">
        <v>191</v>
      </c>
      <c r="D45" s="20" t="s">
        <v>202</v>
      </c>
      <c r="E45" s="21">
        <v>1.0041</v>
      </c>
      <c r="F45" s="5">
        <f t="shared" si="4"/>
        <v>3265341.36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26">
        <v>0</v>
      </c>
      <c r="N45" s="5">
        <v>0</v>
      </c>
      <c r="O45" s="7">
        <v>695</v>
      </c>
      <c r="P45" s="7">
        <v>3166427.79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19">
        <f>ROUND(P45*0.6%,2)</f>
        <v>18998.57</v>
      </c>
      <c r="AF45" s="7">
        <v>79915</v>
      </c>
      <c r="AG45" s="5">
        <v>0</v>
      </c>
      <c r="AH45" s="6">
        <v>2020</v>
      </c>
      <c r="AI45" s="6">
        <v>2020</v>
      </c>
      <c r="AJ45" s="6">
        <v>2020</v>
      </c>
    </row>
    <row r="46" spans="1:36" s="2" customFormat="1" ht="61.5" x14ac:dyDescent="0.85">
      <c r="B46" s="22" t="s">
        <v>110</v>
      </c>
      <c r="C46" s="3"/>
      <c r="D46" s="20" t="s">
        <v>131</v>
      </c>
      <c r="E46" s="21">
        <f>AVERAGE(E47)</f>
        <v>1</v>
      </c>
      <c r="F46" s="5">
        <f>F47</f>
        <v>97672.62</v>
      </c>
      <c r="G46" s="5">
        <f t="shared" ref="G46:AG46" si="13">G47</f>
        <v>0</v>
      </c>
      <c r="H46" s="5">
        <f t="shared" si="13"/>
        <v>0</v>
      </c>
      <c r="I46" s="5">
        <f t="shared" si="13"/>
        <v>0</v>
      </c>
      <c r="J46" s="5">
        <f t="shared" si="13"/>
        <v>0</v>
      </c>
      <c r="K46" s="5">
        <f t="shared" si="13"/>
        <v>0</v>
      </c>
      <c r="L46" s="5">
        <f t="shared" si="13"/>
        <v>0</v>
      </c>
      <c r="M46" s="26">
        <f t="shared" si="13"/>
        <v>0</v>
      </c>
      <c r="N46" s="5">
        <f t="shared" si="13"/>
        <v>0</v>
      </c>
      <c r="O46" s="5">
        <f t="shared" si="13"/>
        <v>0</v>
      </c>
      <c r="P46" s="5">
        <f t="shared" si="13"/>
        <v>0</v>
      </c>
      <c r="Q46" s="5">
        <f t="shared" si="13"/>
        <v>0</v>
      </c>
      <c r="R46" s="5">
        <f t="shared" si="13"/>
        <v>0</v>
      </c>
      <c r="S46" s="5">
        <f t="shared" si="13"/>
        <v>0</v>
      </c>
      <c r="T46" s="5">
        <f t="shared" si="13"/>
        <v>0</v>
      </c>
      <c r="U46" s="5">
        <f t="shared" si="13"/>
        <v>0</v>
      </c>
      <c r="V46" s="5">
        <f t="shared" si="13"/>
        <v>0</v>
      </c>
      <c r="W46" s="5">
        <f t="shared" si="13"/>
        <v>0</v>
      </c>
      <c r="X46" s="5">
        <f t="shared" si="13"/>
        <v>0</v>
      </c>
      <c r="Y46" s="5">
        <f t="shared" si="13"/>
        <v>0</v>
      </c>
      <c r="Z46" s="5">
        <f t="shared" si="13"/>
        <v>0</v>
      </c>
      <c r="AA46" s="5">
        <f t="shared" si="13"/>
        <v>0</v>
      </c>
      <c r="AB46" s="5">
        <f t="shared" si="13"/>
        <v>0</v>
      </c>
      <c r="AC46" s="5">
        <f t="shared" si="13"/>
        <v>0</v>
      </c>
      <c r="AD46" s="5">
        <f t="shared" si="13"/>
        <v>0</v>
      </c>
      <c r="AE46" s="19">
        <f t="shared" si="13"/>
        <v>0</v>
      </c>
      <c r="AF46" s="19">
        <f t="shared" si="13"/>
        <v>97672.62</v>
      </c>
      <c r="AG46" s="5">
        <f t="shared" si="13"/>
        <v>0</v>
      </c>
      <c r="AH46" s="6" t="s">
        <v>131</v>
      </c>
      <c r="AI46" s="6" t="s">
        <v>131</v>
      </c>
      <c r="AJ46" s="6" t="s">
        <v>131</v>
      </c>
    </row>
    <row r="47" spans="1:36" s="2" customFormat="1" ht="61.5" x14ac:dyDescent="0.85">
      <c r="A47" s="2">
        <v>1</v>
      </c>
      <c r="B47" s="18">
        <f>SUBTOTAL(103,$A$18:A47)</f>
        <v>21</v>
      </c>
      <c r="C47" s="3" t="s">
        <v>192</v>
      </c>
      <c r="D47" s="20" t="s">
        <v>204</v>
      </c>
      <c r="E47" s="21">
        <v>1</v>
      </c>
      <c r="F47" s="5">
        <f t="shared" si="4"/>
        <v>97672.62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26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19">
        <f>ROUND(P47*1.5%,2)</f>
        <v>0</v>
      </c>
      <c r="AF47" s="51">
        <v>97672.62</v>
      </c>
      <c r="AG47" s="5">
        <v>0</v>
      </c>
      <c r="AH47" s="6">
        <v>2020</v>
      </c>
      <c r="AI47" s="6" t="s">
        <v>49</v>
      </c>
      <c r="AJ47" s="6" t="s">
        <v>49</v>
      </c>
    </row>
    <row r="48" spans="1:36" s="2" customFormat="1" ht="61.5" x14ac:dyDescent="0.85">
      <c r="B48" s="22" t="s">
        <v>211</v>
      </c>
      <c r="C48" s="3"/>
      <c r="D48" s="20" t="s">
        <v>131</v>
      </c>
      <c r="E48" s="21">
        <f>AVERAGE(E49:E51)</f>
        <v>1.0093333333333334</v>
      </c>
      <c r="F48" s="5">
        <f t="shared" ref="F48:AG48" si="14">SUM(F49:F51)</f>
        <v>7637123.5900000008</v>
      </c>
      <c r="G48" s="5">
        <f t="shared" si="14"/>
        <v>0</v>
      </c>
      <c r="H48" s="5">
        <f t="shared" si="14"/>
        <v>0</v>
      </c>
      <c r="I48" s="5">
        <f t="shared" si="14"/>
        <v>0</v>
      </c>
      <c r="J48" s="5">
        <f t="shared" si="14"/>
        <v>0</v>
      </c>
      <c r="K48" s="5">
        <f t="shared" si="14"/>
        <v>0</v>
      </c>
      <c r="L48" s="5">
        <f t="shared" si="14"/>
        <v>0</v>
      </c>
      <c r="M48" s="26">
        <f t="shared" si="14"/>
        <v>0</v>
      </c>
      <c r="N48" s="5">
        <f t="shared" si="14"/>
        <v>0</v>
      </c>
      <c r="O48" s="5">
        <f t="shared" si="14"/>
        <v>1438.7</v>
      </c>
      <c r="P48" s="5">
        <f t="shared" si="14"/>
        <v>7406508.8399999999</v>
      </c>
      <c r="Q48" s="5">
        <f t="shared" si="14"/>
        <v>0</v>
      </c>
      <c r="R48" s="5">
        <f t="shared" si="14"/>
        <v>0</v>
      </c>
      <c r="S48" s="5">
        <f t="shared" si="14"/>
        <v>0</v>
      </c>
      <c r="T48" s="5">
        <f t="shared" si="14"/>
        <v>0</v>
      </c>
      <c r="U48" s="5">
        <f t="shared" si="14"/>
        <v>0</v>
      </c>
      <c r="V48" s="5">
        <f t="shared" si="14"/>
        <v>0</v>
      </c>
      <c r="W48" s="5">
        <f t="shared" si="14"/>
        <v>0</v>
      </c>
      <c r="X48" s="5">
        <f t="shared" si="14"/>
        <v>0</v>
      </c>
      <c r="Y48" s="5">
        <f t="shared" si="14"/>
        <v>0</v>
      </c>
      <c r="Z48" s="5">
        <f t="shared" si="14"/>
        <v>0</v>
      </c>
      <c r="AA48" s="5">
        <f t="shared" si="14"/>
        <v>0</v>
      </c>
      <c r="AB48" s="5">
        <f t="shared" si="14"/>
        <v>0</v>
      </c>
      <c r="AC48" s="5">
        <f t="shared" si="14"/>
        <v>0</v>
      </c>
      <c r="AD48" s="5">
        <f t="shared" si="14"/>
        <v>0</v>
      </c>
      <c r="AE48" s="19">
        <f t="shared" si="14"/>
        <v>25643.34</v>
      </c>
      <c r="AF48" s="19">
        <f t="shared" si="14"/>
        <v>204971.41</v>
      </c>
      <c r="AG48" s="5">
        <f t="shared" si="14"/>
        <v>0</v>
      </c>
      <c r="AH48" s="6" t="s">
        <v>131</v>
      </c>
      <c r="AI48" s="6" t="s">
        <v>131</v>
      </c>
      <c r="AJ48" s="6" t="s">
        <v>131</v>
      </c>
    </row>
    <row r="49" spans="1:36" s="2" customFormat="1" ht="61.5" x14ac:dyDescent="0.85">
      <c r="A49" s="2">
        <v>1</v>
      </c>
      <c r="B49" s="18">
        <f>SUBTOTAL(103,$A$18:A49)</f>
        <v>22</v>
      </c>
      <c r="C49" s="3" t="s">
        <v>193</v>
      </c>
      <c r="D49" s="20" t="s">
        <v>206</v>
      </c>
      <c r="E49" s="21">
        <v>1.0093000000000001</v>
      </c>
      <c r="F49" s="5">
        <f t="shared" si="4"/>
        <v>2406352.7599999998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26">
        <v>0</v>
      </c>
      <c r="N49" s="5">
        <v>0</v>
      </c>
      <c r="O49" s="7">
        <v>441.7</v>
      </c>
      <c r="P49" s="7">
        <v>2338270.38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19">
        <v>0</v>
      </c>
      <c r="AF49" s="7">
        <v>68082.38</v>
      </c>
      <c r="AG49" s="5">
        <v>0</v>
      </c>
      <c r="AH49" s="6">
        <v>2020</v>
      </c>
      <c r="AI49" s="6">
        <v>2020</v>
      </c>
      <c r="AJ49" s="6" t="s">
        <v>49</v>
      </c>
    </row>
    <row r="50" spans="1:36" s="2" customFormat="1" ht="61.5" x14ac:dyDescent="0.85">
      <c r="A50" s="2">
        <v>1</v>
      </c>
      <c r="B50" s="18">
        <f>SUBTOTAL(103,$A$18:A50)</f>
        <v>23</v>
      </c>
      <c r="C50" s="3" t="s">
        <v>194</v>
      </c>
      <c r="D50" s="20" t="s">
        <v>202</v>
      </c>
      <c r="E50" s="21">
        <v>1.0031000000000001</v>
      </c>
      <c r="F50" s="5">
        <f t="shared" si="4"/>
        <v>2491755.89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26">
        <v>0</v>
      </c>
      <c r="N50" s="5">
        <v>0</v>
      </c>
      <c r="O50" s="7">
        <v>502</v>
      </c>
      <c r="P50" s="7">
        <v>2407983.3199999998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11377.72</v>
      </c>
      <c r="AF50" s="51">
        <v>72394.850000000006</v>
      </c>
      <c r="AG50" s="5">
        <v>0</v>
      </c>
      <c r="AH50" s="6">
        <v>2020</v>
      </c>
      <c r="AI50" s="6">
        <v>2020</v>
      </c>
      <c r="AJ50" s="6">
        <v>2020</v>
      </c>
    </row>
    <row r="51" spans="1:36" s="2" customFormat="1" ht="61.5" x14ac:dyDescent="0.85">
      <c r="A51" s="2">
        <v>1</v>
      </c>
      <c r="B51" s="18">
        <f>SUBTOTAL(103,$A$18:A51)</f>
        <v>24</v>
      </c>
      <c r="C51" s="3" t="s">
        <v>195</v>
      </c>
      <c r="D51" s="20" t="s">
        <v>205</v>
      </c>
      <c r="E51" s="21">
        <v>1.0156000000000001</v>
      </c>
      <c r="F51" s="5">
        <f t="shared" si="4"/>
        <v>2739014.9400000004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26">
        <v>0</v>
      </c>
      <c r="N51" s="5">
        <v>0</v>
      </c>
      <c r="O51" s="7">
        <v>495</v>
      </c>
      <c r="P51" s="7">
        <v>2660255.14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f>7980.77+6284.85</f>
        <v>14265.62</v>
      </c>
      <c r="AF51" s="51">
        <v>64494.18</v>
      </c>
      <c r="AG51" s="5">
        <v>0</v>
      </c>
      <c r="AH51" s="6">
        <v>2020</v>
      </c>
      <c r="AI51" s="6">
        <v>2020</v>
      </c>
      <c r="AJ51" s="6">
        <v>2020</v>
      </c>
    </row>
    <row r="52" spans="1:36" s="2" customFormat="1" ht="61.5" x14ac:dyDescent="0.85">
      <c r="B52" s="22" t="s">
        <v>212</v>
      </c>
      <c r="C52" s="3"/>
      <c r="D52" s="20" t="s">
        <v>131</v>
      </c>
      <c r="E52" s="21">
        <f>AVERAGE(E53)</f>
        <v>1</v>
      </c>
      <c r="F52" s="5">
        <f>F53</f>
        <v>2434994.4500000002</v>
      </c>
      <c r="G52" s="5">
        <f t="shared" ref="G52:AG52" si="15">G53</f>
        <v>0</v>
      </c>
      <c r="H52" s="5">
        <f t="shared" si="15"/>
        <v>0</v>
      </c>
      <c r="I52" s="5">
        <f t="shared" si="15"/>
        <v>0</v>
      </c>
      <c r="J52" s="5">
        <f t="shared" si="15"/>
        <v>0</v>
      </c>
      <c r="K52" s="5">
        <f t="shared" si="15"/>
        <v>0</v>
      </c>
      <c r="L52" s="5">
        <f t="shared" si="15"/>
        <v>0</v>
      </c>
      <c r="M52" s="26">
        <f t="shared" si="15"/>
        <v>0</v>
      </c>
      <c r="N52" s="5">
        <f t="shared" si="15"/>
        <v>0</v>
      </c>
      <c r="O52" s="5">
        <f t="shared" si="15"/>
        <v>780</v>
      </c>
      <c r="P52" s="5">
        <f t="shared" si="15"/>
        <v>2307296.7200000002</v>
      </c>
      <c r="Q52" s="5">
        <f t="shared" si="15"/>
        <v>0</v>
      </c>
      <c r="R52" s="5">
        <f t="shared" si="15"/>
        <v>0</v>
      </c>
      <c r="S52" s="5">
        <f t="shared" si="15"/>
        <v>0</v>
      </c>
      <c r="T52" s="5">
        <f t="shared" si="15"/>
        <v>0</v>
      </c>
      <c r="U52" s="5">
        <f t="shared" si="15"/>
        <v>0</v>
      </c>
      <c r="V52" s="5">
        <f t="shared" si="15"/>
        <v>0</v>
      </c>
      <c r="W52" s="5">
        <f t="shared" si="15"/>
        <v>0</v>
      </c>
      <c r="X52" s="5">
        <f t="shared" si="15"/>
        <v>0</v>
      </c>
      <c r="Y52" s="5">
        <f t="shared" si="15"/>
        <v>0</v>
      </c>
      <c r="Z52" s="5">
        <f t="shared" si="15"/>
        <v>0</v>
      </c>
      <c r="AA52" s="5">
        <f t="shared" si="15"/>
        <v>0</v>
      </c>
      <c r="AB52" s="5">
        <f t="shared" si="15"/>
        <v>0</v>
      </c>
      <c r="AC52" s="5">
        <f t="shared" si="15"/>
        <v>0</v>
      </c>
      <c r="AD52" s="5">
        <f t="shared" si="15"/>
        <v>0</v>
      </c>
      <c r="AE52" s="19">
        <f t="shared" si="15"/>
        <v>32359.84</v>
      </c>
      <c r="AF52" s="19">
        <f t="shared" si="15"/>
        <v>95337.89</v>
      </c>
      <c r="AG52" s="5">
        <f t="shared" si="15"/>
        <v>0</v>
      </c>
      <c r="AH52" s="6" t="s">
        <v>131</v>
      </c>
      <c r="AI52" s="6" t="s">
        <v>131</v>
      </c>
      <c r="AJ52" s="6" t="s">
        <v>131</v>
      </c>
    </row>
    <row r="53" spans="1:36" s="2" customFormat="1" ht="61.5" x14ac:dyDescent="0.85">
      <c r="A53" s="2">
        <v>1</v>
      </c>
      <c r="B53" s="18">
        <f>SUBTOTAL(103,$A$18:A53)</f>
        <v>25</v>
      </c>
      <c r="C53" s="3" t="s">
        <v>200</v>
      </c>
      <c r="D53" s="20" t="s">
        <v>201</v>
      </c>
      <c r="E53" s="21">
        <v>1</v>
      </c>
      <c r="F53" s="5">
        <f t="shared" si="4"/>
        <v>2434994.4500000002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26">
        <v>0</v>
      </c>
      <c r="N53" s="5">
        <v>0</v>
      </c>
      <c r="O53" s="5">
        <v>780</v>
      </c>
      <c r="P53" s="5">
        <v>2307296.7200000002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7">
        <v>32359.84</v>
      </c>
      <c r="AF53" s="51">
        <v>95337.89</v>
      </c>
      <c r="AG53" s="5">
        <v>0</v>
      </c>
      <c r="AH53" s="6">
        <v>2020</v>
      </c>
      <c r="AI53" s="6">
        <v>2020</v>
      </c>
      <c r="AJ53" s="6">
        <v>2020</v>
      </c>
    </row>
    <row r="54" spans="1:36" s="2" customFormat="1" ht="61.5" x14ac:dyDescent="0.85">
      <c r="B54" s="22" t="s">
        <v>115</v>
      </c>
      <c r="C54" s="3"/>
      <c r="D54" s="20" t="s">
        <v>131</v>
      </c>
      <c r="E54" s="21">
        <f>AVERAGE(E55)</f>
        <v>1.008</v>
      </c>
      <c r="F54" s="5">
        <f>F55</f>
        <v>89459.11</v>
      </c>
      <c r="G54" s="5">
        <f t="shared" ref="G54:AG54" si="16">G55</f>
        <v>0</v>
      </c>
      <c r="H54" s="5">
        <f t="shared" si="16"/>
        <v>0</v>
      </c>
      <c r="I54" s="5">
        <f t="shared" si="16"/>
        <v>0</v>
      </c>
      <c r="J54" s="5">
        <f t="shared" si="16"/>
        <v>0</v>
      </c>
      <c r="K54" s="5">
        <f t="shared" si="16"/>
        <v>0</v>
      </c>
      <c r="L54" s="5">
        <f t="shared" si="16"/>
        <v>0</v>
      </c>
      <c r="M54" s="26">
        <f t="shared" si="16"/>
        <v>0</v>
      </c>
      <c r="N54" s="5">
        <f t="shared" si="16"/>
        <v>0</v>
      </c>
      <c r="O54" s="5">
        <f t="shared" si="16"/>
        <v>0</v>
      </c>
      <c r="P54" s="5">
        <f t="shared" si="16"/>
        <v>0</v>
      </c>
      <c r="Q54" s="5">
        <f t="shared" si="16"/>
        <v>0</v>
      </c>
      <c r="R54" s="5">
        <f t="shared" si="16"/>
        <v>0</v>
      </c>
      <c r="S54" s="5">
        <f t="shared" si="16"/>
        <v>0</v>
      </c>
      <c r="T54" s="5">
        <f t="shared" si="16"/>
        <v>0</v>
      </c>
      <c r="U54" s="5">
        <f t="shared" si="16"/>
        <v>0</v>
      </c>
      <c r="V54" s="5">
        <f t="shared" si="16"/>
        <v>0</v>
      </c>
      <c r="W54" s="5">
        <f t="shared" si="16"/>
        <v>0</v>
      </c>
      <c r="X54" s="5">
        <f t="shared" si="16"/>
        <v>0</v>
      </c>
      <c r="Y54" s="5">
        <f t="shared" si="16"/>
        <v>0</v>
      </c>
      <c r="Z54" s="5">
        <f t="shared" si="16"/>
        <v>0</v>
      </c>
      <c r="AA54" s="5">
        <f t="shared" si="16"/>
        <v>0</v>
      </c>
      <c r="AB54" s="5">
        <f t="shared" si="16"/>
        <v>0</v>
      </c>
      <c r="AC54" s="5">
        <f t="shared" si="16"/>
        <v>0</v>
      </c>
      <c r="AD54" s="5">
        <f t="shared" si="16"/>
        <v>0</v>
      </c>
      <c r="AE54" s="19">
        <f t="shared" si="16"/>
        <v>0</v>
      </c>
      <c r="AF54" s="19">
        <f t="shared" si="16"/>
        <v>89459.11</v>
      </c>
      <c r="AG54" s="5">
        <f t="shared" si="16"/>
        <v>0</v>
      </c>
      <c r="AH54" s="6" t="s">
        <v>131</v>
      </c>
      <c r="AI54" s="6" t="s">
        <v>131</v>
      </c>
      <c r="AJ54" s="6" t="s">
        <v>131</v>
      </c>
    </row>
    <row r="55" spans="1:36" s="2" customFormat="1" ht="61.5" x14ac:dyDescent="0.85">
      <c r="A55" s="2">
        <v>1</v>
      </c>
      <c r="B55" s="18">
        <f>SUBTOTAL(103,$A$18:A55)</f>
        <v>26</v>
      </c>
      <c r="C55" s="3" t="s">
        <v>196</v>
      </c>
      <c r="D55" s="20" t="s">
        <v>202</v>
      </c>
      <c r="E55" s="21">
        <v>1.008</v>
      </c>
      <c r="F55" s="5">
        <f t="shared" si="4"/>
        <v>89459.11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26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19">
        <f>ROUND(P55*1.5%,2)</f>
        <v>0</v>
      </c>
      <c r="AF55" s="37">
        <v>89459.11</v>
      </c>
      <c r="AG55" s="5">
        <v>0</v>
      </c>
      <c r="AH55" s="6">
        <v>2020</v>
      </c>
      <c r="AI55" s="6" t="s">
        <v>49</v>
      </c>
      <c r="AJ55" s="6" t="s">
        <v>49</v>
      </c>
    </row>
    <row r="56" spans="1:36" s="2" customFormat="1" ht="61.5" x14ac:dyDescent="0.85">
      <c r="B56" s="22" t="s">
        <v>119</v>
      </c>
      <c r="C56" s="3"/>
      <c r="D56" s="20" t="s">
        <v>131</v>
      </c>
      <c r="E56" s="21">
        <f>AVERAGE(E57)</f>
        <v>1.0001</v>
      </c>
      <c r="F56" s="5">
        <f>F57</f>
        <v>3168456.39</v>
      </c>
      <c r="G56" s="5">
        <f t="shared" ref="G56:AG56" si="17">G57</f>
        <v>0</v>
      </c>
      <c r="H56" s="5">
        <f t="shared" si="17"/>
        <v>0</v>
      </c>
      <c r="I56" s="5">
        <f t="shared" si="17"/>
        <v>0</v>
      </c>
      <c r="J56" s="5">
        <f t="shared" si="17"/>
        <v>0</v>
      </c>
      <c r="K56" s="5">
        <f t="shared" si="17"/>
        <v>0</v>
      </c>
      <c r="L56" s="5">
        <f t="shared" si="17"/>
        <v>0</v>
      </c>
      <c r="M56" s="26">
        <f t="shared" si="17"/>
        <v>0</v>
      </c>
      <c r="N56" s="5">
        <f t="shared" si="17"/>
        <v>0</v>
      </c>
      <c r="O56" s="5">
        <f t="shared" si="17"/>
        <v>874</v>
      </c>
      <c r="P56" s="5">
        <f t="shared" si="17"/>
        <v>3070274</v>
      </c>
      <c r="Q56" s="5">
        <f t="shared" si="17"/>
        <v>0</v>
      </c>
      <c r="R56" s="5">
        <f t="shared" si="17"/>
        <v>0</v>
      </c>
      <c r="S56" s="5">
        <f t="shared" si="17"/>
        <v>0</v>
      </c>
      <c r="T56" s="5">
        <f t="shared" si="17"/>
        <v>0</v>
      </c>
      <c r="U56" s="5">
        <f t="shared" si="17"/>
        <v>0</v>
      </c>
      <c r="V56" s="5">
        <f t="shared" si="17"/>
        <v>0</v>
      </c>
      <c r="W56" s="5">
        <f t="shared" si="17"/>
        <v>0</v>
      </c>
      <c r="X56" s="5">
        <f t="shared" si="17"/>
        <v>0</v>
      </c>
      <c r="Y56" s="5">
        <f t="shared" si="17"/>
        <v>0</v>
      </c>
      <c r="Z56" s="5">
        <f t="shared" si="17"/>
        <v>0</v>
      </c>
      <c r="AA56" s="5">
        <f t="shared" si="17"/>
        <v>0</v>
      </c>
      <c r="AB56" s="5">
        <f t="shared" si="17"/>
        <v>0</v>
      </c>
      <c r="AC56" s="5">
        <f t="shared" si="17"/>
        <v>0</v>
      </c>
      <c r="AD56" s="5">
        <f t="shared" si="17"/>
        <v>0</v>
      </c>
      <c r="AE56" s="19">
        <f t="shared" si="17"/>
        <v>0</v>
      </c>
      <c r="AF56" s="19">
        <f t="shared" si="17"/>
        <v>98182.39</v>
      </c>
      <c r="AG56" s="5">
        <f t="shared" si="17"/>
        <v>0</v>
      </c>
      <c r="AH56" s="6" t="s">
        <v>131</v>
      </c>
      <c r="AI56" s="6" t="s">
        <v>131</v>
      </c>
      <c r="AJ56" s="6" t="s">
        <v>131</v>
      </c>
    </row>
    <row r="57" spans="1:36" s="2" customFormat="1" ht="61.5" x14ac:dyDescent="0.85">
      <c r="A57" s="2">
        <v>1</v>
      </c>
      <c r="B57" s="18">
        <f>SUBTOTAL(103,$A$18:A57)</f>
        <v>27</v>
      </c>
      <c r="C57" s="3" t="s">
        <v>199</v>
      </c>
      <c r="D57" s="20" t="s">
        <v>204</v>
      </c>
      <c r="E57" s="21">
        <v>1.0001</v>
      </c>
      <c r="F57" s="5">
        <f t="shared" si="4"/>
        <v>3168456.39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26">
        <v>0</v>
      </c>
      <c r="N57" s="5">
        <v>0</v>
      </c>
      <c r="O57" s="7">
        <v>874</v>
      </c>
      <c r="P57" s="7">
        <v>3070274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19">
        <v>0</v>
      </c>
      <c r="AF57" s="51">
        <v>98182.39</v>
      </c>
      <c r="AG57" s="5">
        <v>0</v>
      </c>
      <c r="AH57" s="6">
        <v>2020</v>
      </c>
      <c r="AI57" s="6">
        <v>2020</v>
      </c>
      <c r="AJ57" s="6" t="s">
        <v>49</v>
      </c>
    </row>
    <row r="58" spans="1:36" s="2" customFormat="1" ht="61.5" x14ac:dyDescent="0.85">
      <c r="B58" s="22" t="s">
        <v>121</v>
      </c>
      <c r="C58" s="3"/>
      <c r="D58" s="20" t="s">
        <v>131</v>
      </c>
      <c r="E58" s="21">
        <f>AVERAGE(E59:E60)</f>
        <v>1.0058</v>
      </c>
      <c r="F58" s="5">
        <f>F60+F59+F61</f>
        <v>4966030.97</v>
      </c>
      <c r="G58" s="5">
        <f t="shared" ref="G58:AG58" si="18">G60+G59+G61</f>
        <v>0</v>
      </c>
      <c r="H58" s="5">
        <f t="shared" si="18"/>
        <v>0</v>
      </c>
      <c r="I58" s="5">
        <f t="shared" si="18"/>
        <v>0</v>
      </c>
      <c r="J58" s="5">
        <f t="shared" si="18"/>
        <v>0</v>
      </c>
      <c r="K58" s="5">
        <f t="shared" si="18"/>
        <v>0</v>
      </c>
      <c r="L58" s="5">
        <f t="shared" si="18"/>
        <v>0</v>
      </c>
      <c r="M58" s="26">
        <f t="shared" si="18"/>
        <v>0</v>
      </c>
      <c r="N58" s="5">
        <f t="shared" si="18"/>
        <v>0</v>
      </c>
      <c r="O58" s="5">
        <f t="shared" si="18"/>
        <v>880.82999999999993</v>
      </c>
      <c r="P58" s="5">
        <f t="shared" si="18"/>
        <v>3232706.81</v>
      </c>
      <c r="Q58" s="5">
        <f t="shared" si="18"/>
        <v>0</v>
      </c>
      <c r="R58" s="5">
        <f t="shared" si="18"/>
        <v>0</v>
      </c>
      <c r="S58" s="5">
        <f t="shared" si="18"/>
        <v>438.58</v>
      </c>
      <c r="T58" s="5">
        <f t="shared" si="18"/>
        <v>1586717.02</v>
      </c>
      <c r="U58" s="5">
        <f t="shared" si="18"/>
        <v>0</v>
      </c>
      <c r="V58" s="5">
        <f t="shared" si="18"/>
        <v>0</v>
      </c>
      <c r="W58" s="5">
        <f t="shared" si="18"/>
        <v>0</v>
      </c>
      <c r="X58" s="5">
        <f t="shared" si="18"/>
        <v>0</v>
      </c>
      <c r="Y58" s="5">
        <f t="shared" si="18"/>
        <v>0</v>
      </c>
      <c r="Z58" s="5">
        <f t="shared" si="18"/>
        <v>0</v>
      </c>
      <c r="AA58" s="5">
        <f t="shared" si="18"/>
        <v>0</v>
      </c>
      <c r="AB58" s="5">
        <f t="shared" si="18"/>
        <v>0</v>
      </c>
      <c r="AC58" s="5">
        <f t="shared" si="18"/>
        <v>0</v>
      </c>
      <c r="AD58" s="5">
        <f t="shared" si="18"/>
        <v>0</v>
      </c>
      <c r="AE58" s="5">
        <f t="shared" si="18"/>
        <v>62168.57</v>
      </c>
      <c r="AF58" s="5">
        <f t="shared" si="18"/>
        <v>84438.57</v>
      </c>
      <c r="AG58" s="5">
        <f t="shared" si="18"/>
        <v>0</v>
      </c>
      <c r="AH58" s="6" t="s">
        <v>131</v>
      </c>
      <c r="AI58" s="6" t="s">
        <v>131</v>
      </c>
      <c r="AJ58" s="6" t="s">
        <v>131</v>
      </c>
    </row>
    <row r="59" spans="1:36" s="2" customFormat="1" ht="61.5" x14ac:dyDescent="0.85">
      <c r="A59" s="2">
        <v>1</v>
      </c>
      <c r="B59" s="18">
        <f>SUBTOTAL(103,$A$18:A59)</f>
        <v>28</v>
      </c>
      <c r="C59" s="3" t="s">
        <v>231</v>
      </c>
      <c r="D59" s="20" t="s">
        <v>201</v>
      </c>
      <c r="E59" s="21">
        <v>1</v>
      </c>
      <c r="F59" s="5">
        <f>G59+H59+I59+J59+K59+L59+N59+P59+R59+T59+V59+W59+X59+Y59+Z59+AA59+AB59+AC59+AD59+AE59+AF59+AG59</f>
        <v>1924066.04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26">
        <v>0</v>
      </c>
      <c r="N59" s="5">
        <v>0</v>
      </c>
      <c r="O59" s="7">
        <v>571.88</v>
      </c>
      <c r="P59" s="48">
        <v>1899561.69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48">
        <v>24504.35</v>
      </c>
      <c r="AF59" s="19">
        <v>0</v>
      </c>
      <c r="AG59" s="5">
        <v>0</v>
      </c>
      <c r="AH59" s="6" t="s">
        <v>49</v>
      </c>
      <c r="AI59" s="6">
        <v>2020</v>
      </c>
      <c r="AJ59" s="6">
        <v>2020</v>
      </c>
    </row>
    <row r="60" spans="1:36" s="2" customFormat="1" ht="61.5" x14ac:dyDescent="0.85">
      <c r="A60" s="2">
        <v>1</v>
      </c>
      <c r="B60" s="18">
        <f>SUBTOTAL(103,$A$18:A60)</f>
        <v>29</v>
      </c>
      <c r="C60" s="3" t="s">
        <v>197</v>
      </c>
      <c r="D60" s="20" t="s">
        <v>207</v>
      </c>
      <c r="E60" s="21">
        <v>1.0116000000000001</v>
      </c>
      <c r="F60" s="5">
        <f t="shared" si="4"/>
        <v>1650932.93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26">
        <v>0</v>
      </c>
      <c r="N60" s="5">
        <v>0</v>
      </c>
      <c r="O60" s="5">
        <v>0</v>
      </c>
      <c r="P60" s="5">
        <f>O60*4800</f>
        <v>0</v>
      </c>
      <c r="Q60" s="5">
        <v>0</v>
      </c>
      <c r="R60" s="5">
        <v>0</v>
      </c>
      <c r="S60" s="7">
        <v>438.58</v>
      </c>
      <c r="T60" s="7">
        <v>1586717.02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7">
        <v>20468.650000000001</v>
      </c>
      <c r="AF60" s="51">
        <v>43747.26</v>
      </c>
      <c r="AG60" s="5">
        <v>0</v>
      </c>
      <c r="AH60" s="6">
        <v>2020</v>
      </c>
      <c r="AI60" s="6">
        <v>2020</v>
      </c>
      <c r="AJ60" s="6">
        <v>2020</v>
      </c>
    </row>
    <row r="61" spans="1:36" s="2" customFormat="1" ht="61.5" x14ac:dyDescent="0.85">
      <c r="A61" s="2">
        <v>1</v>
      </c>
      <c r="B61" s="18">
        <f>SUBTOTAL(103,$A$18:A61)</f>
        <v>30</v>
      </c>
      <c r="C61" s="3" t="s">
        <v>31</v>
      </c>
      <c r="D61" s="20" t="s">
        <v>203</v>
      </c>
      <c r="E61" s="21">
        <v>1</v>
      </c>
      <c r="F61" s="5">
        <f t="shared" si="4"/>
        <v>1391032.0000000002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26">
        <v>0</v>
      </c>
      <c r="N61" s="5">
        <v>0</v>
      </c>
      <c r="O61" s="7">
        <v>308.95</v>
      </c>
      <c r="P61" s="7">
        <v>1333145.1200000001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7">
        <v>17195.57</v>
      </c>
      <c r="AF61" s="7">
        <v>40691.31</v>
      </c>
      <c r="AG61" s="5">
        <v>0</v>
      </c>
      <c r="AH61" s="6">
        <v>2020</v>
      </c>
      <c r="AI61" s="6">
        <v>2020</v>
      </c>
      <c r="AJ61" s="6">
        <v>2020</v>
      </c>
    </row>
    <row r="62" spans="1:36" s="2" customFormat="1" ht="61.5" x14ac:dyDescent="0.85">
      <c r="B62" s="22" t="s">
        <v>120</v>
      </c>
      <c r="C62" s="3"/>
      <c r="D62" s="20" t="s">
        <v>131</v>
      </c>
      <c r="E62" s="21">
        <f>AVERAGE(E63)</f>
        <v>1</v>
      </c>
      <c r="F62" s="5">
        <f>F63</f>
        <v>1661171.06</v>
      </c>
      <c r="G62" s="5">
        <f t="shared" ref="G62:AG62" si="19">G63</f>
        <v>0</v>
      </c>
      <c r="H62" s="5">
        <f t="shared" si="19"/>
        <v>0</v>
      </c>
      <c r="I62" s="5">
        <f t="shared" si="19"/>
        <v>0</v>
      </c>
      <c r="J62" s="5">
        <f t="shared" si="19"/>
        <v>0</v>
      </c>
      <c r="K62" s="5">
        <f t="shared" si="19"/>
        <v>0</v>
      </c>
      <c r="L62" s="5">
        <f t="shared" si="19"/>
        <v>0</v>
      </c>
      <c r="M62" s="26">
        <f t="shared" si="19"/>
        <v>0</v>
      </c>
      <c r="N62" s="5">
        <f t="shared" si="19"/>
        <v>0</v>
      </c>
      <c r="O62" s="5">
        <f t="shared" si="19"/>
        <v>546.45000000000005</v>
      </c>
      <c r="P62" s="5">
        <f t="shared" si="19"/>
        <v>1569811.07</v>
      </c>
      <c r="Q62" s="5">
        <f t="shared" si="19"/>
        <v>0</v>
      </c>
      <c r="R62" s="5">
        <f t="shared" si="19"/>
        <v>0</v>
      </c>
      <c r="S62" s="5">
        <f t="shared" si="19"/>
        <v>0</v>
      </c>
      <c r="T62" s="5">
        <f t="shared" si="19"/>
        <v>0</v>
      </c>
      <c r="U62" s="5">
        <f t="shared" si="19"/>
        <v>0</v>
      </c>
      <c r="V62" s="5">
        <f t="shared" si="19"/>
        <v>0</v>
      </c>
      <c r="W62" s="5">
        <f t="shared" si="19"/>
        <v>0</v>
      </c>
      <c r="X62" s="5">
        <f t="shared" si="19"/>
        <v>0</v>
      </c>
      <c r="Y62" s="5">
        <f t="shared" si="19"/>
        <v>0</v>
      </c>
      <c r="Z62" s="5">
        <f t="shared" si="19"/>
        <v>0</v>
      </c>
      <c r="AA62" s="5">
        <f t="shared" si="19"/>
        <v>0</v>
      </c>
      <c r="AB62" s="5">
        <f t="shared" si="19"/>
        <v>0</v>
      </c>
      <c r="AC62" s="5">
        <f t="shared" si="19"/>
        <v>0</v>
      </c>
      <c r="AD62" s="5">
        <f t="shared" si="19"/>
        <v>0</v>
      </c>
      <c r="AE62" s="19">
        <f t="shared" si="19"/>
        <v>20250.560000000001</v>
      </c>
      <c r="AF62" s="19">
        <f t="shared" si="19"/>
        <v>71109.429999999993</v>
      </c>
      <c r="AG62" s="5">
        <f t="shared" si="19"/>
        <v>0</v>
      </c>
      <c r="AH62" s="6" t="s">
        <v>131</v>
      </c>
      <c r="AI62" s="6" t="s">
        <v>131</v>
      </c>
      <c r="AJ62" s="6" t="s">
        <v>131</v>
      </c>
    </row>
    <row r="63" spans="1:36" s="2" customFormat="1" ht="61.5" x14ac:dyDescent="0.85">
      <c r="A63" s="2">
        <v>1</v>
      </c>
      <c r="B63" s="18">
        <f>SUBTOTAL(103,$A$18:A63)</f>
        <v>31</v>
      </c>
      <c r="C63" s="3" t="s">
        <v>226</v>
      </c>
      <c r="D63" s="20" t="s">
        <v>206</v>
      </c>
      <c r="E63" s="21">
        <v>1</v>
      </c>
      <c r="F63" s="5">
        <f t="shared" si="4"/>
        <v>1661171.06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26">
        <v>0</v>
      </c>
      <c r="N63" s="5">
        <v>0</v>
      </c>
      <c r="O63" s="7">
        <v>546.45000000000005</v>
      </c>
      <c r="P63" s="48">
        <v>1569811.07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48">
        <v>20250.560000000001</v>
      </c>
      <c r="AF63" s="51">
        <v>71109.429999999993</v>
      </c>
      <c r="AG63" s="5">
        <v>0</v>
      </c>
      <c r="AH63" s="6">
        <v>2020</v>
      </c>
      <c r="AI63" s="6">
        <v>2020</v>
      </c>
      <c r="AJ63" s="6">
        <v>2020</v>
      </c>
    </row>
    <row r="64" spans="1:36" s="2" customFormat="1" ht="61.5" x14ac:dyDescent="0.85">
      <c r="B64" s="22" t="s">
        <v>106</v>
      </c>
      <c r="C64" s="3"/>
      <c r="D64" s="20" t="s">
        <v>131</v>
      </c>
      <c r="E64" s="21">
        <f>E65</f>
        <v>1.009761876417796</v>
      </c>
      <c r="F64" s="5">
        <f>F65</f>
        <v>119901.4</v>
      </c>
      <c r="G64" s="5">
        <f t="shared" ref="G64:AG64" si="20">G65</f>
        <v>0</v>
      </c>
      <c r="H64" s="5">
        <f t="shared" si="20"/>
        <v>0</v>
      </c>
      <c r="I64" s="5">
        <f t="shared" si="20"/>
        <v>0</v>
      </c>
      <c r="J64" s="5">
        <f t="shared" si="20"/>
        <v>0</v>
      </c>
      <c r="K64" s="5">
        <f t="shared" si="20"/>
        <v>0</v>
      </c>
      <c r="L64" s="5">
        <f t="shared" si="20"/>
        <v>0</v>
      </c>
      <c r="M64" s="26">
        <f t="shared" si="20"/>
        <v>0</v>
      </c>
      <c r="N64" s="5">
        <f t="shared" si="20"/>
        <v>0</v>
      </c>
      <c r="O64" s="5">
        <f t="shared" si="20"/>
        <v>0</v>
      </c>
      <c r="P64" s="5">
        <f t="shared" si="20"/>
        <v>0</v>
      </c>
      <c r="Q64" s="5">
        <f t="shared" si="20"/>
        <v>0</v>
      </c>
      <c r="R64" s="5">
        <f t="shared" si="20"/>
        <v>0</v>
      </c>
      <c r="S64" s="5">
        <f t="shared" si="20"/>
        <v>0</v>
      </c>
      <c r="T64" s="5">
        <f t="shared" si="20"/>
        <v>0</v>
      </c>
      <c r="U64" s="5">
        <f t="shared" si="20"/>
        <v>0</v>
      </c>
      <c r="V64" s="5">
        <f t="shared" si="20"/>
        <v>0</v>
      </c>
      <c r="W64" s="5">
        <f t="shared" si="20"/>
        <v>0</v>
      </c>
      <c r="X64" s="5">
        <f t="shared" si="20"/>
        <v>0</v>
      </c>
      <c r="Y64" s="5">
        <f t="shared" si="20"/>
        <v>0</v>
      </c>
      <c r="Z64" s="5">
        <f t="shared" si="20"/>
        <v>0</v>
      </c>
      <c r="AA64" s="5">
        <f t="shared" si="20"/>
        <v>0</v>
      </c>
      <c r="AB64" s="5">
        <f t="shared" si="20"/>
        <v>0</v>
      </c>
      <c r="AC64" s="5">
        <f t="shared" si="20"/>
        <v>0</v>
      </c>
      <c r="AD64" s="5">
        <f t="shared" si="20"/>
        <v>0</v>
      </c>
      <c r="AE64" s="5">
        <f t="shared" si="20"/>
        <v>0</v>
      </c>
      <c r="AF64" s="5">
        <f t="shared" si="20"/>
        <v>119901.4</v>
      </c>
      <c r="AG64" s="5">
        <f t="shared" si="20"/>
        <v>0</v>
      </c>
      <c r="AH64" s="6" t="s">
        <v>131</v>
      </c>
      <c r="AI64" s="6" t="s">
        <v>131</v>
      </c>
      <c r="AJ64" s="6" t="s">
        <v>131</v>
      </c>
    </row>
    <row r="65" spans="1:36" s="2" customFormat="1" ht="61.5" x14ac:dyDescent="0.85">
      <c r="A65" s="2">
        <v>1</v>
      </c>
      <c r="B65" s="18">
        <f>SUBTOTAL(103,$A$18:A65)</f>
        <v>32</v>
      </c>
      <c r="C65" s="3" t="s">
        <v>255</v>
      </c>
      <c r="D65" s="20" t="s">
        <v>206</v>
      </c>
      <c r="E65" s="21">
        <v>1.009761876417796</v>
      </c>
      <c r="F65" s="5">
        <f t="shared" si="4"/>
        <v>119901.4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26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f>ROUND(P65*1.5%,2)</f>
        <v>0</v>
      </c>
      <c r="AF65" s="37">
        <v>119901.4</v>
      </c>
      <c r="AG65" s="5">
        <v>0</v>
      </c>
      <c r="AH65" s="6">
        <v>2020</v>
      </c>
      <c r="AI65" s="6" t="s">
        <v>49</v>
      </c>
      <c r="AJ65" s="6" t="s">
        <v>49</v>
      </c>
    </row>
    <row r="66" spans="1:36" s="2" customFormat="1" ht="61.5" x14ac:dyDescent="0.85">
      <c r="B66" s="22" t="s">
        <v>125</v>
      </c>
      <c r="C66" s="3"/>
      <c r="D66" s="20" t="s">
        <v>131</v>
      </c>
      <c r="E66" s="21">
        <f>E67</f>
        <v>1.0869557735329547</v>
      </c>
      <c r="F66" s="5">
        <f>F67</f>
        <v>603261.75</v>
      </c>
      <c r="G66" s="5">
        <f t="shared" ref="G66:AG66" si="21">G67</f>
        <v>0</v>
      </c>
      <c r="H66" s="5">
        <f t="shared" si="21"/>
        <v>0</v>
      </c>
      <c r="I66" s="5">
        <f t="shared" si="21"/>
        <v>0</v>
      </c>
      <c r="J66" s="5">
        <f t="shared" si="21"/>
        <v>0</v>
      </c>
      <c r="K66" s="5">
        <f t="shared" si="21"/>
        <v>597348</v>
      </c>
      <c r="L66" s="5">
        <f t="shared" si="21"/>
        <v>0</v>
      </c>
      <c r="M66" s="26">
        <f t="shared" si="21"/>
        <v>0</v>
      </c>
      <c r="N66" s="5">
        <f t="shared" si="21"/>
        <v>0</v>
      </c>
      <c r="O66" s="5">
        <f t="shared" si="21"/>
        <v>0</v>
      </c>
      <c r="P66" s="5">
        <f t="shared" si="21"/>
        <v>0</v>
      </c>
      <c r="Q66" s="5">
        <f t="shared" si="21"/>
        <v>0</v>
      </c>
      <c r="R66" s="5">
        <f t="shared" si="21"/>
        <v>0</v>
      </c>
      <c r="S66" s="5">
        <f t="shared" si="21"/>
        <v>0</v>
      </c>
      <c r="T66" s="5">
        <f t="shared" si="21"/>
        <v>0</v>
      </c>
      <c r="U66" s="5">
        <f t="shared" si="21"/>
        <v>0</v>
      </c>
      <c r="V66" s="5">
        <f t="shared" si="21"/>
        <v>0</v>
      </c>
      <c r="W66" s="5">
        <f t="shared" si="21"/>
        <v>0</v>
      </c>
      <c r="X66" s="5">
        <f t="shared" si="21"/>
        <v>0</v>
      </c>
      <c r="Y66" s="5">
        <f t="shared" si="21"/>
        <v>0</v>
      </c>
      <c r="Z66" s="5">
        <f t="shared" si="21"/>
        <v>0</v>
      </c>
      <c r="AA66" s="5">
        <f t="shared" si="21"/>
        <v>0</v>
      </c>
      <c r="AB66" s="5">
        <f t="shared" si="21"/>
        <v>0</v>
      </c>
      <c r="AC66" s="5">
        <f t="shared" si="21"/>
        <v>0</v>
      </c>
      <c r="AD66" s="5">
        <f t="shared" si="21"/>
        <v>0</v>
      </c>
      <c r="AE66" s="5">
        <f t="shared" si="21"/>
        <v>5913.75</v>
      </c>
      <c r="AF66" s="5">
        <f t="shared" si="21"/>
        <v>0</v>
      </c>
      <c r="AG66" s="5">
        <f t="shared" si="21"/>
        <v>0</v>
      </c>
      <c r="AH66" s="6" t="s">
        <v>131</v>
      </c>
      <c r="AI66" s="6" t="s">
        <v>131</v>
      </c>
      <c r="AJ66" s="6" t="s">
        <v>131</v>
      </c>
    </row>
    <row r="67" spans="1:36" s="2" customFormat="1" ht="61.5" x14ac:dyDescent="0.85">
      <c r="A67" s="2">
        <v>1</v>
      </c>
      <c r="B67" s="18">
        <f>SUBTOTAL(103,$A$18:A67)</f>
        <v>33</v>
      </c>
      <c r="C67" s="3" t="s">
        <v>256</v>
      </c>
      <c r="D67" s="20" t="s">
        <v>206</v>
      </c>
      <c r="E67" s="21">
        <v>1.0869557735329547</v>
      </c>
      <c r="F67" s="5">
        <f t="shared" si="4"/>
        <v>603261.75</v>
      </c>
      <c r="G67" s="5">
        <v>0</v>
      </c>
      <c r="H67" s="5">
        <v>0</v>
      </c>
      <c r="I67" s="5">
        <v>0</v>
      </c>
      <c r="J67" s="5">
        <v>0</v>
      </c>
      <c r="K67" s="7">
        <v>597348</v>
      </c>
      <c r="L67" s="5">
        <v>0</v>
      </c>
      <c r="M67" s="26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7">
        <v>5913.75</v>
      </c>
      <c r="AF67" s="5">
        <v>0</v>
      </c>
      <c r="AG67" s="5">
        <v>0</v>
      </c>
      <c r="AH67" s="6" t="s">
        <v>49</v>
      </c>
      <c r="AI67" s="6">
        <v>2020</v>
      </c>
      <c r="AJ67" s="6">
        <v>2020</v>
      </c>
    </row>
    <row r="68" spans="1:36" s="24" customFormat="1" ht="61.5" x14ac:dyDescent="0.85">
      <c r="B68" s="50" t="s">
        <v>580</v>
      </c>
      <c r="C68" s="25"/>
      <c r="D68" s="20" t="s">
        <v>131</v>
      </c>
      <c r="E68" s="21">
        <f>AVERAGE(E69:E86)</f>
        <v>1.0170814814814815</v>
      </c>
      <c r="F68" s="5">
        <f>F69+F73+F75+F77+F81+F83+F85+F87</f>
        <v>30227457.809999999</v>
      </c>
      <c r="G68" s="5">
        <f t="shared" ref="G68:AG68" si="22">G69+G73+G75+G77+G81+G83+G85+G87</f>
        <v>0</v>
      </c>
      <c r="H68" s="5">
        <f t="shared" si="22"/>
        <v>0</v>
      </c>
      <c r="I68" s="5">
        <f t="shared" si="22"/>
        <v>0</v>
      </c>
      <c r="J68" s="5">
        <f t="shared" si="22"/>
        <v>0</v>
      </c>
      <c r="K68" s="5">
        <f t="shared" si="22"/>
        <v>0</v>
      </c>
      <c r="L68" s="5">
        <f t="shared" si="22"/>
        <v>0</v>
      </c>
      <c r="M68" s="26">
        <f t="shared" si="22"/>
        <v>0</v>
      </c>
      <c r="N68" s="5">
        <f t="shared" si="22"/>
        <v>0</v>
      </c>
      <c r="O68" s="5">
        <f t="shared" si="22"/>
        <v>5251.84</v>
      </c>
      <c r="P68" s="5">
        <f t="shared" si="22"/>
        <v>26928463.400000002</v>
      </c>
      <c r="Q68" s="5">
        <f t="shared" si="22"/>
        <v>0</v>
      </c>
      <c r="R68" s="5">
        <f t="shared" si="22"/>
        <v>0</v>
      </c>
      <c r="S68" s="5">
        <f t="shared" si="22"/>
        <v>521.92999999999995</v>
      </c>
      <c r="T68" s="5">
        <f t="shared" si="22"/>
        <v>2556716.71</v>
      </c>
      <c r="U68" s="5">
        <f t="shared" si="22"/>
        <v>0</v>
      </c>
      <c r="V68" s="5">
        <f t="shared" si="22"/>
        <v>0</v>
      </c>
      <c r="W68" s="5">
        <f t="shared" si="22"/>
        <v>0</v>
      </c>
      <c r="X68" s="5">
        <f t="shared" si="22"/>
        <v>0</v>
      </c>
      <c r="Y68" s="5">
        <f t="shared" si="22"/>
        <v>0</v>
      </c>
      <c r="Z68" s="5">
        <f t="shared" si="22"/>
        <v>0</v>
      </c>
      <c r="AA68" s="5">
        <f t="shared" si="22"/>
        <v>0</v>
      </c>
      <c r="AB68" s="5">
        <f t="shared" si="22"/>
        <v>0</v>
      </c>
      <c r="AC68" s="5">
        <f t="shared" si="22"/>
        <v>0</v>
      </c>
      <c r="AD68" s="5">
        <f t="shared" si="22"/>
        <v>0</v>
      </c>
      <c r="AE68" s="5">
        <f t="shared" si="22"/>
        <v>442277.69999999995</v>
      </c>
      <c r="AF68" s="5">
        <f t="shared" si="22"/>
        <v>300000</v>
      </c>
      <c r="AG68" s="5">
        <f t="shared" si="22"/>
        <v>0</v>
      </c>
      <c r="AH68" s="6" t="s">
        <v>131</v>
      </c>
      <c r="AI68" s="6" t="s">
        <v>131</v>
      </c>
      <c r="AJ68" s="6" t="s">
        <v>131</v>
      </c>
    </row>
    <row r="69" spans="1:36" s="2" customFormat="1" ht="61.5" x14ac:dyDescent="0.85">
      <c r="B69" s="22" t="s">
        <v>209</v>
      </c>
      <c r="C69" s="3"/>
      <c r="D69" s="20" t="s">
        <v>131</v>
      </c>
      <c r="E69" s="21">
        <f>AVERAGE(E70:E72)</f>
        <v>1.0022</v>
      </c>
      <c r="F69" s="5">
        <f t="shared" ref="F69:AG69" si="23">SUM(F70:F72)</f>
        <v>5103149.49</v>
      </c>
      <c r="G69" s="5">
        <f t="shared" si="23"/>
        <v>0</v>
      </c>
      <c r="H69" s="5">
        <f t="shared" si="23"/>
        <v>0</v>
      </c>
      <c r="I69" s="5">
        <f t="shared" si="23"/>
        <v>0</v>
      </c>
      <c r="J69" s="5">
        <f t="shared" si="23"/>
        <v>0</v>
      </c>
      <c r="K69" s="5">
        <f t="shared" si="23"/>
        <v>0</v>
      </c>
      <c r="L69" s="5">
        <f t="shared" si="23"/>
        <v>0</v>
      </c>
      <c r="M69" s="26">
        <f t="shared" si="23"/>
        <v>0</v>
      </c>
      <c r="N69" s="5">
        <f t="shared" si="23"/>
        <v>0</v>
      </c>
      <c r="O69" s="5">
        <f t="shared" si="23"/>
        <v>631.93000000000006</v>
      </c>
      <c r="P69" s="5">
        <f t="shared" si="23"/>
        <v>2471016.7799999998</v>
      </c>
      <c r="Q69" s="5">
        <f t="shared" si="23"/>
        <v>0</v>
      </c>
      <c r="R69" s="5">
        <f t="shared" si="23"/>
        <v>0</v>
      </c>
      <c r="S69" s="5">
        <f t="shared" si="23"/>
        <v>521.92999999999995</v>
      </c>
      <c r="T69" s="5">
        <f t="shared" si="23"/>
        <v>2556716.71</v>
      </c>
      <c r="U69" s="5">
        <f t="shared" si="23"/>
        <v>0</v>
      </c>
      <c r="V69" s="5">
        <f t="shared" si="23"/>
        <v>0</v>
      </c>
      <c r="W69" s="5">
        <f t="shared" si="23"/>
        <v>0</v>
      </c>
      <c r="X69" s="5">
        <f t="shared" si="23"/>
        <v>0</v>
      </c>
      <c r="Y69" s="5">
        <f t="shared" si="23"/>
        <v>0</v>
      </c>
      <c r="Z69" s="5">
        <f t="shared" si="23"/>
        <v>0</v>
      </c>
      <c r="AA69" s="5">
        <f t="shared" si="23"/>
        <v>0</v>
      </c>
      <c r="AB69" s="5">
        <f t="shared" si="23"/>
        <v>0</v>
      </c>
      <c r="AC69" s="5">
        <f t="shared" si="23"/>
        <v>0</v>
      </c>
      <c r="AD69" s="5">
        <f t="shared" si="23"/>
        <v>0</v>
      </c>
      <c r="AE69" s="5">
        <f t="shared" si="23"/>
        <v>75416</v>
      </c>
      <c r="AF69" s="5">
        <f t="shared" si="23"/>
        <v>0</v>
      </c>
      <c r="AG69" s="5">
        <f t="shared" si="23"/>
        <v>0</v>
      </c>
      <c r="AH69" s="6" t="s">
        <v>131</v>
      </c>
      <c r="AI69" s="6" t="s">
        <v>131</v>
      </c>
      <c r="AJ69" s="6" t="s">
        <v>131</v>
      </c>
    </row>
    <row r="70" spans="1:36" s="2" customFormat="1" ht="61.5" x14ac:dyDescent="0.85">
      <c r="A70" s="2">
        <v>1</v>
      </c>
      <c r="B70" s="18">
        <f>SUBTOTAL(103,$A$69:A70)</f>
        <v>1</v>
      </c>
      <c r="C70" s="3" t="s">
        <v>185</v>
      </c>
      <c r="D70" s="20" t="s">
        <v>203</v>
      </c>
      <c r="E70" s="21">
        <v>1.0003</v>
      </c>
      <c r="F70" s="5">
        <f t="shared" ref="F70:F72" si="24">G70+H70+I70+J70+K70+L70+N70+P70+R70+T70+V70+W70+X70+Y70+Z70+AA70+AB70+AC70+AD70+AE70+AF70+AG70</f>
        <v>1063050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26">
        <v>0</v>
      </c>
      <c r="N70" s="5">
        <v>0</v>
      </c>
      <c r="O70" s="5">
        <v>257</v>
      </c>
      <c r="P70" s="5">
        <v>1047339.9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19">
        <f>ROUND(P70*1.5%,2)</f>
        <v>15710.1</v>
      </c>
      <c r="AF70" s="19">
        <v>0</v>
      </c>
      <c r="AG70" s="19">
        <v>0</v>
      </c>
      <c r="AH70" s="6" t="s">
        <v>49</v>
      </c>
      <c r="AI70" s="6">
        <v>2021</v>
      </c>
      <c r="AJ70" s="6">
        <v>2021</v>
      </c>
    </row>
    <row r="71" spans="1:36" s="2" customFormat="1" ht="61.5" x14ac:dyDescent="0.85">
      <c r="A71" s="2">
        <v>1</v>
      </c>
      <c r="B71" s="18">
        <f>SUBTOTAL(103,$A$69:A71)</f>
        <v>2</v>
      </c>
      <c r="C71" s="3" t="s">
        <v>233</v>
      </c>
      <c r="D71" s="20" t="s">
        <v>204</v>
      </c>
      <c r="E71" s="21">
        <v>1.0026999999999999</v>
      </c>
      <c r="F71" s="5">
        <f t="shared" si="24"/>
        <v>2595067.46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26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521.92999999999995</v>
      </c>
      <c r="T71" s="5">
        <v>2556716.71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19">
        <f>ROUND(T71*1.5%,2)</f>
        <v>38350.75</v>
      </c>
      <c r="AF71" s="19">
        <v>0</v>
      </c>
      <c r="AG71" s="19">
        <v>0</v>
      </c>
      <c r="AH71" s="6" t="s">
        <v>49</v>
      </c>
      <c r="AI71" s="6">
        <v>2021</v>
      </c>
      <c r="AJ71" s="6">
        <v>2021</v>
      </c>
    </row>
    <row r="72" spans="1:36" s="2" customFormat="1" ht="61.5" x14ac:dyDescent="0.85">
      <c r="A72" s="2">
        <v>1</v>
      </c>
      <c r="B72" s="18">
        <f>SUBTOTAL(103,$A$69:A72)</f>
        <v>3</v>
      </c>
      <c r="C72" s="3" t="s">
        <v>253</v>
      </c>
      <c r="D72" s="20" t="s">
        <v>202</v>
      </c>
      <c r="E72" s="21">
        <v>1.0036</v>
      </c>
      <c r="F72" s="5">
        <f t="shared" si="24"/>
        <v>1445032.0299999998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26">
        <v>0</v>
      </c>
      <c r="N72" s="5">
        <v>0</v>
      </c>
      <c r="O72" s="5">
        <v>374.93</v>
      </c>
      <c r="P72" s="5">
        <v>1423676.88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19">
        <f>ROUND(P72*1.5%,2)</f>
        <v>21355.15</v>
      </c>
      <c r="AF72" s="19">
        <v>0</v>
      </c>
      <c r="AG72" s="19">
        <v>0</v>
      </c>
      <c r="AH72" s="6" t="s">
        <v>49</v>
      </c>
      <c r="AI72" s="6">
        <v>2021</v>
      </c>
      <c r="AJ72" s="6">
        <v>2021</v>
      </c>
    </row>
    <row r="73" spans="1:36" s="2" customFormat="1" ht="61.5" x14ac:dyDescent="0.85">
      <c r="B73" s="22" t="s">
        <v>101</v>
      </c>
      <c r="C73" s="3"/>
      <c r="D73" s="20" t="s">
        <v>131</v>
      </c>
      <c r="E73" s="21">
        <f>AVERAGE(E74)</f>
        <v>1.0308999999999999</v>
      </c>
      <c r="F73" s="5">
        <f>F74</f>
        <v>1450562.89</v>
      </c>
      <c r="G73" s="5">
        <f t="shared" ref="G73:AG73" si="25">G74</f>
        <v>0</v>
      </c>
      <c r="H73" s="5">
        <f t="shared" si="25"/>
        <v>0</v>
      </c>
      <c r="I73" s="5">
        <f t="shared" si="25"/>
        <v>0</v>
      </c>
      <c r="J73" s="5">
        <f t="shared" si="25"/>
        <v>0</v>
      </c>
      <c r="K73" s="5">
        <f t="shared" si="25"/>
        <v>0</v>
      </c>
      <c r="L73" s="5">
        <f t="shared" si="25"/>
        <v>0</v>
      </c>
      <c r="M73" s="26">
        <f t="shared" si="25"/>
        <v>0</v>
      </c>
      <c r="N73" s="5">
        <f t="shared" si="25"/>
        <v>0</v>
      </c>
      <c r="O73" s="5">
        <f t="shared" si="25"/>
        <v>292.8</v>
      </c>
      <c r="P73" s="5">
        <f t="shared" si="25"/>
        <v>1429126</v>
      </c>
      <c r="Q73" s="5">
        <f t="shared" si="25"/>
        <v>0</v>
      </c>
      <c r="R73" s="5">
        <f t="shared" si="25"/>
        <v>0</v>
      </c>
      <c r="S73" s="5">
        <f t="shared" si="25"/>
        <v>0</v>
      </c>
      <c r="T73" s="5">
        <f t="shared" si="25"/>
        <v>0</v>
      </c>
      <c r="U73" s="5">
        <f t="shared" si="25"/>
        <v>0</v>
      </c>
      <c r="V73" s="5">
        <f t="shared" si="25"/>
        <v>0</v>
      </c>
      <c r="W73" s="5">
        <f t="shared" si="25"/>
        <v>0</v>
      </c>
      <c r="X73" s="5">
        <f t="shared" si="25"/>
        <v>0</v>
      </c>
      <c r="Y73" s="5">
        <f t="shared" si="25"/>
        <v>0</v>
      </c>
      <c r="Z73" s="5">
        <f t="shared" si="25"/>
        <v>0</v>
      </c>
      <c r="AA73" s="5">
        <f t="shared" si="25"/>
        <v>0</v>
      </c>
      <c r="AB73" s="5">
        <f t="shared" si="25"/>
        <v>0</v>
      </c>
      <c r="AC73" s="5">
        <f t="shared" si="25"/>
        <v>0</v>
      </c>
      <c r="AD73" s="5">
        <f t="shared" si="25"/>
        <v>0</v>
      </c>
      <c r="AE73" s="19">
        <f t="shared" si="25"/>
        <v>21436.89</v>
      </c>
      <c r="AF73" s="19">
        <f t="shared" si="25"/>
        <v>0</v>
      </c>
      <c r="AG73" s="5">
        <f t="shared" si="25"/>
        <v>0</v>
      </c>
      <c r="AH73" s="6" t="s">
        <v>131</v>
      </c>
      <c r="AI73" s="6" t="s">
        <v>131</v>
      </c>
      <c r="AJ73" s="6" t="s">
        <v>131</v>
      </c>
    </row>
    <row r="74" spans="1:36" s="2" customFormat="1" ht="61.5" x14ac:dyDescent="0.85">
      <c r="A74" s="2">
        <v>1</v>
      </c>
      <c r="B74" s="18">
        <f>SUBTOTAL(103,$A$69:A74)</f>
        <v>4</v>
      </c>
      <c r="C74" s="3" t="s">
        <v>186</v>
      </c>
      <c r="D74" s="20" t="s">
        <v>201</v>
      </c>
      <c r="E74" s="21">
        <v>1.0308999999999999</v>
      </c>
      <c r="F74" s="5">
        <f t="shared" ref="F74" si="26">G74+H74+I74+J74+K74+L74+N74+P74+R74+T74+V74+W74+X74+Y74+Z74+AA74+AB74+AC74+AD74+AE74+AF74+AG74</f>
        <v>1450562.89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26">
        <v>0</v>
      </c>
      <c r="N74" s="5">
        <v>0</v>
      </c>
      <c r="O74" s="5">
        <v>292.8</v>
      </c>
      <c r="P74" s="5">
        <v>1429126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19">
        <f>ROUND(P74*1.5%,2)</f>
        <v>21436.89</v>
      </c>
      <c r="AF74" s="19">
        <v>0</v>
      </c>
      <c r="AG74" s="5">
        <v>0</v>
      </c>
      <c r="AH74" s="6" t="s">
        <v>49</v>
      </c>
      <c r="AI74" s="6">
        <v>2021</v>
      </c>
      <c r="AJ74" s="6">
        <v>2021</v>
      </c>
    </row>
    <row r="75" spans="1:36" s="2" customFormat="1" ht="61.5" x14ac:dyDescent="0.85">
      <c r="B75" s="22" t="s">
        <v>210</v>
      </c>
      <c r="C75" s="3"/>
      <c r="D75" s="20" t="s">
        <v>131</v>
      </c>
      <c r="E75" s="21">
        <f>AVERAGE(E76:E76)</f>
        <v>1.0385</v>
      </c>
      <c r="F75" s="5">
        <f t="shared" ref="F75:AG75" si="27">SUM(F76:F76)</f>
        <v>2607490.21</v>
      </c>
      <c r="G75" s="5">
        <f t="shared" si="27"/>
        <v>0</v>
      </c>
      <c r="H75" s="5">
        <f t="shared" si="27"/>
        <v>0</v>
      </c>
      <c r="I75" s="5">
        <f t="shared" si="27"/>
        <v>0</v>
      </c>
      <c r="J75" s="5">
        <f t="shared" si="27"/>
        <v>0</v>
      </c>
      <c r="K75" s="5">
        <f t="shared" si="27"/>
        <v>0</v>
      </c>
      <c r="L75" s="5">
        <f t="shared" si="27"/>
        <v>0</v>
      </c>
      <c r="M75" s="26">
        <f t="shared" si="27"/>
        <v>0</v>
      </c>
      <c r="N75" s="5">
        <f t="shared" si="27"/>
        <v>0</v>
      </c>
      <c r="O75" s="5">
        <f t="shared" si="27"/>
        <v>344.84</v>
      </c>
      <c r="P75" s="5">
        <f t="shared" si="27"/>
        <v>2421172.62</v>
      </c>
      <c r="Q75" s="5">
        <f t="shared" si="27"/>
        <v>0</v>
      </c>
      <c r="R75" s="5">
        <f t="shared" si="27"/>
        <v>0</v>
      </c>
      <c r="S75" s="5">
        <f t="shared" si="27"/>
        <v>0</v>
      </c>
      <c r="T75" s="5">
        <f t="shared" si="27"/>
        <v>0</v>
      </c>
      <c r="U75" s="5">
        <f t="shared" si="27"/>
        <v>0</v>
      </c>
      <c r="V75" s="5">
        <f t="shared" si="27"/>
        <v>0</v>
      </c>
      <c r="W75" s="5">
        <f t="shared" si="27"/>
        <v>0</v>
      </c>
      <c r="X75" s="5">
        <f t="shared" si="27"/>
        <v>0</v>
      </c>
      <c r="Y75" s="5">
        <f t="shared" si="27"/>
        <v>0</v>
      </c>
      <c r="Z75" s="5">
        <f t="shared" si="27"/>
        <v>0</v>
      </c>
      <c r="AA75" s="5">
        <f t="shared" si="27"/>
        <v>0</v>
      </c>
      <c r="AB75" s="5">
        <f t="shared" si="27"/>
        <v>0</v>
      </c>
      <c r="AC75" s="5">
        <f t="shared" si="27"/>
        <v>0</v>
      </c>
      <c r="AD75" s="5">
        <f t="shared" si="27"/>
        <v>0</v>
      </c>
      <c r="AE75" s="19">
        <f t="shared" si="27"/>
        <v>36317.589999999997</v>
      </c>
      <c r="AF75" s="19">
        <f t="shared" si="27"/>
        <v>150000</v>
      </c>
      <c r="AG75" s="5">
        <f t="shared" si="27"/>
        <v>0</v>
      </c>
      <c r="AH75" s="6" t="s">
        <v>131</v>
      </c>
      <c r="AI75" s="6" t="s">
        <v>131</v>
      </c>
      <c r="AJ75" s="6" t="s">
        <v>131</v>
      </c>
    </row>
    <row r="76" spans="1:36" s="2" customFormat="1" ht="61.5" x14ac:dyDescent="0.85">
      <c r="A76" s="2">
        <v>1</v>
      </c>
      <c r="B76" s="18">
        <f>SUBTOTAL(103,$A$69:A76)</f>
        <v>5</v>
      </c>
      <c r="C76" s="3" t="s">
        <v>581</v>
      </c>
      <c r="D76" s="20" t="s">
        <v>204</v>
      </c>
      <c r="E76" s="21">
        <v>1.0385</v>
      </c>
      <c r="F76" s="5">
        <f t="shared" ref="F76" si="28">G76+H76+I76+J76+K76+L76+N76+P76+R76+T76+V76+W76+X76+Y76+Z76+AA76+AB76+AC76+AD76+AE76+AF76+AG76</f>
        <v>2607490.21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26">
        <v>0</v>
      </c>
      <c r="N76" s="5">
        <v>0</v>
      </c>
      <c r="O76" s="5">
        <v>344.84</v>
      </c>
      <c r="P76" s="5">
        <v>2421172.62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19">
        <f>ROUND(P76*1.5%,2)</f>
        <v>36317.589999999997</v>
      </c>
      <c r="AF76" s="51">
        <v>150000</v>
      </c>
      <c r="AG76" s="5">
        <v>0</v>
      </c>
      <c r="AH76" s="6">
        <v>2021</v>
      </c>
      <c r="AI76" s="6">
        <v>2021</v>
      </c>
      <c r="AJ76" s="6">
        <v>2021</v>
      </c>
    </row>
    <row r="77" spans="1:36" s="2" customFormat="1" ht="61.5" x14ac:dyDescent="0.85">
      <c r="B77" s="22" t="s">
        <v>91</v>
      </c>
      <c r="C77" s="3"/>
      <c r="D77" s="20" t="s">
        <v>131</v>
      </c>
      <c r="E77" s="21">
        <f>AVERAGE(E78:E80)</f>
        <v>1.0097666666666667</v>
      </c>
      <c r="F77" s="5">
        <f>SUM(F78:F80)</f>
        <v>6196990.8700000001</v>
      </c>
      <c r="G77" s="5">
        <f t="shared" ref="G77:AG77" si="29">SUM(G78:G80)</f>
        <v>0</v>
      </c>
      <c r="H77" s="5">
        <f t="shared" si="29"/>
        <v>0</v>
      </c>
      <c r="I77" s="5">
        <f t="shared" si="29"/>
        <v>0</v>
      </c>
      <c r="J77" s="5">
        <f t="shared" si="29"/>
        <v>0</v>
      </c>
      <c r="K77" s="5">
        <f t="shared" si="29"/>
        <v>0</v>
      </c>
      <c r="L77" s="5">
        <f t="shared" si="29"/>
        <v>0</v>
      </c>
      <c r="M77" s="26">
        <f t="shared" si="29"/>
        <v>0</v>
      </c>
      <c r="N77" s="5">
        <f t="shared" si="29"/>
        <v>0</v>
      </c>
      <c r="O77" s="5">
        <f t="shared" si="29"/>
        <v>1215.3400000000001</v>
      </c>
      <c r="P77" s="5">
        <f t="shared" si="29"/>
        <v>6105409.7200000007</v>
      </c>
      <c r="Q77" s="5">
        <f t="shared" si="29"/>
        <v>0</v>
      </c>
      <c r="R77" s="5">
        <f t="shared" si="29"/>
        <v>0</v>
      </c>
      <c r="S77" s="5">
        <f t="shared" si="29"/>
        <v>0</v>
      </c>
      <c r="T77" s="5">
        <f t="shared" si="29"/>
        <v>0</v>
      </c>
      <c r="U77" s="5">
        <f t="shared" si="29"/>
        <v>0</v>
      </c>
      <c r="V77" s="5">
        <f t="shared" si="29"/>
        <v>0</v>
      </c>
      <c r="W77" s="5">
        <f t="shared" si="29"/>
        <v>0</v>
      </c>
      <c r="X77" s="5">
        <f t="shared" si="29"/>
        <v>0</v>
      </c>
      <c r="Y77" s="5">
        <f t="shared" si="29"/>
        <v>0</v>
      </c>
      <c r="Z77" s="5">
        <f t="shared" si="29"/>
        <v>0</v>
      </c>
      <c r="AA77" s="5">
        <f t="shared" si="29"/>
        <v>0</v>
      </c>
      <c r="AB77" s="5">
        <f t="shared" si="29"/>
        <v>0</v>
      </c>
      <c r="AC77" s="5">
        <f t="shared" si="29"/>
        <v>0</v>
      </c>
      <c r="AD77" s="5">
        <f t="shared" si="29"/>
        <v>0</v>
      </c>
      <c r="AE77" s="19">
        <f t="shared" si="29"/>
        <v>91581.15</v>
      </c>
      <c r="AF77" s="19">
        <f t="shared" si="29"/>
        <v>0</v>
      </c>
      <c r="AG77" s="5">
        <f t="shared" si="29"/>
        <v>0</v>
      </c>
      <c r="AH77" s="6" t="s">
        <v>131</v>
      </c>
      <c r="AI77" s="6" t="s">
        <v>131</v>
      </c>
      <c r="AJ77" s="6" t="s">
        <v>131</v>
      </c>
    </row>
    <row r="78" spans="1:36" s="2" customFormat="1" ht="61.5" x14ac:dyDescent="0.85">
      <c r="A78" s="2">
        <v>1</v>
      </c>
      <c r="B78" s="18">
        <f>SUBTOTAL(103,$A$69:A78)</f>
        <v>6</v>
      </c>
      <c r="C78" s="3" t="s">
        <v>190</v>
      </c>
      <c r="D78" s="20" t="s">
        <v>203</v>
      </c>
      <c r="E78" s="21">
        <v>1.0043</v>
      </c>
      <c r="F78" s="5">
        <f t="shared" ref="F78:F80" si="30">G78+H78+I78+J78+K78+L78+N78+P78+R78+T78+V78+W78+X78+Y78+Z78+AA78+AB78+AC78+AD78+AE78+AF78+AG78</f>
        <v>1096190.8700000001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26">
        <v>0</v>
      </c>
      <c r="N78" s="5">
        <v>0</v>
      </c>
      <c r="O78" s="5">
        <v>206.34</v>
      </c>
      <c r="P78" s="5">
        <v>1079991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19">
        <f>ROUND(P78*1.5%,2)</f>
        <v>16199.87</v>
      </c>
      <c r="AF78" s="19">
        <v>0</v>
      </c>
      <c r="AG78" s="5">
        <v>0</v>
      </c>
      <c r="AH78" s="6" t="s">
        <v>49</v>
      </c>
      <c r="AI78" s="6">
        <v>2021</v>
      </c>
      <c r="AJ78" s="6">
        <v>2021</v>
      </c>
    </row>
    <row r="79" spans="1:36" s="2" customFormat="1" ht="61.5" x14ac:dyDescent="0.85">
      <c r="A79" s="2">
        <v>1</v>
      </c>
      <c r="B79" s="18">
        <f>SUBTOTAL(103,$A$69:A79)</f>
        <v>7</v>
      </c>
      <c r="C79" s="3" t="s">
        <v>93</v>
      </c>
      <c r="D79" s="20" t="s">
        <v>203</v>
      </c>
      <c r="E79" s="21">
        <v>1.0185999999999999</v>
      </c>
      <c r="F79" s="5">
        <f t="shared" si="30"/>
        <v>2664800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26">
        <v>0</v>
      </c>
      <c r="N79" s="5">
        <v>0</v>
      </c>
      <c r="O79" s="5">
        <v>576</v>
      </c>
      <c r="P79" s="5">
        <v>2625418.7200000002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19">
        <f>ROUND(P79*1.5%,2)</f>
        <v>39381.279999999999</v>
      </c>
      <c r="AF79" s="19">
        <v>0</v>
      </c>
      <c r="AG79" s="5">
        <v>0</v>
      </c>
      <c r="AH79" s="6" t="s">
        <v>49</v>
      </c>
      <c r="AI79" s="6">
        <v>2021</v>
      </c>
      <c r="AJ79" s="6">
        <v>2021</v>
      </c>
    </row>
    <row r="80" spans="1:36" s="2" customFormat="1" ht="61.5" x14ac:dyDescent="0.85">
      <c r="A80" s="2">
        <v>1</v>
      </c>
      <c r="B80" s="18">
        <f>SUBTOTAL(103,$A$69:A80)</f>
        <v>8</v>
      </c>
      <c r="C80" s="3" t="s">
        <v>92</v>
      </c>
      <c r="D80" s="20" t="s">
        <v>203</v>
      </c>
      <c r="E80" s="21">
        <v>1.0064</v>
      </c>
      <c r="F80" s="5">
        <f t="shared" si="30"/>
        <v>2436000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26">
        <v>0</v>
      </c>
      <c r="N80" s="5">
        <v>0</v>
      </c>
      <c r="O80" s="5">
        <v>433</v>
      </c>
      <c r="P80" s="5">
        <v>2400000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19">
        <f>ROUND(P80*1.5%,2)</f>
        <v>36000</v>
      </c>
      <c r="AF80" s="19">
        <v>0</v>
      </c>
      <c r="AG80" s="5">
        <v>0</v>
      </c>
      <c r="AH80" s="6" t="s">
        <v>49</v>
      </c>
      <c r="AI80" s="6">
        <v>2021</v>
      </c>
      <c r="AJ80" s="6">
        <v>2021</v>
      </c>
    </row>
    <row r="81" spans="1:40" s="2" customFormat="1" ht="61.5" x14ac:dyDescent="0.85">
      <c r="B81" s="22" t="s">
        <v>110</v>
      </c>
      <c r="C81" s="3"/>
      <c r="D81" s="20" t="s">
        <v>131</v>
      </c>
      <c r="E81" s="21">
        <f>AVERAGE(E82)</f>
        <v>1</v>
      </c>
      <c r="F81" s="5">
        <f>F82</f>
        <v>5538174.9500000002</v>
      </c>
      <c r="G81" s="5">
        <f t="shared" ref="G81:AG83" si="31">G82</f>
        <v>0</v>
      </c>
      <c r="H81" s="5">
        <f t="shared" si="31"/>
        <v>0</v>
      </c>
      <c r="I81" s="5">
        <f t="shared" si="31"/>
        <v>0</v>
      </c>
      <c r="J81" s="5">
        <f t="shared" si="31"/>
        <v>0</v>
      </c>
      <c r="K81" s="5">
        <f t="shared" si="31"/>
        <v>0</v>
      </c>
      <c r="L81" s="5">
        <f t="shared" si="31"/>
        <v>0</v>
      </c>
      <c r="M81" s="26">
        <f t="shared" si="31"/>
        <v>0</v>
      </c>
      <c r="N81" s="5">
        <f t="shared" si="31"/>
        <v>0</v>
      </c>
      <c r="O81" s="5">
        <f t="shared" si="31"/>
        <v>1034.83</v>
      </c>
      <c r="P81" s="5">
        <f t="shared" si="31"/>
        <v>5456330</v>
      </c>
      <c r="Q81" s="5">
        <f t="shared" si="31"/>
        <v>0</v>
      </c>
      <c r="R81" s="5">
        <f t="shared" si="31"/>
        <v>0</v>
      </c>
      <c r="S81" s="5">
        <f t="shared" si="31"/>
        <v>0</v>
      </c>
      <c r="T81" s="5">
        <f t="shared" si="31"/>
        <v>0</v>
      </c>
      <c r="U81" s="5">
        <f t="shared" si="31"/>
        <v>0</v>
      </c>
      <c r="V81" s="5">
        <f t="shared" si="31"/>
        <v>0</v>
      </c>
      <c r="W81" s="5">
        <f t="shared" si="31"/>
        <v>0</v>
      </c>
      <c r="X81" s="5">
        <f t="shared" si="31"/>
        <v>0</v>
      </c>
      <c r="Y81" s="5">
        <f t="shared" si="31"/>
        <v>0</v>
      </c>
      <c r="Z81" s="5">
        <f t="shared" si="31"/>
        <v>0</v>
      </c>
      <c r="AA81" s="5">
        <f t="shared" si="31"/>
        <v>0</v>
      </c>
      <c r="AB81" s="5">
        <f t="shared" si="31"/>
        <v>0</v>
      </c>
      <c r="AC81" s="5">
        <f t="shared" si="31"/>
        <v>0</v>
      </c>
      <c r="AD81" s="5">
        <f t="shared" si="31"/>
        <v>0</v>
      </c>
      <c r="AE81" s="19">
        <f t="shared" si="31"/>
        <v>81844.95</v>
      </c>
      <c r="AF81" s="19">
        <f t="shared" si="31"/>
        <v>0</v>
      </c>
      <c r="AG81" s="5">
        <f t="shared" si="31"/>
        <v>0</v>
      </c>
      <c r="AH81" s="6" t="s">
        <v>131</v>
      </c>
      <c r="AI81" s="6" t="s">
        <v>131</v>
      </c>
      <c r="AJ81" s="6" t="s">
        <v>131</v>
      </c>
    </row>
    <row r="82" spans="1:40" s="2" customFormat="1" ht="61.5" x14ac:dyDescent="0.85">
      <c r="A82" s="2">
        <v>1</v>
      </c>
      <c r="B82" s="18">
        <f>SUBTOTAL(103,$A$69:A82)</f>
        <v>9</v>
      </c>
      <c r="C82" s="3" t="s">
        <v>192</v>
      </c>
      <c r="D82" s="20" t="s">
        <v>204</v>
      </c>
      <c r="E82" s="21">
        <v>1</v>
      </c>
      <c r="F82" s="5">
        <f t="shared" ref="F82" si="32">G82+H82+I82+J82+K82+L82+N82+P82+R82+T82+V82+W82+X82+Y82+Z82+AA82+AB82+AC82+AD82+AE82+AF82+AG82</f>
        <v>5538174.9500000002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26">
        <v>0</v>
      </c>
      <c r="N82" s="5">
        <v>0</v>
      </c>
      <c r="O82" s="5">
        <v>1034.83</v>
      </c>
      <c r="P82" s="5">
        <v>5456330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19">
        <f>ROUND(P82*1.5%,2)</f>
        <v>81844.95</v>
      </c>
      <c r="AF82" s="19">
        <v>0</v>
      </c>
      <c r="AG82" s="5">
        <v>0</v>
      </c>
      <c r="AH82" s="6" t="s">
        <v>49</v>
      </c>
      <c r="AI82" s="6">
        <v>2021</v>
      </c>
      <c r="AJ82" s="6">
        <v>2021</v>
      </c>
    </row>
    <row r="83" spans="1:40" s="2" customFormat="1" ht="61.5" x14ac:dyDescent="0.85">
      <c r="B83" s="22" t="s">
        <v>396</v>
      </c>
      <c r="C83" s="3"/>
      <c r="D83" s="20" t="s">
        <v>131</v>
      </c>
      <c r="E83" s="21">
        <f>AVERAGE(E84)</f>
        <v>1.0524</v>
      </c>
      <c r="F83" s="5">
        <f>F84</f>
        <v>3672464.4</v>
      </c>
      <c r="G83" s="5">
        <f t="shared" si="31"/>
        <v>0</v>
      </c>
      <c r="H83" s="5">
        <f t="shared" si="31"/>
        <v>0</v>
      </c>
      <c r="I83" s="5">
        <f t="shared" si="31"/>
        <v>0</v>
      </c>
      <c r="J83" s="5">
        <f t="shared" si="31"/>
        <v>0</v>
      </c>
      <c r="K83" s="5">
        <f t="shared" si="31"/>
        <v>0</v>
      </c>
      <c r="L83" s="5">
        <f t="shared" si="31"/>
        <v>0</v>
      </c>
      <c r="M83" s="26">
        <f t="shared" si="31"/>
        <v>0</v>
      </c>
      <c r="N83" s="5">
        <f t="shared" si="31"/>
        <v>0</v>
      </c>
      <c r="O83" s="5">
        <f t="shared" si="31"/>
        <v>664.6</v>
      </c>
      <c r="P83" s="5">
        <f t="shared" si="31"/>
        <v>3470408.28</v>
      </c>
      <c r="Q83" s="5">
        <f t="shared" si="31"/>
        <v>0</v>
      </c>
      <c r="R83" s="5">
        <f t="shared" si="31"/>
        <v>0</v>
      </c>
      <c r="S83" s="5">
        <f t="shared" si="31"/>
        <v>0</v>
      </c>
      <c r="T83" s="5">
        <f t="shared" si="31"/>
        <v>0</v>
      </c>
      <c r="U83" s="5">
        <f t="shared" si="31"/>
        <v>0</v>
      </c>
      <c r="V83" s="5">
        <f t="shared" si="31"/>
        <v>0</v>
      </c>
      <c r="W83" s="5">
        <f t="shared" si="31"/>
        <v>0</v>
      </c>
      <c r="X83" s="5">
        <f t="shared" si="31"/>
        <v>0</v>
      </c>
      <c r="Y83" s="5">
        <f t="shared" si="31"/>
        <v>0</v>
      </c>
      <c r="Z83" s="5">
        <f t="shared" si="31"/>
        <v>0</v>
      </c>
      <c r="AA83" s="5">
        <f t="shared" si="31"/>
        <v>0</v>
      </c>
      <c r="AB83" s="5">
        <f t="shared" si="31"/>
        <v>0</v>
      </c>
      <c r="AC83" s="5">
        <f t="shared" si="31"/>
        <v>0</v>
      </c>
      <c r="AD83" s="5">
        <f t="shared" si="31"/>
        <v>0</v>
      </c>
      <c r="AE83" s="19">
        <f t="shared" si="31"/>
        <v>52056.12</v>
      </c>
      <c r="AF83" s="19">
        <f t="shared" si="31"/>
        <v>150000</v>
      </c>
      <c r="AG83" s="5">
        <f t="shared" si="31"/>
        <v>0</v>
      </c>
      <c r="AH83" s="6" t="s">
        <v>131</v>
      </c>
      <c r="AI83" s="6" t="s">
        <v>131</v>
      </c>
      <c r="AJ83" s="6" t="s">
        <v>131</v>
      </c>
    </row>
    <row r="84" spans="1:40" s="2" customFormat="1" ht="61.5" x14ac:dyDescent="0.85">
      <c r="A84" s="2">
        <v>1</v>
      </c>
      <c r="B84" s="18">
        <f>SUBTOTAL(103,$A$69:A84)</f>
        <v>10</v>
      </c>
      <c r="C84" s="3" t="s">
        <v>395</v>
      </c>
      <c r="D84" s="20" t="s">
        <v>204</v>
      </c>
      <c r="E84" s="21">
        <v>1.0524</v>
      </c>
      <c r="F84" s="5">
        <f t="shared" ref="F84" si="33">G84+H84+I84+J84+K84+L84+N84+P84+R84+T84+V84+W84+X84+Y84+Z84+AA84+AB84+AC84+AD84+AE84+AF84+AG84</f>
        <v>3672464.4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26">
        <v>0</v>
      </c>
      <c r="N84" s="5">
        <v>0</v>
      </c>
      <c r="O84" s="5">
        <v>664.6</v>
      </c>
      <c r="P84" s="5">
        <v>3470408.28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19">
        <f>ROUND(P84*1.5%,2)</f>
        <v>52056.12</v>
      </c>
      <c r="AF84" s="37">
        <v>150000</v>
      </c>
      <c r="AG84" s="5">
        <v>0</v>
      </c>
      <c r="AH84" s="6">
        <v>2021</v>
      </c>
      <c r="AI84" s="6">
        <v>2021</v>
      </c>
      <c r="AJ84" s="6">
        <v>2021</v>
      </c>
    </row>
    <row r="85" spans="1:40" s="2" customFormat="1" ht="61.5" x14ac:dyDescent="0.85">
      <c r="B85" s="22" t="s">
        <v>115</v>
      </c>
      <c r="C85" s="3"/>
      <c r="D85" s="20" t="s">
        <v>131</v>
      </c>
      <c r="E85" s="21">
        <f>AVERAGE(E86)</f>
        <v>1.008</v>
      </c>
      <c r="F85" s="5">
        <f>F86</f>
        <v>2030000</v>
      </c>
      <c r="G85" s="5">
        <f t="shared" ref="G85:AG85" si="34">G86</f>
        <v>0</v>
      </c>
      <c r="H85" s="5">
        <f t="shared" si="34"/>
        <v>0</v>
      </c>
      <c r="I85" s="5">
        <f t="shared" si="34"/>
        <v>0</v>
      </c>
      <c r="J85" s="5">
        <f t="shared" si="34"/>
        <v>0</v>
      </c>
      <c r="K85" s="5">
        <f t="shared" si="34"/>
        <v>0</v>
      </c>
      <c r="L85" s="5">
        <f t="shared" si="34"/>
        <v>0</v>
      </c>
      <c r="M85" s="26">
        <f t="shared" si="34"/>
        <v>0</v>
      </c>
      <c r="N85" s="5">
        <f t="shared" si="34"/>
        <v>0</v>
      </c>
      <c r="O85" s="5">
        <f t="shared" si="34"/>
        <v>352.5</v>
      </c>
      <c r="P85" s="5">
        <f t="shared" si="34"/>
        <v>2000000</v>
      </c>
      <c r="Q85" s="5">
        <f t="shared" si="34"/>
        <v>0</v>
      </c>
      <c r="R85" s="5">
        <f t="shared" si="34"/>
        <v>0</v>
      </c>
      <c r="S85" s="5">
        <f t="shared" si="34"/>
        <v>0</v>
      </c>
      <c r="T85" s="5">
        <f t="shared" si="34"/>
        <v>0</v>
      </c>
      <c r="U85" s="5">
        <f t="shared" si="34"/>
        <v>0</v>
      </c>
      <c r="V85" s="5">
        <f t="shared" si="34"/>
        <v>0</v>
      </c>
      <c r="W85" s="5">
        <f t="shared" si="34"/>
        <v>0</v>
      </c>
      <c r="X85" s="5">
        <f t="shared" si="34"/>
        <v>0</v>
      </c>
      <c r="Y85" s="5">
        <f t="shared" si="34"/>
        <v>0</v>
      </c>
      <c r="Z85" s="5">
        <f t="shared" si="34"/>
        <v>0</v>
      </c>
      <c r="AA85" s="5">
        <f t="shared" si="34"/>
        <v>0</v>
      </c>
      <c r="AB85" s="5">
        <f t="shared" si="34"/>
        <v>0</v>
      </c>
      <c r="AC85" s="5">
        <f t="shared" si="34"/>
        <v>0</v>
      </c>
      <c r="AD85" s="5">
        <f t="shared" si="34"/>
        <v>0</v>
      </c>
      <c r="AE85" s="19">
        <f t="shared" si="34"/>
        <v>30000</v>
      </c>
      <c r="AF85" s="19">
        <f t="shared" si="34"/>
        <v>0</v>
      </c>
      <c r="AG85" s="5">
        <f t="shared" si="34"/>
        <v>0</v>
      </c>
      <c r="AH85" s="6" t="s">
        <v>131</v>
      </c>
      <c r="AI85" s="6" t="s">
        <v>131</v>
      </c>
      <c r="AJ85" s="6" t="s">
        <v>131</v>
      </c>
    </row>
    <row r="86" spans="1:40" s="2" customFormat="1" ht="61.5" x14ac:dyDescent="0.85">
      <c r="A86" s="2">
        <v>1</v>
      </c>
      <c r="B86" s="18">
        <f>SUBTOTAL(103,$A$69:A86)</f>
        <v>11</v>
      </c>
      <c r="C86" s="3" t="s">
        <v>196</v>
      </c>
      <c r="D86" s="20" t="s">
        <v>202</v>
      </c>
      <c r="E86" s="21">
        <v>1.008</v>
      </c>
      <c r="F86" s="5">
        <f t="shared" ref="F86" si="35">G86+H86+I86+J86+K86+L86+N86+P86+R86+T86+V86+W86+X86+Y86+Z86+AA86+AB86+AC86+AD86+AE86+AF86+AG86</f>
        <v>2030000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26">
        <v>0</v>
      </c>
      <c r="N86" s="5">
        <v>0</v>
      </c>
      <c r="O86" s="5">
        <v>352.5</v>
      </c>
      <c r="P86" s="5">
        <v>2000000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19">
        <f>ROUND(P86*1.5%,2)</f>
        <v>30000</v>
      </c>
      <c r="AF86" s="19">
        <v>0</v>
      </c>
      <c r="AG86" s="5">
        <v>0</v>
      </c>
      <c r="AH86" s="6" t="s">
        <v>49</v>
      </c>
      <c r="AI86" s="6">
        <v>2021</v>
      </c>
      <c r="AJ86" s="6">
        <v>2021</v>
      </c>
    </row>
    <row r="87" spans="1:40" s="2" customFormat="1" ht="61.5" x14ac:dyDescent="0.85">
      <c r="B87" s="22" t="s">
        <v>106</v>
      </c>
      <c r="C87" s="3"/>
      <c r="D87" s="20" t="s">
        <v>131</v>
      </c>
      <c r="E87" s="21">
        <f>E88</f>
        <v>1.009761876417796</v>
      </c>
      <c r="F87" s="5">
        <f>F88</f>
        <v>3628625</v>
      </c>
      <c r="G87" s="5">
        <f t="shared" ref="G87:AG87" si="36">G88</f>
        <v>0</v>
      </c>
      <c r="H87" s="5">
        <f t="shared" si="36"/>
        <v>0</v>
      </c>
      <c r="I87" s="5">
        <f t="shared" si="36"/>
        <v>0</v>
      </c>
      <c r="J87" s="5">
        <f t="shared" si="36"/>
        <v>0</v>
      </c>
      <c r="K87" s="5">
        <f t="shared" si="36"/>
        <v>0</v>
      </c>
      <c r="L87" s="5">
        <f t="shared" si="36"/>
        <v>0</v>
      </c>
      <c r="M87" s="26">
        <f t="shared" si="36"/>
        <v>0</v>
      </c>
      <c r="N87" s="5">
        <f t="shared" si="36"/>
        <v>0</v>
      </c>
      <c r="O87" s="5">
        <f t="shared" si="36"/>
        <v>715</v>
      </c>
      <c r="P87" s="5">
        <f t="shared" si="36"/>
        <v>3575000</v>
      </c>
      <c r="Q87" s="5">
        <f t="shared" si="36"/>
        <v>0</v>
      </c>
      <c r="R87" s="5">
        <f t="shared" si="36"/>
        <v>0</v>
      </c>
      <c r="S87" s="5">
        <f t="shared" si="36"/>
        <v>0</v>
      </c>
      <c r="T87" s="5">
        <f t="shared" si="36"/>
        <v>0</v>
      </c>
      <c r="U87" s="5">
        <f t="shared" si="36"/>
        <v>0</v>
      </c>
      <c r="V87" s="5">
        <f t="shared" si="36"/>
        <v>0</v>
      </c>
      <c r="W87" s="5">
        <f t="shared" si="36"/>
        <v>0</v>
      </c>
      <c r="X87" s="5">
        <f t="shared" si="36"/>
        <v>0</v>
      </c>
      <c r="Y87" s="5">
        <f t="shared" si="36"/>
        <v>0</v>
      </c>
      <c r="Z87" s="5">
        <f t="shared" si="36"/>
        <v>0</v>
      </c>
      <c r="AA87" s="5">
        <f t="shared" si="36"/>
        <v>0</v>
      </c>
      <c r="AB87" s="5">
        <f t="shared" si="36"/>
        <v>0</v>
      </c>
      <c r="AC87" s="5">
        <f t="shared" si="36"/>
        <v>0</v>
      </c>
      <c r="AD87" s="5">
        <f t="shared" si="36"/>
        <v>0</v>
      </c>
      <c r="AE87" s="5">
        <f t="shared" si="36"/>
        <v>53625</v>
      </c>
      <c r="AF87" s="5">
        <f t="shared" si="36"/>
        <v>0</v>
      </c>
      <c r="AG87" s="5">
        <f t="shared" si="36"/>
        <v>0</v>
      </c>
      <c r="AH87" s="6" t="s">
        <v>131</v>
      </c>
      <c r="AI87" s="6" t="s">
        <v>131</v>
      </c>
      <c r="AJ87" s="6" t="s">
        <v>131</v>
      </c>
    </row>
    <row r="88" spans="1:40" s="2" customFormat="1" ht="61.5" x14ac:dyDescent="0.85">
      <c r="A88" s="2">
        <v>1</v>
      </c>
      <c r="B88" s="18">
        <f>SUBTOTAL(103,$A$69:A88)</f>
        <v>12</v>
      </c>
      <c r="C88" s="3" t="s">
        <v>255</v>
      </c>
      <c r="D88" s="20" t="s">
        <v>206</v>
      </c>
      <c r="E88" s="21">
        <v>1.009761876417796</v>
      </c>
      <c r="F88" s="5">
        <f t="shared" ref="F88" si="37">G88+H88+I88+J88+K88+L88+N88+P88+R88+T88+V88+W88+X88+Y88+Z88+AA88+AB88+AC88+AD88+AE88+AF88+AG88</f>
        <v>3628625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26">
        <v>0</v>
      </c>
      <c r="N88" s="5">
        <v>0</v>
      </c>
      <c r="O88" s="5">
        <v>715</v>
      </c>
      <c r="P88" s="5">
        <v>3575000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f>ROUND(P88*1.5%,2)</f>
        <v>53625</v>
      </c>
      <c r="AF88" s="19">
        <v>0</v>
      </c>
      <c r="AG88" s="5">
        <v>0</v>
      </c>
      <c r="AH88" s="6" t="s">
        <v>49</v>
      </c>
      <c r="AI88" s="6">
        <v>2021</v>
      </c>
      <c r="AJ88" s="6">
        <v>2021</v>
      </c>
    </row>
    <row r="89" spans="1:40" ht="61.5" x14ac:dyDescent="0.25">
      <c r="B89" s="136" t="s">
        <v>257</v>
      </c>
      <c r="C89" s="136"/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</row>
    <row r="90" spans="1:40" ht="61.5" x14ac:dyDescent="0.85">
      <c r="B90" s="134" t="s">
        <v>213</v>
      </c>
      <c r="C90" s="135"/>
      <c r="D90" s="101" t="s">
        <v>131</v>
      </c>
      <c r="E90" s="21">
        <v>0.89549999999999996</v>
      </c>
      <c r="F90" s="5">
        <f t="shared" ref="F90:AG90" si="38">F91+F100+F104+F121+F129+F134+F161+F177+F184+F187+F190+F192+F198+F200+F203+F206+F210+F212+F214+F216+F221+F223+F225+F227+F229+F231+F233+F236+F238+F242+F240</f>
        <v>44427726.450000018</v>
      </c>
      <c r="G90" s="5">
        <f t="shared" si="38"/>
        <v>0</v>
      </c>
      <c r="H90" s="5">
        <f t="shared" si="38"/>
        <v>0</v>
      </c>
      <c r="I90" s="5">
        <f t="shared" si="38"/>
        <v>28692</v>
      </c>
      <c r="J90" s="5">
        <f t="shared" si="38"/>
        <v>0</v>
      </c>
      <c r="K90" s="5">
        <f t="shared" si="38"/>
        <v>262873</v>
      </c>
      <c r="L90" s="5">
        <f t="shared" si="38"/>
        <v>0</v>
      </c>
      <c r="M90" s="5">
        <f t="shared" si="38"/>
        <v>0</v>
      </c>
      <c r="N90" s="5">
        <f t="shared" si="38"/>
        <v>0</v>
      </c>
      <c r="O90" s="5">
        <f t="shared" si="38"/>
        <v>87387.11</v>
      </c>
      <c r="P90" s="5">
        <f t="shared" si="38"/>
        <v>41324342.099999994</v>
      </c>
      <c r="Q90" s="5">
        <f t="shared" si="38"/>
        <v>0</v>
      </c>
      <c r="R90" s="5">
        <f t="shared" si="38"/>
        <v>0</v>
      </c>
      <c r="S90" s="5">
        <f t="shared" si="38"/>
        <v>7478.24</v>
      </c>
      <c r="T90" s="5">
        <f t="shared" si="38"/>
        <v>1670780.8299999998</v>
      </c>
      <c r="U90" s="5">
        <f t="shared" si="38"/>
        <v>143.80000000000001</v>
      </c>
      <c r="V90" s="5">
        <f t="shared" si="38"/>
        <v>109992</v>
      </c>
      <c r="W90" s="5">
        <f t="shared" si="38"/>
        <v>0</v>
      </c>
      <c r="X90" s="5">
        <f t="shared" si="38"/>
        <v>407238.37</v>
      </c>
      <c r="Y90" s="5">
        <f t="shared" si="38"/>
        <v>0</v>
      </c>
      <c r="Z90" s="5">
        <f t="shared" si="38"/>
        <v>0</v>
      </c>
      <c r="AA90" s="5">
        <f t="shared" si="38"/>
        <v>0</v>
      </c>
      <c r="AB90" s="5">
        <f t="shared" si="38"/>
        <v>0</v>
      </c>
      <c r="AC90" s="5">
        <f t="shared" si="38"/>
        <v>0</v>
      </c>
      <c r="AD90" s="5">
        <f t="shared" si="38"/>
        <v>0</v>
      </c>
      <c r="AE90" s="5">
        <f t="shared" si="38"/>
        <v>623808.15000000014</v>
      </c>
      <c r="AF90" s="5">
        <f t="shared" si="38"/>
        <v>0</v>
      </c>
      <c r="AG90" s="5">
        <f t="shared" si="38"/>
        <v>0</v>
      </c>
      <c r="AH90" s="70" t="s">
        <v>131</v>
      </c>
      <c r="AI90" s="70" t="s">
        <v>131</v>
      </c>
      <c r="AJ90" s="70" t="s">
        <v>131</v>
      </c>
    </row>
    <row r="91" spans="1:40" ht="62.25" x14ac:dyDescent="0.9">
      <c r="B91" s="72" t="s">
        <v>96</v>
      </c>
      <c r="C91" s="73"/>
      <c r="D91" s="69" t="s">
        <v>131</v>
      </c>
      <c r="E91" s="21">
        <f>AVERAGE(E92:E97)</f>
        <v>0.82381693240432963</v>
      </c>
      <c r="F91" s="5">
        <f>SUM(F92:F97)</f>
        <v>3081201.1499999994</v>
      </c>
      <c r="G91" s="5">
        <f t="shared" ref="G91:AG91" si="39">SUM(G92:G97)</f>
        <v>0</v>
      </c>
      <c r="H91" s="5">
        <f t="shared" si="39"/>
        <v>0</v>
      </c>
      <c r="I91" s="5">
        <f t="shared" si="39"/>
        <v>0</v>
      </c>
      <c r="J91" s="5">
        <f t="shared" si="39"/>
        <v>0</v>
      </c>
      <c r="K91" s="5">
        <f t="shared" si="39"/>
        <v>0</v>
      </c>
      <c r="L91" s="5">
        <f t="shared" si="39"/>
        <v>0</v>
      </c>
      <c r="M91" s="25">
        <f t="shared" si="39"/>
        <v>0</v>
      </c>
      <c r="N91" s="5">
        <f t="shared" si="39"/>
        <v>0</v>
      </c>
      <c r="O91" s="5">
        <f t="shared" si="39"/>
        <v>4824.3</v>
      </c>
      <c r="P91" s="5">
        <f t="shared" si="39"/>
        <v>2698471.5</v>
      </c>
      <c r="Q91" s="5">
        <f t="shared" si="39"/>
        <v>0</v>
      </c>
      <c r="R91" s="5">
        <f t="shared" si="39"/>
        <v>0</v>
      </c>
      <c r="S91" s="5">
        <f t="shared" si="39"/>
        <v>0</v>
      </c>
      <c r="T91" s="5">
        <f t="shared" si="39"/>
        <v>0</v>
      </c>
      <c r="U91" s="5">
        <f t="shared" si="39"/>
        <v>0</v>
      </c>
      <c r="V91" s="5">
        <f t="shared" si="39"/>
        <v>0</v>
      </c>
      <c r="W91" s="5">
        <f t="shared" si="39"/>
        <v>0</v>
      </c>
      <c r="X91" s="5">
        <f t="shared" si="39"/>
        <v>337240.37</v>
      </c>
      <c r="Y91" s="5">
        <f t="shared" si="39"/>
        <v>0</v>
      </c>
      <c r="Z91" s="5">
        <f t="shared" si="39"/>
        <v>0</v>
      </c>
      <c r="AA91" s="5">
        <f t="shared" si="39"/>
        <v>0</v>
      </c>
      <c r="AB91" s="5">
        <f t="shared" si="39"/>
        <v>0</v>
      </c>
      <c r="AC91" s="5">
        <f t="shared" si="39"/>
        <v>0</v>
      </c>
      <c r="AD91" s="5">
        <f t="shared" si="39"/>
        <v>0</v>
      </c>
      <c r="AE91" s="5">
        <f t="shared" si="39"/>
        <v>45489.279999999999</v>
      </c>
      <c r="AF91" s="5">
        <f t="shared" si="39"/>
        <v>0</v>
      </c>
      <c r="AG91" s="5">
        <f t="shared" si="39"/>
        <v>0</v>
      </c>
      <c r="AH91" s="70" t="s">
        <v>131</v>
      </c>
      <c r="AI91" s="70" t="s">
        <v>131</v>
      </c>
      <c r="AJ91" s="70" t="s">
        <v>131</v>
      </c>
    </row>
    <row r="92" spans="1:40" ht="62.25" x14ac:dyDescent="0.9">
      <c r="A92" s="1">
        <v>1</v>
      </c>
      <c r="B92" s="18">
        <f>SUBTOTAL(103,$A$92:A92)</f>
        <v>1</v>
      </c>
      <c r="C92" s="68" t="s">
        <v>82</v>
      </c>
      <c r="D92" s="23" t="s">
        <v>553</v>
      </c>
      <c r="E92" s="21">
        <v>0.68103653271030484</v>
      </c>
      <c r="F92" s="5">
        <f t="shared" ref="F92:F185" si="40">G92+H92+I92+J92+K92+L92+N92+P92+R92+T92+V92+W92+X92+Y92+Z92+AA92+AB92+AC92+AD92+AE92+AF92+AG92</f>
        <v>546562.15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25">
        <v>0</v>
      </c>
      <c r="N92" s="5">
        <v>0</v>
      </c>
      <c r="O92" s="5">
        <v>851.8</v>
      </c>
      <c r="P92" s="5">
        <v>538524.67000000004</v>
      </c>
      <c r="Q92" s="5">
        <v>0</v>
      </c>
      <c r="R92" s="5">
        <v>0</v>
      </c>
      <c r="S92" s="5">
        <v>0</v>
      </c>
      <c r="T92" s="71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8037.48</v>
      </c>
      <c r="AF92" s="5">
        <v>0</v>
      </c>
      <c r="AG92" s="5">
        <v>0</v>
      </c>
      <c r="AH92" s="70" t="s">
        <v>49</v>
      </c>
      <c r="AI92" s="70">
        <v>2020</v>
      </c>
      <c r="AJ92" s="70">
        <v>2020</v>
      </c>
      <c r="AK92" s="16"/>
      <c r="AL92" s="16"/>
      <c r="AM92" s="16"/>
      <c r="AN92" s="16"/>
    </row>
    <row r="93" spans="1:40" ht="62.25" x14ac:dyDescent="0.9">
      <c r="A93" s="1">
        <v>1</v>
      </c>
      <c r="B93" s="18">
        <f>SUBTOTAL(103,$A$92:A93)</f>
        <v>2</v>
      </c>
      <c r="C93" s="68" t="s">
        <v>261</v>
      </c>
      <c r="D93" s="23" t="s">
        <v>553</v>
      </c>
      <c r="E93" s="21">
        <v>0.76770000000000005</v>
      </c>
      <c r="F93" s="5">
        <f t="shared" si="40"/>
        <v>491284.57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25">
        <v>0</v>
      </c>
      <c r="N93" s="5">
        <v>0</v>
      </c>
      <c r="O93" s="5">
        <v>901.5</v>
      </c>
      <c r="P93" s="5">
        <v>484024.21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f>ROUND(P93*1.5%,2)</f>
        <v>7260.36</v>
      </c>
      <c r="AF93" s="5">
        <v>0</v>
      </c>
      <c r="AG93" s="5">
        <v>0</v>
      </c>
      <c r="AH93" s="70" t="s">
        <v>49</v>
      </c>
      <c r="AI93" s="70">
        <v>2020</v>
      </c>
      <c r="AJ93" s="70">
        <v>2020</v>
      </c>
      <c r="AK93" s="16"/>
      <c r="AL93" s="16"/>
      <c r="AM93" s="16"/>
      <c r="AN93" s="16"/>
    </row>
    <row r="94" spans="1:40" ht="62.25" x14ac:dyDescent="0.9">
      <c r="A94" s="1">
        <v>1</v>
      </c>
      <c r="B94" s="18">
        <f>SUBTOTAL(103,$A$92:A94)</f>
        <v>3</v>
      </c>
      <c r="C94" s="68" t="s">
        <v>262</v>
      </c>
      <c r="D94" s="23" t="s">
        <v>553</v>
      </c>
      <c r="E94" s="21">
        <v>0.87790000000000001</v>
      </c>
      <c r="F94" s="5">
        <f t="shared" si="40"/>
        <v>1439828.96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25">
        <v>0</v>
      </c>
      <c r="N94" s="5">
        <v>0</v>
      </c>
      <c r="O94" s="5">
        <v>811</v>
      </c>
      <c r="P94" s="5">
        <v>1418550.7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f>ROUND(P94*1.5%,2)</f>
        <v>21278.26</v>
      </c>
      <c r="AF94" s="5">
        <v>0</v>
      </c>
      <c r="AG94" s="5">
        <v>0</v>
      </c>
      <c r="AH94" s="70" t="s">
        <v>49</v>
      </c>
      <c r="AI94" s="70">
        <v>2020</v>
      </c>
      <c r="AJ94" s="70">
        <v>2020</v>
      </c>
      <c r="AK94" s="16"/>
      <c r="AL94" s="16"/>
      <c r="AM94" s="16"/>
      <c r="AN94" s="16"/>
    </row>
    <row r="95" spans="1:40" ht="62.25" x14ac:dyDescent="0.9">
      <c r="A95" s="1">
        <v>1</v>
      </c>
      <c r="B95" s="18">
        <f>SUBTOTAL(103,$A$92:A95)</f>
        <v>4</v>
      </c>
      <c r="C95" s="68" t="s">
        <v>263</v>
      </c>
      <c r="D95" s="27" t="s">
        <v>553</v>
      </c>
      <c r="E95" s="21">
        <v>0.74686506171567224</v>
      </c>
      <c r="F95" s="5">
        <f t="shared" si="40"/>
        <v>342298.98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2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71">
        <v>0</v>
      </c>
      <c r="U95" s="5">
        <v>0</v>
      </c>
      <c r="V95" s="5">
        <v>0</v>
      </c>
      <c r="W95" s="5">
        <v>0</v>
      </c>
      <c r="X95" s="5">
        <v>337240.37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f>ROUND(X95*1.5%,2)</f>
        <v>5058.6099999999997</v>
      </c>
      <c r="AF95" s="5">
        <v>0</v>
      </c>
      <c r="AG95" s="5">
        <v>0</v>
      </c>
      <c r="AH95" s="70" t="s">
        <v>49</v>
      </c>
      <c r="AI95" s="6">
        <v>2021</v>
      </c>
      <c r="AJ95" s="6">
        <v>2021</v>
      </c>
      <c r="AK95" s="16"/>
      <c r="AL95" s="16"/>
      <c r="AM95" s="16"/>
      <c r="AN95" s="16"/>
    </row>
    <row r="96" spans="1:40" ht="62.25" x14ac:dyDescent="0.9">
      <c r="A96" s="1">
        <v>1</v>
      </c>
      <c r="B96" s="18">
        <f>SUBTOTAL(103,$A$92:A96)</f>
        <v>5</v>
      </c>
      <c r="C96" s="68" t="s">
        <v>264</v>
      </c>
      <c r="D96" s="23" t="s">
        <v>554</v>
      </c>
      <c r="E96" s="21">
        <v>0.94499999999999995</v>
      </c>
      <c r="F96" s="5">
        <f t="shared" si="40"/>
        <v>179920.82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25">
        <v>0</v>
      </c>
      <c r="N96" s="5">
        <v>0</v>
      </c>
      <c r="O96" s="5">
        <v>1160</v>
      </c>
      <c r="P96" s="5">
        <v>177261.89</v>
      </c>
      <c r="Q96" s="5">
        <v>0</v>
      </c>
      <c r="R96" s="5">
        <v>0</v>
      </c>
      <c r="S96" s="5">
        <v>0</v>
      </c>
      <c r="T96" s="71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f>ROUND(P96*1.5%,2)</f>
        <v>2658.93</v>
      </c>
      <c r="AF96" s="5">
        <v>0</v>
      </c>
      <c r="AG96" s="5">
        <v>0</v>
      </c>
      <c r="AH96" s="70" t="s">
        <v>49</v>
      </c>
      <c r="AI96" s="70">
        <v>2020</v>
      </c>
      <c r="AJ96" s="70">
        <v>2020</v>
      </c>
      <c r="AK96" s="16"/>
      <c r="AL96" s="16"/>
      <c r="AM96" s="16"/>
      <c r="AN96" s="16"/>
    </row>
    <row r="97" spans="1:40" ht="62.25" x14ac:dyDescent="0.9">
      <c r="A97" s="1">
        <v>1</v>
      </c>
      <c r="B97" s="18">
        <f>SUBTOTAL(103,$A$92:A97)</f>
        <v>6</v>
      </c>
      <c r="C97" s="68" t="s">
        <v>265</v>
      </c>
      <c r="D97" s="23" t="s">
        <v>554</v>
      </c>
      <c r="E97" s="21">
        <v>0.9244</v>
      </c>
      <c r="F97" s="5">
        <f t="shared" si="40"/>
        <v>81305.67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25">
        <v>0</v>
      </c>
      <c r="N97" s="5">
        <v>0</v>
      </c>
      <c r="O97" s="5">
        <v>1100</v>
      </c>
      <c r="P97" s="5">
        <v>80110.03</v>
      </c>
      <c r="Q97" s="5">
        <v>0</v>
      </c>
      <c r="R97" s="5">
        <v>0</v>
      </c>
      <c r="S97" s="5">
        <v>0</v>
      </c>
      <c r="T97" s="71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1195.6400000000001</v>
      </c>
      <c r="AF97" s="5">
        <v>0</v>
      </c>
      <c r="AG97" s="5">
        <v>0</v>
      </c>
      <c r="AH97" s="70" t="s">
        <v>49</v>
      </c>
      <c r="AI97" s="70">
        <v>2020</v>
      </c>
      <c r="AJ97" s="70">
        <v>2020</v>
      </c>
      <c r="AK97" s="16"/>
      <c r="AL97" s="16"/>
      <c r="AM97" s="16"/>
      <c r="AN97" s="16"/>
    </row>
    <row r="98" spans="1:40" ht="62.25" x14ac:dyDescent="0.9">
      <c r="B98" s="72" t="s">
        <v>97</v>
      </c>
      <c r="C98" s="73"/>
      <c r="D98" s="69" t="s">
        <v>131</v>
      </c>
      <c r="E98" s="21">
        <f t="shared" ref="E98:N98" si="41">E99</f>
        <v>0.88649999999999995</v>
      </c>
      <c r="F98" s="5">
        <f t="shared" si="41"/>
        <v>418959.01</v>
      </c>
      <c r="G98" s="5">
        <f t="shared" si="41"/>
        <v>0</v>
      </c>
      <c r="H98" s="5">
        <f t="shared" si="41"/>
        <v>0</v>
      </c>
      <c r="I98" s="5">
        <f t="shared" si="41"/>
        <v>0</v>
      </c>
      <c r="J98" s="5">
        <f t="shared" si="41"/>
        <v>0</v>
      </c>
      <c r="K98" s="5">
        <f t="shared" si="41"/>
        <v>0</v>
      </c>
      <c r="L98" s="5">
        <f t="shared" si="41"/>
        <v>0</v>
      </c>
      <c r="M98" s="25">
        <f t="shared" si="41"/>
        <v>0</v>
      </c>
      <c r="N98" s="5">
        <f t="shared" si="41"/>
        <v>0</v>
      </c>
      <c r="O98" s="5">
        <f>O99</f>
        <v>819.7</v>
      </c>
      <c r="P98" s="5">
        <f t="shared" ref="P98:AG98" si="42">P99</f>
        <v>412767.5</v>
      </c>
      <c r="Q98" s="5">
        <f t="shared" si="42"/>
        <v>0</v>
      </c>
      <c r="R98" s="5">
        <f t="shared" si="42"/>
        <v>0</v>
      </c>
      <c r="S98" s="5">
        <f t="shared" si="42"/>
        <v>0</v>
      </c>
      <c r="T98" s="5">
        <f t="shared" si="42"/>
        <v>0</v>
      </c>
      <c r="U98" s="5">
        <f t="shared" si="42"/>
        <v>0</v>
      </c>
      <c r="V98" s="5">
        <f t="shared" si="42"/>
        <v>0</v>
      </c>
      <c r="W98" s="5">
        <f t="shared" si="42"/>
        <v>0</v>
      </c>
      <c r="X98" s="5">
        <f t="shared" si="42"/>
        <v>0</v>
      </c>
      <c r="Y98" s="5">
        <f t="shared" si="42"/>
        <v>0</v>
      </c>
      <c r="Z98" s="5">
        <f t="shared" si="42"/>
        <v>0</v>
      </c>
      <c r="AA98" s="5">
        <f t="shared" si="42"/>
        <v>0</v>
      </c>
      <c r="AB98" s="5">
        <f t="shared" si="42"/>
        <v>0</v>
      </c>
      <c r="AC98" s="5">
        <f t="shared" si="42"/>
        <v>0</v>
      </c>
      <c r="AD98" s="5">
        <f t="shared" si="42"/>
        <v>0</v>
      </c>
      <c r="AE98" s="5">
        <f t="shared" si="42"/>
        <v>6191.51</v>
      </c>
      <c r="AF98" s="5">
        <f t="shared" si="42"/>
        <v>0</v>
      </c>
      <c r="AG98" s="5">
        <f t="shared" si="42"/>
        <v>0</v>
      </c>
      <c r="AH98" s="70" t="s">
        <v>131</v>
      </c>
      <c r="AI98" s="70" t="s">
        <v>131</v>
      </c>
      <c r="AJ98" s="70" t="s">
        <v>131</v>
      </c>
    </row>
    <row r="99" spans="1:40" ht="62.25" x14ac:dyDescent="0.9">
      <c r="A99" s="1">
        <v>1</v>
      </c>
      <c r="B99" s="18">
        <f>SUBTOTAL(103,$A$92:A99)</f>
        <v>7</v>
      </c>
      <c r="C99" s="68" t="s">
        <v>578</v>
      </c>
      <c r="D99" s="23">
        <v>2016</v>
      </c>
      <c r="E99" s="21">
        <v>0.88649999999999995</v>
      </c>
      <c r="F99" s="5">
        <f t="shared" ref="F99" si="43">G99+H99+I99+J99+K99+L99+N99+P99+R99+T99+V99+W99+X99+Y99+Z99+AA99+AB99+AC99+AD99+AE99+AF99+AG99</f>
        <v>418959.01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25">
        <v>0</v>
      </c>
      <c r="N99" s="5">
        <v>0</v>
      </c>
      <c r="O99" s="5">
        <v>819.7</v>
      </c>
      <c r="P99" s="5">
        <v>412767.5</v>
      </c>
      <c r="Q99" s="5">
        <v>0</v>
      </c>
      <c r="R99" s="5">
        <v>0</v>
      </c>
      <c r="S99" s="5">
        <v>0</v>
      </c>
      <c r="T99" s="71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f>ROUND(P99*1.5%,2)</f>
        <v>6191.51</v>
      </c>
      <c r="AF99" s="5">
        <v>0</v>
      </c>
      <c r="AG99" s="5">
        <v>0</v>
      </c>
      <c r="AH99" s="70" t="s">
        <v>49</v>
      </c>
      <c r="AI99" s="70">
        <v>2021</v>
      </c>
      <c r="AJ99" s="70">
        <v>2021</v>
      </c>
      <c r="AK99" s="16"/>
      <c r="AL99" s="16"/>
      <c r="AM99" s="16"/>
      <c r="AN99" s="16"/>
    </row>
    <row r="100" spans="1:40" ht="62.25" x14ac:dyDescent="0.9">
      <c r="B100" s="72" t="s">
        <v>98</v>
      </c>
      <c r="C100" s="73"/>
      <c r="D100" s="69" t="s">
        <v>131</v>
      </c>
      <c r="E100" s="21">
        <f>AVERAGE(E101:E103)</f>
        <v>0.94748668819388027</v>
      </c>
      <c r="F100" s="5">
        <f>F101+F102+F103</f>
        <v>34418.18</v>
      </c>
      <c r="G100" s="5">
        <f t="shared" ref="G100:AG100" si="44">G101+G102+G103</f>
        <v>0</v>
      </c>
      <c r="H100" s="5">
        <f t="shared" si="44"/>
        <v>0</v>
      </c>
      <c r="I100" s="5">
        <f t="shared" si="44"/>
        <v>0</v>
      </c>
      <c r="J100" s="5">
        <f t="shared" si="44"/>
        <v>0</v>
      </c>
      <c r="K100" s="5">
        <f t="shared" si="44"/>
        <v>0</v>
      </c>
      <c r="L100" s="5">
        <f t="shared" si="44"/>
        <v>0</v>
      </c>
      <c r="M100" s="5">
        <f t="shared" si="44"/>
        <v>0</v>
      </c>
      <c r="N100" s="5">
        <f t="shared" si="44"/>
        <v>0</v>
      </c>
      <c r="O100" s="5">
        <f t="shared" si="44"/>
        <v>2012</v>
      </c>
      <c r="P100" s="5">
        <f t="shared" si="44"/>
        <v>34004.050000000003</v>
      </c>
      <c r="Q100" s="5">
        <f t="shared" si="44"/>
        <v>0</v>
      </c>
      <c r="R100" s="5">
        <f t="shared" si="44"/>
        <v>0</v>
      </c>
      <c r="S100" s="5">
        <f t="shared" si="44"/>
        <v>0</v>
      </c>
      <c r="T100" s="5">
        <f t="shared" si="44"/>
        <v>0</v>
      </c>
      <c r="U100" s="5">
        <f t="shared" si="44"/>
        <v>0</v>
      </c>
      <c r="V100" s="5">
        <f t="shared" si="44"/>
        <v>0</v>
      </c>
      <c r="W100" s="5">
        <f t="shared" si="44"/>
        <v>0</v>
      </c>
      <c r="X100" s="5">
        <f t="shared" si="44"/>
        <v>0</v>
      </c>
      <c r="Y100" s="5">
        <f t="shared" si="44"/>
        <v>0</v>
      </c>
      <c r="Z100" s="5">
        <f t="shared" si="44"/>
        <v>0</v>
      </c>
      <c r="AA100" s="5">
        <f t="shared" si="44"/>
        <v>0</v>
      </c>
      <c r="AB100" s="5">
        <f t="shared" si="44"/>
        <v>0</v>
      </c>
      <c r="AC100" s="5">
        <f t="shared" si="44"/>
        <v>0</v>
      </c>
      <c r="AD100" s="5">
        <f t="shared" si="44"/>
        <v>0</v>
      </c>
      <c r="AE100" s="5">
        <f t="shared" si="44"/>
        <v>414.13</v>
      </c>
      <c r="AF100" s="5">
        <f t="shared" si="44"/>
        <v>0</v>
      </c>
      <c r="AG100" s="5">
        <f t="shared" si="44"/>
        <v>0</v>
      </c>
      <c r="AH100" s="70" t="s">
        <v>131</v>
      </c>
      <c r="AI100" s="70" t="s">
        <v>131</v>
      </c>
      <c r="AJ100" s="70" t="s">
        <v>131</v>
      </c>
      <c r="AK100" s="16"/>
      <c r="AL100" s="16"/>
      <c r="AM100" s="16"/>
      <c r="AN100" s="16"/>
    </row>
    <row r="101" spans="1:40" ht="62.25" x14ac:dyDescent="0.9">
      <c r="A101" s="1">
        <v>1</v>
      </c>
      <c r="B101" s="18">
        <f>SUBTOTAL(103,$A$92:A101)</f>
        <v>8</v>
      </c>
      <c r="C101" s="68" t="s">
        <v>266</v>
      </c>
      <c r="D101" s="23" t="s">
        <v>554</v>
      </c>
      <c r="E101" s="21">
        <v>0.95197013899993665</v>
      </c>
      <c r="F101" s="5">
        <f t="shared" si="40"/>
        <v>11221.62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25">
        <v>0</v>
      </c>
      <c r="N101" s="5">
        <v>0</v>
      </c>
      <c r="O101" s="5">
        <v>924</v>
      </c>
      <c r="P101" s="5">
        <v>11055.78</v>
      </c>
      <c r="Q101" s="5">
        <v>0</v>
      </c>
      <c r="R101" s="5">
        <v>0</v>
      </c>
      <c r="S101" s="5">
        <v>0</v>
      </c>
      <c r="T101" s="71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f>ROUND(P101*1.5%,2)</f>
        <v>165.84</v>
      </c>
      <c r="AF101" s="5">
        <v>0</v>
      </c>
      <c r="AG101" s="5">
        <v>0</v>
      </c>
      <c r="AH101" s="70" t="s">
        <v>49</v>
      </c>
      <c r="AI101" s="70">
        <v>2020</v>
      </c>
      <c r="AJ101" s="70">
        <v>2020</v>
      </c>
      <c r="AK101" s="16"/>
      <c r="AL101" s="16"/>
      <c r="AM101" s="16"/>
      <c r="AN101" s="16"/>
    </row>
    <row r="102" spans="1:40" ht="62.25" x14ac:dyDescent="0.9">
      <c r="A102" s="1">
        <v>1</v>
      </c>
      <c r="B102" s="18">
        <f>SUBTOTAL(103,$A$92:A102)</f>
        <v>9</v>
      </c>
      <c r="C102" s="68" t="s">
        <v>267</v>
      </c>
      <c r="D102" s="23" t="s">
        <v>554</v>
      </c>
      <c r="E102" s="21">
        <v>0.89759999999999995</v>
      </c>
      <c r="F102" s="5">
        <f t="shared" si="40"/>
        <v>19576.66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25">
        <v>0</v>
      </c>
      <c r="N102" s="5">
        <v>0</v>
      </c>
      <c r="O102" s="5">
        <v>746</v>
      </c>
      <c r="P102" s="5">
        <v>19381.87</v>
      </c>
      <c r="Q102" s="5">
        <v>0</v>
      </c>
      <c r="R102" s="5">
        <v>0</v>
      </c>
      <c r="S102" s="5">
        <v>0</v>
      </c>
      <c r="T102" s="71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194.79</v>
      </c>
      <c r="AF102" s="5">
        <v>0</v>
      </c>
      <c r="AG102" s="5">
        <v>0</v>
      </c>
      <c r="AH102" s="70" t="s">
        <v>49</v>
      </c>
      <c r="AI102" s="70">
        <v>2020</v>
      </c>
      <c r="AJ102" s="70">
        <v>2020</v>
      </c>
      <c r="AK102" s="16"/>
      <c r="AL102" s="16"/>
      <c r="AM102" s="16"/>
      <c r="AN102" s="16"/>
    </row>
    <row r="103" spans="1:40" ht="62.25" x14ac:dyDescent="0.9">
      <c r="A103" s="1">
        <v>1</v>
      </c>
      <c r="B103" s="18">
        <f>SUBTOTAL(103,$A$92:A103)</f>
        <v>10</v>
      </c>
      <c r="C103" s="68" t="s">
        <v>555</v>
      </c>
      <c r="D103" s="23" t="s">
        <v>553</v>
      </c>
      <c r="E103" s="21">
        <v>0.9928899255817043</v>
      </c>
      <c r="F103" s="5">
        <f>P103+AE103</f>
        <v>3619.9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25">
        <v>0</v>
      </c>
      <c r="N103" s="5">
        <v>0</v>
      </c>
      <c r="O103" s="5">
        <v>342</v>
      </c>
      <c r="P103" s="5">
        <v>3566.4</v>
      </c>
      <c r="Q103" s="5">
        <v>0</v>
      </c>
      <c r="R103" s="5">
        <v>0</v>
      </c>
      <c r="S103" s="5">
        <v>0</v>
      </c>
      <c r="T103" s="71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f>ROUND(P103*1.5%,2)</f>
        <v>53.5</v>
      </c>
      <c r="AF103" s="5">
        <v>0</v>
      </c>
      <c r="AG103" s="5">
        <v>0</v>
      </c>
      <c r="AH103" s="70" t="s">
        <v>49</v>
      </c>
      <c r="AI103" s="70">
        <v>2021</v>
      </c>
      <c r="AJ103" s="70">
        <v>2021</v>
      </c>
      <c r="AK103" s="16"/>
      <c r="AL103" s="16"/>
      <c r="AM103" s="16"/>
      <c r="AN103" s="16"/>
    </row>
    <row r="104" spans="1:40" ht="62.25" x14ac:dyDescent="0.9">
      <c r="B104" s="72" t="s">
        <v>209</v>
      </c>
      <c r="C104" s="73"/>
      <c r="D104" s="69" t="s">
        <v>131</v>
      </c>
      <c r="E104" s="21">
        <f>AVERAGE(E105:E120)</f>
        <v>0.95278854188545492</v>
      </c>
      <c r="F104" s="5">
        <f>SUM(F105:F120)</f>
        <v>1937425.3199999998</v>
      </c>
      <c r="G104" s="5">
        <f t="shared" ref="G104:AG104" si="45">SUM(G105:G120)</f>
        <v>0</v>
      </c>
      <c r="H104" s="5">
        <f t="shared" si="45"/>
        <v>0</v>
      </c>
      <c r="I104" s="5">
        <f t="shared" si="45"/>
        <v>0</v>
      </c>
      <c r="J104" s="5">
        <f t="shared" si="45"/>
        <v>0</v>
      </c>
      <c r="K104" s="5">
        <f t="shared" si="45"/>
        <v>0</v>
      </c>
      <c r="L104" s="5">
        <f t="shared" si="45"/>
        <v>0</v>
      </c>
      <c r="M104" s="5">
        <f t="shared" si="45"/>
        <v>0</v>
      </c>
      <c r="N104" s="5">
        <f t="shared" si="45"/>
        <v>0</v>
      </c>
      <c r="O104" s="5">
        <f t="shared" si="45"/>
        <v>10624.560000000001</v>
      </c>
      <c r="P104" s="5">
        <f t="shared" si="45"/>
        <v>1372115.58</v>
      </c>
      <c r="Q104" s="5">
        <f t="shared" si="45"/>
        <v>0</v>
      </c>
      <c r="R104" s="5">
        <f t="shared" si="45"/>
        <v>0</v>
      </c>
      <c r="S104" s="5">
        <f t="shared" si="45"/>
        <v>853.2</v>
      </c>
      <c r="T104" s="5">
        <f t="shared" si="45"/>
        <v>427011.58</v>
      </c>
      <c r="U104" s="5">
        <f t="shared" si="45"/>
        <v>143.80000000000001</v>
      </c>
      <c r="V104" s="5">
        <f t="shared" si="45"/>
        <v>109992</v>
      </c>
      <c r="W104" s="5">
        <f t="shared" si="45"/>
        <v>0</v>
      </c>
      <c r="X104" s="5">
        <f t="shared" si="45"/>
        <v>0</v>
      </c>
      <c r="Y104" s="5">
        <f t="shared" si="45"/>
        <v>0</v>
      </c>
      <c r="Z104" s="5">
        <f t="shared" si="45"/>
        <v>0</v>
      </c>
      <c r="AA104" s="5">
        <f t="shared" si="45"/>
        <v>0</v>
      </c>
      <c r="AB104" s="5">
        <f t="shared" si="45"/>
        <v>0</v>
      </c>
      <c r="AC104" s="5">
        <f t="shared" si="45"/>
        <v>0</v>
      </c>
      <c r="AD104" s="5">
        <f t="shared" si="45"/>
        <v>0</v>
      </c>
      <c r="AE104" s="5">
        <f t="shared" si="45"/>
        <v>28306.159999999996</v>
      </c>
      <c r="AF104" s="5">
        <f t="shared" si="45"/>
        <v>0</v>
      </c>
      <c r="AG104" s="5">
        <f t="shared" si="45"/>
        <v>0</v>
      </c>
      <c r="AH104" s="70" t="s">
        <v>131</v>
      </c>
      <c r="AI104" s="70" t="s">
        <v>131</v>
      </c>
      <c r="AJ104" s="70" t="s">
        <v>131</v>
      </c>
      <c r="AK104" s="16"/>
      <c r="AL104" s="16"/>
      <c r="AM104" s="16"/>
      <c r="AN104" s="16"/>
    </row>
    <row r="105" spans="1:40" ht="62.25" x14ac:dyDescent="0.9">
      <c r="A105" s="1">
        <v>1</v>
      </c>
      <c r="B105" s="18">
        <f>SUBTOTAL(103,$A$92:A105)</f>
        <v>11</v>
      </c>
      <c r="C105" s="68" t="s">
        <v>268</v>
      </c>
      <c r="D105" s="23" t="s">
        <v>554</v>
      </c>
      <c r="E105" s="21">
        <v>0.97330000000000005</v>
      </c>
      <c r="F105" s="5">
        <f t="shared" si="40"/>
        <v>9167.9599999999991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25">
        <v>0</v>
      </c>
      <c r="N105" s="5">
        <v>0</v>
      </c>
      <c r="O105" s="5">
        <v>1120</v>
      </c>
      <c r="P105" s="5">
        <v>9032.4699999999993</v>
      </c>
      <c r="Q105" s="5">
        <v>0</v>
      </c>
      <c r="R105" s="5">
        <v>0</v>
      </c>
      <c r="S105" s="5">
        <v>0</v>
      </c>
      <c r="T105" s="71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f>ROUND(P105*1.5%,2)</f>
        <v>135.49</v>
      </c>
      <c r="AF105" s="5">
        <v>0</v>
      </c>
      <c r="AG105" s="5">
        <v>0</v>
      </c>
      <c r="AH105" s="70" t="s">
        <v>49</v>
      </c>
      <c r="AI105" s="70">
        <v>2020</v>
      </c>
      <c r="AJ105" s="70">
        <v>2020</v>
      </c>
      <c r="AK105" s="16"/>
      <c r="AL105" s="16"/>
      <c r="AM105" s="16"/>
      <c r="AN105" s="16"/>
    </row>
    <row r="106" spans="1:40" ht="62.25" x14ac:dyDescent="0.9">
      <c r="A106" s="1">
        <v>1</v>
      </c>
      <c r="B106" s="18">
        <f>SUBTOTAL(103,$A$92:A106)</f>
        <v>12</v>
      </c>
      <c r="C106" s="68" t="s">
        <v>269</v>
      </c>
      <c r="D106" s="23" t="s">
        <v>553</v>
      </c>
      <c r="E106" s="21">
        <v>0.86990000000000001</v>
      </c>
      <c r="F106" s="5">
        <f t="shared" si="40"/>
        <v>208611.94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25">
        <v>0</v>
      </c>
      <c r="N106" s="5">
        <v>0</v>
      </c>
      <c r="O106" s="5">
        <v>728.12</v>
      </c>
      <c r="P106" s="5">
        <v>205529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f t="shared" ref="AE106:AE111" si="46">ROUND(P106*1.5%,2)</f>
        <v>3082.94</v>
      </c>
      <c r="AF106" s="5">
        <v>0</v>
      </c>
      <c r="AG106" s="5">
        <v>0</v>
      </c>
      <c r="AH106" s="70" t="s">
        <v>49</v>
      </c>
      <c r="AI106" s="70">
        <v>2020</v>
      </c>
      <c r="AJ106" s="70">
        <v>2020</v>
      </c>
      <c r="AK106" s="16"/>
      <c r="AL106" s="16"/>
      <c r="AM106" s="16"/>
      <c r="AN106" s="16"/>
    </row>
    <row r="107" spans="1:40" ht="62.25" x14ac:dyDescent="0.9">
      <c r="A107" s="1">
        <v>1</v>
      </c>
      <c r="B107" s="18">
        <f>SUBTOTAL(103,$A$92:A107)</f>
        <v>13</v>
      </c>
      <c r="C107" s="68" t="s">
        <v>270</v>
      </c>
      <c r="D107" s="23" t="s">
        <v>554</v>
      </c>
      <c r="E107" s="21">
        <v>0.95440000000000003</v>
      </c>
      <c r="F107" s="5">
        <f t="shared" si="40"/>
        <v>170151.06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25">
        <v>0</v>
      </c>
      <c r="N107" s="5">
        <v>0</v>
      </c>
      <c r="O107" s="5">
        <v>755</v>
      </c>
      <c r="P107" s="5">
        <v>167636.51</v>
      </c>
      <c r="Q107" s="5">
        <v>0</v>
      </c>
      <c r="R107" s="5">
        <v>0</v>
      </c>
      <c r="S107" s="5">
        <v>0</v>
      </c>
      <c r="T107" s="71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2514.5500000000002</v>
      </c>
      <c r="AF107" s="5">
        <v>0</v>
      </c>
      <c r="AG107" s="5">
        <v>0</v>
      </c>
      <c r="AH107" s="70" t="s">
        <v>49</v>
      </c>
      <c r="AI107" s="70">
        <v>2020</v>
      </c>
      <c r="AJ107" s="70">
        <v>2020</v>
      </c>
      <c r="AK107" s="16"/>
      <c r="AL107" s="16"/>
      <c r="AM107" s="16"/>
      <c r="AN107" s="16"/>
    </row>
    <row r="108" spans="1:40" ht="62.25" x14ac:dyDescent="0.9">
      <c r="A108" s="1">
        <v>1</v>
      </c>
      <c r="B108" s="18">
        <f>SUBTOTAL(103,$A$92:A108)</f>
        <v>14</v>
      </c>
      <c r="C108" s="68" t="s">
        <v>271</v>
      </c>
      <c r="D108" s="23" t="s">
        <v>554</v>
      </c>
      <c r="E108" s="21">
        <v>1.0023</v>
      </c>
      <c r="F108" s="5">
        <f t="shared" si="40"/>
        <v>39116.53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25">
        <v>0</v>
      </c>
      <c r="N108" s="5">
        <v>0</v>
      </c>
      <c r="O108" s="5">
        <v>497</v>
      </c>
      <c r="P108" s="5">
        <v>38538.449999999997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f t="shared" si="46"/>
        <v>578.08000000000004</v>
      </c>
      <c r="AF108" s="5">
        <v>0</v>
      </c>
      <c r="AG108" s="5">
        <v>0</v>
      </c>
      <c r="AH108" s="70" t="s">
        <v>49</v>
      </c>
      <c r="AI108" s="70">
        <v>2020</v>
      </c>
      <c r="AJ108" s="70">
        <v>2020</v>
      </c>
      <c r="AK108" s="16"/>
      <c r="AL108" s="16"/>
      <c r="AM108" s="16"/>
      <c r="AN108" s="16"/>
    </row>
    <row r="109" spans="1:40" ht="62.25" x14ac:dyDescent="0.9">
      <c r="A109" s="1">
        <v>1</v>
      </c>
      <c r="B109" s="18">
        <f>SUBTOTAL(103,$A$92:A109)</f>
        <v>15</v>
      </c>
      <c r="C109" s="68" t="s">
        <v>272</v>
      </c>
      <c r="D109" s="23" t="s">
        <v>553</v>
      </c>
      <c r="E109" s="21">
        <v>0.96599999999999997</v>
      </c>
      <c r="F109" s="5">
        <f t="shared" si="40"/>
        <v>35463.9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25">
        <v>0</v>
      </c>
      <c r="N109" s="5">
        <v>0</v>
      </c>
      <c r="O109" s="5">
        <v>636</v>
      </c>
      <c r="P109" s="5">
        <v>34939.800000000003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f t="shared" si="46"/>
        <v>524.1</v>
      </c>
      <c r="AF109" s="5">
        <v>0</v>
      </c>
      <c r="AG109" s="5">
        <v>0</v>
      </c>
      <c r="AH109" s="70" t="s">
        <v>49</v>
      </c>
      <c r="AI109" s="70">
        <v>2020</v>
      </c>
      <c r="AJ109" s="70">
        <v>2020</v>
      </c>
      <c r="AK109" s="16"/>
      <c r="AL109" s="16"/>
      <c r="AM109" s="16"/>
      <c r="AN109" s="16"/>
    </row>
    <row r="110" spans="1:40" ht="62.25" x14ac:dyDescent="0.9">
      <c r="A110" s="1">
        <v>1</v>
      </c>
      <c r="B110" s="18">
        <f>SUBTOTAL(103,$A$92:A110)</f>
        <v>16</v>
      </c>
      <c r="C110" s="68" t="s">
        <v>273</v>
      </c>
      <c r="D110" s="23" t="s">
        <v>554</v>
      </c>
      <c r="E110" s="21">
        <v>0.90890000000000004</v>
      </c>
      <c r="F110" s="5">
        <f t="shared" si="40"/>
        <v>381944.5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25">
        <v>0</v>
      </c>
      <c r="N110" s="5">
        <v>0</v>
      </c>
      <c r="O110" s="5">
        <v>645</v>
      </c>
      <c r="P110" s="5">
        <v>376300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f t="shared" si="46"/>
        <v>5644.5</v>
      </c>
      <c r="AF110" s="5">
        <v>0</v>
      </c>
      <c r="AG110" s="5">
        <v>0</v>
      </c>
      <c r="AH110" s="70" t="s">
        <v>49</v>
      </c>
      <c r="AI110" s="6">
        <v>2021</v>
      </c>
      <c r="AJ110" s="6">
        <v>2021</v>
      </c>
      <c r="AK110" s="16"/>
      <c r="AL110" s="16"/>
      <c r="AM110" s="16"/>
      <c r="AN110" s="16"/>
    </row>
    <row r="111" spans="1:40" ht="62.25" x14ac:dyDescent="0.9">
      <c r="A111" s="1">
        <v>1</v>
      </c>
      <c r="B111" s="18">
        <f>SUBTOTAL(103,$A$92:A111)</f>
        <v>17</v>
      </c>
      <c r="C111" s="68" t="s">
        <v>274</v>
      </c>
      <c r="D111" s="23" t="s">
        <v>553</v>
      </c>
      <c r="E111" s="21">
        <v>0.97260000000000002</v>
      </c>
      <c r="F111" s="5">
        <f t="shared" si="40"/>
        <v>7464.31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25">
        <v>0</v>
      </c>
      <c r="N111" s="5">
        <v>0</v>
      </c>
      <c r="O111" s="5">
        <v>691.81</v>
      </c>
      <c r="P111" s="5">
        <v>7354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f t="shared" si="46"/>
        <v>110.31</v>
      </c>
      <c r="AF111" s="5">
        <v>0</v>
      </c>
      <c r="AG111" s="5">
        <v>0</v>
      </c>
      <c r="AH111" s="70" t="s">
        <v>49</v>
      </c>
      <c r="AI111" s="70">
        <v>2020</v>
      </c>
      <c r="AJ111" s="70">
        <v>2020</v>
      </c>
      <c r="AK111" s="16"/>
      <c r="AL111" s="16"/>
      <c r="AM111" s="16"/>
      <c r="AN111" s="16"/>
    </row>
    <row r="112" spans="1:40" ht="62.25" x14ac:dyDescent="0.9">
      <c r="A112" s="1">
        <v>1</v>
      </c>
      <c r="B112" s="18">
        <f>SUBTOTAL(103,$A$92:A112)</f>
        <v>18</v>
      </c>
      <c r="C112" s="68" t="s">
        <v>275</v>
      </c>
      <c r="D112" s="27" t="s">
        <v>554</v>
      </c>
      <c r="E112" s="21">
        <v>0.9919</v>
      </c>
      <c r="F112" s="5">
        <f t="shared" si="40"/>
        <v>433416.75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2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853.2</v>
      </c>
      <c r="T112" s="71">
        <v>427011.58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6405.17</v>
      </c>
      <c r="AF112" s="5">
        <v>0</v>
      </c>
      <c r="AG112" s="5">
        <v>0</v>
      </c>
      <c r="AH112" s="70" t="s">
        <v>49</v>
      </c>
      <c r="AI112" s="70">
        <v>2020</v>
      </c>
      <c r="AJ112" s="70">
        <v>2020</v>
      </c>
      <c r="AK112" s="16"/>
      <c r="AL112" s="16"/>
      <c r="AM112" s="16"/>
      <c r="AN112" s="16"/>
    </row>
    <row r="113" spans="1:40" ht="62.25" x14ac:dyDescent="0.9">
      <c r="A113" s="1">
        <v>1</v>
      </c>
      <c r="B113" s="18">
        <f>SUBTOTAL(103,$A$92:A113)</f>
        <v>19</v>
      </c>
      <c r="C113" s="68" t="s">
        <v>235</v>
      </c>
      <c r="D113" s="23" t="s">
        <v>379</v>
      </c>
      <c r="E113" s="21">
        <v>0.96870000000000001</v>
      </c>
      <c r="F113" s="5">
        <f t="shared" si="40"/>
        <v>167825.19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25">
        <v>0</v>
      </c>
      <c r="N113" s="5">
        <v>0</v>
      </c>
      <c r="O113" s="5">
        <v>404</v>
      </c>
      <c r="P113" s="5">
        <v>165540.73000000001</v>
      </c>
      <c r="Q113" s="5">
        <v>0</v>
      </c>
      <c r="R113" s="5">
        <v>0</v>
      </c>
      <c r="S113" s="5">
        <v>0</v>
      </c>
      <c r="T113" s="71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2284.46</v>
      </c>
      <c r="AF113" s="5">
        <v>0</v>
      </c>
      <c r="AG113" s="5">
        <v>0</v>
      </c>
      <c r="AH113" s="70" t="s">
        <v>49</v>
      </c>
      <c r="AI113" s="70">
        <v>2020</v>
      </c>
      <c r="AJ113" s="70">
        <v>2020</v>
      </c>
      <c r="AK113" s="16"/>
      <c r="AL113" s="16"/>
      <c r="AM113" s="16"/>
      <c r="AN113" s="16"/>
    </row>
    <row r="114" spans="1:40" ht="62.25" x14ac:dyDescent="0.9">
      <c r="A114" s="1">
        <v>1</v>
      </c>
      <c r="B114" s="18">
        <f>SUBTOTAL(103,$A$92:A114)</f>
        <v>20</v>
      </c>
      <c r="C114" s="68" t="s">
        <v>276</v>
      </c>
      <c r="D114" s="23" t="s">
        <v>556</v>
      </c>
      <c r="E114" s="21">
        <v>1.0038</v>
      </c>
      <c r="F114" s="5">
        <f t="shared" si="40"/>
        <v>11016.92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25">
        <v>0</v>
      </c>
      <c r="N114" s="5">
        <v>0</v>
      </c>
      <c r="O114" s="5">
        <v>1156</v>
      </c>
      <c r="P114" s="5">
        <v>10854.11</v>
      </c>
      <c r="Q114" s="5">
        <v>0</v>
      </c>
      <c r="R114" s="5">
        <v>0</v>
      </c>
      <c r="S114" s="5">
        <v>0</v>
      </c>
      <c r="T114" s="71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f>ROUND(P114*1.5%,2)</f>
        <v>162.81</v>
      </c>
      <c r="AF114" s="5">
        <v>0</v>
      </c>
      <c r="AG114" s="5">
        <v>0</v>
      </c>
      <c r="AH114" s="70" t="s">
        <v>49</v>
      </c>
      <c r="AI114" s="70">
        <v>2020</v>
      </c>
      <c r="AJ114" s="70">
        <v>2020</v>
      </c>
      <c r="AK114" s="16"/>
      <c r="AL114" s="16"/>
      <c r="AM114" s="16"/>
      <c r="AN114" s="16"/>
    </row>
    <row r="115" spans="1:40" ht="62.25" x14ac:dyDescent="0.9">
      <c r="A115" s="1">
        <v>1</v>
      </c>
      <c r="B115" s="18">
        <f>SUBTOTAL(103,$A$92:A115)</f>
        <v>21</v>
      </c>
      <c r="C115" s="68" t="s">
        <v>343</v>
      </c>
      <c r="D115" s="27" t="s">
        <v>379</v>
      </c>
      <c r="E115" s="21">
        <v>0.97260000000000002</v>
      </c>
      <c r="F115" s="5">
        <f t="shared" si="40"/>
        <v>111509.89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2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71">
        <v>0</v>
      </c>
      <c r="U115" s="5">
        <v>143.80000000000001</v>
      </c>
      <c r="V115" s="5">
        <v>109992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1517.89</v>
      </c>
      <c r="AF115" s="5">
        <v>0</v>
      </c>
      <c r="AG115" s="5">
        <v>0</v>
      </c>
      <c r="AH115" s="70" t="s">
        <v>49</v>
      </c>
      <c r="AI115" s="70">
        <v>2020</v>
      </c>
      <c r="AJ115" s="70">
        <v>2020</v>
      </c>
      <c r="AK115" s="16"/>
      <c r="AL115" s="16"/>
      <c r="AM115" s="16"/>
      <c r="AN115" s="16"/>
    </row>
    <row r="116" spans="1:40" ht="62.25" x14ac:dyDescent="0.9">
      <c r="A116" s="1">
        <v>1</v>
      </c>
      <c r="B116" s="18">
        <f>SUBTOTAL(103,$A$92:A116)</f>
        <v>22</v>
      </c>
      <c r="C116" s="68" t="s">
        <v>344</v>
      </c>
      <c r="D116" s="23" t="s">
        <v>553</v>
      </c>
      <c r="E116" s="21">
        <v>0.9859</v>
      </c>
      <c r="F116" s="5">
        <f t="shared" si="40"/>
        <v>155816.68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25">
        <v>0</v>
      </c>
      <c r="N116" s="5">
        <v>0</v>
      </c>
      <c r="O116" s="5">
        <v>622.63</v>
      </c>
      <c r="P116" s="5">
        <v>153513.97</v>
      </c>
      <c r="Q116" s="5">
        <v>0</v>
      </c>
      <c r="R116" s="5">
        <v>0</v>
      </c>
      <c r="S116" s="5">
        <v>0</v>
      </c>
      <c r="T116" s="71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f>ROUND(P116*1.5%,2)</f>
        <v>2302.71</v>
      </c>
      <c r="AF116" s="5">
        <v>0</v>
      </c>
      <c r="AG116" s="5">
        <v>0</v>
      </c>
      <c r="AH116" s="70" t="s">
        <v>49</v>
      </c>
      <c r="AI116" s="70">
        <v>2020</v>
      </c>
      <c r="AJ116" s="70">
        <v>2020</v>
      </c>
      <c r="AK116" s="16"/>
      <c r="AL116" s="16"/>
      <c r="AM116" s="16"/>
      <c r="AN116" s="16"/>
    </row>
    <row r="117" spans="1:40" ht="62.25" x14ac:dyDescent="0.9">
      <c r="A117" s="1">
        <v>1</v>
      </c>
      <c r="B117" s="18">
        <f>SUBTOTAL(103,$A$92:A117)</f>
        <v>23</v>
      </c>
      <c r="C117" s="68" t="s">
        <v>345</v>
      </c>
      <c r="D117" s="23" t="s">
        <v>554</v>
      </c>
      <c r="E117" s="21">
        <v>1.0001</v>
      </c>
      <c r="F117" s="5">
        <f t="shared" si="40"/>
        <v>9497.9600000000009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25">
        <v>0</v>
      </c>
      <c r="N117" s="5">
        <v>0</v>
      </c>
      <c r="O117" s="5">
        <v>550</v>
      </c>
      <c r="P117" s="5">
        <v>9357.6</v>
      </c>
      <c r="Q117" s="5">
        <v>0</v>
      </c>
      <c r="R117" s="5">
        <v>0</v>
      </c>
      <c r="S117" s="5">
        <v>0</v>
      </c>
      <c r="T117" s="71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f>ROUND(P117*1.5%,2)</f>
        <v>140.36000000000001</v>
      </c>
      <c r="AF117" s="5">
        <v>0</v>
      </c>
      <c r="AG117" s="5">
        <v>0</v>
      </c>
      <c r="AH117" s="70" t="s">
        <v>49</v>
      </c>
      <c r="AI117" s="70">
        <v>2020</v>
      </c>
      <c r="AJ117" s="70">
        <v>2020</v>
      </c>
      <c r="AK117" s="16"/>
      <c r="AL117" s="16"/>
      <c r="AM117" s="16"/>
      <c r="AN117" s="16"/>
    </row>
    <row r="118" spans="1:40" ht="62.25" x14ac:dyDescent="0.9">
      <c r="A118" s="1">
        <v>1</v>
      </c>
      <c r="B118" s="18">
        <f>SUBTOTAL(103,$A$92:A118)</f>
        <v>24</v>
      </c>
      <c r="C118" s="68" t="s">
        <v>346</v>
      </c>
      <c r="D118" s="23" t="s">
        <v>556</v>
      </c>
      <c r="E118" s="21">
        <v>0.95650000000000002</v>
      </c>
      <c r="F118" s="5">
        <f t="shared" si="40"/>
        <v>61000.020000000004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25">
        <v>0</v>
      </c>
      <c r="N118" s="5">
        <v>0</v>
      </c>
      <c r="O118" s="5">
        <v>807</v>
      </c>
      <c r="P118" s="5">
        <v>60098.54</v>
      </c>
      <c r="Q118" s="5">
        <v>0</v>
      </c>
      <c r="R118" s="5">
        <v>0</v>
      </c>
      <c r="S118" s="5">
        <v>0</v>
      </c>
      <c r="T118" s="71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f>ROUND(P118*1.5%,2)</f>
        <v>901.48</v>
      </c>
      <c r="AF118" s="5">
        <v>0</v>
      </c>
      <c r="AG118" s="5">
        <v>0</v>
      </c>
      <c r="AH118" s="70" t="s">
        <v>49</v>
      </c>
      <c r="AI118" s="70">
        <v>2020</v>
      </c>
      <c r="AJ118" s="70">
        <v>2020</v>
      </c>
      <c r="AK118" s="16"/>
      <c r="AL118" s="16"/>
      <c r="AM118" s="16"/>
      <c r="AN118" s="16"/>
    </row>
    <row r="119" spans="1:40" ht="62.25" x14ac:dyDescent="0.9">
      <c r="A119" s="1">
        <v>1</v>
      </c>
      <c r="B119" s="18">
        <f>SUBTOTAL(103,$A$92:A119)</f>
        <v>25</v>
      </c>
      <c r="C119" s="68" t="s">
        <v>388</v>
      </c>
      <c r="D119" s="23" t="s">
        <v>554</v>
      </c>
      <c r="E119" s="21">
        <v>0.76249999999999996</v>
      </c>
      <c r="F119" s="5">
        <f t="shared" si="40"/>
        <v>91476.549999999988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25">
        <v>0</v>
      </c>
      <c r="N119" s="5">
        <v>0</v>
      </c>
      <c r="O119" s="5">
        <v>1059</v>
      </c>
      <c r="P119" s="5">
        <v>90124.68</v>
      </c>
      <c r="Q119" s="5">
        <v>0</v>
      </c>
      <c r="R119" s="5">
        <v>0</v>
      </c>
      <c r="S119" s="5">
        <v>0</v>
      </c>
      <c r="T119" s="71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f>ROUND(P119*1.5%,2)</f>
        <v>1351.87</v>
      </c>
      <c r="AF119" s="5">
        <v>0</v>
      </c>
      <c r="AG119" s="5">
        <v>0</v>
      </c>
      <c r="AH119" s="70" t="s">
        <v>49</v>
      </c>
      <c r="AI119" s="70">
        <v>2020</v>
      </c>
      <c r="AJ119" s="70">
        <v>2020</v>
      </c>
      <c r="AK119" s="16"/>
      <c r="AL119" s="16"/>
      <c r="AM119" s="16"/>
      <c r="AN119" s="16"/>
    </row>
    <row r="120" spans="1:40" ht="62.25" x14ac:dyDescent="0.9">
      <c r="A120" s="1">
        <v>1</v>
      </c>
      <c r="B120" s="18">
        <f>SUBTOTAL(103,$A$92:A120)</f>
        <v>26</v>
      </c>
      <c r="C120" s="68" t="s">
        <v>557</v>
      </c>
      <c r="D120" s="23" t="s">
        <v>556</v>
      </c>
      <c r="E120" s="21">
        <v>0.95521667016728007</v>
      </c>
      <c r="F120" s="5">
        <f>P120+AE120</f>
        <v>43945.16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25">
        <v>0</v>
      </c>
      <c r="N120" s="5">
        <v>0</v>
      </c>
      <c r="O120" s="5">
        <v>953</v>
      </c>
      <c r="P120" s="5">
        <v>43295.72</v>
      </c>
      <c r="Q120" s="5">
        <v>0</v>
      </c>
      <c r="R120" s="5">
        <v>0</v>
      </c>
      <c r="S120" s="5">
        <v>0</v>
      </c>
      <c r="T120" s="71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f>ROUND(P120*1.5%,2)</f>
        <v>649.44000000000005</v>
      </c>
      <c r="AF120" s="5">
        <v>0</v>
      </c>
      <c r="AG120" s="5">
        <v>0</v>
      </c>
      <c r="AH120" s="70" t="s">
        <v>49</v>
      </c>
      <c r="AI120" s="70">
        <v>2020</v>
      </c>
      <c r="AJ120" s="70">
        <v>2020</v>
      </c>
      <c r="AK120" s="16"/>
      <c r="AL120" s="16"/>
      <c r="AM120" s="16"/>
      <c r="AN120" s="16"/>
    </row>
    <row r="121" spans="1:40" ht="62.25" x14ac:dyDescent="0.9">
      <c r="B121" s="72" t="s">
        <v>100</v>
      </c>
      <c r="C121" s="73"/>
      <c r="D121" s="69" t="s">
        <v>131</v>
      </c>
      <c r="E121" s="21">
        <f>AVERAGE(E122:E128)</f>
        <v>0.79046997917439299</v>
      </c>
      <c r="F121" s="5">
        <f>SUM(F122:F128)</f>
        <v>2682931.6799999997</v>
      </c>
      <c r="G121" s="5">
        <f t="shared" ref="G121:AG121" si="47">SUM(G122:G128)</f>
        <v>0</v>
      </c>
      <c r="H121" s="5">
        <f t="shared" si="47"/>
        <v>0</v>
      </c>
      <c r="I121" s="5">
        <f t="shared" si="47"/>
        <v>0</v>
      </c>
      <c r="J121" s="5">
        <f t="shared" si="47"/>
        <v>0</v>
      </c>
      <c r="K121" s="5">
        <f t="shared" si="47"/>
        <v>0</v>
      </c>
      <c r="L121" s="5">
        <f t="shared" si="47"/>
        <v>0</v>
      </c>
      <c r="M121" s="5">
        <f t="shared" si="47"/>
        <v>0</v>
      </c>
      <c r="N121" s="5">
        <f t="shared" si="47"/>
        <v>0</v>
      </c>
      <c r="O121" s="5">
        <f t="shared" si="47"/>
        <v>6319.26</v>
      </c>
      <c r="P121" s="5">
        <f t="shared" si="47"/>
        <v>2644410.02</v>
      </c>
      <c r="Q121" s="5">
        <f t="shared" si="47"/>
        <v>0</v>
      </c>
      <c r="R121" s="5">
        <f t="shared" si="47"/>
        <v>0</v>
      </c>
      <c r="S121" s="5">
        <f t="shared" si="47"/>
        <v>0</v>
      </c>
      <c r="T121" s="5">
        <f t="shared" si="47"/>
        <v>0</v>
      </c>
      <c r="U121" s="5">
        <f t="shared" si="47"/>
        <v>0</v>
      </c>
      <c r="V121" s="5">
        <f t="shared" si="47"/>
        <v>0</v>
      </c>
      <c r="W121" s="5">
        <f t="shared" si="47"/>
        <v>0</v>
      </c>
      <c r="X121" s="5">
        <f t="shared" si="47"/>
        <v>0</v>
      </c>
      <c r="Y121" s="5">
        <f t="shared" si="47"/>
        <v>0</v>
      </c>
      <c r="Z121" s="5">
        <f t="shared" si="47"/>
        <v>0</v>
      </c>
      <c r="AA121" s="5">
        <f t="shared" si="47"/>
        <v>0</v>
      </c>
      <c r="AB121" s="5">
        <f t="shared" si="47"/>
        <v>0</v>
      </c>
      <c r="AC121" s="5">
        <f t="shared" si="47"/>
        <v>0</v>
      </c>
      <c r="AD121" s="5">
        <f t="shared" si="47"/>
        <v>0</v>
      </c>
      <c r="AE121" s="5">
        <f t="shared" si="47"/>
        <v>38521.659999999989</v>
      </c>
      <c r="AF121" s="5">
        <f t="shared" si="47"/>
        <v>0</v>
      </c>
      <c r="AG121" s="5">
        <f t="shared" si="47"/>
        <v>0</v>
      </c>
      <c r="AH121" s="70" t="s">
        <v>131</v>
      </c>
      <c r="AI121" s="70" t="s">
        <v>131</v>
      </c>
      <c r="AJ121" s="70" t="s">
        <v>131</v>
      </c>
      <c r="AK121" s="16"/>
      <c r="AL121" s="16"/>
      <c r="AM121" s="16"/>
      <c r="AN121" s="16"/>
    </row>
    <row r="122" spans="1:40" ht="62.25" x14ac:dyDescent="0.9">
      <c r="A122" s="1">
        <v>1</v>
      </c>
      <c r="B122" s="18">
        <f>SUBTOTAL(103,$A$92:A122)</f>
        <v>27</v>
      </c>
      <c r="C122" s="68" t="s">
        <v>277</v>
      </c>
      <c r="D122" s="23" t="s">
        <v>554</v>
      </c>
      <c r="E122" s="21">
        <v>0.79441212856856191</v>
      </c>
      <c r="F122" s="5">
        <f t="shared" si="40"/>
        <v>505301.78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25">
        <v>0</v>
      </c>
      <c r="N122" s="5">
        <v>0</v>
      </c>
      <c r="O122" s="5">
        <v>1148</v>
      </c>
      <c r="P122" s="5">
        <v>497834.27</v>
      </c>
      <c r="Q122" s="5">
        <v>0</v>
      </c>
      <c r="R122" s="5">
        <v>0</v>
      </c>
      <c r="S122" s="5">
        <v>0</v>
      </c>
      <c r="T122" s="71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f t="shared" ref="AE122:AE128" si="48">ROUND(P122*1.5%,2)</f>
        <v>7467.51</v>
      </c>
      <c r="AF122" s="5">
        <v>0</v>
      </c>
      <c r="AG122" s="5">
        <v>0</v>
      </c>
      <c r="AH122" s="70" t="s">
        <v>49</v>
      </c>
      <c r="AI122" s="70">
        <v>2020</v>
      </c>
      <c r="AJ122" s="70">
        <v>2020</v>
      </c>
      <c r="AK122" s="16"/>
      <c r="AL122" s="16"/>
      <c r="AM122" s="16"/>
      <c r="AN122" s="16"/>
    </row>
    <row r="123" spans="1:40" ht="62.25" x14ac:dyDescent="0.9">
      <c r="A123" s="1">
        <v>1</v>
      </c>
      <c r="B123" s="18">
        <f>SUBTOTAL(103,$A$92:A123)</f>
        <v>28</v>
      </c>
      <c r="C123" s="68" t="s">
        <v>278</v>
      </c>
      <c r="D123" s="23" t="s">
        <v>554</v>
      </c>
      <c r="E123" s="21">
        <v>0.77911652932310516</v>
      </c>
      <c r="F123" s="5">
        <f t="shared" si="40"/>
        <v>1853524.39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25">
        <v>0</v>
      </c>
      <c r="N123" s="5">
        <v>0</v>
      </c>
      <c r="O123" s="5">
        <v>812.5</v>
      </c>
      <c r="P123" s="5">
        <v>1826132.4</v>
      </c>
      <c r="Q123" s="5">
        <v>0</v>
      </c>
      <c r="R123" s="5">
        <v>0</v>
      </c>
      <c r="S123" s="5">
        <v>0</v>
      </c>
      <c r="T123" s="71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f t="shared" si="48"/>
        <v>27391.99</v>
      </c>
      <c r="AF123" s="5">
        <v>0</v>
      </c>
      <c r="AG123" s="5">
        <v>0</v>
      </c>
      <c r="AH123" s="70" t="s">
        <v>49</v>
      </c>
      <c r="AI123" s="6">
        <v>2021</v>
      </c>
      <c r="AJ123" s="6">
        <v>2021</v>
      </c>
      <c r="AK123" s="16"/>
      <c r="AL123" s="16"/>
      <c r="AM123" s="16"/>
      <c r="AN123" s="16"/>
    </row>
    <row r="124" spans="1:40" ht="62.25" x14ac:dyDescent="0.9">
      <c r="A124" s="1">
        <v>1</v>
      </c>
      <c r="B124" s="18">
        <f>SUBTOTAL(103,$A$92:A124)</f>
        <v>29</v>
      </c>
      <c r="C124" s="68" t="s">
        <v>279</v>
      </c>
      <c r="D124" s="23" t="s">
        <v>379</v>
      </c>
      <c r="E124" s="21">
        <v>0.64500000000000002</v>
      </c>
      <c r="F124" s="5">
        <f t="shared" si="40"/>
        <v>57982.38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25">
        <v>0</v>
      </c>
      <c r="N124" s="5">
        <v>0</v>
      </c>
      <c r="O124" s="5">
        <v>1240.56</v>
      </c>
      <c r="P124" s="71">
        <v>57405.46</v>
      </c>
      <c r="Q124" s="5">
        <v>0</v>
      </c>
      <c r="R124" s="5">
        <v>0</v>
      </c>
      <c r="S124" s="5">
        <v>0</v>
      </c>
      <c r="T124" s="71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576.91999999999996</v>
      </c>
      <c r="AF124" s="5">
        <v>0</v>
      </c>
      <c r="AG124" s="5">
        <v>0</v>
      </c>
      <c r="AH124" s="70" t="s">
        <v>49</v>
      </c>
      <c r="AI124" s="70">
        <v>2020</v>
      </c>
      <c r="AJ124" s="70">
        <v>2020</v>
      </c>
      <c r="AK124" s="16"/>
      <c r="AL124" s="16"/>
      <c r="AM124" s="16"/>
      <c r="AN124" s="16"/>
    </row>
    <row r="125" spans="1:40" ht="62.25" x14ac:dyDescent="0.9">
      <c r="A125" s="1">
        <v>1</v>
      </c>
      <c r="B125" s="18">
        <f>SUBTOTAL(103,$A$92:A125)</f>
        <v>30</v>
      </c>
      <c r="C125" s="68" t="s">
        <v>280</v>
      </c>
      <c r="D125" s="23" t="s">
        <v>554</v>
      </c>
      <c r="E125" s="21">
        <v>0.88700000000000001</v>
      </c>
      <c r="F125" s="5">
        <f t="shared" si="40"/>
        <v>175548.91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25">
        <v>0</v>
      </c>
      <c r="N125" s="5">
        <v>0</v>
      </c>
      <c r="O125" s="5">
        <v>838</v>
      </c>
      <c r="P125" s="5">
        <v>173802.2</v>
      </c>
      <c r="Q125" s="5">
        <v>0</v>
      </c>
      <c r="R125" s="5">
        <v>0</v>
      </c>
      <c r="S125" s="5">
        <v>0</v>
      </c>
      <c r="T125" s="71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1746.71</v>
      </c>
      <c r="AF125" s="5">
        <v>0</v>
      </c>
      <c r="AG125" s="5">
        <v>0</v>
      </c>
      <c r="AH125" s="70" t="s">
        <v>49</v>
      </c>
      <c r="AI125" s="70">
        <v>2020</v>
      </c>
      <c r="AJ125" s="70">
        <v>2020</v>
      </c>
      <c r="AK125" s="16"/>
      <c r="AL125" s="16"/>
      <c r="AM125" s="16"/>
      <c r="AN125" s="16"/>
    </row>
    <row r="126" spans="1:40" ht="62.25" x14ac:dyDescent="0.9">
      <c r="A126" s="1">
        <v>1</v>
      </c>
      <c r="B126" s="18">
        <f>SUBTOTAL(103,$A$92:A126)</f>
        <v>31</v>
      </c>
      <c r="C126" s="68" t="s">
        <v>281</v>
      </c>
      <c r="D126" s="23" t="s">
        <v>554</v>
      </c>
      <c r="E126" s="21">
        <v>0.78459999999999996</v>
      </c>
      <c r="F126" s="5">
        <f t="shared" si="40"/>
        <v>63876.88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25">
        <v>0</v>
      </c>
      <c r="N126" s="5">
        <v>0</v>
      </c>
      <c r="O126" s="5">
        <v>823.2</v>
      </c>
      <c r="P126" s="5">
        <v>62932.89</v>
      </c>
      <c r="Q126" s="5">
        <v>0</v>
      </c>
      <c r="R126" s="5">
        <v>0</v>
      </c>
      <c r="S126" s="5">
        <v>0</v>
      </c>
      <c r="T126" s="71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f t="shared" si="48"/>
        <v>943.99</v>
      </c>
      <c r="AF126" s="5">
        <v>0</v>
      </c>
      <c r="AG126" s="5">
        <v>0</v>
      </c>
      <c r="AH126" s="70" t="s">
        <v>49</v>
      </c>
      <c r="AI126" s="70">
        <v>2020</v>
      </c>
      <c r="AJ126" s="70">
        <v>2020</v>
      </c>
      <c r="AK126" s="16"/>
      <c r="AL126" s="16"/>
      <c r="AM126" s="16"/>
      <c r="AN126" s="16"/>
    </row>
    <row r="127" spans="1:40" ht="62.25" x14ac:dyDescent="0.9">
      <c r="A127" s="1">
        <v>1</v>
      </c>
      <c r="B127" s="18">
        <f>SUBTOTAL(103,$A$92:A127)</f>
        <v>32</v>
      </c>
      <c r="C127" s="68" t="s">
        <v>282</v>
      </c>
      <c r="D127" s="23" t="s">
        <v>554</v>
      </c>
      <c r="E127" s="21">
        <v>0.70240000000000002</v>
      </c>
      <c r="F127" s="5">
        <f t="shared" si="40"/>
        <v>2454.27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25">
        <v>0</v>
      </c>
      <c r="N127" s="5">
        <v>0</v>
      </c>
      <c r="O127" s="5">
        <v>472</v>
      </c>
      <c r="P127" s="5">
        <v>2418</v>
      </c>
      <c r="Q127" s="5">
        <v>0</v>
      </c>
      <c r="R127" s="5">
        <v>0</v>
      </c>
      <c r="S127" s="5">
        <v>0</v>
      </c>
      <c r="T127" s="71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f t="shared" si="48"/>
        <v>36.270000000000003</v>
      </c>
      <c r="AF127" s="5">
        <v>0</v>
      </c>
      <c r="AG127" s="5">
        <v>0</v>
      </c>
      <c r="AH127" s="70" t="s">
        <v>49</v>
      </c>
      <c r="AI127" s="70">
        <v>2020</v>
      </c>
      <c r="AJ127" s="70">
        <v>2020</v>
      </c>
      <c r="AK127" s="16"/>
      <c r="AL127" s="16"/>
      <c r="AM127" s="16"/>
      <c r="AN127" s="16"/>
    </row>
    <row r="128" spans="1:40" ht="62.25" x14ac:dyDescent="0.9">
      <c r="A128" s="1">
        <v>1</v>
      </c>
      <c r="B128" s="18">
        <f>SUBTOTAL(103,$A$92:A128)</f>
        <v>33</v>
      </c>
      <c r="C128" s="68" t="s">
        <v>558</v>
      </c>
      <c r="D128" s="23" t="s">
        <v>379</v>
      </c>
      <c r="E128" s="21">
        <v>0.94076119632908406</v>
      </c>
      <c r="F128" s="5">
        <f>P128+AE128</f>
        <v>24243.07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25">
        <v>0</v>
      </c>
      <c r="N128" s="5">
        <v>0</v>
      </c>
      <c r="O128" s="5">
        <v>985</v>
      </c>
      <c r="P128" s="5">
        <v>23884.799999999999</v>
      </c>
      <c r="Q128" s="5">
        <v>0</v>
      </c>
      <c r="R128" s="5">
        <v>0</v>
      </c>
      <c r="S128" s="5">
        <v>0</v>
      </c>
      <c r="T128" s="71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f t="shared" si="48"/>
        <v>358.27</v>
      </c>
      <c r="AF128" s="5">
        <v>0</v>
      </c>
      <c r="AG128" s="5">
        <v>0</v>
      </c>
      <c r="AH128" s="70" t="s">
        <v>49</v>
      </c>
      <c r="AI128" s="70">
        <v>2021</v>
      </c>
      <c r="AJ128" s="70">
        <v>2021</v>
      </c>
      <c r="AK128" s="16"/>
      <c r="AL128" s="16"/>
      <c r="AM128" s="16"/>
      <c r="AN128" s="16"/>
    </row>
    <row r="129" spans="1:40" ht="62.25" x14ac:dyDescent="0.9">
      <c r="B129" s="72" t="s">
        <v>99</v>
      </c>
      <c r="C129" s="73"/>
      <c r="D129" s="69" t="s">
        <v>131</v>
      </c>
      <c r="E129" s="21">
        <f>AVERAGE(E130:E133)</f>
        <v>0.6400023136337607</v>
      </c>
      <c r="F129" s="5">
        <f>SUM(F130:F133)</f>
        <v>3091318.25</v>
      </c>
      <c r="G129" s="5">
        <f t="shared" ref="G129:AG129" si="49">SUM(G130:G133)</f>
        <v>0</v>
      </c>
      <c r="H129" s="5">
        <f t="shared" si="49"/>
        <v>0</v>
      </c>
      <c r="I129" s="5">
        <f t="shared" si="49"/>
        <v>0</v>
      </c>
      <c r="J129" s="5">
        <f t="shared" si="49"/>
        <v>0</v>
      </c>
      <c r="K129" s="5">
        <f t="shared" si="49"/>
        <v>0</v>
      </c>
      <c r="L129" s="5">
        <f t="shared" si="49"/>
        <v>0</v>
      </c>
      <c r="M129" s="25">
        <f t="shared" si="49"/>
        <v>0</v>
      </c>
      <c r="N129" s="5">
        <f t="shared" si="49"/>
        <v>0</v>
      </c>
      <c r="O129" s="5">
        <f t="shared" si="49"/>
        <v>1984</v>
      </c>
      <c r="P129" s="5">
        <f t="shared" si="49"/>
        <v>3046165.91</v>
      </c>
      <c r="Q129" s="5">
        <f t="shared" si="49"/>
        <v>0</v>
      </c>
      <c r="R129" s="5">
        <f t="shared" si="49"/>
        <v>0</v>
      </c>
      <c r="S129" s="5">
        <f t="shared" si="49"/>
        <v>0</v>
      </c>
      <c r="T129" s="5">
        <f t="shared" si="49"/>
        <v>0</v>
      </c>
      <c r="U129" s="5">
        <f t="shared" si="49"/>
        <v>0</v>
      </c>
      <c r="V129" s="5">
        <f t="shared" si="49"/>
        <v>0</v>
      </c>
      <c r="W129" s="5">
        <f t="shared" si="49"/>
        <v>0</v>
      </c>
      <c r="X129" s="5">
        <f t="shared" si="49"/>
        <v>0</v>
      </c>
      <c r="Y129" s="5">
        <f t="shared" si="49"/>
        <v>0</v>
      </c>
      <c r="Z129" s="5">
        <f t="shared" si="49"/>
        <v>0</v>
      </c>
      <c r="AA129" s="5">
        <f t="shared" si="49"/>
        <v>0</v>
      </c>
      <c r="AB129" s="5">
        <f t="shared" si="49"/>
        <v>0</v>
      </c>
      <c r="AC129" s="5">
        <f t="shared" si="49"/>
        <v>0</v>
      </c>
      <c r="AD129" s="5">
        <f t="shared" si="49"/>
        <v>0</v>
      </c>
      <c r="AE129" s="5">
        <f t="shared" si="49"/>
        <v>45152.340000000004</v>
      </c>
      <c r="AF129" s="5">
        <f t="shared" si="49"/>
        <v>0</v>
      </c>
      <c r="AG129" s="5">
        <f t="shared" si="49"/>
        <v>0</v>
      </c>
      <c r="AH129" s="70" t="s">
        <v>131</v>
      </c>
      <c r="AI129" s="70" t="s">
        <v>131</v>
      </c>
      <c r="AJ129" s="70" t="s">
        <v>131</v>
      </c>
      <c r="AK129" s="16"/>
      <c r="AL129" s="16"/>
      <c r="AM129" s="16"/>
      <c r="AN129" s="16"/>
    </row>
    <row r="130" spans="1:40" ht="62.25" x14ac:dyDescent="0.9">
      <c r="A130" s="1">
        <v>1</v>
      </c>
      <c r="B130" s="18">
        <f>SUBTOTAL(103,$A$92:A130)</f>
        <v>34</v>
      </c>
      <c r="C130" s="68" t="s">
        <v>283</v>
      </c>
      <c r="D130" s="23" t="s">
        <v>554</v>
      </c>
      <c r="E130" s="21">
        <v>0.4062203289705193</v>
      </c>
      <c r="F130" s="5">
        <f t="shared" si="40"/>
        <v>48915.49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25">
        <v>0</v>
      </c>
      <c r="N130" s="5">
        <v>0</v>
      </c>
      <c r="O130" s="36">
        <v>412</v>
      </c>
      <c r="P130" s="5">
        <v>48428.78</v>
      </c>
      <c r="Q130" s="5">
        <v>0</v>
      </c>
      <c r="R130" s="5">
        <v>0</v>
      </c>
      <c r="S130" s="5">
        <v>0</v>
      </c>
      <c r="T130" s="71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486.71</v>
      </c>
      <c r="AF130" s="5">
        <v>0</v>
      </c>
      <c r="AG130" s="5">
        <v>0</v>
      </c>
      <c r="AH130" s="70" t="s">
        <v>49</v>
      </c>
      <c r="AI130" s="70">
        <v>2020</v>
      </c>
      <c r="AJ130" s="70">
        <v>2020</v>
      </c>
      <c r="AK130" s="16"/>
      <c r="AL130" s="16"/>
      <c r="AM130" s="16"/>
      <c r="AN130" s="16"/>
    </row>
    <row r="131" spans="1:40" ht="62.25" x14ac:dyDescent="0.9">
      <c r="A131" s="1">
        <v>1</v>
      </c>
      <c r="B131" s="18">
        <f>SUBTOTAL(103,$A$92:A131)</f>
        <v>35</v>
      </c>
      <c r="C131" s="68" t="s">
        <v>284</v>
      </c>
      <c r="D131" s="23" t="s">
        <v>554</v>
      </c>
      <c r="E131" s="21">
        <v>0.69908892556452351</v>
      </c>
      <c r="F131" s="5">
        <f t="shared" si="40"/>
        <v>14682.87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25">
        <v>0</v>
      </c>
      <c r="N131" s="5">
        <v>0</v>
      </c>
      <c r="O131" s="5">
        <v>508</v>
      </c>
      <c r="P131" s="5">
        <v>14536.78</v>
      </c>
      <c r="Q131" s="5">
        <v>0</v>
      </c>
      <c r="R131" s="5">
        <v>0</v>
      </c>
      <c r="S131" s="5">
        <v>0</v>
      </c>
      <c r="T131" s="71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146.09</v>
      </c>
      <c r="AF131" s="5">
        <v>0</v>
      </c>
      <c r="AG131" s="5">
        <v>0</v>
      </c>
      <c r="AH131" s="70" t="s">
        <v>49</v>
      </c>
      <c r="AI131" s="70">
        <v>2020</v>
      </c>
      <c r="AJ131" s="70">
        <v>2020</v>
      </c>
      <c r="AK131" s="16"/>
      <c r="AL131" s="16"/>
      <c r="AM131" s="16"/>
      <c r="AN131" s="16"/>
    </row>
    <row r="132" spans="1:40" ht="62.25" x14ac:dyDescent="0.9">
      <c r="A132" s="1">
        <v>1</v>
      </c>
      <c r="B132" s="18">
        <f>SUBTOTAL(103,$A$92:A132)</f>
        <v>36</v>
      </c>
      <c r="C132" s="68" t="s">
        <v>285</v>
      </c>
      <c r="D132" s="23" t="s">
        <v>554</v>
      </c>
      <c r="E132" s="21">
        <v>0.53310000000000002</v>
      </c>
      <c r="F132" s="5">
        <f t="shared" si="40"/>
        <v>2981100.72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25">
        <v>0</v>
      </c>
      <c r="N132" s="5">
        <v>0</v>
      </c>
      <c r="O132" s="5">
        <v>730</v>
      </c>
      <c r="P132" s="5">
        <v>2937045.04</v>
      </c>
      <c r="Q132" s="5">
        <v>0</v>
      </c>
      <c r="R132" s="5">
        <v>0</v>
      </c>
      <c r="S132" s="5">
        <v>0</v>
      </c>
      <c r="T132" s="71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f>ROUND(P132*1.5%,2)</f>
        <v>44055.68</v>
      </c>
      <c r="AF132" s="5">
        <v>0</v>
      </c>
      <c r="AG132" s="5">
        <v>0</v>
      </c>
      <c r="AH132" s="70" t="s">
        <v>49</v>
      </c>
      <c r="AI132" s="6">
        <v>2021</v>
      </c>
      <c r="AJ132" s="6">
        <v>2021</v>
      </c>
      <c r="AK132" s="16"/>
      <c r="AL132" s="16"/>
      <c r="AM132" s="16"/>
      <c r="AN132" s="16"/>
    </row>
    <row r="133" spans="1:40" ht="62.25" x14ac:dyDescent="0.9">
      <c r="A133" s="1">
        <v>1</v>
      </c>
      <c r="B133" s="18">
        <f>SUBTOTAL(103,$A$92:A133)</f>
        <v>37</v>
      </c>
      <c r="C133" s="68" t="s">
        <v>286</v>
      </c>
      <c r="D133" s="23" t="s">
        <v>553</v>
      </c>
      <c r="E133" s="21">
        <v>0.92159999999999997</v>
      </c>
      <c r="F133" s="5">
        <f t="shared" si="40"/>
        <v>46619.17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25">
        <v>0</v>
      </c>
      <c r="N133" s="5">
        <v>0</v>
      </c>
      <c r="O133" s="5">
        <v>334</v>
      </c>
      <c r="P133" s="5">
        <v>46155.31</v>
      </c>
      <c r="Q133" s="5">
        <v>0</v>
      </c>
      <c r="R133" s="5">
        <v>0</v>
      </c>
      <c r="S133" s="5">
        <v>0</v>
      </c>
      <c r="T133" s="71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463.86</v>
      </c>
      <c r="AF133" s="5">
        <v>0</v>
      </c>
      <c r="AG133" s="5">
        <v>0</v>
      </c>
      <c r="AH133" s="70" t="s">
        <v>49</v>
      </c>
      <c r="AI133" s="70">
        <v>2020</v>
      </c>
      <c r="AJ133" s="70">
        <v>2020</v>
      </c>
      <c r="AK133" s="16"/>
      <c r="AL133" s="16"/>
      <c r="AM133" s="16"/>
      <c r="AN133" s="16"/>
    </row>
    <row r="134" spans="1:40" ht="62.25" x14ac:dyDescent="0.9">
      <c r="B134" s="72" t="s">
        <v>91</v>
      </c>
      <c r="C134" s="73"/>
      <c r="D134" s="69" t="s">
        <v>131</v>
      </c>
      <c r="E134" s="21">
        <f>AVERAGE(E135:E160)</f>
        <v>0.86442015186858057</v>
      </c>
      <c r="F134" s="5">
        <f t="shared" ref="F134:AG134" si="50">SUM(F135:F160)</f>
        <v>9367918.0500000007</v>
      </c>
      <c r="G134" s="5">
        <f t="shared" si="50"/>
        <v>0</v>
      </c>
      <c r="H134" s="5">
        <f t="shared" si="50"/>
        <v>0</v>
      </c>
      <c r="I134" s="5">
        <f t="shared" si="50"/>
        <v>0</v>
      </c>
      <c r="J134" s="5">
        <f t="shared" si="50"/>
        <v>0</v>
      </c>
      <c r="K134" s="5">
        <f t="shared" si="50"/>
        <v>262873</v>
      </c>
      <c r="L134" s="5">
        <f t="shared" si="50"/>
        <v>0</v>
      </c>
      <c r="M134" s="5">
        <f t="shared" si="50"/>
        <v>0</v>
      </c>
      <c r="N134" s="5">
        <f t="shared" si="50"/>
        <v>0</v>
      </c>
      <c r="O134" s="5">
        <f t="shared" si="50"/>
        <v>16005.94</v>
      </c>
      <c r="P134" s="5">
        <f t="shared" si="50"/>
        <v>8328370.6500000004</v>
      </c>
      <c r="Q134" s="5">
        <f t="shared" si="50"/>
        <v>0</v>
      </c>
      <c r="R134" s="5">
        <f t="shared" si="50"/>
        <v>0</v>
      </c>
      <c r="S134" s="5">
        <f t="shared" si="50"/>
        <v>5134.45</v>
      </c>
      <c r="T134" s="5">
        <f t="shared" si="50"/>
        <v>645132.4800000001</v>
      </c>
      <c r="U134" s="5">
        <f t="shared" si="50"/>
        <v>0</v>
      </c>
      <c r="V134" s="5">
        <f t="shared" si="50"/>
        <v>0</v>
      </c>
      <c r="W134" s="5">
        <f t="shared" si="50"/>
        <v>0</v>
      </c>
      <c r="X134" s="5">
        <f t="shared" si="50"/>
        <v>0</v>
      </c>
      <c r="Y134" s="5">
        <f t="shared" si="50"/>
        <v>0</v>
      </c>
      <c r="Z134" s="5">
        <f t="shared" si="50"/>
        <v>0</v>
      </c>
      <c r="AA134" s="5">
        <f t="shared" si="50"/>
        <v>0</v>
      </c>
      <c r="AB134" s="5">
        <f t="shared" si="50"/>
        <v>0</v>
      </c>
      <c r="AC134" s="5">
        <f t="shared" si="50"/>
        <v>0</v>
      </c>
      <c r="AD134" s="5">
        <f t="shared" si="50"/>
        <v>0</v>
      </c>
      <c r="AE134" s="5">
        <f t="shared" si="50"/>
        <v>131541.91999999998</v>
      </c>
      <c r="AF134" s="5">
        <f t="shared" si="50"/>
        <v>0</v>
      </c>
      <c r="AG134" s="5">
        <f t="shared" si="50"/>
        <v>0</v>
      </c>
      <c r="AH134" s="70" t="s">
        <v>131</v>
      </c>
      <c r="AI134" s="70" t="s">
        <v>131</v>
      </c>
      <c r="AJ134" s="70" t="s">
        <v>131</v>
      </c>
      <c r="AK134" s="16"/>
      <c r="AL134" s="16"/>
      <c r="AM134" s="16"/>
      <c r="AN134" s="16"/>
    </row>
    <row r="135" spans="1:40" ht="62.25" x14ac:dyDescent="0.9">
      <c r="A135" s="1">
        <v>1</v>
      </c>
      <c r="B135" s="18">
        <f>SUBTOTAL(103,$A$92:A135)</f>
        <v>38</v>
      </c>
      <c r="C135" s="68" t="s">
        <v>287</v>
      </c>
      <c r="D135" s="23" t="s">
        <v>553</v>
      </c>
      <c r="E135" s="21">
        <v>0.87120114478643584</v>
      </c>
      <c r="F135" s="5">
        <f t="shared" si="40"/>
        <v>13066.1</v>
      </c>
      <c r="G135" s="5">
        <v>0</v>
      </c>
      <c r="H135" s="5">
        <v>0</v>
      </c>
      <c r="I135" s="5">
        <v>0</v>
      </c>
      <c r="J135" s="5">
        <v>0</v>
      </c>
      <c r="K135" s="5">
        <v>12873</v>
      </c>
      <c r="L135" s="5">
        <v>0</v>
      </c>
      <c r="M135" s="2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71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f>ROUND(K135*1.5%,2)</f>
        <v>193.1</v>
      </c>
      <c r="AF135" s="5">
        <v>0</v>
      </c>
      <c r="AG135" s="5">
        <v>0</v>
      </c>
      <c r="AH135" s="70" t="s">
        <v>49</v>
      </c>
      <c r="AI135" s="70">
        <v>2020</v>
      </c>
      <c r="AJ135" s="70">
        <v>2020</v>
      </c>
      <c r="AK135" s="16"/>
      <c r="AL135" s="16"/>
      <c r="AM135" s="16"/>
      <c r="AN135" s="16"/>
    </row>
    <row r="136" spans="1:40" ht="62.25" x14ac:dyDescent="0.9">
      <c r="A136" s="1">
        <v>1</v>
      </c>
      <c r="B136" s="18">
        <f>SUBTOTAL(103,$A$92:A136)</f>
        <v>39</v>
      </c>
      <c r="C136" s="68" t="s">
        <v>288</v>
      </c>
      <c r="D136" s="23" t="s">
        <v>553</v>
      </c>
      <c r="E136" s="21">
        <v>0.88725132075072177</v>
      </c>
      <c r="F136" s="5">
        <f t="shared" si="40"/>
        <v>2190830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25">
        <v>0</v>
      </c>
      <c r="N136" s="5">
        <v>0</v>
      </c>
      <c r="O136" s="5">
        <v>1600</v>
      </c>
      <c r="P136" s="5">
        <v>2158453.2000000002</v>
      </c>
      <c r="Q136" s="5">
        <v>0</v>
      </c>
      <c r="R136" s="5">
        <v>0</v>
      </c>
      <c r="S136" s="5">
        <v>0</v>
      </c>
      <c r="T136" s="71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f t="shared" ref="AE136:AE139" si="51">ROUND(P136*1.5%,2)</f>
        <v>32376.799999999999</v>
      </c>
      <c r="AF136" s="5">
        <v>0</v>
      </c>
      <c r="AG136" s="5">
        <v>0</v>
      </c>
      <c r="AH136" s="70" t="s">
        <v>49</v>
      </c>
      <c r="AI136" s="6">
        <v>2021</v>
      </c>
      <c r="AJ136" s="6">
        <v>2021</v>
      </c>
      <c r="AK136" s="16"/>
      <c r="AL136" s="16"/>
      <c r="AM136" s="16"/>
      <c r="AN136" s="16"/>
    </row>
    <row r="137" spans="1:40" ht="62.25" x14ac:dyDescent="0.9">
      <c r="A137" s="1">
        <v>1</v>
      </c>
      <c r="B137" s="18">
        <f>SUBTOTAL(103,$A$92:A137)</f>
        <v>40</v>
      </c>
      <c r="C137" s="68" t="s">
        <v>289</v>
      </c>
      <c r="D137" s="23" t="s">
        <v>379</v>
      </c>
      <c r="E137" s="21">
        <v>0.86073469797958557</v>
      </c>
      <c r="F137" s="5">
        <f t="shared" si="40"/>
        <v>485978.33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25">
        <v>0</v>
      </c>
      <c r="N137" s="5">
        <v>0</v>
      </c>
      <c r="O137" s="5">
        <v>824.88</v>
      </c>
      <c r="P137" s="5">
        <v>478796.38</v>
      </c>
      <c r="Q137" s="5">
        <v>0</v>
      </c>
      <c r="R137" s="5">
        <v>0</v>
      </c>
      <c r="S137" s="5">
        <v>0</v>
      </c>
      <c r="T137" s="71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f t="shared" si="51"/>
        <v>7181.95</v>
      </c>
      <c r="AF137" s="5">
        <v>0</v>
      </c>
      <c r="AG137" s="5">
        <v>0</v>
      </c>
      <c r="AH137" s="70" t="s">
        <v>49</v>
      </c>
      <c r="AI137" s="6">
        <v>2021</v>
      </c>
      <c r="AJ137" s="6">
        <v>2021</v>
      </c>
      <c r="AK137" s="16"/>
      <c r="AL137" s="16"/>
      <c r="AM137" s="16"/>
      <c r="AN137" s="16"/>
    </row>
    <row r="138" spans="1:40" ht="62.25" x14ac:dyDescent="0.9">
      <c r="A138" s="1">
        <v>1</v>
      </c>
      <c r="B138" s="18">
        <f>SUBTOTAL(103,$A$92:A138)</f>
        <v>41</v>
      </c>
      <c r="C138" s="68" t="s">
        <v>290</v>
      </c>
      <c r="D138" s="23" t="s">
        <v>554</v>
      </c>
      <c r="E138" s="21">
        <v>0.94940000000000002</v>
      </c>
      <c r="F138" s="5">
        <f t="shared" si="40"/>
        <v>450455.92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25">
        <v>0</v>
      </c>
      <c r="N138" s="5">
        <v>0</v>
      </c>
      <c r="O138" s="5">
        <v>477.6</v>
      </c>
      <c r="P138" s="5">
        <v>443798.94</v>
      </c>
      <c r="Q138" s="5">
        <v>0</v>
      </c>
      <c r="R138" s="5">
        <v>0</v>
      </c>
      <c r="S138" s="5">
        <v>0</v>
      </c>
      <c r="T138" s="71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f t="shared" si="51"/>
        <v>6656.98</v>
      </c>
      <c r="AF138" s="5">
        <v>0</v>
      </c>
      <c r="AG138" s="5">
        <v>0</v>
      </c>
      <c r="AH138" s="70" t="s">
        <v>49</v>
      </c>
      <c r="AI138" s="6">
        <v>2021</v>
      </c>
      <c r="AJ138" s="6">
        <v>2021</v>
      </c>
      <c r="AK138" s="16"/>
      <c r="AL138" s="16"/>
      <c r="AM138" s="16"/>
      <c r="AN138" s="16"/>
    </row>
    <row r="139" spans="1:40" ht="62.25" x14ac:dyDescent="0.9">
      <c r="A139" s="1">
        <v>1</v>
      </c>
      <c r="B139" s="18">
        <f>SUBTOTAL(103,$A$92:A139)</f>
        <v>42</v>
      </c>
      <c r="C139" s="68" t="s">
        <v>291</v>
      </c>
      <c r="D139" s="23" t="s">
        <v>553</v>
      </c>
      <c r="E139" s="21">
        <v>0.50380000000000003</v>
      </c>
      <c r="F139" s="5">
        <f t="shared" si="40"/>
        <v>428766.45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25">
        <v>0</v>
      </c>
      <c r="N139" s="5">
        <v>0</v>
      </c>
      <c r="O139" s="5">
        <v>431.8</v>
      </c>
      <c r="P139" s="5">
        <v>422430</v>
      </c>
      <c r="Q139" s="5">
        <v>0</v>
      </c>
      <c r="R139" s="5">
        <v>0</v>
      </c>
      <c r="S139" s="5">
        <v>0</v>
      </c>
      <c r="T139" s="71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f t="shared" si="51"/>
        <v>6336.45</v>
      </c>
      <c r="AF139" s="5">
        <v>0</v>
      </c>
      <c r="AG139" s="5">
        <v>0</v>
      </c>
      <c r="AH139" s="70" t="s">
        <v>49</v>
      </c>
      <c r="AI139" s="6">
        <v>2021</v>
      </c>
      <c r="AJ139" s="6">
        <v>2021</v>
      </c>
      <c r="AK139" s="16"/>
      <c r="AL139" s="16"/>
      <c r="AM139" s="16"/>
      <c r="AN139" s="16"/>
    </row>
    <row r="140" spans="1:40" ht="62.25" x14ac:dyDescent="0.9">
      <c r="A140" s="1">
        <v>1</v>
      </c>
      <c r="B140" s="18">
        <f>SUBTOTAL(103,$A$92:A140)</f>
        <v>43</v>
      </c>
      <c r="C140" s="68" t="s">
        <v>292</v>
      </c>
      <c r="D140" s="23" t="s">
        <v>553</v>
      </c>
      <c r="E140" s="21">
        <v>0.93600000000000005</v>
      </c>
      <c r="F140" s="5">
        <f t="shared" si="40"/>
        <v>1170243.6200000001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25">
        <v>0</v>
      </c>
      <c r="N140" s="5">
        <v>0</v>
      </c>
      <c r="O140" s="5">
        <v>1110</v>
      </c>
      <c r="P140" s="5">
        <v>1158771.78</v>
      </c>
      <c r="Q140" s="5">
        <v>0</v>
      </c>
      <c r="R140" s="5">
        <v>0</v>
      </c>
      <c r="S140" s="5">
        <v>0</v>
      </c>
      <c r="T140" s="71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11471.84</v>
      </c>
      <c r="AF140" s="5">
        <v>0</v>
      </c>
      <c r="AG140" s="5">
        <v>0</v>
      </c>
      <c r="AH140" s="70" t="s">
        <v>49</v>
      </c>
      <c r="AI140" s="70">
        <v>2020</v>
      </c>
      <c r="AJ140" s="70">
        <v>2020</v>
      </c>
      <c r="AK140" s="16"/>
      <c r="AL140" s="16"/>
      <c r="AM140" s="16"/>
      <c r="AN140" s="16"/>
    </row>
    <row r="141" spans="1:40" ht="62.25" x14ac:dyDescent="0.9">
      <c r="A141" s="1">
        <v>1</v>
      </c>
      <c r="B141" s="18">
        <f>SUBTOTAL(103,$A$92:A141)</f>
        <v>44</v>
      </c>
      <c r="C141" s="68" t="s">
        <v>293</v>
      </c>
      <c r="D141" s="23" t="s">
        <v>553</v>
      </c>
      <c r="E141" s="21">
        <v>0.91669999999999996</v>
      </c>
      <c r="F141" s="5">
        <f t="shared" si="40"/>
        <v>82236.160000000003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25">
        <v>0</v>
      </c>
      <c r="N141" s="5">
        <v>0</v>
      </c>
      <c r="O141" s="5">
        <v>1586.2</v>
      </c>
      <c r="P141" s="5">
        <v>81430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806.16</v>
      </c>
      <c r="AF141" s="5">
        <v>0</v>
      </c>
      <c r="AG141" s="5">
        <v>0</v>
      </c>
      <c r="AH141" s="70" t="s">
        <v>49</v>
      </c>
      <c r="AI141" s="70">
        <v>2020</v>
      </c>
      <c r="AJ141" s="70">
        <v>2020</v>
      </c>
      <c r="AK141" s="16"/>
      <c r="AL141" s="16"/>
      <c r="AM141" s="16"/>
      <c r="AN141" s="16"/>
    </row>
    <row r="142" spans="1:40" ht="62.25" x14ac:dyDescent="0.9">
      <c r="A142" s="1">
        <v>1</v>
      </c>
      <c r="B142" s="18">
        <f>SUBTOTAL(103,$A$92:A142)</f>
        <v>45</v>
      </c>
      <c r="C142" s="68" t="s">
        <v>294</v>
      </c>
      <c r="D142" s="27" t="s">
        <v>553</v>
      </c>
      <c r="E142" s="21">
        <v>0.86950000000000005</v>
      </c>
      <c r="F142" s="5">
        <f t="shared" si="40"/>
        <v>253750</v>
      </c>
      <c r="G142" s="5">
        <v>0</v>
      </c>
      <c r="H142" s="5">
        <v>0</v>
      </c>
      <c r="I142" s="5">
        <v>0</v>
      </c>
      <c r="J142" s="5">
        <v>0</v>
      </c>
      <c r="K142" s="5">
        <v>250000</v>
      </c>
      <c r="L142" s="5">
        <v>0</v>
      </c>
      <c r="M142" s="2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f>ROUND(K142*1.5%,2)</f>
        <v>3750</v>
      </c>
      <c r="AF142" s="5">
        <v>0</v>
      </c>
      <c r="AG142" s="5">
        <v>0</v>
      </c>
      <c r="AH142" s="70" t="s">
        <v>49</v>
      </c>
      <c r="AI142" s="6">
        <v>2021</v>
      </c>
      <c r="AJ142" s="6">
        <v>2021</v>
      </c>
      <c r="AK142" s="16"/>
      <c r="AL142" s="16"/>
      <c r="AM142" s="16"/>
      <c r="AN142" s="16"/>
    </row>
    <row r="143" spans="1:40" ht="62.25" x14ac:dyDescent="0.9">
      <c r="A143" s="1">
        <v>1</v>
      </c>
      <c r="B143" s="18">
        <f>SUBTOTAL(103,$A$92:A143)</f>
        <v>46</v>
      </c>
      <c r="C143" s="68" t="s">
        <v>295</v>
      </c>
      <c r="D143" s="23" t="s">
        <v>553</v>
      </c>
      <c r="E143" s="21">
        <v>0.94930000000000003</v>
      </c>
      <c r="F143" s="5">
        <f t="shared" si="40"/>
        <v>23581.1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25">
        <v>0</v>
      </c>
      <c r="N143" s="5">
        <v>0</v>
      </c>
      <c r="O143" s="5">
        <v>649.79999999999995</v>
      </c>
      <c r="P143" s="5">
        <v>23349.94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231.16</v>
      </c>
      <c r="AF143" s="5">
        <v>0</v>
      </c>
      <c r="AG143" s="5">
        <v>0</v>
      </c>
      <c r="AH143" s="70" t="s">
        <v>49</v>
      </c>
      <c r="AI143" s="70">
        <v>2020</v>
      </c>
      <c r="AJ143" s="70">
        <v>2020</v>
      </c>
      <c r="AK143" s="16"/>
      <c r="AL143" s="16"/>
      <c r="AM143" s="16"/>
      <c r="AN143" s="16"/>
    </row>
    <row r="144" spans="1:40" ht="62.25" x14ac:dyDescent="0.9">
      <c r="A144" s="1">
        <v>1</v>
      </c>
      <c r="B144" s="18">
        <f>SUBTOTAL(103,$A$92:A144)</f>
        <v>47</v>
      </c>
      <c r="C144" s="68" t="s">
        <v>296</v>
      </c>
      <c r="D144" s="23" t="s">
        <v>554</v>
      </c>
      <c r="E144" s="21">
        <v>0.79333438101544396</v>
      </c>
      <c r="F144" s="5">
        <f t="shared" si="40"/>
        <v>1177488.75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25">
        <v>0</v>
      </c>
      <c r="N144" s="5">
        <v>0</v>
      </c>
      <c r="O144" s="5">
        <v>1265</v>
      </c>
      <c r="P144" s="5">
        <v>1160087.44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f>ROUND(P144*1.5%,2)</f>
        <v>17401.310000000001</v>
      </c>
      <c r="AF144" s="5">
        <v>0</v>
      </c>
      <c r="AG144" s="5">
        <v>0</v>
      </c>
      <c r="AH144" s="70" t="s">
        <v>49</v>
      </c>
      <c r="AI144" s="70">
        <v>2020</v>
      </c>
      <c r="AJ144" s="70">
        <v>2020</v>
      </c>
      <c r="AK144" s="16"/>
      <c r="AL144" s="16"/>
      <c r="AM144" s="16"/>
      <c r="AN144" s="16"/>
    </row>
    <row r="145" spans="1:40" ht="62.25" x14ac:dyDescent="0.9">
      <c r="A145" s="1">
        <v>1</v>
      </c>
      <c r="B145" s="18">
        <f>SUBTOTAL(103,$A$92:A145)</f>
        <v>48</v>
      </c>
      <c r="C145" s="68" t="s">
        <v>297</v>
      </c>
      <c r="D145" s="23" t="s">
        <v>553</v>
      </c>
      <c r="E145" s="21">
        <v>0.91920000000000002</v>
      </c>
      <c r="F145" s="5">
        <f t="shared" si="40"/>
        <v>186610.06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25">
        <v>0</v>
      </c>
      <c r="N145" s="5">
        <v>0</v>
      </c>
      <c r="O145" s="5">
        <v>1166</v>
      </c>
      <c r="P145" s="5">
        <v>183852.28</v>
      </c>
      <c r="Q145" s="5">
        <v>0</v>
      </c>
      <c r="R145" s="5">
        <v>0</v>
      </c>
      <c r="S145" s="5">
        <v>0</v>
      </c>
      <c r="T145" s="71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f>ROUND(P145*1.5%,2)</f>
        <v>2757.78</v>
      </c>
      <c r="AF145" s="5">
        <v>0</v>
      </c>
      <c r="AG145" s="5">
        <v>0</v>
      </c>
      <c r="AH145" s="70" t="s">
        <v>49</v>
      </c>
      <c r="AI145" s="6">
        <v>2021</v>
      </c>
      <c r="AJ145" s="6">
        <v>2021</v>
      </c>
      <c r="AK145" s="16"/>
      <c r="AL145" s="16"/>
      <c r="AM145" s="16"/>
      <c r="AN145" s="16"/>
    </row>
    <row r="146" spans="1:40" ht="62.25" x14ac:dyDescent="0.9">
      <c r="A146" s="1">
        <v>1</v>
      </c>
      <c r="B146" s="18">
        <f>SUBTOTAL(103,$A$92:A146)</f>
        <v>49</v>
      </c>
      <c r="C146" s="68" t="s">
        <v>298</v>
      </c>
      <c r="D146" s="27" t="s">
        <v>554</v>
      </c>
      <c r="E146" s="21">
        <v>0.80210000000000004</v>
      </c>
      <c r="F146" s="5">
        <f t="shared" si="40"/>
        <v>69345.69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2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276.85000000000002</v>
      </c>
      <c r="T146" s="5">
        <v>68320.88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f>ROUND(T146*1.5%,2)</f>
        <v>1024.81</v>
      </c>
      <c r="AF146" s="5">
        <v>0</v>
      </c>
      <c r="AG146" s="5">
        <v>0</v>
      </c>
      <c r="AH146" s="70" t="s">
        <v>49</v>
      </c>
      <c r="AI146" s="6">
        <v>2021</v>
      </c>
      <c r="AJ146" s="6">
        <v>2021</v>
      </c>
      <c r="AK146" s="16"/>
      <c r="AL146" s="16"/>
      <c r="AM146" s="16"/>
      <c r="AN146" s="16"/>
    </row>
    <row r="147" spans="1:40" ht="62.25" x14ac:dyDescent="0.9">
      <c r="A147" s="1">
        <v>1</v>
      </c>
      <c r="B147" s="18">
        <f>SUBTOTAL(103,$A$92:A147)</f>
        <v>50</v>
      </c>
      <c r="C147" s="68" t="s">
        <v>299</v>
      </c>
      <c r="D147" s="23" t="s">
        <v>554</v>
      </c>
      <c r="E147" s="21">
        <v>0.98829999999999996</v>
      </c>
      <c r="F147" s="5">
        <f t="shared" si="40"/>
        <v>49508.61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25">
        <v>0</v>
      </c>
      <c r="N147" s="5">
        <v>0</v>
      </c>
      <c r="O147" s="5">
        <v>284.39999999999998</v>
      </c>
      <c r="P147" s="5">
        <v>48776.959999999999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f>ROUND(P147*1.5%,2)</f>
        <v>731.65</v>
      </c>
      <c r="AF147" s="5">
        <v>0</v>
      </c>
      <c r="AG147" s="5">
        <v>0</v>
      </c>
      <c r="AH147" s="70" t="s">
        <v>49</v>
      </c>
      <c r="AI147" s="6">
        <v>2021</v>
      </c>
      <c r="AJ147" s="6">
        <v>2021</v>
      </c>
      <c r="AK147" s="16"/>
      <c r="AL147" s="16"/>
      <c r="AM147" s="16"/>
      <c r="AN147" s="16"/>
    </row>
    <row r="148" spans="1:40" ht="62.25" x14ac:dyDescent="0.9">
      <c r="A148" s="1">
        <v>1</v>
      </c>
      <c r="B148" s="18">
        <f>SUBTOTAL(103,$A$92:A148)</f>
        <v>51</v>
      </c>
      <c r="C148" s="68" t="s">
        <v>300</v>
      </c>
      <c r="D148" s="23" t="s">
        <v>554</v>
      </c>
      <c r="E148" s="21">
        <v>0.86109999999999998</v>
      </c>
      <c r="F148" s="5">
        <f t="shared" si="40"/>
        <v>194179.65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25">
        <v>0</v>
      </c>
      <c r="N148" s="5">
        <v>0</v>
      </c>
      <c r="O148" s="5">
        <v>1539</v>
      </c>
      <c r="P148" s="5">
        <v>191310</v>
      </c>
      <c r="Q148" s="5">
        <v>0</v>
      </c>
      <c r="R148" s="5">
        <v>0</v>
      </c>
      <c r="S148" s="5">
        <v>0</v>
      </c>
      <c r="T148" s="71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f>ROUND(P148*1.5%,2)</f>
        <v>2869.65</v>
      </c>
      <c r="AF148" s="5">
        <v>0</v>
      </c>
      <c r="AG148" s="5">
        <v>0</v>
      </c>
      <c r="AH148" s="70" t="s">
        <v>49</v>
      </c>
      <c r="AI148" s="6">
        <v>2021</v>
      </c>
      <c r="AJ148" s="6">
        <v>2021</v>
      </c>
      <c r="AK148" s="16"/>
      <c r="AL148" s="16"/>
      <c r="AM148" s="16"/>
      <c r="AN148" s="16"/>
    </row>
    <row r="149" spans="1:40" ht="62.25" x14ac:dyDescent="0.9">
      <c r="A149" s="1">
        <v>1</v>
      </c>
      <c r="B149" s="18">
        <f>SUBTOTAL(103,$A$92:A149)</f>
        <v>52</v>
      </c>
      <c r="C149" s="68" t="s">
        <v>301</v>
      </c>
      <c r="D149" s="23" t="s">
        <v>554</v>
      </c>
      <c r="E149" s="21">
        <v>0.85870000000000002</v>
      </c>
      <c r="F149" s="5">
        <f t="shared" si="40"/>
        <v>874380.28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25">
        <v>0</v>
      </c>
      <c r="N149" s="5">
        <v>0</v>
      </c>
      <c r="O149" s="5">
        <v>748</v>
      </c>
      <c r="P149" s="5">
        <v>861458.4</v>
      </c>
      <c r="Q149" s="5">
        <v>0</v>
      </c>
      <c r="R149" s="5">
        <v>0</v>
      </c>
      <c r="S149" s="5">
        <v>0</v>
      </c>
      <c r="T149" s="71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f>ROUND(P149*1.5%,2)</f>
        <v>12921.88</v>
      </c>
      <c r="AF149" s="5">
        <v>0</v>
      </c>
      <c r="AG149" s="5">
        <v>0</v>
      </c>
      <c r="AH149" s="70" t="s">
        <v>49</v>
      </c>
      <c r="AI149" s="6">
        <v>2021</v>
      </c>
      <c r="AJ149" s="6">
        <v>2021</v>
      </c>
      <c r="AK149" s="16"/>
      <c r="AL149" s="16"/>
      <c r="AM149" s="16"/>
      <c r="AN149" s="16"/>
    </row>
    <row r="150" spans="1:40" ht="62.25" x14ac:dyDescent="0.9">
      <c r="A150" s="1">
        <v>1</v>
      </c>
      <c r="B150" s="18">
        <f>SUBTOTAL(103,$A$92:A150)</f>
        <v>53</v>
      </c>
      <c r="C150" s="68" t="s">
        <v>302</v>
      </c>
      <c r="D150" s="27">
        <v>2015</v>
      </c>
      <c r="E150" s="21">
        <v>0.9476</v>
      </c>
      <c r="F150" s="5">
        <f t="shared" si="40"/>
        <v>37308.06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2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174</v>
      </c>
      <c r="T150" s="71">
        <v>37308.06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70" t="s">
        <v>49</v>
      </c>
      <c r="AI150" s="6">
        <v>2020</v>
      </c>
      <c r="AJ150" s="6" t="s">
        <v>49</v>
      </c>
      <c r="AK150" s="16"/>
      <c r="AL150" s="16"/>
      <c r="AM150" s="16"/>
      <c r="AN150" s="16"/>
    </row>
    <row r="151" spans="1:40" ht="62.25" x14ac:dyDescent="0.9">
      <c r="A151" s="1">
        <v>1</v>
      </c>
      <c r="B151" s="18">
        <f>SUBTOTAL(103,$A$92:A151)</f>
        <v>54</v>
      </c>
      <c r="C151" s="68" t="s">
        <v>303</v>
      </c>
      <c r="D151" s="23" t="s">
        <v>554</v>
      </c>
      <c r="E151" s="21">
        <v>0.94679999999999997</v>
      </c>
      <c r="F151" s="5">
        <f t="shared" si="40"/>
        <v>41021.47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25">
        <v>0</v>
      </c>
      <c r="N151" s="5">
        <v>0</v>
      </c>
      <c r="O151" s="5">
        <v>289.66000000000003</v>
      </c>
      <c r="P151" s="5">
        <v>40415.24</v>
      </c>
      <c r="Q151" s="5">
        <v>0</v>
      </c>
      <c r="R151" s="5">
        <v>0</v>
      </c>
      <c r="S151" s="5">
        <v>0</v>
      </c>
      <c r="T151" s="71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f>ROUND(P151*1.5%,2)</f>
        <v>606.23</v>
      </c>
      <c r="AF151" s="5">
        <v>0</v>
      </c>
      <c r="AG151" s="5">
        <v>0</v>
      </c>
      <c r="AH151" s="70" t="s">
        <v>49</v>
      </c>
      <c r="AI151" s="6">
        <v>2021</v>
      </c>
      <c r="AJ151" s="6">
        <v>2021</v>
      </c>
      <c r="AK151" s="16"/>
      <c r="AL151" s="16"/>
      <c r="AM151" s="16"/>
      <c r="AN151" s="16"/>
    </row>
    <row r="152" spans="1:40" ht="62.25" x14ac:dyDescent="0.9">
      <c r="A152" s="1">
        <v>1</v>
      </c>
      <c r="B152" s="18">
        <f>SUBTOTAL(103,$A$92:A152)</f>
        <v>55</v>
      </c>
      <c r="C152" s="68" t="s">
        <v>304</v>
      </c>
      <c r="D152" s="27" t="s">
        <v>379</v>
      </c>
      <c r="E152" s="21">
        <v>0.92569999999999997</v>
      </c>
      <c r="F152" s="5">
        <f t="shared" si="40"/>
        <v>504846.64999999997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2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3007.6</v>
      </c>
      <c r="T152" s="71">
        <v>497385.86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f>ROUND(T152*1.5%,2)</f>
        <v>7460.79</v>
      </c>
      <c r="AF152" s="5">
        <v>0</v>
      </c>
      <c r="AG152" s="5">
        <v>0</v>
      </c>
      <c r="AH152" s="70" t="s">
        <v>49</v>
      </c>
      <c r="AI152" s="6">
        <v>2021</v>
      </c>
      <c r="AJ152" s="6">
        <v>2021</v>
      </c>
      <c r="AK152" s="16"/>
      <c r="AL152" s="16"/>
      <c r="AM152" s="16"/>
      <c r="AN152" s="16"/>
    </row>
    <row r="153" spans="1:40" ht="62.25" x14ac:dyDescent="0.9">
      <c r="A153" s="1">
        <v>1</v>
      </c>
      <c r="B153" s="18">
        <f>SUBTOTAL(103,$A$92:A153)</f>
        <v>56</v>
      </c>
      <c r="C153" s="68" t="s">
        <v>347</v>
      </c>
      <c r="D153" s="27" t="s">
        <v>379</v>
      </c>
      <c r="E153" s="21">
        <v>0.80649999999999999</v>
      </c>
      <c r="F153" s="5">
        <f t="shared" si="40"/>
        <v>42749.45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2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1676</v>
      </c>
      <c r="T153" s="71">
        <v>42117.68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f>ROUND(T153*1.5%,2)</f>
        <v>631.77</v>
      </c>
      <c r="AF153" s="5">
        <v>0</v>
      </c>
      <c r="AG153" s="5">
        <v>0</v>
      </c>
      <c r="AH153" s="70" t="s">
        <v>49</v>
      </c>
      <c r="AI153" s="6">
        <v>2020</v>
      </c>
      <c r="AJ153" s="6">
        <v>2020</v>
      </c>
      <c r="AK153" s="16"/>
      <c r="AL153" s="16"/>
      <c r="AM153" s="16"/>
      <c r="AN153" s="16"/>
    </row>
    <row r="154" spans="1:40" ht="62.25" x14ac:dyDescent="0.9">
      <c r="A154" s="1">
        <v>1</v>
      </c>
      <c r="B154" s="18">
        <f>SUBTOTAL(103,$A$92:A154)</f>
        <v>57</v>
      </c>
      <c r="C154" s="68" t="s">
        <v>348</v>
      </c>
      <c r="D154" s="23" t="s">
        <v>554</v>
      </c>
      <c r="E154" s="21">
        <v>0.79520000000000002</v>
      </c>
      <c r="F154" s="5">
        <f t="shared" si="40"/>
        <v>81763.55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25">
        <v>0</v>
      </c>
      <c r="N154" s="5">
        <v>0</v>
      </c>
      <c r="O154" s="5">
        <v>352</v>
      </c>
      <c r="P154" s="5">
        <v>80555.22</v>
      </c>
      <c r="Q154" s="5">
        <v>0</v>
      </c>
      <c r="R154" s="5">
        <v>0</v>
      </c>
      <c r="S154" s="5">
        <v>0</v>
      </c>
      <c r="T154" s="71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f t="shared" ref="AE154:AE160" si="52">ROUND(P154*1.5%,2)</f>
        <v>1208.33</v>
      </c>
      <c r="AF154" s="5">
        <v>0</v>
      </c>
      <c r="AG154" s="5">
        <v>0</v>
      </c>
      <c r="AH154" s="70" t="s">
        <v>49</v>
      </c>
      <c r="AI154" s="70">
        <v>2020</v>
      </c>
      <c r="AJ154" s="70">
        <v>2020</v>
      </c>
      <c r="AK154" s="16"/>
      <c r="AL154" s="16"/>
      <c r="AM154" s="16"/>
      <c r="AN154" s="16"/>
    </row>
    <row r="155" spans="1:40" ht="62.25" x14ac:dyDescent="0.9">
      <c r="A155" s="1">
        <v>1</v>
      </c>
      <c r="B155" s="18">
        <f>SUBTOTAL(103,$A$92:A155)</f>
        <v>58</v>
      </c>
      <c r="C155" s="68" t="s">
        <v>349</v>
      </c>
      <c r="D155" s="23" t="s">
        <v>379</v>
      </c>
      <c r="E155" s="21">
        <v>0.76160000000000005</v>
      </c>
      <c r="F155" s="5">
        <f>G155+H155+I155+J155+K155+L155+N155+P155+R155+T155+V155+W155+X155+Y155+Z155+AA155+AB155+AC155+AD155+AE155+AF155+AG155</f>
        <v>7245.74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25">
        <v>0</v>
      </c>
      <c r="N155" s="5">
        <v>0</v>
      </c>
      <c r="O155" s="5">
        <v>910</v>
      </c>
      <c r="P155" s="5">
        <v>7138.66</v>
      </c>
      <c r="Q155" s="5">
        <v>0</v>
      </c>
      <c r="R155" s="5">
        <v>0</v>
      </c>
      <c r="S155" s="5">
        <v>0</v>
      </c>
      <c r="T155" s="71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f t="shared" si="52"/>
        <v>107.08</v>
      </c>
      <c r="AF155" s="5">
        <v>0</v>
      </c>
      <c r="AG155" s="5">
        <v>0</v>
      </c>
      <c r="AH155" s="70" t="s">
        <v>49</v>
      </c>
      <c r="AI155" s="6">
        <v>2021</v>
      </c>
      <c r="AJ155" s="6">
        <v>2021</v>
      </c>
      <c r="AK155" s="16"/>
      <c r="AL155" s="16"/>
      <c r="AM155" s="16"/>
      <c r="AN155" s="16"/>
    </row>
    <row r="156" spans="1:40" ht="62.25" x14ac:dyDescent="0.9">
      <c r="A156" s="1">
        <v>1</v>
      </c>
      <c r="B156" s="18">
        <f>SUBTOTAL(103,$A$92:A156)</f>
        <v>59</v>
      </c>
      <c r="C156" s="68" t="s">
        <v>392</v>
      </c>
      <c r="D156" s="23" t="s">
        <v>553</v>
      </c>
      <c r="E156" s="21">
        <v>0.95309999999999995</v>
      </c>
      <c r="F156" s="5">
        <f t="shared" si="40"/>
        <v>16859.560000000001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25">
        <v>0</v>
      </c>
      <c r="N156" s="5">
        <v>0</v>
      </c>
      <c r="O156" s="5">
        <v>900</v>
      </c>
      <c r="P156" s="5">
        <v>16610.400000000001</v>
      </c>
      <c r="Q156" s="5">
        <v>0</v>
      </c>
      <c r="R156" s="5">
        <v>0</v>
      </c>
      <c r="S156" s="5">
        <v>0</v>
      </c>
      <c r="T156" s="71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f t="shared" si="52"/>
        <v>249.16</v>
      </c>
      <c r="AF156" s="5">
        <v>0</v>
      </c>
      <c r="AG156" s="5">
        <v>0</v>
      </c>
      <c r="AH156" s="70" t="s">
        <v>49</v>
      </c>
      <c r="AI156" s="6">
        <v>2021</v>
      </c>
      <c r="AJ156" s="6">
        <v>2021</v>
      </c>
      <c r="AK156" s="16"/>
      <c r="AL156" s="16"/>
      <c r="AM156" s="16"/>
      <c r="AN156" s="16"/>
    </row>
    <row r="157" spans="1:40" ht="62.25" x14ac:dyDescent="0.9">
      <c r="A157" s="1">
        <v>1</v>
      </c>
      <c r="B157" s="18">
        <f>SUBTOTAL(103,$A$92:A157)</f>
        <v>60</v>
      </c>
      <c r="C157" s="68" t="s">
        <v>559</v>
      </c>
      <c r="D157" s="23" t="s">
        <v>553</v>
      </c>
      <c r="E157" s="21">
        <v>0.88386686541757653</v>
      </c>
      <c r="F157" s="5">
        <f t="shared" ref="F157:F160" si="53">P157+AE157</f>
        <v>27161.4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25">
        <v>0</v>
      </c>
      <c r="N157" s="5">
        <v>0</v>
      </c>
      <c r="O157" s="5">
        <v>345.6</v>
      </c>
      <c r="P157" s="5">
        <v>26760</v>
      </c>
      <c r="Q157" s="5">
        <v>0</v>
      </c>
      <c r="R157" s="5">
        <v>0</v>
      </c>
      <c r="S157" s="5">
        <v>0</v>
      </c>
      <c r="T157" s="71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f t="shared" si="52"/>
        <v>401.4</v>
      </c>
      <c r="AF157" s="5">
        <v>0</v>
      </c>
      <c r="AG157" s="5">
        <v>0</v>
      </c>
      <c r="AH157" s="70" t="s">
        <v>49</v>
      </c>
      <c r="AI157" s="70">
        <v>2021</v>
      </c>
      <c r="AJ157" s="70">
        <v>2021</v>
      </c>
      <c r="AK157" s="16"/>
      <c r="AL157" s="16"/>
      <c r="AM157" s="16"/>
      <c r="AN157" s="16"/>
    </row>
    <row r="158" spans="1:40" ht="62.25" x14ac:dyDescent="0.9">
      <c r="A158" s="1">
        <v>1</v>
      </c>
      <c r="B158" s="18">
        <f>SUBTOTAL(103,$A$92:A158)</f>
        <v>61</v>
      </c>
      <c r="C158" s="68" t="s">
        <v>560</v>
      </c>
      <c r="D158" s="23" t="s">
        <v>553</v>
      </c>
      <c r="E158" s="21">
        <v>0.90569999999999995</v>
      </c>
      <c r="F158" s="5">
        <f t="shared" si="53"/>
        <v>843836.3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25">
        <v>0</v>
      </c>
      <c r="N158" s="5">
        <v>0</v>
      </c>
      <c r="O158" s="5">
        <v>570</v>
      </c>
      <c r="P158" s="5">
        <v>831365.81</v>
      </c>
      <c r="Q158" s="5">
        <v>0</v>
      </c>
      <c r="R158" s="5">
        <v>0</v>
      </c>
      <c r="S158" s="5">
        <v>0</v>
      </c>
      <c r="T158" s="71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f t="shared" si="52"/>
        <v>12470.49</v>
      </c>
      <c r="AF158" s="5">
        <v>0</v>
      </c>
      <c r="AG158" s="5">
        <v>0</v>
      </c>
      <c r="AH158" s="70" t="s">
        <v>49</v>
      </c>
      <c r="AI158" s="70">
        <v>2021</v>
      </c>
      <c r="AJ158" s="70">
        <v>2021</v>
      </c>
      <c r="AK158" s="16"/>
      <c r="AL158" s="16"/>
      <c r="AM158" s="16"/>
      <c r="AN158" s="16"/>
    </row>
    <row r="159" spans="1:40" ht="62.25" x14ac:dyDescent="0.9">
      <c r="A159" s="1">
        <v>1</v>
      </c>
      <c r="B159" s="18">
        <f>SUBTOTAL(103,$A$92:A159)</f>
        <v>62</v>
      </c>
      <c r="C159" s="68" t="s">
        <v>561</v>
      </c>
      <c r="D159" s="23" t="s">
        <v>554</v>
      </c>
      <c r="E159" s="21">
        <v>0.76750579810492481</v>
      </c>
      <c r="F159" s="5">
        <f t="shared" si="53"/>
        <v>92522.930000000008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25">
        <v>0</v>
      </c>
      <c r="N159" s="5">
        <v>0</v>
      </c>
      <c r="O159" s="5">
        <v>425</v>
      </c>
      <c r="P159" s="5">
        <v>91155.6</v>
      </c>
      <c r="Q159" s="5">
        <v>0</v>
      </c>
      <c r="R159" s="5">
        <v>0</v>
      </c>
      <c r="S159" s="5">
        <v>0</v>
      </c>
      <c r="T159" s="71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f t="shared" si="52"/>
        <v>1367.33</v>
      </c>
      <c r="AF159" s="5">
        <v>0</v>
      </c>
      <c r="AG159" s="5">
        <v>0</v>
      </c>
      <c r="AH159" s="70" t="s">
        <v>49</v>
      </c>
      <c r="AI159" s="70">
        <v>2021</v>
      </c>
      <c r="AJ159" s="70">
        <v>2021</v>
      </c>
      <c r="AK159" s="16"/>
      <c r="AL159" s="16"/>
      <c r="AM159" s="16"/>
      <c r="AN159" s="16"/>
    </row>
    <row r="160" spans="1:40" ht="62.25" x14ac:dyDescent="0.9">
      <c r="A160" s="1">
        <v>1</v>
      </c>
      <c r="B160" s="18">
        <f>SUBTOTAL(103,$A$92:A160)</f>
        <v>63</v>
      </c>
      <c r="C160" s="68" t="s">
        <v>562</v>
      </c>
      <c r="D160" s="23" t="s">
        <v>554</v>
      </c>
      <c r="E160" s="21">
        <v>0.81472974052840219</v>
      </c>
      <c r="F160" s="5">
        <f t="shared" si="53"/>
        <v>22182.22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25">
        <v>0</v>
      </c>
      <c r="N160" s="5">
        <v>0</v>
      </c>
      <c r="O160" s="5">
        <v>531</v>
      </c>
      <c r="P160" s="5">
        <v>21854.400000000001</v>
      </c>
      <c r="Q160" s="5">
        <v>0</v>
      </c>
      <c r="R160" s="5">
        <v>0</v>
      </c>
      <c r="S160" s="5">
        <v>0</v>
      </c>
      <c r="T160" s="71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f t="shared" si="52"/>
        <v>327.82</v>
      </c>
      <c r="AF160" s="5">
        <v>0</v>
      </c>
      <c r="AG160" s="5">
        <v>0</v>
      </c>
      <c r="AH160" s="70" t="s">
        <v>49</v>
      </c>
      <c r="AI160" s="70">
        <v>2021</v>
      </c>
      <c r="AJ160" s="70">
        <v>2021</v>
      </c>
      <c r="AK160" s="16"/>
      <c r="AL160" s="16"/>
      <c r="AM160" s="16"/>
      <c r="AN160" s="16"/>
    </row>
    <row r="161" spans="1:40" ht="62.25" x14ac:dyDescent="0.9">
      <c r="B161" s="72" t="s">
        <v>258</v>
      </c>
      <c r="C161" s="73"/>
      <c r="D161" s="69" t="s">
        <v>131</v>
      </c>
      <c r="E161" s="21">
        <f>AVERAGE(E162:E176)</f>
        <v>0.90385558590968551</v>
      </c>
      <c r="F161" s="5">
        <f>SUM(F162:F176)</f>
        <v>5316085.62</v>
      </c>
      <c r="G161" s="5">
        <f t="shared" ref="G161:AG161" si="54">SUM(G162:G176)</f>
        <v>0</v>
      </c>
      <c r="H161" s="5">
        <f t="shared" si="54"/>
        <v>0</v>
      </c>
      <c r="I161" s="5">
        <f t="shared" si="54"/>
        <v>0</v>
      </c>
      <c r="J161" s="5">
        <f t="shared" si="54"/>
        <v>0</v>
      </c>
      <c r="K161" s="5">
        <f t="shared" si="54"/>
        <v>0</v>
      </c>
      <c r="L161" s="5">
        <f t="shared" si="54"/>
        <v>0</v>
      </c>
      <c r="M161" s="5">
        <f t="shared" si="54"/>
        <v>0</v>
      </c>
      <c r="N161" s="5">
        <f t="shared" si="54"/>
        <v>0</v>
      </c>
      <c r="O161" s="5">
        <f t="shared" si="54"/>
        <v>14263</v>
      </c>
      <c r="P161" s="5">
        <f t="shared" si="54"/>
        <v>5168595.97</v>
      </c>
      <c r="Q161" s="5">
        <f t="shared" si="54"/>
        <v>0</v>
      </c>
      <c r="R161" s="5">
        <f t="shared" si="54"/>
        <v>0</v>
      </c>
      <c r="S161" s="5">
        <f t="shared" si="54"/>
        <v>0</v>
      </c>
      <c r="T161" s="5">
        <f t="shared" si="54"/>
        <v>0</v>
      </c>
      <c r="U161" s="5">
        <f t="shared" si="54"/>
        <v>0</v>
      </c>
      <c r="V161" s="5">
        <f t="shared" si="54"/>
        <v>0</v>
      </c>
      <c r="W161" s="5">
        <f t="shared" si="54"/>
        <v>0</v>
      </c>
      <c r="X161" s="5">
        <f t="shared" si="54"/>
        <v>69998</v>
      </c>
      <c r="Y161" s="5">
        <f t="shared" si="54"/>
        <v>0</v>
      </c>
      <c r="Z161" s="5">
        <f t="shared" si="54"/>
        <v>0</v>
      </c>
      <c r="AA161" s="5">
        <f t="shared" si="54"/>
        <v>0</v>
      </c>
      <c r="AB161" s="5">
        <f t="shared" si="54"/>
        <v>0</v>
      </c>
      <c r="AC161" s="5">
        <f t="shared" si="54"/>
        <v>0</v>
      </c>
      <c r="AD161" s="5">
        <f t="shared" si="54"/>
        <v>0</v>
      </c>
      <c r="AE161" s="5">
        <f t="shared" si="54"/>
        <v>77491.650000000009</v>
      </c>
      <c r="AF161" s="5">
        <f t="shared" si="54"/>
        <v>0</v>
      </c>
      <c r="AG161" s="5">
        <f t="shared" si="54"/>
        <v>0</v>
      </c>
      <c r="AH161" s="70" t="s">
        <v>131</v>
      </c>
      <c r="AI161" s="70" t="s">
        <v>131</v>
      </c>
      <c r="AJ161" s="70" t="s">
        <v>131</v>
      </c>
      <c r="AK161" s="16"/>
      <c r="AL161" s="16"/>
      <c r="AM161" s="16"/>
      <c r="AN161" s="16"/>
    </row>
    <row r="162" spans="1:40" ht="62.25" x14ac:dyDescent="0.9">
      <c r="A162" s="1">
        <v>1</v>
      </c>
      <c r="B162" s="18">
        <f>SUBTOTAL(103,$A$92:A162)</f>
        <v>64</v>
      </c>
      <c r="C162" s="68" t="s">
        <v>305</v>
      </c>
      <c r="D162" s="23" t="s">
        <v>554</v>
      </c>
      <c r="E162" s="21">
        <v>0.95770131483230581</v>
      </c>
      <c r="F162" s="5">
        <f t="shared" si="40"/>
        <v>1768733.14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25">
        <v>0</v>
      </c>
      <c r="N162" s="5">
        <v>0</v>
      </c>
      <c r="O162" s="5">
        <v>2039</v>
      </c>
      <c r="P162" s="5">
        <v>1742723</v>
      </c>
      <c r="Q162" s="5">
        <v>0</v>
      </c>
      <c r="R162" s="5">
        <v>0</v>
      </c>
      <c r="S162" s="5">
        <v>0</v>
      </c>
      <c r="T162" s="71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26010.14</v>
      </c>
      <c r="AF162" s="5">
        <v>0</v>
      </c>
      <c r="AG162" s="5">
        <v>0</v>
      </c>
      <c r="AH162" s="70" t="s">
        <v>49</v>
      </c>
      <c r="AI162" s="70">
        <v>2020</v>
      </c>
      <c r="AJ162" s="70">
        <v>2020</v>
      </c>
      <c r="AK162" s="16"/>
      <c r="AL162" s="16"/>
      <c r="AM162" s="16"/>
      <c r="AN162" s="16"/>
    </row>
    <row r="163" spans="1:40" ht="62.25" x14ac:dyDescent="0.9">
      <c r="A163" s="1">
        <v>1</v>
      </c>
      <c r="B163" s="18">
        <f>SUBTOTAL(103,$A$92:A163)</f>
        <v>65</v>
      </c>
      <c r="C163" s="68" t="s">
        <v>306</v>
      </c>
      <c r="D163" s="23" t="s">
        <v>553</v>
      </c>
      <c r="E163" s="21">
        <v>0.91669999999999996</v>
      </c>
      <c r="F163" s="5">
        <f t="shared" si="40"/>
        <v>224063.98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25">
        <v>0</v>
      </c>
      <c r="N163" s="5">
        <v>0</v>
      </c>
      <c r="O163" s="5">
        <v>1135</v>
      </c>
      <c r="P163" s="5">
        <v>220769</v>
      </c>
      <c r="Q163" s="5">
        <v>0</v>
      </c>
      <c r="R163" s="5">
        <v>0</v>
      </c>
      <c r="S163" s="5">
        <v>0</v>
      </c>
      <c r="T163" s="71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3294.98</v>
      </c>
      <c r="AF163" s="5">
        <v>0</v>
      </c>
      <c r="AG163" s="5">
        <v>0</v>
      </c>
      <c r="AH163" s="70" t="s">
        <v>49</v>
      </c>
      <c r="AI163" s="70">
        <v>2020</v>
      </c>
      <c r="AJ163" s="70">
        <v>2020</v>
      </c>
      <c r="AK163" s="16"/>
      <c r="AL163" s="16"/>
      <c r="AM163" s="16"/>
      <c r="AN163" s="16"/>
    </row>
    <row r="164" spans="1:40" ht="62.25" x14ac:dyDescent="0.9">
      <c r="A164" s="1">
        <v>1</v>
      </c>
      <c r="B164" s="18">
        <f>SUBTOTAL(103,$A$92:A164)</f>
        <v>66</v>
      </c>
      <c r="C164" s="68" t="s">
        <v>307</v>
      </c>
      <c r="D164" s="23" t="s">
        <v>554</v>
      </c>
      <c r="E164" s="21">
        <v>0.98309999999999997</v>
      </c>
      <c r="F164" s="5">
        <f t="shared" si="40"/>
        <v>31696.09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25">
        <v>0</v>
      </c>
      <c r="N164" s="5">
        <v>0</v>
      </c>
      <c r="O164" s="5">
        <v>1845</v>
      </c>
      <c r="P164" s="5">
        <v>31229.98</v>
      </c>
      <c r="Q164" s="5">
        <v>0</v>
      </c>
      <c r="R164" s="5">
        <v>0</v>
      </c>
      <c r="S164" s="5">
        <v>0</v>
      </c>
      <c r="T164" s="71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466.11</v>
      </c>
      <c r="AF164" s="5">
        <v>0</v>
      </c>
      <c r="AG164" s="5">
        <v>0</v>
      </c>
      <c r="AH164" s="70" t="s">
        <v>49</v>
      </c>
      <c r="AI164" s="70">
        <v>2020</v>
      </c>
      <c r="AJ164" s="70">
        <v>2020</v>
      </c>
      <c r="AK164" s="16"/>
      <c r="AL164" s="16"/>
      <c r="AM164" s="16"/>
      <c r="AN164" s="16"/>
    </row>
    <row r="165" spans="1:40" ht="62.25" x14ac:dyDescent="0.9">
      <c r="A165" s="1">
        <v>1</v>
      </c>
      <c r="B165" s="18">
        <f>SUBTOTAL(103,$A$92:A165)</f>
        <v>67</v>
      </c>
      <c r="C165" s="68" t="s">
        <v>308</v>
      </c>
      <c r="D165" s="23" t="s">
        <v>554</v>
      </c>
      <c r="E165" s="21">
        <v>0.9163</v>
      </c>
      <c r="F165" s="5">
        <f t="shared" si="40"/>
        <v>97154.82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25">
        <v>0</v>
      </c>
      <c r="N165" s="5">
        <v>0</v>
      </c>
      <c r="O165" s="5">
        <v>736</v>
      </c>
      <c r="P165" s="5">
        <v>95726.11</v>
      </c>
      <c r="Q165" s="5">
        <v>0</v>
      </c>
      <c r="R165" s="5">
        <v>0</v>
      </c>
      <c r="S165" s="5">
        <v>0</v>
      </c>
      <c r="T165" s="71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1428.71</v>
      </c>
      <c r="AF165" s="5">
        <v>0</v>
      </c>
      <c r="AG165" s="5">
        <v>0</v>
      </c>
      <c r="AH165" s="70" t="s">
        <v>49</v>
      </c>
      <c r="AI165" s="70">
        <v>2020</v>
      </c>
      <c r="AJ165" s="70">
        <v>2020</v>
      </c>
      <c r="AK165" s="16"/>
      <c r="AL165" s="16"/>
      <c r="AM165" s="16"/>
      <c r="AN165" s="16"/>
    </row>
    <row r="166" spans="1:40" ht="62.25" x14ac:dyDescent="0.9">
      <c r="A166" s="1">
        <v>1</v>
      </c>
      <c r="B166" s="18">
        <f>SUBTOTAL(103,$A$92:A166)</f>
        <v>68</v>
      </c>
      <c r="C166" s="68" t="s">
        <v>309</v>
      </c>
      <c r="D166" s="23" t="s">
        <v>553</v>
      </c>
      <c r="E166" s="21">
        <v>0.88370000000000004</v>
      </c>
      <c r="F166" s="5">
        <f t="shared" si="40"/>
        <v>115006.25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25">
        <v>0</v>
      </c>
      <c r="N166" s="5">
        <v>0</v>
      </c>
      <c r="O166" s="5">
        <v>518</v>
      </c>
      <c r="P166" s="5">
        <v>113315.02</v>
      </c>
      <c r="Q166" s="5">
        <v>0</v>
      </c>
      <c r="R166" s="5">
        <v>0</v>
      </c>
      <c r="S166" s="5">
        <v>0</v>
      </c>
      <c r="T166" s="71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1691.23</v>
      </c>
      <c r="AF166" s="5">
        <v>0</v>
      </c>
      <c r="AG166" s="5">
        <v>0</v>
      </c>
      <c r="AH166" s="70" t="s">
        <v>49</v>
      </c>
      <c r="AI166" s="70">
        <v>2020</v>
      </c>
      <c r="AJ166" s="70">
        <v>2020</v>
      </c>
      <c r="AK166" s="16"/>
      <c r="AL166" s="16"/>
      <c r="AM166" s="16"/>
      <c r="AN166" s="16"/>
    </row>
    <row r="167" spans="1:40" ht="62.25" x14ac:dyDescent="0.9">
      <c r="A167" s="1">
        <v>1</v>
      </c>
      <c r="B167" s="18">
        <f>SUBTOTAL(103,$A$92:A167)</f>
        <v>69</v>
      </c>
      <c r="C167" s="68" t="s">
        <v>310</v>
      </c>
      <c r="D167" s="23" t="s">
        <v>554</v>
      </c>
      <c r="E167" s="21">
        <v>1.000675491846317</v>
      </c>
      <c r="F167" s="5">
        <f t="shared" si="40"/>
        <v>1485022.6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25">
        <v>0</v>
      </c>
      <c r="N167" s="5">
        <v>0</v>
      </c>
      <c r="O167" s="5">
        <v>1238</v>
      </c>
      <c r="P167" s="5">
        <v>1463184.57</v>
      </c>
      <c r="Q167" s="5">
        <v>0</v>
      </c>
      <c r="R167" s="5">
        <v>0</v>
      </c>
      <c r="S167" s="5">
        <v>0</v>
      </c>
      <c r="T167" s="71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21838.03</v>
      </c>
      <c r="AF167" s="5">
        <v>0</v>
      </c>
      <c r="AG167" s="5">
        <v>0</v>
      </c>
      <c r="AH167" s="70" t="s">
        <v>49</v>
      </c>
      <c r="AI167" s="70">
        <v>2020</v>
      </c>
      <c r="AJ167" s="70">
        <v>2020</v>
      </c>
      <c r="AK167" s="16"/>
      <c r="AL167" s="16"/>
      <c r="AM167" s="16"/>
      <c r="AN167" s="16"/>
    </row>
    <row r="168" spans="1:40" ht="62.25" x14ac:dyDescent="0.9">
      <c r="A168" s="1">
        <v>1</v>
      </c>
      <c r="B168" s="18">
        <f>SUBTOTAL(103,$A$92:A168)</f>
        <v>70</v>
      </c>
      <c r="C168" s="68" t="s">
        <v>311</v>
      </c>
      <c r="D168" s="23" t="s">
        <v>554</v>
      </c>
      <c r="E168" s="21">
        <v>0.80026822300653366</v>
      </c>
      <c r="F168" s="5">
        <f t="shared" si="40"/>
        <v>179270.28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25">
        <v>0</v>
      </c>
      <c r="N168" s="5">
        <v>0</v>
      </c>
      <c r="O168" s="5">
        <v>668</v>
      </c>
      <c r="P168" s="5">
        <v>176634.02</v>
      </c>
      <c r="Q168" s="5">
        <v>0</v>
      </c>
      <c r="R168" s="5">
        <v>0</v>
      </c>
      <c r="S168" s="5">
        <v>0</v>
      </c>
      <c r="T168" s="71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2636.26</v>
      </c>
      <c r="AF168" s="5">
        <v>0</v>
      </c>
      <c r="AG168" s="5">
        <v>0</v>
      </c>
      <c r="AH168" s="70" t="s">
        <v>49</v>
      </c>
      <c r="AI168" s="70">
        <v>2020</v>
      </c>
      <c r="AJ168" s="70">
        <v>2020</v>
      </c>
      <c r="AK168" s="16"/>
      <c r="AL168" s="16"/>
      <c r="AM168" s="16"/>
      <c r="AN168" s="16"/>
    </row>
    <row r="169" spans="1:40" ht="62.25" x14ac:dyDescent="0.9">
      <c r="A169" s="1">
        <v>1</v>
      </c>
      <c r="B169" s="18">
        <f>SUBTOTAL(103,$A$92:A169)</f>
        <v>71</v>
      </c>
      <c r="C169" s="68" t="s">
        <v>312</v>
      </c>
      <c r="D169" s="23" t="s">
        <v>553</v>
      </c>
      <c r="E169" s="21">
        <v>0.92587279445283599</v>
      </c>
      <c r="F169" s="5">
        <f t="shared" si="40"/>
        <v>21660.55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25">
        <v>0</v>
      </c>
      <c r="N169" s="5">
        <v>0</v>
      </c>
      <c r="O169" s="5">
        <v>559</v>
      </c>
      <c r="P169" s="5">
        <v>21342.02</v>
      </c>
      <c r="Q169" s="5">
        <v>0</v>
      </c>
      <c r="R169" s="5">
        <v>0</v>
      </c>
      <c r="S169" s="5">
        <v>0</v>
      </c>
      <c r="T169" s="71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318.52999999999997</v>
      </c>
      <c r="AF169" s="5">
        <v>0</v>
      </c>
      <c r="AG169" s="5">
        <v>0</v>
      </c>
      <c r="AH169" s="70" t="s">
        <v>49</v>
      </c>
      <c r="AI169" s="70">
        <v>2020</v>
      </c>
      <c r="AJ169" s="70">
        <v>2020</v>
      </c>
      <c r="AK169" s="16"/>
      <c r="AL169" s="16"/>
      <c r="AM169" s="16"/>
      <c r="AN169" s="16"/>
    </row>
    <row r="170" spans="1:40" ht="62.25" x14ac:dyDescent="0.9">
      <c r="A170" s="1">
        <v>1</v>
      </c>
      <c r="B170" s="18">
        <f>SUBTOTAL(103,$A$92:A170)</f>
        <v>72</v>
      </c>
      <c r="C170" s="68" t="s">
        <v>313</v>
      </c>
      <c r="D170" s="23" t="s">
        <v>554</v>
      </c>
      <c r="E170" s="21">
        <v>0.87360000000000004</v>
      </c>
      <c r="F170" s="5">
        <f t="shared" si="40"/>
        <v>825558.04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25">
        <v>0</v>
      </c>
      <c r="N170" s="5">
        <v>0</v>
      </c>
      <c r="O170" s="5">
        <v>1549</v>
      </c>
      <c r="P170" s="5">
        <v>813417.78</v>
      </c>
      <c r="Q170" s="5">
        <v>0</v>
      </c>
      <c r="R170" s="5">
        <v>0</v>
      </c>
      <c r="S170" s="5">
        <v>0</v>
      </c>
      <c r="T170" s="71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12140.26</v>
      </c>
      <c r="AF170" s="5">
        <v>0</v>
      </c>
      <c r="AG170" s="5">
        <v>0</v>
      </c>
      <c r="AH170" s="70" t="s">
        <v>49</v>
      </c>
      <c r="AI170" s="70">
        <v>2020</v>
      </c>
      <c r="AJ170" s="70">
        <v>2020</v>
      </c>
      <c r="AK170" s="16"/>
      <c r="AL170" s="16"/>
      <c r="AM170" s="16"/>
      <c r="AN170" s="16"/>
    </row>
    <row r="171" spans="1:40" ht="62.25" x14ac:dyDescent="0.9">
      <c r="A171" s="1">
        <v>1</v>
      </c>
      <c r="B171" s="18">
        <f>SUBTOTAL(103,$A$92:A171)</f>
        <v>73</v>
      </c>
      <c r="C171" s="68" t="s">
        <v>314</v>
      </c>
      <c r="D171" s="23" t="s">
        <v>553</v>
      </c>
      <c r="E171" s="21">
        <v>0.78059999999999996</v>
      </c>
      <c r="F171" s="5">
        <f t="shared" si="40"/>
        <v>58127.710000000006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25">
        <v>0</v>
      </c>
      <c r="N171" s="5">
        <v>0</v>
      </c>
      <c r="O171" s="5">
        <v>450</v>
      </c>
      <c r="P171" s="5">
        <v>57272.91</v>
      </c>
      <c r="Q171" s="5">
        <v>0</v>
      </c>
      <c r="R171" s="5">
        <v>0</v>
      </c>
      <c r="S171" s="5">
        <v>0</v>
      </c>
      <c r="T171" s="71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854.8</v>
      </c>
      <c r="AF171" s="5">
        <v>0</v>
      </c>
      <c r="AG171" s="5">
        <v>0</v>
      </c>
      <c r="AH171" s="70" t="s">
        <v>49</v>
      </c>
      <c r="AI171" s="70">
        <v>2020</v>
      </c>
      <c r="AJ171" s="70">
        <v>2020</v>
      </c>
      <c r="AK171" s="16"/>
      <c r="AL171" s="16"/>
      <c r="AM171" s="16"/>
      <c r="AN171" s="16"/>
    </row>
    <row r="172" spans="1:40" ht="62.25" x14ac:dyDescent="0.9">
      <c r="A172" s="1">
        <v>1</v>
      </c>
      <c r="B172" s="18">
        <f>SUBTOTAL(103,$A$92:A172)</f>
        <v>74</v>
      </c>
      <c r="C172" s="68" t="s">
        <v>236</v>
      </c>
      <c r="D172" s="23" t="s">
        <v>554</v>
      </c>
      <c r="E172" s="21">
        <v>0.88049999999999995</v>
      </c>
      <c r="F172" s="5">
        <f t="shared" si="40"/>
        <v>174209.85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25">
        <v>0</v>
      </c>
      <c r="N172" s="5">
        <v>0</v>
      </c>
      <c r="O172" s="5">
        <v>498</v>
      </c>
      <c r="P172" s="5">
        <v>171648</v>
      </c>
      <c r="Q172" s="5">
        <v>0</v>
      </c>
      <c r="R172" s="5">
        <v>0</v>
      </c>
      <c r="S172" s="5">
        <v>0</v>
      </c>
      <c r="T172" s="71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2561.85</v>
      </c>
      <c r="AF172" s="5">
        <v>0</v>
      </c>
      <c r="AG172" s="5">
        <v>0</v>
      </c>
      <c r="AH172" s="70" t="s">
        <v>49</v>
      </c>
      <c r="AI172" s="70">
        <v>2020</v>
      </c>
      <c r="AJ172" s="70">
        <v>2020</v>
      </c>
      <c r="AK172" s="16"/>
      <c r="AL172" s="16"/>
      <c r="AM172" s="16"/>
      <c r="AN172" s="16"/>
    </row>
    <row r="173" spans="1:40" ht="62.25" x14ac:dyDescent="0.9">
      <c r="A173" s="1">
        <v>1</v>
      </c>
      <c r="B173" s="18">
        <f>SUBTOTAL(103,$A$92:A173)</f>
        <v>75</v>
      </c>
      <c r="C173" s="68" t="s">
        <v>315</v>
      </c>
      <c r="D173" s="23">
        <v>2017</v>
      </c>
      <c r="E173" s="21">
        <v>0.97189999999999999</v>
      </c>
      <c r="F173" s="5">
        <f t="shared" si="40"/>
        <v>101365.01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25">
        <v>0</v>
      </c>
      <c r="N173" s="5">
        <v>0</v>
      </c>
      <c r="O173" s="5">
        <v>1067</v>
      </c>
      <c r="P173" s="5">
        <v>99867</v>
      </c>
      <c r="Q173" s="5">
        <v>0</v>
      </c>
      <c r="R173" s="5">
        <v>0</v>
      </c>
      <c r="S173" s="5">
        <v>0</v>
      </c>
      <c r="T173" s="71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f t="shared" ref="AE173" si="55">ROUND(P173*1.5%,2)</f>
        <v>1498.01</v>
      </c>
      <c r="AF173" s="5">
        <v>0</v>
      </c>
      <c r="AG173" s="5">
        <v>0</v>
      </c>
      <c r="AH173" s="70" t="s">
        <v>49</v>
      </c>
      <c r="AI173" s="70">
        <v>2020</v>
      </c>
      <c r="AJ173" s="70">
        <v>2020</v>
      </c>
      <c r="AK173" s="16"/>
      <c r="AL173" s="16"/>
      <c r="AM173" s="16"/>
      <c r="AN173" s="16"/>
    </row>
    <row r="174" spans="1:40" ht="62.25" x14ac:dyDescent="0.9">
      <c r="A174" s="1">
        <v>1</v>
      </c>
      <c r="B174" s="18">
        <f>SUBTOTAL(103,$A$92:A174)</f>
        <v>76</v>
      </c>
      <c r="C174" s="68" t="s">
        <v>352</v>
      </c>
      <c r="D174" s="27" t="s">
        <v>379</v>
      </c>
      <c r="E174" s="21">
        <v>0.93899999999999995</v>
      </c>
      <c r="F174" s="5">
        <f t="shared" si="40"/>
        <v>70328.740000000005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2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71">
        <v>0</v>
      </c>
      <c r="U174" s="5">
        <v>0</v>
      </c>
      <c r="V174" s="5">
        <v>0</v>
      </c>
      <c r="W174" s="5">
        <v>0</v>
      </c>
      <c r="X174" s="5">
        <v>69998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330.74</v>
      </c>
      <c r="AF174" s="5">
        <v>0</v>
      </c>
      <c r="AG174" s="5">
        <v>0</v>
      </c>
      <c r="AH174" s="70" t="s">
        <v>49</v>
      </c>
      <c r="AI174" s="70">
        <v>2020</v>
      </c>
      <c r="AJ174" s="70">
        <v>2020</v>
      </c>
      <c r="AK174" s="16"/>
      <c r="AL174" s="16"/>
      <c r="AM174" s="16"/>
      <c r="AN174" s="16"/>
    </row>
    <row r="175" spans="1:40" ht="62.25" x14ac:dyDescent="0.9">
      <c r="A175" s="1">
        <v>1</v>
      </c>
      <c r="B175" s="18">
        <f>SUBTOTAL(103,$A$92:A175)</f>
        <v>77</v>
      </c>
      <c r="C175" s="68" t="s">
        <v>563</v>
      </c>
      <c r="D175" s="23" t="s">
        <v>553</v>
      </c>
      <c r="E175" s="21">
        <v>0.97650000000000003</v>
      </c>
      <c r="F175" s="5">
        <f t="shared" ref="F175:F176" si="56">P175+AE175</f>
        <v>53102.53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25">
        <v>0</v>
      </c>
      <c r="N175" s="5">
        <v>0</v>
      </c>
      <c r="O175" s="5">
        <v>1461</v>
      </c>
      <c r="P175" s="5">
        <v>52317.760000000002</v>
      </c>
      <c r="Q175" s="5">
        <v>0</v>
      </c>
      <c r="R175" s="5">
        <v>0</v>
      </c>
      <c r="S175" s="5">
        <v>0</v>
      </c>
      <c r="T175" s="71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f>ROUND(P175*1.5%,2)</f>
        <v>784.77</v>
      </c>
      <c r="AF175" s="5">
        <v>0</v>
      </c>
      <c r="AG175" s="5">
        <v>0</v>
      </c>
      <c r="AH175" s="70" t="s">
        <v>49</v>
      </c>
      <c r="AI175" s="70">
        <v>2020</v>
      </c>
      <c r="AJ175" s="70">
        <v>2020</v>
      </c>
      <c r="AK175" s="16"/>
      <c r="AL175" s="16"/>
      <c r="AM175" s="16"/>
      <c r="AN175" s="16"/>
    </row>
    <row r="176" spans="1:40" ht="62.25" x14ac:dyDescent="0.9">
      <c r="A176" s="1">
        <v>1</v>
      </c>
      <c r="B176" s="18">
        <f>SUBTOTAL(103,$A$92:A176)</f>
        <v>78</v>
      </c>
      <c r="C176" s="68" t="s">
        <v>564</v>
      </c>
      <c r="D176" s="23" t="s">
        <v>553</v>
      </c>
      <c r="E176" s="21">
        <v>0.75141596450729198</v>
      </c>
      <c r="F176" s="5">
        <f t="shared" si="56"/>
        <v>110786.03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25">
        <v>0</v>
      </c>
      <c r="N176" s="5">
        <v>0</v>
      </c>
      <c r="O176" s="5">
        <v>500</v>
      </c>
      <c r="P176" s="5">
        <v>109148.8</v>
      </c>
      <c r="Q176" s="5">
        <v>0</v>
      </c>
      <c r="R176" s="5">
        <v>0</v>
      </c>
      <c r="S176" s="5">
        <v>0</v>
      </c>
      <c r="T176" s="71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f>ROUND(P176*1.5%,2)</f>
        <v>1637.23</v>
      </c>
      <c r="AF176" s="5">
        <v>0</v>
      </c>
      <c r="AG176" s="5">
        <v>0</v>
      </c>
      <c r="AH176" s="70" t="s">
        <v>49</v>
      </c>
      <c r="AI176" s="70">
        <v>2020</v>
      </c>
      <c r="AJ176" s="70">
        <v>2020</v>
      </c>
      <c r="AK176" s="16"/>
      <c r="AL176" s="16"/>
      <c r="AM176" s="16"/>
      <c r="AN176" s="16"/>
    </row>
    <row r="177" spans="1:40" ht="62.25" x14ac:dyDescent="0.9">
      <c r="B177" s="72" t="s">
        <v>259</v>
      </c>
      <c r="C177" s="73"/>
      <c r="D177" s="69" t="s">
        <v>131</v>
      </c>
      <c r="E177" s="21">
        <f>AVERAGE(E178:E183)</f>
        <v>0.89380629497361996</v>
      </c>
      <c r="F177" s="5">
        <f>SUM(F178:F183)</f>
        <v>1550578.68</v>
      </c>
      <c r="G177" s="5">
        <f t="shared" ref="G177:AG177" si="57">SUM(G178:G183)</f>
        <v>0</v>
      </c>
      <c r="H177" s="5">
        <f t="shared" si="57"/>
        <v>0</v>
      </c>
      <c r="I177" s="5">
        <f t="shared" si="57"/>
        <v>0</v>
      </c>
      <c r="J177" s="5">
        <f t="shared" si="57"/>
        <v>0</v>
      </c>
      <c r="K177" s="5">
        <f t="shared" si="57"/>
        <v>0</v>
      </c>
      <c r="L177" s="5">
        <f t="shared" si="57"/>
        <v>0</v>
      </c>
      <c r="M177" s="25">
        <f t="shared" si="57"/>
        <v>0</v>
      </c>
      <c r="N177" s="5">
        <f t="shared" si="57"/>
        <v>0</v>
      </c>
      <c r="O177" s="5">
        <f t="shared" si="57"/>
        <v>6063.4000000000005</v>
      </c>
      <c r="P177" s="5">
        <f t="shared" si="57"/>
        <v>1527663.73</v>
      </c>
      <c r="Q177" s="5">
        <f t="shared" si="57"/>
        <v>0</v>
      </c>
      <c r="R177" s="5">
        <f t="shared" si="57"/>
        <v>0</v>
      </c>
      <c r="S177" s="5">
        <f t="shared" si="57"/>
        <v>0</v>
      </c>
      <c r="T177" s="5">
        <f t="shared" si="57"/>
        <v>0</v>
      </c>
      <c r="U177" s="5">
        <f t="shared" si="57"/>
        <v>0</v>
      </c>
      <c r="V177" s="5">
        <f t="shared" si="57"/>
        <v>0</v>
      </c>
      <c r="W177" s="5">
        <f t="shared" si="57"/>
        <v>0</v>
      </c>
      <c r="X177" s="5">
        <f t="shared" si="57"/>
        <v>0</v>
      </c>
      <c r="Y177" s="5">
        <f t="shared" si="57"/>
        <v>0</v>
      </c>
      <c r="Z177" s="5">
        <f t="shared" si="57"/>
        <v>0</v>
      </c>
      <c r="AA177" s="5">
        <f t="shared" si="57"/>
        <v>0</v>
      </c>
      <c r="AB177" s="5">
        <f t="shared" si="57"/>
        <v>0</v>
      </c>
      <c r="AC177" s="5">
        <f t="shared" si="57"/>
        <v>0</v>
      </c>
      <c r="AD177" s="5">
        <f t="shared" si="57"/>
        <v>0</v>
      </c>
      <c r="AE177" s="5">
        <f t="shared" si="57"/>
        <v>22914.949999999997</v>
      </c>
      <c r="AF177" s="5">
        <f t="shared" si="57"/>
        <v>0</v>
      </c>
      <c r="AG177" s="5">
        <f t="shared" si="57"/>
        <v>0</v>
      </c>
      <c r="AH177" s="70" t="s">
        <v>131</v>
      </c>
      <c r="AI177" s="70" t="s">
        <v>131</v>
      </c>
      <c r="AJ177" s="70" t="s">
        <v>131</v>
      </c>
      <c r="AK177" s="16"/>
      <c r="AL177" s="16"/>
      <c r="AM177" s="16"/>
      <c r="AN177" s="16"/>
    </row>
    <row r="178" spans="1:40" ht="62.25" x14ac:dyDescent="0.9">
      <c r="A178" s="1">
        <v>1</v>
      </c>
      <c r="B178" s="18">
        <f>SUBTOTAL(103,$A$92:A178)</f>
        <v>79</v>
      </c>
      <c r="C178" s="68" t="s">
        <v>316</v>
      </c>
      <c r="D178" s="23" t="s">
        <v>554</v>
      </c>
      <c r="E178" s="21">
        <v>0.9054350997618551</v>
      </c>
      <c r="F178" s="5">
        <f t="shared" si="40"/>
        <v>382556.25999999995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25">
        <v>0</v>
      </c>
      <c r="N178" s="5">
        <v>0</v>
      </c>
      <c r="O178" s="5">
        <v>1160.0999999999999</v>
      </c>
      <c r="P178" s="5">
        <v>376902.72</v>
      </c>
      <c r="Q178" s="5">
        <v>0</v>
      </c>
      <c r="R178" s="5">
        <v>0</v>
      </c>
      <c r="S178" s="5">
        <v>0</v>
      </c>
      <c r="T178" s="71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f t="shared" ref="AE178:AE183" si="58">ROUND(P178*1.5%,2)</f>
        <v>5653.54</v>
      </c>
      <c r="AF178" s="5">
        <v>0</v>
      </c>
      <c r="AG178" s="5">
        <v>0</v>
      </c>
      <c r="AH178" s="70" t="s">
        <v>49</v>
      </c>
      <c r="AI178" s="70">
        <v>2020</v>
      </c>
      <c r="AJ178" s="70">
        <v>2020</v>
      </c>
      <c r="AK178" s="16"/>
      <c r="AL178" s="16"/>
      <c r="AM178" s="16"/>
      <c r="AN178" s="16"/>
    </row>
    <row r="179" spans="1:40" ht="62.25" x14ac:dyDescent="0.9">
      <c r="A179" s="1">
        <v>1</v>
      </c>
      <c r="B179" s="18">
        <f>SUBTOTAL(103,$A$92:A179)</f>
        <v>80</v>
      </c>
      <c r="C179" s="68" t="s">
        <v>317</v>
      </c>
      <c r="D179" s="23" t="s">
        <v>554</v>
      </c>
      <c r="E179" s="21">
        <v>0.87345236547698324</v>
      </c>
      <c r="F179" s="5">
        <f t="shared" si="40"/>
        <v>381284.05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25">
        <v>0</v>
      </c>
      <c r="N179" s="5">
        <v>0</v>
      </c>
      <c r="O179" s="5">
        <v>1192.7</v>
      </c>
      <c r="P179" s="5">
        <v>375649.31</v>
      </c>
      <c r="Q179" s="5">
        <v>0</v>
      </c>
      <c r="R179" s="5">
        <v>0</v>
      </c>
      <c r="S179" s="5">
        <v>0</v>
      </c>
      <c r="T179" s="71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f t="shared" si="58"/>
        <v>5634.74</v>
      </c>
      <c r="AF179" s="5">
        <v>0</v>
      </c>
      <c r="AG179" s="5">
        <v>0</v>
      </c>
      <c r="AH179" s="70" t="s">
        <v>49</v>
      </c>
      <c r="AI179" s="70">
        <v>2020</v>
      </c>
      <c r="AJ179" s="70">
        <v>2020</v>
      </c>
      <c r="AK179" s="16"/>
      <c r="AL179" s="16"/>
      <c r="AM179" s="16"/>
      <c r="AN179" s="16"/>
    </row>
    <row r="180" spans="1:40" ht="62.25" x14ac:dyDescent="0.9">
      <c r="A180" s="1">
        <v>1</v>
      </c>
      <c r="B180" s="18">
        <f>SUBTOTAL(103,$A$92:A180)</f>
        <v>81</v>
      </c>
      <c r="C180" s="68" t="s">
        <v>81</v>
      </c>
      <c r="D180" s="23" t="s">
        <v>554</v>
      </c>
      <c r="E180" s="21">
        <v>0.86236529068576662</v>
      </c>
      <c r="F180" s="5">
        <f t="shared" si="40"/>
        <v>292385.17000000004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25">
        <v>0</v>
      </c>
      <c r="N180" s="5">
        <v>0</v>
      </c>
      <c r="O180" s="5">
        <v>1207</v>
      </c>
      <c r="P180" s="5">
        <v>288064.21000000002</v>
      </c>
      <c r="Q180" s="5">
        <v>0</v>
      </c>
      <c r="R180" s="5">
        <v>0</v>
      </c>
      <c r="S180" s="5">
        <v>0</v>
      </c>
      <c r="T180" s="71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f t="shared" si="58"/>
        <v>4320.96</v>
      </c>
      <c r="AF180" s="5">
        <v>0</v>
      </c>
      <c r="AG180" s="5">
        <v>0</v>
      </c>
      <c r="AH180" s="70" t="s">
        <v>49</v>
      </c>
      <c r="AI180" s="70">
        <v>2020</v>
      </c>
      <c r="AJ180" s="70">
        <v>2020</v>
      </c>
      <c r="AK180" s="16"/>
      <c r="AL180" s="16"/>
      <c r="AM180" s="16"/>
      <c r="AN180" s="16"/>
    </row>
    <row r="181" spans="1:40" ht="62.25" x14ac:dyDescent="0.9">
      <c r="A181" s="1">
        <v>1</v>
      </c>
      <c r="B181" s="18">
        <f>SUBTOTAL(103,$A$92:A181)</f>
        <v>82</v>
      </c>
      <c r="C181" s="68" t="s">
        <v>318</v>
      </c>
      <c r="D181" s="23" t="s">
        <v>554</v>
      </c>
      <c r="E181" s="21">
        <v>0.85951459937778774</v>
      </c>
      <c r="F181" s="5">
        <f t="shared" si="40"/>
        <v>292385.17000000004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25">
        <v>0</v>
      </c>
      <c r="N181" s="5">
        <v>0</v>
      </c>
      <c r="O181" s="5">
        <v>1206</v>
      </c>
      <c r="P181" s="5">
        <v>288064.21000000002</v>
      </c>
      <c r="Q181" s="5">
        <v>0</v>
      </c>
      <c r="R181" s="5">
        <v>0</v>
      </c>
      <c r="S181" s="5">
        <v>0</v>
      </c>
      <c r="T181" s="71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f t="shared" si="58"/>
        <v>4320.96</v>
      </c>
      <c r="AF181" s="5">
        <v>0</v>
      </c>
      <c r="AG181" s="5">
        <v>0</v>
      </c>
      <c r="AH181" s="70" t="s">
        <v>49</v>
      </c>
      <c r="AI181" s="70">
        <v>2020</v>
      </c>
      <c r="AJ181" s="70">
        <v>2020</v>
      </c>
      <c r="AK181" s="16"/>
      <c r="AL181" s="16"/>
      <c r="AM181" s="16"/>
      <c r="AN181" s="16"/>
    </row>
    <row r="182" spans="1:40" ht="62.25" x14ac:dyDescent="0.9">
      <c r="A182" s="1">
        <v>1</v>
      </c>
      <c r="B182" s="18">
        <f>SUBTOTAL(103,$A$92:A182)</f>
        <v>83</v>
      </c>
      <c r="C182" s="68" t="s">
        <v>319</v>
      </c>
      <c r="D182" s="23" t="s">
        <v>554</v>
      </c>
      <c r="E182" s="21">
        <v>0.89797041453932691</v>
      </c>
      <c r="F182" s="5">
        <f t="shared" ref="F182" si="59">G182+H182+I182+J182+K182+L182+N182+P182+R182+T182+V182+W182+X182+Y182+Z182+AA182+AB182+AC182+AD182+AE182+AF182+AG182</f>
        <v>193920.28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25">
        <v>0</v>
      </c>
      <c r="N182" s="5">
        <v>0</v>
      </c>
      <c r="O182" s="5">
        <v>516.6</v>
      </c>
      <c r="P182" s="5">
        <v>191054.46</v>
      </c>
      <c r="Q182" s="5">
        <v>0</v>
      </c>
      <c r="R182" s="5">
        <v>0</v>
      </c>
      <c r="S182" s="5">
        <v>0</v>
      </c>
      <c r="T182" s="71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f t="shared" si="58"/>
        <v>2865.82</v>
      </c>
      <c r="AF182" s="5">
        <v>0</v>
      </c>
      <c r="AG182" s="5">
        <v>0</v>
      </c>
      <c r="AH182" s="70" t="s">
        <v>49</v>
      </c>
      <c r="AI182" s="70">
        <v>2020</v>
      </c>
      <c r="AJ182" s="70">
        <v>2020</v>
      </c>
      <c r="AK182" s="16"/>
      <c r="AL182" s="16"/>
      <c r="AM182" s="16"/>
      <c r="AN182" s="16"/>
    </row>
    <row r="183" spans="1:40" ht="62.25" x14ac:dyDescent="0.9">
      <c r="A183" s="1">
        <v>1</v>
      </c>
      <c r="B183" s="18">
        <f>SUBTOTAL(103,$A$92:A183)</f>
        <v>84</v>
      </c>
      <c r="C183" s="68" t="s">
        <v>897</v>
      </c>
      <c r="D183" s="23">
        <v>2014</v>
      </c>
      <c r="E183" s="21">
        <v>0.96409999999999996</v>
      </c>
      <c r="F183" s="5">
        <f t="shared" si="40"/>
        <v>8047.75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25">
        <v>0</v>
      </c>
      <c r="N183" s="5">
        <v>0</v>
      </c>
      <c r="O183" s="5">
        <v>781</v>
      </c>
      <c r="P183" s="5">
        <v>7928.82</v>
      </c>
      <c r="Q183" s="5">
        <v>0</v>
      </c>
      <c r="R183" s="5">
        <v>0</v>
      </c>
      <c r="S183" s="5">
        <v>0</v>
      </c>
      <c r="T183" s="71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f t="shared" si="58"/>
        <v>118.93</v>
      </c>
      <c r="AF183" s="5">
        <v>0</v>
      </c>
      <c r="AG183" s="5">
        <v>0</v>
      </c>
      <c r="AH183" s="70" t="s">
        <v>49</v>
      </c>
      <c r="AI183" s="70">
        <v>2021</v>
      </c>
      <c r="AJ183" s="70">
        <v>2021</v>
      </c>
      <c r="AK183" s="16"/>
      <c r="AL183" s="16"/>
      <c r="AM183" s="16"/>
      <c r="AN183" s="16"/>
    </row>
    <row r="184" spans="1:40" ht="62.25" x14ac:dyDescent="0.9">
      <c r="B184" s="72" t="s">
        <v>129</v>
      </c>
      <c r="C184" s="73"/>
      <c r="D184" s="69" t="s">
        <v>131</v>
      </c>
      <c r="E184" s="21">
        <f>AVERAGE(E185:E186)</f>
        <v>0.86194999999999999</v>
      </c>
      <c r="F184" s="5">
        <f>SUM(F185:F186)</f>
        <v>3231773.15</v>
      </c>
      <c r="G184" s="5">
        <f t="shared" ref="G184:AG184" si="60">SUM(G185:G186)</f>
        <v>0</v>
      </c>
      <c r="H184" s="5">
        <f t="shared" si="60"/>
        <v>0</v>
      </c>
      <c r="I184" s="5">
        <f t="shared" si="60"/>
        <v>0</v>
      </c>
      <c r="J184" s="5">
        <f t="shared" si="60"/>
        <v>0</v>
      </c>
      <c r="K184" s="5">
        <f t="shared" si="60"/>
        <v>0</v>
      </c>
      <c r="L184" s="5">
        <f t="shared" si="60"/>
        <v>0</v>
      </c>
      <c r="M184" s="25">
        <f t="shared" si="60"/>
        <v>0</v>
      </c>
      <c r="N184" s="5">
        <f t="shared" si="60"/>
        <v>0</v>
      </c>
      <c r="O184" s="5">
        <f t="shared" si="60"/>
        <v>1625</v>
      </c>
      <c r="P184" s="5">
        <f t="shared" si="60"/>
        <v>3199617</v>
      </c>
      <c r="Q184" s="5">
        <f t="shared" si="60"/>
        <v>0</v>
      </c>
      <c r="R184" s="5">
        <f t="shared" si="60"/>
        <v>0</v>
      </c>
      <c r="S184" s="5">
        <f t="shared" si="60"/>
        <v>0</v>
      </c>
      <c r="T184" s="5">
        <f t="shared" si="60"/>
        <v>0</v>
      </c>
      <c r="U184" s="5">
        <f t="shared" si="60"/>
        <v>0</v>
      </c>
      <c r="V184" s="5">
        <f t="shared" si="60"/>
        <v>0</v>
      </c>
      <c r="W184" s="5">
        <f t="shared" si="60"/>
        <v>0</v>
      </c>
      <c r="X184" s="5">
        <f t="shared" si="60"/>
        <v>0</v>
      </c>
      <c r="Y184" s="5">
        <f t="shared" si="60"/>
        <v>0</v>
      </c>
      <c r="Z184" s="5">
        <f t="shared" si="60"/>
        <v>0</v>
      </c>
      <c r="AA184" s="5">
        <f t="shared" si="60"/>
        <v>0</v>
      </c>
      <c r="AB184" s="5">
        <f t="shared" si="60"/>
        <v>0</v>
      </c>
      <c r="AC184" s="5">
        <f t="shared" si="60"/>
        <v>0</v>
      </c>
      <c r="AD184" s="5">
        <f t="shared" si="60"/>
        <v>0</v>
      </c>
      <c r="AE184" s="5">
        <f t="shared" si="60"/>
        <v>32156.15</v>
      </c>
      <c r="AF184" s="5">
        <f t="shared" si="60"/>
        <v>0</v>
      </c>
      <c r="AG184" s="5">
        <f t="shared" si="60"/>
        <v>0</v>
      </c>
      <c r="AH184" s="70" t="s">
        <v>131</v>
      </c>
      <c r="AI184" s="70" t="s">
        <v>131</v>
      </c>
      <c r="AJ184" s="70" t="s">
        <v>131</v>
      </c>
      <c r="AK184" s="16"/>
      <c r="AL184" s="16"/>
      <c r="AM184" s="16"/>
      <c r="AN184" s="16"/>
    </row>
    <row r="185" spans="1:40" ht="62.25" x14ac:dyDescent="0.9">
      <c r="A185" s="1">
        <v>1</v>
      </c>
      <c r="B185" s="18">
        <f>SUBTOTAL(103,$A$92:A185)</f>
        <v>85</v>
      </c>
      <c r="C185" s="68" t="s">
        <v>320</v>
      </c>
      <c r="D185" s="23" t="s">
        <v>553</v>
      </c>
      <c r="E185" s="21">
        <v>0.82040000000000002</v>
      </c>
      <c r="F185" s="5">
        <f t="shared" si="40"/>
        <v>1617633.46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25">
        <v>0</v>
      </c>
      <c r="N185" s="5">
        <v>0</v>
      </c>
      <c r="O185" s="5">
        <v>812.5</v>
      </c>
      <c r="P185" s="5">
        <v>1601538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16095.46</v>
      </c>
      <c r="AF185" s="5">
        <v>0</v>
      </c>
      <c r="AG185" s="5">
        <v>0</v>
      </c>
      <c r="AH185" s="70" t="s">
        <v>49</v>
      </c>
      <c r="AI185" s="70">
        <v>2020</v>
      </c>
      <c r="AJ185" s="70">
        <v>2020</v>
      </c>
      <c r="AK185" s="16"/>
      <c r="AL185" s="16"/>
      <c r="AM185" s="16"/>
      <c r="AN185" s="16"/>
    </row>
    <row r="186" spans="1:40" ht="62.25" x14ac:dyDescent="0.9">
      <c r="A186" s="1">
        <v>1</v>
      </c>
      <c r="B186" s="18">
        <f>SUBTOTAL(103,$A$92:A186)</f>
        <v>86</v>
      </c>
      <c r="C186" s="68" t="s">
        <v>321</v>
      </c>
      <c r="D186" s="23" t="s">
        <v>554</v>
      </c>
      <c r="E186" s="21">
        <v>0.90349999999999997</v>
      </c>
      <c r="F186" s="5">
        <f>G186+H186+I186+J186+K186+L186+N186+P186+R186+T186+V186+W186+X186+Y186+Z186+AA186+AB186+AC186+AD186+AE186+AF186+AG186</f>
        <v>1614139.69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25">
        <v>0</v>
      </c>
      <c r="N186" s="5">
        <v>0</v>
      </c>
      <c r="O186" s="5">
        <v>812.5</v>
      </c>
      <c r="P186" s="5">
        <v>1598079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16060.69</v>
      </c>
      <c r="AF186" s="5">
        <v>0</v>
      </c>
      <c r="AG186" s="5">
        <v>0</v>
      </c>
      <c r="AH186" s="70" t="s">
        <v>49</v>
      </c>
      <c r="AI186" s="70">
        <v>2020</v>
      </c>
      <c r="AJ186" s="70">
        <v>2020</v>
      </c>
      <c r="AK186" s="16"/>
      <c r="AL186" s="16"/>
      <c r="AM186" s="16"/>
      <c r="AN186" s="16"/>
    </row>
    <row r="187" spans="1:40" ht="62.25" x14ac:dyDescent="0.9">
      <c r="B187" s="67" t="s">
        <v>260</v>
      </c>
      <c r="C187" s="68"/>
      <c r="D187" s="69" t="s">
        <v>131</v>
      </c>
      <c r="E187" s="21">
        <f>AVERAGE(E188:E189)</f>
        <v>0.91439999999999999</v>
      </c>
      <c r="F187" s="5">
        <f>F188+F189</f>
        <v>35323.410000000003</v>
      </c>
      <c r="G187" s="5">
        <f t="shared" ref="G187:AG187" si="61">G188+G189</f>
        <v>0</v>
      </c>
      <c r="H187" s="5">
        <f t="shared" si="61"/>
        <v>0</v>
      </c>
      <c r="I187" s="5">
        <f t="shared" si="61"/>
        <v>0</v>
      </c>
      <c r="J187" s="5">
        <f t="shared" si="61"/>
        <v>0</v>
      </c>
      <c r="K187" s="5">
        <f t="shared" si="61"/>
        <v>0</v>
      </c>
      <c r="L187" s="5">
        <f t="shared" si="61"/>
        <v>0</v>
      </c>
      <c r="M187" s="5">
        <f t="shared" si="61"/>
        <v>0</v>
      </c>
      <c r="N187" s="5">
        <f t="shared" si="61"/>
        <v>0</v>
      </c>
      <c r="O187" s="5">
        <f t="shared" si="61"/>
        <v>776.1</v>
      </c>
      <c r="P187" s="5">
        <f t="shared" si="61"/>
        <v>34856.94</v>
      </c>
      <c r="Q187" s="5">
        <f t="shared" si="61"/>
        <v>0</v>
      </c>
      <c r="R187" s="5">
        <f t="shared" si="61"/>
        <v>0</v>
      </c>
      <c r="S187" s="5">
        <f t="shared" si="61"/>
        <v>0</v>
      </c>
      <c r="T187" s="5">
        <f t="shared" si="61"/>
        <v>0</v>
      </c>
      <c r="U187" s="5">
        <f t="shared" si="61"/>
        <v>0</v>
      </c>
      <c r="V187" s="5">
        <f t="shared" si="61"/>
        <v>0</v>
      </c>
      <c r="W187" s="5">
        <f t="shared" si="61"/>
        <v>0</v>
      </c>
      <c r="X187" s="5">
        <f t="shared" si="61"/>
        <v>0</v>
      </c>
      <c r="Y187" s="5">
        <f t="shared" si="61"/>
        <v>0</v>
      </c>
      <c r="Z187" s="5">
        <f t="shared" si="61"/>
        <v>0</v>
      </c>
      <c r="AA187" s="5">
        <f t="shared" si="61"/>
        <v>0</v>
      </c>
      <c r="AB187" s="5">
        <f t="shared" si="61"/>
        <v>0</v>
      </c>
      <c r="AC187" s="5">
        <f t="shared" si="61"/>
        <v>0</v>
      </c>
      <c r="AD187" s="5">
        <f t="shared" si="61"/>
        <v>0</v>
      </c>
      <c r="AE187" s="5">
        <f t="shared" si="61"/>
        <v>466.46999999999997</v>
      </c>
      <c r="AF187" s="5">
        <f t="shared" si="61"/>
        <v>0</v>
      </c>
      <c r="AG187" s="5">
        <f t="shared" si="61"/>
        <v>0</v>
      </c>
      <c r="AH187" s="70" t="s">
        <v>131</v>
      </c>
      <c r="AI187" s="70" t="s">
        <v>131</v>
      </c>
      <c r="AJ187" s="70" t="s">
        <v>131</v>
      </c>
      <c r="AK187" s="16"/>
      <c r="AL187" s="16"/>
      <c r="AM187" s="16"/>
      <c r="AN187" s="16"/>
    </row>
    <row r="188" spans="1:40" ht="62.25" x14ac:dyDescent="0.9">
      <c r="A188" s="1">
        <v>1</v>
      </c>
      <c r="B188" s="18">
        <f>SUBTOTAL(103,$A$92:A188)</f>
        <v>87</v>
      </c>
      <c r="C188" s="68" t="s">
        <v>322</v>
      </c>
      <c r="D188" s="23" t="s">
        <v>379</v>
      </c>
      <c r="E188" s="21">
        <v>0.93579999999999997</v>
      </c>
      <c r="F188" s="5">
        <f>G188+H188+I188+J188+K188+L188+N188+P188+R188+T188+V188+W188+X188+Y188+Z188+AA188+AB188+AC188+AD188+AE188+AF188+AG188</f>
        <v>11164.380000000001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25">
        <v>0</v>
      </c>
      <c r="N188" s="5">
        <v>0</v>
      </c>
      <c r="O188" s="5">
        <v>471.6</v>
      </c>
      <c r="P188" s="5">
        <v>11054.94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109.44</v>
      </c>
      <c r="AF188" s="5">
        <v>0</v>
      </c>
      <c r="AG188" s="5">
        <v>0</v>
      </c>
      <c r="AH188" s="70" t="s">
        <v>49</v>
      </c>
      <c r="AI188" s="70">
        <v>2020</v>
      </c>
      <c r="AJ188" s="70">
        <v>2020</v>
      </c>
      <c r="AK188" s="16"/>
      <c r="AL188" s="16"/>
      <c r="AM188" s="16"/>
      <c r="AN188" s="16"/>
    </row>
    <row r="189" spans="1:40" ht="62.25" x14ac:dyDescent="0.9">
      <c r="A189" s="1">
        <v>1</v>
      </c>
      <c r="B189" s="18">
        <f>SUBTOTAL(103,$A$92:A189)</f>
        <v>88</v>
      </c>
      <c r="C189" s="68" t="s">
        <v>565</v>
      </c>
      <c r="D189" s="23" t="s">
        <v>554</v>
      </c>
      <c r="E189" s="21">
        <v>0.89300000000000002</v>
      </c>
      <c r="F189" s="5">
        <f>P189+AE189</f>
        <v>24159.03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25">
        <v>0</v>
      </c>
      <c r="N189" s="5">
        <v>0</v>
      </c>
      <c r="O189" s="5">
        <v>304.5</v>
      </c>
      <c r="P189" s="5">
        <v>23802</v>
      </c>
      <c r="Q189" s="5">
        <v>0</v>
      </c>
      <c r="R189" s="5">
        <v>0</v>
      </c>
      <c r="S189" s="5">
        <v>0</v>
      </c>
      <c r="T189" s="71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f>ROUND(P189*1.5%,2)</f>
        <v>357.03</v>
      </c>
      <c r="AF189" s="5">
        <v>0</v>
      </c>
      <c r="AG189" s="5">
        <v>0</v>
      </c>
      <c r="AH189" s="70" t="s">
        <v>49</v>
      </c>
      <c r="AI189" s="70">
        <v>2021</v>
      </c>
      <c r="AJ189" s="70">
        <v>2021</v>
      </c>
      <c r="AK189" s="16"/>
      <c r="AL189" s="16"/>
      <c r="AM189" s="16"/>
      <c r="AN189" s="16"/>
    </row>
    <row r="190" spans="1:40" ht="62.25" x14ac:dyDescent="0.9">
      <c r="B190" s="67" t="s">
        <v>122</v>
      </c>
      <c r="C190" s="68"/>
      <c r="D190" s="69" t="s">
        <v>131</v>
      </c>
      <c r="E190" s="21">
        <f>E191</f>
        <v>0.9657</v>
      </c>
      <c r="F190" s="5">
        <f>F191</f>
        <v>778244.79</v>
      </c>
      <c r="G190" s="5">
        <f t="shared" ref="G190:AG190" si="62">G191</f>
        <v>0</v>
      </c>
      <c r="H190" s="5">
        <f t="shared" si="62"/>
        <v>0</v>
      </c>
      <c r="I190" s="5">
        <f t="shared" si="62"/>
        <v>0</v>
      </c>
      <c r="J190" s="5">
        <f t="shared" si="62"/>
        <v>0</v>
      </c>
      <c r="K190" s="5">
        <f t="shared" si="62"/>
        <v>0</v>
      </c>
      <c r="L190" s="5">
        <f t="shared" si="62"/>
        <v>0</v>
      </c>
      <c r="M190" s="25">
        <f t="shared" si="62"/>
        <v>0</v>
      </c>
      <c r="N190" s="5">
        <f t="shared" si="62"/>
        <v>0</v>
      </c>
      <c r="O190" s="5">
        <f t="shared" si="62"/>
        <v>972.5</v>
      </c>
      <c r="P190" s="5">
        <f t="shared" si="62"/>
        <v>766743.64</v>
      </c>
      <c r="Q190" s="5">
        <f t="shared" si="62"/>
        <v>0</v>
      </c>
      <c r="R190" s="5">
        <f t="shared" si="62"/>
        <v>0</v>
      </c>
      <c r="S190" s="5">
        <f t="shared" si="62"/>
        <v>0</v>
      </c>
      <c r="T190" s="5">
        <f t="shared" si="62"/>
        <v>0</v>
      </c>
      <c r="U190" s="5">
        <f t="shared" si="62"/>
        <v>0</v>
      </c>
      <c r="V190" s="5">
        <f t="shared" si="62"/>
        <v>0</v>
      </c>
      <c r="W190" s="5">
        <f t="shared" si="62"/>
        <v>0</v>
      </c>
      <c r="X190" s="5">
        <f t="shared" si="62"/>
        <v>0</v>
      </c>
      <c r="Y190" s="5">
        <f t="shared" si="62"/>
        <v>0</v>
      </c>
      <c r="Z190" s="5">
        <f t="shared" si="62"/>
        <v>0</v>
      </c>
      <c r="AA190" s="5">
        <f t="shared" si="62"/>
        <v>0</v>
      </c>
      <c r="AB190" s="5">
        <f t="shared" si="62"/>
        <v>0</v>
      </c>
      <c r="AC190" s="5">
        <f t="shared" si="62"/>
        <v>0</v>
      </c>
      <c r="AD190" s="5">
        <f t="shared" si="62"/>
        <v>0</v>
      </c>
      <c r="AE190" s="5">
        <f t="shared" si="62"/>
        <v>11501.15</v>
      </c>
      <c r="AF190" s="5">
        <f t="shared" si="62"/>
        <v>0</v>
      </c>
      <c r="AG190" s="5">
        <f t="shared" si="62"/>
        <v>0</v>
      </c>
      <c r="AH190" s="70" t="s">
        <v>131</v>
      </c>
      <c r="AI190" s="70" t="s">
        <v>131</v>
      </c>
      <c r="AJ190" s="70" t="s">
        <v>131</v>
      </c>
      <c r="AK190" s="16"/>
      <c r="AL190" s="16"/>
      <c r="AM190" s="16"/>
      <c r="AN190" s="16"/>
    </row>
    <row r="191" spans="1:40" ht="62.25" x14ac:dyDescent="0.9">
      <c r="A191" s="1">
        <v>1</v>
      </c>
      <c r="B191" s="18">
        <f>SUBTOTAL(103,$A$92:A191)</f>
        <v>89</v>
      </c>
      <c r="C191" s="68" t="s">
        <v>323</v>
      </c>
      <c r="D191" s="23" t="s">
        <v>379</v>
      </c>
      <c r="E191" s="21">
        <v>0.9657</v>
      </c>
      <c r="F191" s="5">
        <f>G191+H191+I191+J191+K191+L191+N191+P191+R191+T191+V191+W191+X191+Y191+Z191+AA191+AB191+AC191+AD191+AE191+AF191+AG191</f>
        <v>778244.79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25">
        <v>0</v>
      </c>
      <c r="N191" s="5">
        <v>0</v>
      </c>
      <c r="O191" s="5">
        <v>972.5</v>
      </c>
      <c r="P191" s="5">
        <v>766743.64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f>ROUND(P191*1.5%,2)</f>
        <v>11501.15</v>
      </c>
      <c r="AF191" s="5">
        <v>0</v>
      </c>
      <c r="AG191" s="5">
        <v>0</v>
      </c>
      <c r="AH191" s="70" t="s">
        <v>49</v>
      </c>
      <c r="AI191" s="70">
        <v>2020</v>
      </c>
      <c r="AJ191" s="70">
        <v>2020</v>
      </c>
      <c r="AK191" s="16"/>
      <c r="AL191" s="16"/>
      <c r="AM191" s="16"/>
      <c r="AN191" s="16"/>
    </row>
    <row r="192" spans="1:40" ht="62.25" x14ac:dyDescent="0.9">
      <c r="B192" s="67" t="s">
        <v>113</v>
      </c>
      <c r="C192" s="68"/>
      <c r="D192" s="69" t="s">
        <v>131</v>
      </c>
      <c r="E192" s="21">
        <f>AVERAGE(E193:E197)</f>
        <v>0.82111999999999996</v>
      </c>
      <c r="F192" s="5">
        <f>SUM(F193:F197)</f>
        <v>1856585.2200000002</v>
      </c>
      <c r="G192" s="5">
        <f t="shared" ref="G192:AG192" si="63">SUM(G193:G197)</f>
        <v>0</v>
      </c>
      <c r="H192" s="5">
        <f t="shared" si="63"/>
        <v>0</v>
      </c>
      <c r="I192" s="5">
        <f t="shared" si="63"/>
        <v>0</v>
      </c>
      <c r="J192" s="5">
        <f t="shared" si="63"/>
        <v>0</v>
      </c>
      <c r="K192" s="5">
        <f t="shared" si="63"/>
        <v>0</v>
      </c>
      <c r="L192" s="5">
        <f t="shared" si="63"/>
        <v>0</v>
      </c>
      <c r="M192" s="25">
        <f t="shared" si="63"/>
        <v>0</v>
      </c>
      <c r="N192" s="5">
        <f t="shared" si="63"/>
        <v>0</v>
      </c>
      <c r="O192" s="5">
        <f t="shared" si="63"/>
        <v>3056.1</v>
      </c>
      <c r="P192" s="5">
        <f t="shared" si="63"/>
        <v>1599138.5899999999</v>
      </c>
      <c r="Q192" s="5">
        <f t="shared" si="63"/>
        <v>0</v>
      </c>
      <c r="R192" s="5">
        <f t="shared" si="63"/>
        <v>0</v>
      </c>
      <c r="S192" s="5">
        <f t="shared" si="63"/>
        <v>157.6</v>
      </c>
      <c r="T192" s="5">
        <f t="shared" si="63"/>
        <v>230009.4</v>
      </c>
      <c r="U192" s="5">
        <f t="shared" si="63"/>
        <v>0</v>
      </c>
      <c r="V192" s="5">
        <f t="shared" si="63"/>
        <v>0</v>
      </c>
      <c r="W192" s="5">
        <f t="shared" si="63"/>
        <v>0</v>
      </c>
      <c r="X192" s="5">
        <f t="shared" si="63"/>
        <v>0</v>
      </c>
      <c r="Y192" s="5">
        <f t="shared" si="63"/>
        <v>0</v>
      </c>
      <c r="Z192" s="5">
        <f t="shared" si="63"/>
        <v>0</v>
      </c>
      <c r="AA192" s="5">
        <f t="shared" si="63"/>
        <v>0</v>
      </c>
      <c r="AB192" s="5">
        <f t="shared" si="63"/>
        <v>0</v>
      </c>
      <c r="AC192" s="5">
        <f t="shared" si="63"/>
        <v>0</v>
      </c>
      <c r="AD192" s="5">
        <f t="shared" si="63"/>
        <v>0</v>
      </c>
      <c r="AE192" s="5">
        <f t="shared" si="63"/>
        <v>27437.230000000003</v>
      </c>
      <c r="AF192" s="5">
        <f t="shared" si="63"/>
        <v>0</v>
      </c>
      <c r="AG192" s="5">
        <f t="shared" si="63"/>
        <v>0</v>
      </c>
      <c r="AH192" s="70" t="s">
        <v>131</v>
      </c>
      <c r="AI192" s="70" t="s">
        <v>131</v>
      </c>
      <c r="AJ192" s="70" t="s">
        <v>131</v>
      </c>
      <c r="AK192" s="16"/>
      <c r="AL192" s="16"/>
      <c r="AM192" s="16"/>
      <c r="AN192" s="16"/>
    </row>
    <row r="193" spans="1:40" ht="62.25" x14ac:dyDescent="0.9">
      <c r="A193" s="1">
        <v>1</v>
      </c>
      <c r="B193" s="18">
        <f>SUBTOTAL(103,$A$92:A193)</f>
        <v>90</v>
      </c>
      <c r="C193" s="68" t="s">
        <v>324</v>
      </c>
      <c r="D193" s="23" t="s">
        <v>379</v>
      </c>
      <c r="E193" s="21">
        <v>0.83589999999999998</v>
      </c>
      <c r="F193" s="5">
        <f>G193+H193+I193+J193+K193+L193+N193+P193+R193+T193+V193+W193+X193+Y193+Z193+AA193+AB193+AC193+AD193+AE193+AF193+AG193</f>
        <v>672709.20000000007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25">
        <v>0</v>
      </c>
      <c r="N193" s="5">
        <v>0</v>
      </c>
      <c r="O193" s="5">
        <v>958</v>
      </c>
      <c r="P193" s="5">
        <v>662767.68000000005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f>ROUND(P193*1.5%,2)</f>
        <v>9941.52</v>
      </c>
      <c r="AF193" s="5">
        <v>0</v>
      </c>
      <c r="AG193" s="5">
        <v>0</v>
      </c>
      <c r="AH193" s="70" t="s">
        <v>49</v>
      </c>
      <c r="AI193" s="70">
        <v>2020</v>
      </c>
      <c r="AJ193" s="70">
        <v>2020</v>
      </c>
      <c r="AK193" s="16"/>
      <c r="AL193" s="16"/>
      <c r="AM193" s="16"/>
      <c r="AN193" s="16"/>
    </row>
    <row r="194" spans="1:40" ht="62.25" x14ac:dyDescent="0.9">
      <c r="A194" s="1">
        <v>1</v>
      </c>
      <c r="B194" s="18">
        <f>SUBTOTAL(103,$A$92:A194)</f>
        <v>91</v>
      </c>
      <c r="C194" s="68" t="s">
        <v>325</v>
      </c>
      <c r="D194" s="23" t="s">
        <v>379</v>
      </c>
      <c r="E194" s="21">
        <v>0.86939999999999995</v>
      </c>
      <c r="F194" s="5">
        <f>G194+H194+I194+J194+K194+L194+N194+P194+R194+T194+V194+W194+X194+Y194+Z194+AA194+AB194+AC194+AD194+AE194+AF194+AG194</f>
        <v>5758.94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25">
        <v>0</v>
      </c>
      <c r="N194" s="5">
        <v>0</v>
      </c>
      <c r="O194" s="5">
        <v>611</v>
      </c>
      <c r="P194" s="5">
        <v>5673.83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f>ROUND(P194*1.5%,2)</f>
        <v>85.11</v>
      </c>
      <c r="AF194" s="5">
        <v>0</v>
      </c>
      <c r="AG194" s="5">
        <v>0</v>
      </c>
      <c r="AH194" s="70" t="s">
        <v>49</v>
      </c>
      <c r="AI194" s="70">
        <v>2020</v>
      </c>
      <c r="AJ194" s="70">
        <v>2020</v>
      </c>
      <c r="AK194" s="16"/>
      <c r="AL194" s="16"/>
      <c r="AM194" s="16"/>
      <c r="AN194" s="16"/>
    </row>
    <row r="195" spans="1:40" ht="62.25" x14ac:dyDescent="0.9">
      <c r="A195" s="1">
        <v>1</v>
      </c>
      <c r="B195" s="18">
        <f>SUBTOTAL(103,$A$92:A195)</f>
        <v>92</v>
      </c>
      <c r="C195" s="68" t="s">
        <v>326</v>
      </c>
      <c r="D195" s="27" t="s">
        <v>554</v>
      </c>
      <c r="E195" s="21">
        <v>0.62490000000000001</v>
      </c>
      <c r="F195" s="5">
        <f>G195+H195+I195+J195+K195+L195+N195+P195+R195+T195+V195+W195+X195+Y195+Z195+AA195+AB195+AC195+AD195+AE195+AF195+AG195</f>
        <v>233459.54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2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157.6</v>
      </c>
      <c r="T195" s="5">
        <v>230009.4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f>ROUND(T195*1.5%,2)</f>
        <v>3450.14</v>
      </c>
      <c r="AF195" s="5">
        <v>0</v>
      </c>
      <c r="AG195" s="5">
        <v>0</v>
      </c>
      <c r="AH195" s="70" t="s">
        <v>49</v>
      </c>
      <c r="AI195" s="70">
        <v>2020</v>
      </c>
      <c r="AJ195" s="70">
        <v>2020</v>
      </c>
      <c r="AK195" s="16"/>
      <c r="AL195" s="16"/>
      <c r="AM195" s="16"/>
      <c r="AN195" s="16"/>
    </row>
    <row r="196" spans="1:40" ht="62.25" x14ac:dyDescent="0.9">
      <c r="A196" s="1">
        <v>1</v>
      </c>
      <c r="B196" s="18">
        <f>SUBTOTAL(103,$A$92:A196)</f>
        <v>93</v>
      </c>
      <c r="C196" s="68" t="s">
        <v>353</v>
      </c>
      <c r="D196" s="23" t="s">
        <v>554</v>
      </c>
      <c r="E196" s="21">
        <v>0.875</v>
      </c>
      <c r="F196" s="5">
        <f>G196+H196+I196+J196+K196+L196+N196+P196+R196+T196+V196+W196+X196+Y196+Z196+AA196+AB196+AC196+AD196+AE196+AF196+AG196</f>
        <v>57671.29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25">
        <v>0</v>
      </c>
      <c r="N196" s="5">
        <v>0</v>
      </c>
      <c r="O196" s="5">
        <v>508</v>
      </c>
      <c r="P196" s="5">
        <v>56819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f>ROUND(P196*1.5%,2)</f>
        <v>852.29</v>
      </c>
      <c r="AF196" s="5">
        <v>0</v>
      </c>
      <c r="AG196" s="5">
        <v>0</v>
      </c>
      <c r="AH196" s="70" t="s">
        <v>49</v>
      </c>
      <c r="AI196" s="6">
        <v>2021</v>
      </c>
      <c r="AJ196" s="6">
        <v>2021</v>
      </c>
      <c r="AK196" s="16"/>
      <c r="AL196" s="16"/>
      <c r="AM196" s="16"/>
      <c r="AN196" s="16"/>
    </row>
    <row r="197" spans="1:40" ht="62.25" x14ac:dyDescent="0.9">
      <c r="A197" s="1">
        <v>1</v>
      </c>
      <c r="B197" s="18">
        <f>SUBTOTAL(103,$A$92:A197)</f>
        <v>94</v>
      </c>
      <c r="C197" s="68" t="s">
        <v>894</v>
      </c>
      <c r="D197" s="23">
        <v>2015</v>
      </c>
      <c r="E197" s="21">
        <v>0.90039999999999998</v>
      </c>
      <c r="F197" s="5">
        <f>G197+H197+I197+J197+K197+L197+N197+P197+R197+T197+V197+W197+X197+Y197+Z197+AA197+AB197+AC197+AD197+AE197+AF197+AG197</f>
        <v>886986.25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25">
        <v>0</v>
      </c>
      <c r="N197" s="5">
        <v>0</v>
      </c>
      <c r="O197" s="5">
        <v>979.1</v>
      </c>
      <c r="P197" s="5">
        <v>873878.08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f>ROUND(P197*1.5%,2)</f>
        <v>13108.17</v>
      </c>
      <c r="AF197" s="5">
        <v>0</v>
      </c>
      <c r="AG197" s="5">
        <v>0</v>
      </c>
      <c r="AH197" s="70" t="s">
        <v>49</v>
      </c>
      <c r="AI197" s="6">
        <v>2021</v>
      </c>
      <c r="AJ197" s="6">
        <v>2021</v>
      </c>
      <c r="AK197" s="16"/>
      <c r="AL197" s="16"/>
      <c r="AM197" s="16"/>
      <c r="AN197" s="16"/>
    </row>
    <row r="198" spans="1:40" ht="62.25" x14ac:dyDescent="0.9">
      <c r="B198" s="67" t="s">
        <v>125</v>
      </c>
      <c r="C198" s="68"/>
      <c r="D198" s="69" t="s">
        <v>131</v>
      </c>
      <c r="E198" s="21">
        <f>E199</f>
        <v>0.93430000000000002</v>
      </c>
      <c r="F198" s="5">
        <f>F199</f>
        <v>425208.96</v>
      </c>
      <c r="G198" s="5">
        <f t="shared" ref="G198:AG198" si="64">G199</f>
        <v>0</v>
      </c>
      <c r="H198" s="5">
        <f t="shared" si="64"/>
        <v>0</v>
      </c>
      <c r="I198" s="5">
        <f t="shared" si="64"/>
        <v>0</v>
      </c>
      <c r="J198" s="5">
        <f t="shared" si="64"/>
        <v>0</v>
      </c>
      <c r="K198" s="5">
        <f t="shared" si="64"/>
        <v>0</v>
      </c>
      <c r="L198" s="5">
        <f t="shared" si="64"/>
        <v>0</v>
      </c>
      <c r="M198" s="25">
        <f t="shared" si="64"/>
        <v>0</v>
      </c>
      <c r="N198" s="5">
        <f t="shared" si="64"/>
        <v>0</v>
      </c>
      <c r="O198" s="5">
        <f t="shared" si="64"/>
        <v>1223</v>
      </c>
      <c r="P198" s="5">
        <f t="shared" si="64"/>
        <v>425208.96</v>
      </c>
      <c r="Q198" s="5">
        <f t="shared" si="64"/>
        <v>0</v>
      </c>
      <c r="R198" s="5">
        <f t="shared" si="64"/>
        <v>0</v>
      </c>
      <c r="S198" s="5">
        <f t="shared" si="64"/>
        <v>0</v>
      </c>
      <c r="T198" s="5">
        <f t="shared" si="64"/>
        <v>0</v>
      </c>
      <c r="U198" s="5">
        <f t="shared" si="64"/>
        <v>0</v>
      </c>
      <c r="V198" s="5">
        <f t="shared" si="64"/>
        <v>0</v>
      </c>
      <c r="W198" s="5">
        <f t="shared" si="64"/>
        <v>0</v>
      </c>
      <c r="X198" s="5">
        <f t="shared" si="64"/>
        <v>0</v>
      </c>
      <c r="Y198" s="5">
        <f t="shared" si="64"/>
        <v>0</v>
      </c>
      <c r="Z198" s="5">
        <f t="shared" si="64"/>
        <v>0</v>
      </c>
      <c r="AA198" s="5">
        <f t="shared" si="64"/>
        <v>0</v>
      </c>
      <c r="AB198" s="5">
        <f t="shared" si="64"/>
        <v>0</v>
      </c>
      <c r="AC198" s="5">
        <f t="shared" si="64"/>
        <v>0</v>
      </c>
      <c r="AD198" s="5">
        <f t="shared" si="64"/>
        <v>0</v>
      </c>
      <c r="AE198" s="5">
        <f t="shared" si="64"/>
        <v>0</v>
      </c>
      <c r="AF198" s="5">
        <f t="shared" si="64"/>
        <v>0</v>
      </c>
      <c r="AG198" s="5">
        <f t="shared" si="64"/>
        <v>0</v>
      </c>
      <c r="AH198" s="70" t="s">
        <v>131</v>
      </c>
      <c r="AI198" s="70" t="s">
        <v>131</v>
      </c>
      <c r="AJ198" s="70" t="s">
        <v>131</v>
      </c>
      <c r="AK198" s="16"/>
      <c r="AL198" s="16"/>
      <c r="AM198" s="16"/>
      <c r="AN198" s="16"/>
    </row>
    <row r="199" spans="1:40" ht="62.25" x14ac:dyDescent="0.9">
      <c r="A199" s="1">
        <v>1</v>
      </c>
      <c r="B199" s="18">
        <f>SUBTOTAL(103,$A$92:A199)</f>
        <v>95</v>
      </c>
      <c r="C199" s="68" t="s">
        <v>327</v>
      </c>
      <c r="D199" s="23" t="s">
        <v>553</v>
      </c>
      <c r="E199" s="21">
        <v>0.93430000000000002</v>
      </c>
      <c r="F199" s="5">
        <f>G199+H199+I199+J199+K199+L199+N199+P199+R199+T199+V199+W199+X199+Y199+Z199+AA199+AB199+AC199+AD199+AE199+AF199+AG199</f>
        <v>425208.96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25">
        <v>0</v>
      </c>
      <c r="N199" s="5">
        <v>0</v>
      </c>
      <c r="O199" s="5">
        <v>1223</v>
      </c>
      <c r="P199" s="5">
        <v>425208.96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70" t="s">
        <v>49</v>
      </c>
      <c r="AI199" s="70">
        <v>2020</v>
      </c>
      <c r="AJ199" s="70" t="s">
        <v>49</v>
      </c>
      <c r="AK199" s="16"/>
      <c r="AL199" s="16"/>
      <c r="AM199" s="16"/>
      <c r="AN199" s="16"/>
    </row>
    <row r="200" spans="1:40" ht="62.25" x14ac:dyDescent="0.9">
      <c r="B200" s="67" t="s">
        <v>105</v>
      </c>
      <c r="C200" s="68"/>
      <c r="D200" s="69" t="s">
        <v>131</v>
      </c>
      <c r="E200" s="21">
        <f>AVERAGE(E201:E202)</f>
        <v>0.96888059793717207</v>
      </c>
      <c r="F200" s="5">
        <f>F201+F202</f>
        <v>243092.59999999998</v>
      </c>
      <c r="G200" s="5">
        <f t="shared" ref="G200:AG200" si="65">G201+G202</f>
        <v>0</v>
      </c>
      <c r="H200" s="5">
        <f t="shared" si="65"/>
        <v>0</v>
      </c>
      <c r="I200" s="5">
        <f t="shared" si="65"/>
        <v>0</v>
      </c>
      <c r="J200" s="5">
        <f t="shared" si="65"/>
        <v>0</v>
      </c>
      <c r="K200" s="5">
        <f t="shared" si="65"/>
        <v>0</v>
      </c>
      <c r="L200" s="5">
        <f t="shared" si="65"/>
        <v>0</v>
      </c>
      <c r="M200" s="5">
        <f t="shared" si="65"/>
        <v>0</v>
      </c>
      <c r="N200" s="5">
        <f t="shared" si="65"/>
        <v>0</v>
      </c>
      <c r="O200" s="5">
        <f t="shared" si="65"/>
        <v>1404.8</v>
      </c>
      <c r="P200" s="5">
        <f t="shared" si="65"/>
        <v>239500.09999999998</v>
      </c>
      <c r="Q200" s="5">
        <f t="shared" si="65"/>
        <v>0</v>
      </c>
      <c r="R200" s="5">
        <f t="shared" si="65"/>
        <v>0</v>
      </c>
      <c r="S200" s="5">
        <f t="shared" si="65"/>
        <v>0</v>
      </c>
      <c r="T200" s="5">
        <f t="shared" si="65"/>
        <v>0</v>
      </c>
      <c r="U200" s="5">
        <f t="shared" si="65"/>
        <v>0</v>
      </c>
      <c r="V200" s="5">
        <f t="shared" si="65"/>
        <v>0</v>
      </c>
      <c r="W200" s="5">
        <f t="shared" si="65"/>
        <v>0</v>
      </c>
      <c r="X200" s="5">
        <f t="shared" si="65"/>
        <v>0</v>
      </c>
      <c r="Y200" s="5">
        <f t="shared" si="65"/>
        <v>0</v>
      </c>
      <c r="Z200" s="5">
        <f t="shared" si="65"/>
        <v>0</v>
      </c>
      <c r="AA200" s="5">
        <f t="shared" si="65"/>
        <v>0</v>
      </c>
      <c r="AB200" s="5">
        <f t="shared" si="65"/>
        <v>0</v>
      </c>
      <c r="AC200" s="5">
        <f t="shared" si="65"/>
        <v>0</v>
      </c>
      <c r="AD200" s="5">
        <f t="shared" si="65"/>
        <v>0</v>
      </c>
      <c r="AE200" s="5">
        <f t="shared" si="65"/>
        <v>3592.5</v>
      </c>
      <c r="AF200" s="5">
        <f t="shared" si="65"/>
        <v>0</v>
      </c>
      <c r="AG200" s="5">
        <f t="shared" si="65"/>
        <v>0</v>
      </c>
      <c r="AH200" s="70" t="s">
        <v>131</v>
      </c>
      <c r="AI200" s="70" t="s">
        <v>131</v>
      </c>
      <c r="AJ200" s="70" t="s">
        <v>131</v>
      </c>
      <c r="AK200" s="16"/>
      <c r="AL200" s="16"/>
      <c r="AM200" s="16"/>
      <c r="AN200" s="16"/>
    </row>
    <row r="201" spans="1:40" ht="62.25" x14ac:dyDescent="0.9">
      <c r="A201" s="1">
        <v>1</v>
      </c>
      <c r="B201" s="18">
        <f>SUBTOTAL(103,$A$92:A201)</f>
        <v>96</v>
      </c>
      <c r="C201" s="68" t="s">
        <v>328</v>
      </c>
      <c r="D201" s="23" t="s">
        <v>553</v>
      </c>
      <c r="E201" s="21">
        <v>0.96641898912086177</v>
      </c>
      <c r="F201" s="5">
        <f>G201+H201+I201+J201+K201+L201+N201+P201+R201+T201+V201+W201+X201+Y201+Z201+AA201+AB201+AC201+AD201+AE201+AF201+AG201</f>
        <v>218819.08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25">
        <v>0</v>
      </c>
      <c r="N201" s="5">
        <v>0</v>
      </c>
      <c r="O201" s="5">
        <v>729.8</v>
      </c>
      <c r="P201" s="5">
        <v>215585.3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f>ROUND(P201*1.5%,2)</f>
        <v>3233.78</v>
      </c>
      <c r="AF201" s="5">
        <v>0</v>
      </c>
      <c r="AG201" s="5">
        <v>0</v>
      </c>
      <c r="AH201" s="70" t="s">
        <v>49</v>
      </c>
      <c r="AI201" s="70">
        <v>2020</v>
      </c>
      <c r="AJ201" s="70">
        <v>2020</v>
      </c>
      <c r="AK201" s="16"/>
      <c r="AL201" s="16"/>
      <c r="AM201" s="16"/>
      <c r="AN201" s="16"/>
    </row>
    <row r="202" spans="1:40" ht="62.25" x14ac:dyDescent="0.9">
      <c r="A202" s="1">
        <v>1</v>
      </c>
      <c r="B202" s="18">
        <f>SUBTOTAL(103,$A$92:A202)</f>
        <v>97</v>
      </c>
      <c r="C202" s="68" t="s">
        <v>566</v>
      </c>
      <c r="D202" s="23" t="s">
        <v>554</v>
      </c>
      <c r="E202" s="21">
        <v>0.97134220675348237</v>
      </c>
      <c r="F202" s="5">
        <f>P202+AE202</f>
        <v>24273.52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25">
        <v>0</v>
      </c>
      <c r="N202" s="5">
        <v>0</v>
      </c>
      <c r="O202" s="5">
        <v>675</v>
      </c>
      <c r="P202" s="5">
        <v>23914.799999999999</v>
      </c>
      <c r="Q202" s="5">
        <v>0</v>
      </c>
      <c r="R202" s="5">
        <v>0</v>
      </c>
      <c r="S202" s="5">
        <v>0</v>
      </c>
      <c r="T202" s="71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f>ROUND(P202*1.5%,2)</f>
        <v>358.72</v>
      </c>
      <c r="AF202" s="5">
        <v>0</v>
      </c>
      <c r="AG202" s="5">
        <v>0</v>
      </c>
      <c r="AH202" s="70" t="s">
        <v>49</v>
      </c>
      <c r="AI202" s="70">
        <v>2021</v>
      </c>
      <c r="AJ202" s="70">
        <v>2021</v>
      </c>
      <c r="AK202" s="16"/>
      <c r="AL202" s="16"/>
      <c r="AM202" s="16"/>
      <c r="AN202" s="16"/>
    </row>
    <row r="203" spans="1:40" ht="62.25" x14ac:dyDescent="0.9">
      <c r="B203" s="67" t="s">
        <v>112</v>
      </c>
      <c r="C203" s="68"/>
      <c r="D203" s="69" t="s">
        <v>131</v>
      </c>
      <c r="E203" s="21">
        <f>AVERAGE(E204:E205)</f>
        <v>0.79569999999999996</v>
      </c>
      <c r="F203" s="5">
        <f>F204+F205</f>
        <v>1988549.43</v>
      </c>
      <c r="G203" s="5">
        <f t="shared" ref="G203:AF203" si="66">G204+G205</f>
        <v>0</v>
      </c>
      <c r="H203" s="5">
        <f t="shared" si="66"/>
        <v>0</v>
      </c>
      <c r="I203" s="5">
        <f t="shared" si="66"/>
        <v>0</v>
      </c>
      <c r="J203" s="5">
        <f t="shared" si="66"/>
        <v>0</v>
      </c>
      <c r="K203" s="5">
        <f t="shared" si="66"/>
        <v>0</v>
      </c>
      <c r="L203" s="5">
        <f t="shared" si="66"/>
        <v>0</v>
      </c>
      <c r="M203" s="25">
        <f t="shared" si="66"/>
        <v>0</v>
      </c>
      <c r="N203" s="5">
        <f t="shared" si="66"/>
        <v>0</v>
      </c>
      <c r="O203" s="5">
        <f t="shared" si="66"/>
        <v>4741.7</v>
      </c>
      <c r="P203" s="5">
        <f t="shared" si="66"/>
        <v>1959162</v>
      </c>
      <c r="Q203" s="5">
        <f t="shared" si="66"/>
        <v>0</v>
      </c>
      <c r="R203" s="5">
        <f t="shared" si="66"/>
        <v>0</v>
      </c>
      <c r="S203" s="5">
        <f t="shared" si="66"/>
        <v>0</v>
      </c>
      <c r="T203" s="5">
        <f t="shared" si="66"/>
        <v>0</v>
      </c>
      <c r="U203" s="5">
        <f t="shared" si="66"/>
        <v>0</v>
      </c>
      <c r="V203" s="5">
        <f t="shared" si="66"/>
        <v>0</v>
      </c>
      <c r="W203" s="5">
        <f t="shared" si="66"/>
        <v>0</v>
      </c>
      <c r="X203" s="5">
        <f t="shared" si="66"/>
        <v>0</v>
      </c>
      <c r="Y203" s="5">
        <f t="shared" si="66"/>
        <v>0</v>
      </c>
      <c r="Z203" s="5">
        <f t="shared" si="66"/>
        <v>0</v>
      </c>
      <c r="AA203" s="5">
        <f t="shared" si="66"/>
        <v>0</v>
      </c>
      <c r="AB203" s="5">
        <f t="shared" si="66"/>
        <v>0</v>
      </c>
      <c r="AC203" s="5">
        <f t="shared" si="66"/>
        <v>0</v>
      </c>
      <c r="AD203" s="5">
        <f t="shared" si="66"/>
        <v>0</v>
      </c>
      <c r="AE203" s="5">
        <f t="shared" si="66"/>
        <v>29387.43</v>
      </c>
      <c r="AF203" s="5">
        <f t="shared" si="66"/>
        <v>0</v>
      </c>
      <c r="AG203" s="5">
        <f>AG204+AG205</f>
        <v>0</v>
      </c>
      <c r="AH203" s="70" t="s">
        <v>131</v>
      </c>
      <c r="AI203" s="70" t="s">
        <v>131</v>
      </c>
      <c r="AJ203" s="70" t="s">
        <v>131</v>
      </c>
      <c r="AK203" s="16"/>
      <c r="AL203" s="16"/>
      <c r="AM203" s="16"/>
      <c r="AN203" s="16"/>
    </row>
    <row r="204" spans="1:40" ht="62.25" x14ac:dyDescent="0.9">
      <c r="A204" s="1">
        <v>1</v>
      </c>
      <c r="B204" s="18">
        <f>SUBTOTAL(103,$A$92:A204)</f>
        <v>98</v>
      </c>
      <c r="C204" s="68" t="s">
        <v>329</v>
      </c>
      <c r="D204" s="23" t="s">
        <v>379</v>
      </c>
      <c r="E204" s="21">
        <v>0.87239999999999995</v>
      </c>
      <c r="F204" s="5">
        <f>G204+H204+I204+J204+K204+L204+N204+P204+R204+T204+V204+W204+X204+Y204+Z204+AA204+AB204+AC204+AD204+AE204+AF204+AG204</f>
        <v>83534.5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25">
        <v>0</v>
      </c>
      <c r="N204" s="5">
        <v>0</v>
      </c>
      <c r="O204" s="5">
        <v>2780.7</v>
      </c>
      <c r="P204" s="5">
        <v>82300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f>ROUND(P204*1.5%,2)</f>
        <v>1234.5</v>
      </c>
      <c r="AF204" s="5">
        <v>0</v>
      </c>
      <c r="AG204" s="5">
        <v>0</v>
      </c>
      <c r="AH204" s="70" t="s">
        <v>49</v>
      </c>
      <c r="AI204" s="6">
        <v>2021</v>
      </c>
      <c r="AJ204" s="6">
        <v>2021</v>
      </c>
      <c r="AK204" s="16"/>
      <c r="AL204" s="16"/>
      <c r="AM204" s="16"/>
      <c r="AN204" s="16"/>
    </row>
    <row r="205" spans="1:40" ht="62.25" x14ac:dyDescent="0.9">
      <c r="A205" s="1">
        <v>1</v>
      </c>
      <c r="B205" s="18">
        <f>SUBTOTAL(103,$A$92:A205)</f>
        <v>99</v>
      </c>
      <c r="C205" s="68" t="s">
        <v>330</v>
      </c>
      <c r="D205" s="23" t="s">
        <v>554</v>
      </c>
      <c r="E205" s="21">
        <v>0.71899999999999997</v>
      </c>
      <c r="F205" s="5">
        <f>G205+H205+I205+J205+K205+L205+N205+P205+R205+T205+V205+W205+X205+Y205+Z205+AA205+AB205+AC205+AD205+AE205+AF205+AG205</f>
        <v>1905014.93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25">
        <v>0</v>
      </c>
      <c r="N205" s="5">
        <v>0</v>
      </c>
      <c r="O205" s="5">
        <v>1961</v>
      </c>
      <c r="P205" s="5">
        <v>1876862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f>ROUND(P205*1.5%,2)</f>
        <v>28152.93</v>
      </c>
      <c r="AF205" s="5">
        <v>0</v>
      </c>
      <c r="AG205" s="5">
        <v>0</v>
      </c>
      <c r="AH205" s="70" t="s">
        <v>49</v>
      </c>
      <c r="AI205" s="6">
        <v>2021</v>
      </c>
      <c r="AJ205" s="6">
        <v>2021</v>
      </c>
      <c r="AK205" s="16"/>
      <c r="AL205" s="16"/>
      <c r="AM205" s="16"/>
      <c r="AN205" s="16"/>
    </row>
    <row r="206" spans="1:40" ht="62.25" x14ac:dyDescent="0.9">
      <c r="B206" s="67" t="s">
        <v>128</v>
      </c>
      <c r="C206" s="68"/>
      <c r="D206" s="69" t="s">
        <v>131</v>
      </c>
      <c r="E206" s="21">
        <f>AVERAGE(E207:E209)</f>
        <v>0.90376666666666672</v>
      </c>
      <c r="F206" s="5">
        <f>F207+F208+F209</f>
        <v>654592.74</v>
      </c>
      <c r="G206" s="5">
        <f t="shared" ref="G206:AG206" si="67">G207+G208+G209</f>
        <v>0</v>
      </c>
      <c r="H206" s="5">
        <f t="shared" si="67"/>
        <v>0</v>
      </c>
      <c r="I206" s="5">
        <f t="shared" si="67"/>
        <v>0</v>
      </c>
      <c r="J206" s="5">
        <f t="shared" si="67"/>
        <v>0</v>
      </c>
      <c r="K206" s="5">
        <f t="shared" si="67"/>
        <v>0</v>
      </c>
      <c r="L206" s="5">
        <f t="shared" si="67"/>
        <v>0</v>
      </c>
      <c r="M206" s="5">
        <f t="shared" si="67"/>
        <v>0</v>
      </c>
      <c r="N206" s="5">
        <f t="shared" si="67"/>
        <v>0</v>
      </c>
      <c r="O206" s="5">
        <f t="shared" si="67"/>
        <v>2046.8</v>
      </c>
      <c r="P206" s="5">
        <f t="shared" si="67"/>
        <v>644918.96</v>
      </c>
      <c r="Q206" s="5">
        <f t="shared" si="67"/>
        <v>0</v>
      </c>
      <c r="R206" s="5">
        <f t="shared" si="67"/>
        <v>0</v>
      </c>
      <c r="S206" s="5">
        <f t="shared" si="67"/>
        <v>0</v>
      </c>
      <c r="T206" s="5">
        <f t="shared" si="67"/>
        <v>0</v>
      </c>
      <c r="U206" s="5">
        <f t="shared" si="67"/>
        <v>0</v>
      </c>
      <c r="V206" s="5">
        <f t="shared" si="67"/>
        <v>0</v>
      </c>
      <c r="W206" s="5">
        <f t="shared" si="67"/>
        <v>0</v>
      </c>
      <c r="X206" s="5">
        <f t="shared" si="67"/>
        <v>0</v>
      </c>
      <c r="Y206" s="5">
        <f t="shared" si="67"/>
        <v>0</v>
      </c>
      <c r="Z206" s="5">
        <f t="shared" si="67"/>
        <v>0</v>
      </c>
      <c r="AA206" s="5">
        <f t="shared" si="67"/>
        <v>0</v>
      </c>
      <c r="AB206" s="5">
        <f t="shared" si="67"/>
        <v>0</v>
      </c>
      <c r="AC206" s="5">
        <f t="shared" si="67"/>
        <v>0</v>
      </c>
      <c r="AD206" s="5">
        <f t="shared" si="67"/>
        <v>0</v>
      </c>
      <c r="AE206" s="5">
        <f t="shared" si="67"/>
        <v>9673.7800000000007</v>
      </c>
      <c r="AF206" s="5">
        <f t="shared" si="67"/>
        <v>0</v>
      </c>
      <c r="AG206" s="5">
        <f t="shared" si="67"/>
        <v>0</v>
      </c>
      <c r="AH206" s="70" t="s">
        <v>131</v>
      </c>
      <c r="AI206" s="70" t="s">
        <v>131</v>
      </c>
      <c r="AJ206" s="70" t="s">
        <v>131</v>
      </c>
      <c r="AK206" s="16"/>
      <c r="AL206" s="16"/>
      <c r="AM206" s="16"/>
      <c r="AN206" s="16"/>
    </row>
    <row r="207" spans="1:40" ht="62.25" x14ac:dyDescent="0.9">
      <c r="A207" s="1">
        <v>1</v>
      </c>
      <c r="B207" s="18">
        <f>SUBTOTAL(103,$A$92:A207)</f>
        <v>100</v>
      </c>
      <c r="C207" s="68" t="s">
        <v>331</v>
      </c>
      <c r="D207" s="23" t="s">
        <v>554</v>
      </c>
      <c r="E207" s="21">
        <v>0.75539999999999996</v>
      </c>
      <c r="F207" s="5">
        <f>G207+H207+I207+J207+K207+L207+N207+P207+R207+T207+V207+W207+X207+Y207+Z207+AA207+AB207+AC207+AD207+AE207+AF207+AG207</f>
        <v>590350.84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25">
        <v>0</v>
      </c>
      <c r="N207" s="5">
        <v>0</v>
      </c>
      <c r="O207" s="5">
        <v>749</v>
      </c>
      <c r="P207" s="5">
        <f>543238.44+38388</f>
        <v>581626.43999999994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f>ROUND(P207*1.5%,2)</f>
        <v>8724.4</v>
      </c>
      <c r="AF207" s="5">
        <v>0</v>
      </c>
      <c r="AG207" s="5">
        <v>0</v>
      </c>
      <c r="AH207" s="70" t="s">
        <v>49</v>
      </c>
      <c r="AI207" s="70">
        <v>2020</v>
      </c>
      <c r="AJ207" s="70">
        <v>2020</v>
      </c>
      <c r="AK207" s="16"/>
      <c r="AL207" s="16"/>
      <c r="AM207" s="16"/>
      <c r="AN207" s="16"/>
    </row>
    <row r="208" spans="1:40" ht="62.25" x14ac:dyDescent="0.9">
      <c r="A208" s="1">
        <v>1</v>
      </c>
      <c r="B208" s="18">
        <f>SUBTOTAL(103,$A$92:A208)</f>
        <v>101</v>
      </c>
      <c r="C208" s="68" t="s">
        <v>332</v>
      </c>
      <c r="D208" s="23" t="s">
        <v>379</v>
      </c>
      <c r="E208" s="21">
        <v>0.95920000000000005</v>
      </c>
      <c r="F208" s="5">
        <f>G208+H208+I208+J208+K208+L208+N208+P208+R208+T208+V208+W208+X208+Y208+Z208+AA208+AB208+AC208+AD208+AE208+AF208+AG208</f>
        <v>30755.429999999997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25">
        <v>0</v>
      </c>
      <c r="N208" s="5">
        <v>0</v>
      </c>
      <c r="O208" s="5">
        <v>703.8</v>
      </c>
      <c r="P208" s="5">
        <v>30300.92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f>ROUND(P208*1.5%,2)</f>
        <v>454.51</v>
      </c>
      <c r="AF208" s="5">
        <v>0</v>
      </c>
      <c r="AG208" s="5">
        <v>0</v>
      </c>
      <c r="AH208" s="70" t="s">
        <v>49</v>
      </c>
      <c r="AI208" s="70">
        <v>2020</v>
      </c>
      <c r="AJ208" s="70">
        <v>2020</v>
      </c>
      <c r="AK208" s="16"/>
      <c r="AL208" s="16"/>
      <c r="AM208" s="16"/>
      <c r="AN208" s="16"/>
    </row>
    <row r="209" spans="1:40" ht="62.25" x14ac:dyDescent="0.9">
      <c r="A209" s="1">
        <v>1</v>
      </c>
      <c r="B209" s="18">
        <f>SUBTOTAL(103,$A$92:A209)</f>
        <v>102</v>
      </c>
      <c r="C209" s="68" t="s">
        <v>567</v>
      </c>
      <c r="D209" s="23" t="s">
        <v>379</v>
      </c>
      <c r="E209" s="21">
        <v>0.99670000000000003</v>
      </c>
      <c r="F209" s="5">
        <f>P209+AE209</f>
        <v>33486.47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25">
        <v>0</v>
      </c>
      <c r="N209" s="5">
        <v>0</v>
      </c>
      <c r="O209" s="5">
        <v>594</v>
      </c>
      <c r="P209" s="5">
        <v>32991.599999999999</v>
      </c>
      <c r="Q209" s="5">
        <v>0</v>
      </c>
      <c r="R209" s="5">
        <v>0</v>
      </c>
      <c r="S209" s="5">
        <v>0</v>
      </c>
      <c r="T209" s="71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f>ROUND(P209*1.5%,2)</f>
        <v>494.87</v>
      </c>
      <c r="AF209" s="5">
        <v>0</v>
      </c>
      <c r="AG209" s="5">
        <v>0</v>
      </c>
      <c r="AH209" s="70" t="s">
        <v>49</v>
      </c>
      <c r="AI209" s="70">
        <v>2021</v>
      </c>
      <c r="AJ209" s="70">
        <v>2021</v>
      </c>
      <c r="AK209" s="16"/>
      <c r="AL209" s="16"/>
      <c r="AM209" s="16"/>
      <c r="AN209" s="16"/>
    </row>
    <row r="210" spans="1:40" ht="62.25" x14ac:dyDescent="0.9">
      <c r="B210" s="67" t="s">
        <v>119</v>
      </c>
      <c r="C210" s="68"/>
      <c r="D210" s="69" t="s">
        <v>131</v>
      </c>
      <c r="E210" s="21">
        <f>E211</f>
        <v>0.95309999999999995</v>
      </c>
      <c r="F210" s="5">
        <f>F211</f>
        <v>39585</v>
      </c>
      <c r="G210" s="5">
        <f t="shared" ref="G210:AG210" si="68">G211</f>
        <v>0</v>
      </c>
      <c r="H210" s="5">
        <f t="shared" si="68"/>
        <v>0</v>
      </c>
      <c r="I210" s="5">
        <f t="shared" si="68"/>
        <v>0</v>
      </c>
      <c r="J210" s="5">
        <f t="shared" si="68"/>
        <v>0</v>
      </c>
      <c r="K210" s="5">
        <f t="shared" si="68"/>
        <v>0</v>
      </c>
      <c r="L210" s="5">
        <f t="shared" si="68"/>
        <v>0</v>
      </c>
      <c r="M210" s="25">
        <f t="shared" si="68"/>
        <v>0</v>
      </c>
      <c r="N210" s="5">
        <f t="shared" si="68"/>
        <v>0</v>
      </c>
      <c r="O210" s="5">
        <f t="shared" si="68"/>
        <v>544</v>
      </c>
      <c r="P210" s="5">
        <f t="shared" si="68"/>
        <v>39000</v>
      </c>
      <c r="Q210" s="5">
        <f t="shared" si="68"/>
        <v>0</v>
      </c>
      <c r="R210" s="5">
        <f t="shared" si="68"/>
        <v>0</v>
      </c>
      <c r="S210" s="5">
        <f t="shared" si="68"/>
        <v>0</v>
      </c>
      <c r="T210" s="5">
        <f t="shared" si="68"/>
        <v>0</v>
      </c>
      <c r="U210" s="5">
        <f t="shared" si="68"/>
        <v>0</v>
      </c>
      <c r="V210" s="5">
        <f t="shared" si="68"/>
        <v>0</v>
      </c>
      <c r="W210" s="5">
        <f t="shared" si="68"/>
        <v>0</v>
      </c>
      <c r="X210" s="5">
        <f t="shared" si="68"/>
        <v>0</v>
      </c>
      <c r="Y210" s="5">
        <f t="shared" si="68"/>
        <v>0</v>
      </c>
      <c r="Z210" s="5">
        <f t="shared" si="68"/>
        <v>0</v>
      </c>
      <c r="AA210" s="5">
        <f t="shared" si="68"/>
        <v>0</v>
      </c>
      <c r="AB210" s="5">
        <f t="shared" si="68"/>
        <v>0</v>
      </c>
      <c r="AC210" s="5">
        <f t="shared" si="68"/>
        <v>0</v>
      </c>
      <c r="AD210" s="5">
        <f t="shared" si="68"/>
        <v>0</v>
      </c>
      <c r="AE210" s="5">
        <f t="shared" si="68"/>
        <v>585</v>
      </c>
      <c r="AF210" s="5">
        <f t="shared" si="68"/>
        <v>0</v>
      </c>
      <c r="AG210" s="5">
        <f t="shared" si="68"/>
        <v>0</v>
      </c>
      <c r="AH210" s="70" t="s">
        <v>131</v>
      </c>
      <c r="AI210" s="70" t="s">
        <v>131</v>
      </c>
      <c r="AJ210" s="70" t="s">
        <v>131</v>
      </c>
      <c r="AK210" s="16"/>
      <c r="AL210" s="16"/>
      <c r="AM210" s="16"/>
      <c r="AN210" s="16"/>
    </row>
    <row r="211" spans="1:40" ht="62.25" x14ac:dyDescent="0.9">
      <c r="A211" s="1">
        <v>1</v>
      </c>
      <c r="B211" s="18">
        <f>SUBTOTAL(103,$A$92:A211)</f>
        <v>103</v>
      </c>
      <c r="C211" s="68" t="s">
        <v>333</v>
      </c>
      <c r="D211" s="23" t="s">
        <v>553</v>
      </c>
      <c r="E211" s="21">
        <v>0.95309999999999995</v>
      </c>
      <c r="F211" s="5">
        <f>G211+H211+I211+J211+K211+L211+N211+P211+R211+T211+V211+W211+X211+Y211+Z211+AA211+AB211+AC211+AD211+AE211+AF211+AG211</f>
        <v>39585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25">
        <v>0</v>
      </c>
      <c r="N211" s="5">
        <v>0</v>
      </c>
      <c r="O211" s="5">
        <v>544</v>
      </c>
      <c r="P211" s="5">
        <v>39000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f>ROUND(P211*1.5%,2)</f>
        <v>585</v>
      </c>
      <c r="AF211" s="5">
        <v>0</v>
      </c>
      <c r="AG211" s="5">
        <v>0</v>
      </c>
      <c r="AH211" s="70" t="s">
        <v>49</v>
      </c>
      <c r="AI211" s="6">
        <v>2021</v>
      </c>
      <c r="AJ211" s="6">
        <v>2021</v>
      </c>
      <c r="AK211" s="16"/>
      <c r="AL211" s="16"/>
      <c r="AM211" s="16"/>
      <c r="AN211" s="16"/>
    </row>
    <row r="212" spans="1:40" ht="62.25" x14ac:dyDescent="0.9">
      <c r="B212" s="67" t="s">
        <v>102</v>
      </c>
      <c r="C212" s="68"/>
      <c r="D212" s="69" t="s">
        <v>131</v>
      </c>
      <c r="E212" s="21">
        <f>E213</f>
        <v>0.81220000000000003</v>
      </c>
      <c r="F212" s="5">
        <f>F213</f>
        <v>275468.56</v>
      </c>
      <c r="G212" s="5">
        <f t="shared" ref="G212:AG212" si="69">G213</f>
        <v>0</v>
      </c>
      <c r="H212" s="5">
        <f t="shared" si="69"/>
        <v>0</v>
      </c>
      <c r="I212" s="5">
        <f t="shared" si="69"/>
        <v>0</v>
      </c>
      <c r="J212" s="5">
        <f t="shared" si="69"/>
        <v>0</v>
      </c>
      <c r="K212" s="5">
        <f t="shared" si="69"/>
        <v>0</v>
      </c>
      <c r="L212" s="5">
        <f t="shared" si="69"/>
        <v>0</v>
      </c>
      <c r="M212" s="25">
        <f t="shared" si="69"/>
        <v>0</v>
      </c>
      <c r="N212" s="5">
        <f t="shared" si="69"/>
        <v>0</v>
      </c>
      <c r="O212" s="5">
        <f t="shared" si="69"/>
        <v>708</v>
      </c>
      <c r="P212" s="5">
        <f t="shared" si="69"/>
        <v>271397.59999999998</v>
      </c>
      <c r="Q212" s="5">
        <f t="shared" si="69"/>
        <v>0</v>
      </c>
      <c r="R212" s="5">
        <f t="shared" si="69"/>
        <v>0</v>
      </c>
      <c r="S212" s="5">
        <f t="shared" si="69"/>
        <v>0</v>
      </c>
      <c r="T212" s="5">
        <f t="shared" si="69"/>
        <v>0</v>
      </c>
      <c r="U212" s="5">
        <f t="shared" si="69"/>
        <v>0</v>
      </c>
      <c r="V212" s="5">
        <f t="shared" si="69"/>
        <v>0</v>
      </c>
      <c r="W212" s="5">
        <f t="shared" si="69"/>
        <v>0</v>
      </c>
      <c r="X212" s="5">
        <f t="shared" si="69"/>
        <v>0</v>
      </c>
      <c r="Y212" s="5">
        <f t="shared" si="69"/>
        <v>0</v>
      </c>
      <c r="Z212" s="5">
        <f t="shared" si="69"/>
        <v>0</v>
      </c>
      <c r="AA212" s="5">
        <f t="shared" si="69"/>
        <v>0</v>
      </c>
      <c r="AB212" s="5">
        <f t="shared" si="69"/>
        <v>0</v>
      </c>
      <c r="AC212" s="5">
        <f t="shared" si="69"/>
        <v>0</v>
      </c>
      <c r="AD212" s="5">
        <f t="shared" si="69"/>
        <v>0</v>
      </c>
      <c r="AE212" s="5">
        <f t="shared" si="69"/>
        <v>4070.96</v>
      </c>
      <c r="AF212" s="5">
        <f t="shared" si="69"/>
        <v>0</v>
      </c>
      <c r="AG212" s="5">
        <f t="shared" si="69"/>
        <v>0</v>
      </c>
      <c r="AH212" s="70" t="s">
        <v>131</v>
      </c>
      <c r="AI212" s="70" t="s">
        <v>131</v>
      </c>
      <c r="AJ212" s="70" t="s">
        <v>131</v>
      </c>
      <c r="AK212" s="16"/>
    </row>
    <row r="213" spans="1:40" ht="62.25" x14ac:dyDescent="0.9">
      <c r="A213" s="1">
        <v>1</v>
      </c>
      <c r="B213" s="18">
        <f>SUBTOTAL(103,$A$92:A213)</f>
        <v>104</v>
      </c>
      <c r="C213" s="68" t="s">
        <v>334</v>
      </c>
      <c r="D213" s="23" t="s">
        <v>554</v>
      </c>
      <c r="E213" s="21">
        <v>0.81220000000000003</v>
      </c>
      <c r="F213" s="5">
        <f>G213+H213+I213+J213+K213+L213+N213+P213+R213+T213+V213+W213+X213+Y213+Z213+AA213+AB213+AC213+AD213+AE213+AF213+AG213</f>
        <v>275468.56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25">
        <v>0</v>
      </c>
      <c r="N213" s="5">
        <v>0</v>
      </c>
      <c r="O213" s="5">
        <v>708</v>
      </c>
      <c r="P213" s="5">
        <v>271397.59999999998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f>ROUND(P213*1.5%,2)</f>
        <v>4070.96</v>
      </c>
      <c r="AF213" s="5">
        <v>0</v>
      </c>
      <c r="AG213" s="5">
        <v>0</v>
      </c>
      <c r="AH213" s="70" t="s">
        <v>49</v>
      </c>
      <c r="AI213" s="6">
        <v>2021</v>
      </c>
      <c r="AJ213" s="6">
        <v>2021</v>
      </c>
      <c r="AK213" s="16"/>
    </row>
    <row r="214" spans="1:40" ht="62.25" x14ac:dyDescent="0.9">
      <c r="B214" s="67" t="s">
        <v>124</v>
      </c>
      <c r="C214" s="68"/>
      <c r="D214" s="27" t="s">
        <v>131</v>
      </c>
      <c r="E214" s="21">
        <v>0.82630000000000003</v>
      </c>
      <c r="F214" s="5">
        <v>50753.95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25">
        <v>0</v>
      </c>
      <c r="N214" s="5">
        <v>0</v>
      </c>
      <c r="O214" s="5">
        <v>828</v>
      </c>
      <c r="P214" s="5">
        <v>50003.89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750.06</v>
      </c>
      <c r="AF214" s="5">
        <v>0</v>
      </c>
      <c r="AG214" s="5">
        <v>0</v>
      </c>
      <c r="AH214" s="70" t="s">
        <v>131</v>
      </c>
      <c r="AI214" s="70" t="s">
        <v>131</v>
      </c>
      <c r="AJ214" s="70" t="s">
        <v>131</v>
      </c>
      <c r="AK214" s="16"/>
    </row>
    <row r="215" spans="1:40" ht="62.25" x14ac:dyDescent="0.9">
      <c r="A215" s="1">
        <v>1</v>
      </c>
      <c r="B215" s="18">
        <f>SUBTOTAL(103,$A$92:A215)</f>
        <v>105</v>
      </c>
      <c r="C215" s="68" t="s">
        <v>568</v>
      </c>
      <c r="D215" s="23" t="s">
        <v>553</v>
      </c>
      <c r="E215" s="21">
        <v>0.82630000000000003</v>
      </c>
      <c r="F215" s="5">
        <f>P215+AE215</f>
        <v>50753.95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25">
        <v>0</v>
      </c>
      <c r="N215" s="5">
        <v>0</v>
      </c>
      <c r="O215" s="5">
        <v>828</v>
      </c>
      <c r="P215" s="5">
        <v>50003.89</v>
      </c>
      <c r="Q215" s="5">
        <v>0</v>
      </c>
      <c r="R215" s="5">
        <v>0</v>
      </c>
      <c r="S215" s="5">
        <v>0</v>
      </c>
      <c r="T215" s="71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f>ROUND(P215*1.5%,2)</f>
        <v>750.06</v>
      </c>
      <c r="AF215" s="5">
        <v>0</v>
      </c>
      <c r="AG215" s="5">
        <v>0</v>
      </c>
      <c r="AH215" s="70" t="s">
        <v>49</v>
      </c>
      <c r="AI215" s="70">
        <v>2021</v>
      </c>
      <c r="AJ215" s="70">
        <v>2021</v>
      </c>
      <c r="AK215" s="16"/>
    </row>
    <row r="216" spans="1:40" ht="62.25" x14ac:dyDescent="0.9">
      <c r="B216" s="67" t="s">
        <v>116</v>
      </c>
      <c r="C216" s="68"/>
      <c r="D216" s="69" t="s">
        <v>131</v>
      </c>
      <c r="E216" s="21">
        <f>AVERAGE(E217:E220)</f>
        <v>0.90027499999999994</v>
      </c>
      <c r="F216" s="5">
        <f>F217+F218+F220</f>
        <v>109537.78</v>
      </c>
      <c r="G216" s="5">
        <f t="shared" ref="G216:AG216" si="70">G217+G218+G220</f>
        <v>0</v>
      </c>
      <c r="H216" s="5">
        <f t="shared" si="70"/>
        <v>0</v>
      </c>
      <c r="I216" s="5">
        <f t="shared" si="70"/>
        <v>0</v>
      </c>
      <c r="J216" s="5">
        <f t="shared" si="70"/>
        <v>0</v>
      </c>
      <c r="K216" s="5">
        <f t="shared" si="70"/>
        <v>0</v>
      </c>
      <c r="L216" s="5">
        <f t="shared" si="70"/>
        <v>0</v>
      </c>
      <c r="M216" s="25">
        <f t="shared" si="70"/>
        <v>0</v>
      </c>
      <c r="N216" s="5">
        <f t="shared" si="70"/>
        <v>0</v>
      </c>
      <c r="O216" s="5">
        <f t="shared" si="70"/>
        <v>1779.9</v>
      </c>
      <c r="P216" s="5">
        <f t="shared" si="70"/>
        <v>94406.12000000001</v>
      </c>
      <c r="Q216" s="5">
        <f t="shared" si="70"/>
        <v>0</v>
      </c>
      <c r="R216" s="5">
        <f t="shared" si="70"/>
        <v>0</v>
      </c>
      <c r="S216" s="5">
        <f t="shared" si="70"/>
        <v>474</v>
      </c>
      <c r="T216" s="5">
        <f t="shared" si="70"/>
        <v>13512.88</v>
      </c>
      <c r="U216" s="5">
        <f t="shared" si="70"/>
        <v>0</v>
      </c>
      <c r="V216" s="5">
        <f t="shared" si="70"/>
        <v>0</v>
      </c>
      <c r="W216" s="5">
        <f t="shared" si="70"/>
        <v>0</v>
      </c>
      <c r="X216" s="5">
        <f t="shared" si="70"/>
        <v>0</v>
      </c>
      <c r="Y216" s="5">
        <f t="shared" si="70"/>
        <v>0</v>
      </c>
      <c r="Z216" s="5">
        <f t="shared" si="70"/>
        <v>0</v>
      </c>
      <c r="AA216" s="5">
        <f t="shared" si="70"/>
        <v>0</v>
      </c>
      <c r="AB216" s="5">
        <f t="shared" si="70"/>
        <v>0</v>
      </c>
      <c r="AC216" s="5">
        <f t="shared" si="70"/>
        <v>0</v>
      </c>
      <c r="AD216" s="5">
        <f t="shared" si="70"/>
        <v>0</v>
      </c>
      <c r="AE216" s="5">
        <f t="shared" si="70"/>
        <v>1618.78</v>
      </c>
      <c r="AF216" s="5">
        <f t="shared" si="70"/>
        <v>0</v>
      </c>
      <c r="AG216" s="5">
        <f t="shared" si="70"/>
        <v>0</v>
      </c>
      <c r="AH216" s="70" t="s">
        <v>131</v>
      </c>
      <c r="AI216" s="70" t="s">
        <v>131</v>
      </c>
      <c r="AJ216" s="70" t="s">
        <v>131</v>
      </c>
      <c r="AK216" s="16"/>
    </row>
    <row r="217" spans="1:40" ht="62.25" x14ac:dyDescent="0.9">
      <c r="A217" s="1">
        <v>1</v>
      </c>
      <c r="B217" s="18">
        <f>SUBTOTAL(103,$A$92:A217)</f>
        <v>106</v>
      </c>
      <c r="C217" s="68" t="s">
        <v>335</v>
      </c>
      <c r="D217" s="23" t="s">
        <v>553</v>
      </c>
      <c r="E217" s="21">
        <v>0.96160000000000001</v>
      </c>
      <c r="F217" s="5">
        <f>G217+H217+I217+J217+K217+L217+N217+P217+R217+T217+V217+W217+X217+Y217+Z217+AA217+AB217+AC217+AD217+AE217+AF217+AG217</f>
        <v>82303.180000000008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25">
        <v>0</v>
      </c>
      <c r="N217" s="5">
        <v>0</v>
      </c>
      <c r="O217" s="5">
        <v>1245.4000000000001</v>
      </c>
      <c r="P217" s="5">
        <v>81086.880000000005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  <c r="AE217" s="5">
        <f>ROUND(P217*1.5%,2)</f>
        <v>1216.3</v>
      </c>
      <c r="AF217" s="5">
        <v>0</v>
      </c>
      <c r="AG217" s="5">
        <v>0</v>
      </c>
      <c r="AH217" s="70" t="s">
        <v>49</v>
      </c>
      <c r="AI217" s="6">
        <v>2021</v>
      </c>
      <c r="AJ217" s="6">
        <v>2021</v>
      </c>
      <c r="AK217" s="16"/>
    </row>
    <row r="218" spans="1:40" ht="62.25" x14ac:dyDescent="0.9">
      <c r="A218" s="1">
        <v>1</v>
      </c>
      <c r="B218" s="18">
        <f>SUBTOTAL(103,$A$92:A218)</f>
        <v>107</v>
      </c>
      <c r="C218" s="68" t="s">
        <v>336</v>
      </c>
      <c r="D218" s="23" t="s">
        <v>554</v>
      </c>
      <c r="E218" s="21">
        <v>0.92120000000000002</v>
      </c>
      <c r="F218" s="5">
        <f>G218+H218+I218+J218+K218+L218+N218+P218+R218+T218+V218+W218+X218+Y218+Z218+AA218+AB218+AC218+AD218+AE218+AF218+AG218</f>
        <v>13519.03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25">
        <v>0</v>
      </c>
      <c r="N218" s="5">
        <v>0</v>
      </c>
      <c r="O218" s="5">
        <v>534.5</v>
      </c>
      <c r="P218" s="5">
        <v>13319.24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f>ROUND(P218*1.5%,2)</f>
        <v>199.79</v>
      </c>
      <c r="AF218" s="5">
        <v>0</v>
      </c>
      <c r="AG218" s="5">
        <v>0</v>
      </c>
      <c r="AH218" s="70" t="s">
        <v>49</v>
      </c>
      <c r="AI218" s="6">
        <v>2021</v>
      </c>
      <c r="AJ218" s="6">
        <v>2021</v>
      </c>
      <c r="AK218" s="16"/>
    </row>
    <row r="219" spans="1:40" ht="62.25" x14ac:dyDescent="0.9">
      <c r="A219" s="1">
        <v>1</v>
      </c>
      <c r="B219" s="18">
        <f>SUBTOTAL(103,$A$92:A219)</f>
        <v>108</v>
      </c>
      <c r="C219" s="68" t="s">
        <v>337</v>
      </c>
      <c r="D219" s="69" t="s">
        <v>553</v>
      </c>
      <c r="E219" s="21">
        <v>0.85540000000000005</v>
      </c>
      <c r="F219" s="5">
        <f>G219+H219+I219+J219+K219+L219+N219+P219+R219+T219+V219+W219+X219+Y219+Z219+AA219+AB219+AC219+AD219+AE219+AF219+AG219</f>
        <v>178357.44</v>
      </c>
      <c r="G219" s="5">
        <v>0</v>
      </c>
      <c r="H219" s="5">
        <v>0</v>
      </c>
      <c r="I219" s="5">
        <v>175721.62</v>
      </c>
      <c r="J219" s="5">
        <v>0</v>
      </c>
      <c r="K219" s="5">
        <v>0</v>
      </c>
      <c r="L219" s="5">
        <v>0</v>
      </c>
      <c r="M219" s="2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f>ROUND(I219*1.5%,2)</f>
        <v>2635.82</v>
      </c>
      <c r="AF219" s="5">
        <v>0</v>
      </c>
      <c r="AG219" s="5">
        <v>0</v>
      </c>
      <c r="AH219" s="70" t="s">
        <v>49</v>
      </c>
      <c r="AI219" s="6">
        <v>2021</v>
      </c>
      <c r="AJ219" s="6">
        <v>2021</v>
      </c>
      <c r="AK219" s="16"/>
    </row>
    <row r="220" spans="1:40" ht="62.25" x14ac:dyDescent="0.9">
      <c r="A220" s="1">
        <v>1</v>
      </c>
      <c r="B220" s="18">
        <f>SUBTOTAL(103,$A$92:A220)</f>
        <v>109</v>
      </c>
      <c r="C220" s="68" t="s">
        <v>895</v>
      </c>
      <c r="D220" s="69">
        <v>2014</v>
      </c>
      <c r="E220" s="21">
        <v>0.8629</v>
      </c>
      <c r="F220" s="5">
        <f>G220+H220+I220+J220+K220+L220+N220+P220+R220+T220+V220+W220+X220+Y220+Z220+AA220+AB220+AC220+AD220+AE220+AF220+AG220</f>
        <v>13715.57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2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474</v>
      </c>
      <c r="T220" s="5">
        <v>13512.88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f>ROUND(T220*1.5%,2)</f>
        <v>202.69</v>
      </c>
      <c r="AF220" s="5">
        <v>0</v>
      </c>
      <c r="AG220" s="5">
        <v>0</v>
      </c>
      <c r="AH220" s="70" t="s">
        <v>49</v>
      </c>
      <c r="AI220" s="6">
        <v>2021</v>
      </c>
      <c r="AJ220" s="6">
        <v>2021</v>
      </c>
      <c r="AK220" s="16"/>
    </row>
    <row r="221" spans="1:40" ht="62.25" x14ac:dyDescent="0.9">
      <c r="B221" s="67" t="s">
        <v>237</v>
      </c>
      <c r="C221" s="68"/>
      <c r="D221" s="69" t="s">
        <v>131</v>
      </c>
      <c r="E221" s="21">
        <f>E222</f>
        <v>0.99180000000000001</v>
      </c>
      <c r="F221" s="5">
        <f>F222</f>
        <v>222759.59</v>
      </c>
      <c r="G221" s="5">
        <f t="shared" ref="G221:AG221" si="71">G222</f>
        <v>0</v>
      </c>
      <c r="H221" s="5">
        <f t="shared" si="71"/>
        <v>0</v>
      </c>
      <c r="I221" s="5">
        <f t="shared" si="71"/>
        <v>0</v>
      </c>
      <c r="J221" s="5">
        <f t="shared" si="71"/>
        <v>0</v>
      </c>
      <c r="K221" s="5">
        <f t="shared" si="71"/>
        <v>0</v>
      </c>
      <c r="L221" s="5">
        <f t="shared" si="71"/>
        <v>0</v>
      </c>
      <c r="M221" s="25">
        <f t="shared" si="71"/>
        <v>0</v>
      </c>
      <c r="N221" s="5">
        <f t="shared" si="71"/>
        <v>0</v>
      </c>
      <c r="O221" s="5">
        <f t="shared" si="71"/>
        <v>0</v>
      </c>
      <c r="P221" s="5">
        <f t="shared" si="71"/>
        <v>0</v>
      </c>
      <c r="Q221" s="5">
        <f t="shared" si="71"/>
        <v>0</v>
      </c>
      <c r="R221" s="5">
        <f t="shared" si="71"/>
        <v>0</v>
      </c>
      <c r="S221" s="5">
        <f t="shared" si="71"/>
        <v>488.11</v>
      </c>
      <c r="T221" s="5">
        <f t="shared" si="71"/>
        <v>219483.79</v>
      </c>
      <c r="U221" s="5">
        <f t="shared" si="71"/>
        <v>0</v>
      </c>
      <c r="V221" s="5">
        <f t="shared" si="71"/>
        <v>0</v>
      </c>
      <c r="W221" s="5">
        <f t="shared" si="71"/>
        <v>0</v>
      </c>
      <c r="X221" s="5">
        <f t="shared" si="71"/>
        <v>0</v>
      </c>
      <c r="Y221" s="5">
        <f t="shared" si="71"/>
        <v>0</v>
      </c>
      <c r="Z221" s="5">
        <f t="shared" si="71"/>
        <v>0</v>
      </c>
      <c r="AA221" s="5">
        <f t="shared" si="71"/>
        <v>0</v>
      </c>
      <c r="AB221" s="5">
        <f t="shared" si="71"/>
        <v>0</v>
      </c>
      <c r="AC221" s="5">
        <f t="shared" si="71"/>
        <v>0</v>
      </c>
      <c r="AD221" s="5">
        <f t="shared" si="71"/>
        <v>0</v>
      </c>
      <c r="AE221" s="5">
        <f t="shared" si="71"/>
        <v>3275.8</v>
      </c>
      <c r="AF221" s="5">
        <f t="shared" si="71"/>
        <v>0</v>
      </c>
      <c r="AG221" s="5">
        <f t="shared" si="71"/>
        <v>0</v>
      </c>
      <c r="AH221" s="70" t="s">
        <v>131</v>
      </c>
      <c r="AI221" s="70" t="s">
        <v>131</v>
      </c>
      <c r="AJ221" s="70" t="s">
        <v>131</v>
      </c>
      <c r="AK221" s="16"/>
    </row>
    <row r="222" spans="1:40" ht="62.25" x14ac:dyDescent="0.9">
      <c r="A222" s="1">
        <v>1</v>
      </c>
      <c r="B222" s="18">
        <f>SUBTOTAL(103,$A$92:A222)</f>
        <v>110</v>
      </c>
      <c r="C222" s="68" t="s">
        <v>338</v>
      </c>
      <c r="D222" s="69" t="s">
        <v>379</v>
      </c>
      <c r="E222" s="21">
        <v>0.99180000000000001</v>
      </c>
      <c r="F222" s="5">
        <f>G222+H222+I222+J222+K222+L222+N222+P222+R222+T222+V222+W222+X222+Y222+Z222+AA222+AB222+AC222+AD222+AE222+AF222+AG222</f>
        <v>222759.59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2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488.11</v>
      </c>
      <c r="T222" s="5">
        <v>219483.79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3275.8</v>
      </c>
      <c r="AF222" s="5">
        <v>0</v>
      </c>
      <c r="AG222" s="5">
        <v>0</v>
      </c>
      <c r="AH222" s="70" t="s">
        <v>49</v>
      </c>
      <c r="AI222" s="70">
        <v>2020</v>
      </c>
      <c r="AJ222" s="70">
        <v>2020</v>
      </c>
      <c r="AK222" s="16"/>
    </row>
    <row r="223" spans="1:40" ht="62.25" x14ac:dyDescent="0.9">
      <c r="B223" s="67" t="s">
        <v>114</v>
      </c>
      <c r="C223" s="68"/>
      <c r="D223" s="69" t="s">
        <v>131</v>
      </c>
      <c r="E223" s="21">
        <f>E224</f>
        <v>1</v>
      </c>
      <c r="F223" s="5">
        <f>F224</f>
        <v>137654.99000000002</v>
      </c>
      <c r="G223" s="5">
        <f t="shared" ref="G223:AG223" si="72">G224</f>
        <v>0</v>
      </c>
      <c r="H223" s="5">
        <f t="shared" si="72"/>
        <v>0</v>
      </c>
      <c r="I223" s="5">
        <f t="shared" si="72"/>
        <v>0</v>
      </c>
      <c r="J223" s="5">
        <f t="shared" si="72"/>
        <v>0</v>
      </c>
      <c r="K223" s="5">
        <f t="shared" si="72"/>
        <v>0</v>
      </c>
      <c r="L223" s="5">
        <f t="shared" si="72"/>
        <v>0</v>
      </c>
      <c r="M223" s="25">
        <f t="shared" si="72"/>
        <v>0</v>
      </c>
      <c r="N223" s="5">
        <f t="shared" si="72"/>
        <v>0</v>
      </c>
      <c r="O223" s="5">
        <f t="shared" si="72"/>
        <v>0</v>
      </c>
      <c r="P223" s="5">
        <f t="shared" si="72"/>
        <v>0</v>
      </c>
      <c r="Q223" s="5">
        <f t="shared" si="72"/>
        <v>0</v>
      </c>
      <c r="R223" s="5">
        <f t="shared" si="72"/>
        <v>0</v>
      </c>
      <c r="S223" s="5">
        <f t="shared" si="72"/>
        <v>370.88</v>
      </c>
      <c r="T223" s="5">
        <f t="shared" si="72"/>
        <v>135630.70000000001</v>
      </c>
      <c r="U223" s="5">
        <f t="shared" si="72"/>
        <v>0</v>
      </c>
      <c r="V223" s="5">
        <f t="shared" si="72"/>
        <v>0</v>
      </c>
      <c r="W223" s="5">
        <f t="shared" si="72"/>
        <v>0</v>
      </c>
      <c r="X223" s="5">
        <f t="shared" si="72"/>
        <v>0</v>
      </c>
      <c r="Y223" s="5">
        <f t="shared" si="72"/>
        <v>0</v>
      </c>
      <c r="Z223" s="5">
        <f t="shared" si="72"/>
        <v>0</v>
      </c>
      <c r="AA223" s="5">
        <f t="shared" si="72"/>
        <v>0</v>
      </c>
      <c r="AB223" s="5">
        <f t="shared" si="72"/>
        <v>0</v>
      </c>
      <c r="AC223" s="5">
        <f t="shared" si="72"/>
        <v>0</v>
      </c>
      <c r="AD223" s="5">
        <f t="shared" si="72"/>
        <v>0</v>
      </c>
      <c r="AE223" s="5">
        <f t="shared" si="72"/>
        <v>2024.29</v>
      </c>
      <c r="AF223" s="5">
        <f t="shared" si="72"/>
        <v>0</v>
      </c>
      <c r="AG223" s="5">
        <f t="shared" si="72"/>
        <v>0</v>
      </c>
      <c r="AH223" s="70" t="s">
        <v>131</v>
      </c>
      <c r="AI223" s="70" t="s">
        <v>131</v>
      </c>
      <c r="AJ223" s="70" t="s">
        <v>131</v>
      </c>
      <c r="AK223" s="16"/>
    </row>
    <row r="224" spans="1:40" ht="62.25" x14ac:dyDescent="0.9">
      <c r="A224" s="1">
        <v>1</v>
      </c>
      <c r="B224" s="18">
        <f>SUBTOTAL(103,$A$92:A224)</f>
        <v>111</v>
      </c>
      <c r="C224" s="68" t="s">
        <v>339</v>
      </c>
      <c r="D224" s="69" t="s">
        <v>379</v>
      </c>
      <c r="E224" s="21">
        <v>1</v>
      </c>
      <c r="F224" s="5">
        <f>G224+H224+I224+J224+K224+L224+N224+P224+R224+T224+V224+W224+X224+Y224+Z224+AA224+AB224+AC224+AD224+AE224+AF224+AG224</f>
        <v>137654.99000000002</v>
      </c>
      <c r="G224" s="5">
        <v>0</v>
      </c>
      <c r="H224" s="5">
        <v>0</v>
      </c>
      <c r="I224" s="5">
        <v>0</v>
      </c>
      <c r="J224" s="5">
        <v>0</v>
      </c>
      <c r="K224" s="5">
        <v>0</v>
      </c>
      <c r="L224" s="5">
        <v>0</v>
      </c>
      <c r="M224" s="2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370.88</v>
      </c>
      <c r="T224" s="5">
        <v>135630.70000000001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2024.29</v>
      </c>
      <c r="AF224" s="5">
        <v>0</v>
      </c>
      <c r="AG224" s="5">
        <v>0</v>
      </c>
      <c r="AH224" s="70" t="s">
        <v>49</v>
      </c>
      <c r="AI224" s="70">
        <v>2020</v>
      </c>
      <c r="AJ224" s="70">
        <v>2020</v>
      </c>
      <c r="AK224" s="16"/>
    </row>
    <row r="225" spans="1:37" ht="62.25" x14ac:dyDescent="0.9">
      <c r="B225" s="67" t="s">
        <v>107</v>
      </c>
      <c r="C225" s="68"/>
      <c r="D225" s="69" t="s">
        <v>131</v>
      </c>
      <c r="E225" s="21">
        <f>E226</f>
        <v>0.98829999999999996</v>
      </c>
      <c r="F225" s="5">
        <f>F226</f>
        <v>894902.36</v>
      </c>
      <c r="G225" s="5">
        <f t="shared" ref="G225:AG225" si="73">G226</f>
        <v>0</v>
      </c>
      <c r="H225" s="5">
        <f t="shared" si="73"/>
        <v>0</v>
      </c>
      <c r="I225" s="5">
        <f t="shared" si="73"/>
        <v>0</v>
      </c>
      <c r="J225" s="5">
        <f t="shared" si="73"/>
        <v>0</v>
      </c>
      <c r="K225" s="5">
        <f t="shared" si="73"/>
        <v>0</v>
      </c>
      <c r="L225" s="5">
        <f t="shared" si="73"/>
        <v>0</v>
      </c>
      <c r="M225" s="25">
        <f t="shared" si="73"/>
        <v>0</v>
      </c>
      <c r="N225" s="5">
        <f t="shared" si="73"/>
        <v>0</v>
      </c>
      <c r="O225" s="5">
        <f t="shared" si="73"/>
        <v>400</v>
      </c>
      <c r="P225" s="5">
        <f t="shared" si="73"/>
        <v>881677.2</v>
      </c>
      <c r="Q225" s="5">
        <f t="shared" si="73"/>
        <v>0</v>
      </c>
      <c r="R225" s="5">
        <f t="shared" si="73"/>
        <v>0</v>
      </c>
      <c r="S225" s="5">
        <f t="shared" si="73"/>
        <v>0</v>
      </c>
      <c r="T225" s="5">
        <f t="shared" si="73"/>
        <v>0</v>
      </c>
      <c r="U225" s="5">
        <f t="shared" si="73"/>
        <v>0</v>
      </c>
      <c r="V225" s="5">
        <f t="shared" si="73"/>
        <v>0</v>
      </c>
      <c r="W225" s="5">
        <f t="shared" si="73"/>
        <v>0</v>
      </c>
      <c r="X225" s="5">
        <f t="shared" si="73"/>
        <v>0</v>
      </c>
      <c r="Y225" s="5">
        <f t="shared" si="73"/>
        <v>0</v>
      </c>
      <c r="Z225" s="5">
        <f t="shared" si="73"/>
        <v>0</v>
      </c>
      <c r="AA225" s="5">
        <f t="shared" si="73"/>
        <v>0</v>
      </c>
      <c r="AB225" s="5">
        <f t="shared" si="73"/>
        <v>0</v>
      </c>
      <c r="AC225" s="5">
        <f t="shared" si="73"/>
        <v>0</v>
      </c>
      <c r="AD225" s="5">
        <f t="shared" si="73"/>
        <v>0</v>
      </c>
      <c r="AE225" s="5">
        <f t="shared" si="73"/>
        <v>13225.16</v>
      </c>
      <c r="AF225" s="5">
        <f t="shared" si="73"/>
        <v>0</v>
      </c>
      <c r="AG225" s="5">
        <f t="shared" si="73"/>
        <v>0</v>
      </c>
      <c r="AH225" s="70" t="s">
        <v>131</v>
      </c>
      <c r="AI225" s="70" t="s">
        <v>131</v>
      </c>
      <c r="AJ225" s="70" t="s">
        <v>131</v>
      </c>
      <c r="AK225" s="16"/>
    </row>
    <row r="226" spans="1:37" ht="62.25" x14ac:dyDescent="0.9">
      <c r="A226" s="1">
        <v>1</v>
      </c>
      <c r="B226" s="18">
        <f>SUBTOTAL(103,$A$92:A226)</f>
        <v>112</v>
      </c>
      <c r="C226" s="68" t="s">
        <v>340</v>
      </c>
      <c r="D226" s="23" t="s">
        <v>554</v>
      </c>
      <c r="E226" s="21">
        <v>0.98829999999999996</v>
      </c>
      <c r="F226" s="5">
        <f>G226+H226+I226+J226+K226+L226+N226+P226+R226+T226+V226+W226+X226+Y226+Z226+AA226+AB226+AC226+AD226+AE226+AF226+AG226</f>
        <v>894902.36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25">
        <v>0</v>
      </c>
      <c r="N226" s="5">
        <v>0</v>
      </c>
      <c r="O226" s="5">
        <v>400</v>
      </c>
      <c r="P226" s="5">
        <v>881677.2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f>ROUND(P226*1.5%,2)</f>
        <v>13225.16</v>
      </c>
      <c r="AF226" s="5">
        <v>0</v>
      </c>
      <c r="AG226" s="5">
        <v>0</v>
      </c>
      <c r="AH226" s="70" t="s">
        <v>49</v>
      </c>
      <c r="AI226" s="6">
        <v>2021</v>
      </c>
      <c r="AJ226" s="6">
        <v>2021</v>
      </c>
      <c r="AK226" s="16"/>
    </row>
    <row r="227" spans="1:37" ht="62.25" x14ac:dyDescent="0.9">
      <c r="B227" s="67" t="s">
        <v>111</v>
      </c>
      <c r="C227" s="68"/>
      <c r="D227" s="69" t="s">
        <v>131</v>
      </c>
      <c r="E227" s="21">
        <f>E228</f>
        <v>0.72670000000000001</v>
      </c>
      <c r="F227" s="5">
        <f>F228</f>
        <v>40586.949999999997</v>
      </c>
      <c r="G227" s="5">
        <f t="shared" ref="G227:AG227" si="74">G228</f>
        <v>0</v>
      </c>
      <c r="H227" s="5">
        <f t="shared" si="74"/>
        <v>0</v>
      </c>
      <c r="I227" s="5">
        <f t="shared" si="74"/>
        <v>0</v>
      </c>
      <c r="J227" s="5">
        <f t="shared" si="74"/>
        <v>0</v>
      </c>
      <c r="K227" s="5">
        <f t="shared" si="74"/>
        <v>0</v>
      </c>
      <c r="L227" s="5">
        <f t="shared" si="74"/>
        <v>0</v>
      </c>
      <c r="M227" s="25">
        <f t="shared" si="74"/>
        <v>0</v>
      </c>
      <c r="N227" s="5">
        <f t="shared" si="74"/>
        <v>0</v>
      </c>
      <c r="O227" s="5">
        <f t="shared" si="74"/>
        <v>651</v>
      </c>
      <c r="P227" s="5">
        <f t="shared" si="74"/>
        <v>39987.14</v>
      </c>
      <c r="Q227" s="5">
        <f t="shared" si="74"/>
        <v>0</v>
      </c>
      <c r="R227" s="5">
        <f t="shared" si="74"/>
        <v>0</v>
      </c>
      <c r="S227" s="5">
        <f t="shared" si="74"/>
        <v>0</v>
      </c>
      <c r="T227" s="5">
        <f t="shared" si="74"/>
        <v>0</v>
      </c>
      <c r="U227" s="5">
        <f t="shared" si="74"/>
        <v>0</v>
      </c>
      <c r="V227" s="5">
        <f t="shared" si="74"/>
        <v>0</v>
      </c>
      <c r="W227" s="5">
        <f t="shared" si="74"/>
        <v>0</v>
      </c>
      <c r="X227" s="5">
        <f t="shared" si="74"/>
        <v>0</v>
      </c>
      <c r="Y227" s="5">
        <f t="shared" si="74"/>
        <v>0</v>
      </c>
      <c r="Z227" s="5">
        <f t="shared" si="74"/>
        <v>0</v>
      </c>
      <c r="AA227" s="5">
        <f t="shared" si="74"/>
        <v>0</v>
      </c>
      <c r="AB227" s="5">
        <f t="shared" si="74"/>
        <v>0</v>
      </c>
      <c r="AC227" s="5">
        <f t="shared" si="74"/>
        <v>0</v>
      </c>
      <c r="AD227" s="5">
        <f t="shared" si="74"/>
        <v>0</v>
      </c>
      <c r="AE227" s="5">
        <f t="shared" si="74"/>
        <v>599.80999999999995</v>
      </c>
      <c r="AF227" s="5">
        <f t="shared" si="74"/>
        <v>0</v>
      </c>
      <c r="AG227" s="5">
        <f t="shared" si="74"/>
        <v>0</v>
      </c>
      <c r="AH227" s="70" t="s">
        <v>131</v>
      </c>
      <c r="AI227" s="70" t="s">
        <v>131</v>
      </c>
      <c r="AJ227" s="70" t="s">
        <v>131</v>
      </c>
      <c r="AK227" s="16"/>
    </row>
    <row r="228" spans="1:37" ht="62.25" x14ac:dyDescent="0.9">
      <c r="A228" s="1">
        <v>1</v>
      </c>
      <c r="B228" s="18">
        <f>SUBTOTAL(103,$A$92:A228)</f>
        <v>113</v>
      </c>
      <c r="C228" s="68" t="s">
        <v>341</v>
      </c>
      <c r="D228" s="23" t="s">
        <v>379</v>
      </c>
      <c r="E228" s="21">
        <v>0.72670000000000001</v>
      </c>
      <c r="F228" s="5">
        <f>G228+H228+I228+J228+K228+L228+N228+P228+R228+T228+V228+W228+X228+Y228+Z228+AA228+AB228+AC228+AD228+AE228+AF228+AG228</f>
        <v>40586.949999999997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25">
        <v>0</v>
      </c>
      <c r="N228" s="5">
        <v>0</v>
      </c>
      <c r="O228" s="5">
        <v>651</v>
      </c>
      <c r="P228" s="5">
        <v>39987.14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f>ROUND(P228*1.5%,2)</f>
        <v>599.80999999999995</v>
      </c>
      <c r="AF228" s="5">
        <v>0</v>
      </c>
      <c r="AG228" s="5">
        <v>0</v>
      </c>
      <c r="AH228" s="70" t="s">
        <v>49</v>
      </c>
      <c r="AI228" s="6">
        <v>2021</v>
      </c>
      <c r="AJ228" s="6">
        <v>2021</v>
      </c>
      <c r="AK228" s="16"/>
    </row>
    <row r="229" spans="1:37" ht="62.25" x14ac:dyDescent="0.9">
      <c r="B229" s="67" t="s">
        <v>118</v>
      </c>
      <c r="C229" s="68"/>
      <c r="D229" s="69" t="s">
        <v>131</v>
      </c>
      <c r="E229" s="21">
        <f>E230</f>
        <v>0.98380000000000001</v>
      </c>
      <c r="F229" s="5">
        <f>F230</f>
        <v>39622.869999999995</v>
      </c>
      <c r="G229" s="5">
        <f t="shared" ref="G229:AG229" si="75">G230</f>
        <v>0</v>
      </c>
      <c r="H229" s="5">
        <f t="shared" si="75"/>
        <v>0</v>
      </c>
      <c r="I229" s="5">
        <f t="shared" si="75"/>
        <v>0</v>
      </c>
      <c r="J229" s="5">
        <f t="shared" si="75"/>
        <v>0</v>
      </c>
      <c r="K229" s="5">
        <f t="shared" si="75"/>
        <v>0</v>
      </c>
      <c r="L229" s="5">
        <f t="shared" si="75"/>
        <v>0</v>
      </c>
      <c r="M229" s="25">
        <f t="shared" si="75"/>
        <v>0</v>
      </c>
      <c r="N229" s="5">
        <f t="shared" si="75"/>
        <v>0</v>
      </c>
      <c r="O229" s="5">
        <f t="shared" si="75"/>
        <v>762</v>
      </c>
      <c r="P229" s="5">
        <f t="shared" si="75"/>
        <v>39037.31</v>
      </c>
      <c r="Q229" s="5">
        <f t="shared" si="75"/>
        <v>0</v>
      </c>
      <c r="R229" s="5">
        <f t="shared" si="75"/>
        <v>0</v>
      </c>
      <c r="S229" s="5">
        <f t="shared" si="75"/>
        <v>0</v>
      </c>
      <c r="T229" s="5">
        <f t="shared" si="75"/>
        <v>0</v>
      </c>
      <c r="U229" s="5">
        <f t="shared" si="75"/>
        <v>0</v>
      </c>
      <c r="V229" s="5">
        <f t="shared" si="75"/>
        <v>0</v>
      </c>
      <c r="W229" s="5">
        <f t="shared" si="75"/>
        <v>0</v>
      </c>
      <c r="X229" s="5">
        <f t="shared" si="75"/>
        <v>0</v>
      </c>
      <c r="Y229" s="5">
        <f t="shared" si="75"/>
        <v>0</v>
      </c>
      <c r="Z229" s="5">
        <f t="shared" si="75"/>
        <v>0</v>
      </c>
      <c r="AA229" s="5">
        <f t="shared" si="75"/>
        <v>0</v>
      </c>
      <c r="AB229" s="5">
        <f t="shared" si="75"/>
        <v>0</v>
      </c>
      <c r="AC229" s="5">
        <f t="shared" si="75"/>
        <v>0</v>
      </c>
      <c r="AD229" s="5">
        <f t="shared" si="75"/>
        <v>0</v>
      </c>
      <c r="AE229" s="5">
        <f t="shared" si="75"/>
        <v>585.55999999999995</v>
      </c>
      <c r="AF229" s="5">
        <f t="shared" si="75"/>
        <v>0</v>
      </c>
      <c r="AG229" s="5">
        <f t="shared" si="75"/>
        <v>0</v>
      </c>
      <c r="AH229" s="70" t="s">
        <v>131</v>
      </c>
      <c r="AI229" s="70" t="s">
        <v>131</v>
      </c>
      <c r="AJ229" s="70" t="s">
        <v>131</v>
      </c>
      <c r="AK229" s="16"/>
    </row>
    <row r="230" spans="1:37" ht="62.25" x14ac:dyDescent="0.9">
      <c r="A230" s="1">
        <v>1</v>
      </c>
      <c r="B230" s="18">
        <f>SUBTOTAL(103,$A$92:A230)</f>
        <v>114</v>
      </c>
      <c r="C230" s="68" t="s">
        <v>342</v>
      </c>
      <c r="D230" s="23" t="s">
        <v>554</v>
      </c>
      <c r="E230" s="21">
        <v>0.98380000000000001</v>
      </c>
      <c r="F230" s="5">
        <f>G230+H230+I230+J230+K230+L230+N230+P230+R230+T230+V230+W230+X230+Y230+Z230+AA230+AB230+AC230+AD230+AE230+AF230+AG230</f>
        <v>39622.869999999995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25">
        <v>0</v>
      </c>
      <c r="N230" s="5">
        <v>0</v>
      </c>
      <c r="O230" s="5">
        <v>762</v>
      </c>
      <c r="P230" s="5">
        <v>39037.31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f>ROUND(P230*1.5%,2)</f>
        <v>585.55999999999995</v>
      </c>
      <c r="AF230" s="5">
        <v>0</v>
      </c>
      <c r="AG230" s="5">
        <v>0</v>
      </c>
      <c r="AH230" s="70" t="s">
        <v>49</v>
      </c>
      <c r="AI230" s="70">
        <v>2020</v>
      </c>
      <c r="AJ230" s="70">
        <v>2020</v>
      </c>
      <c r="AK230" s="16"/>
    </row>
    <row r="231" spans="1:37" ht="62.25" x14ac:dyDescent="0.9">
      <c r="B231" s="67" t="s">
        <v>106</v>
      </c>
      <c r="C231" s="68"/>
      <c r="D231" s="69" t="s">
        <v>131</v>
      </c>
      <c r="E231" s="21">
        <f>E232</f>
        <v>0.98480000000000001</v>
      </c>
      <c r="F231" s="5">
        <f>F232</f>
        <v>1045972.2</v>
      </c>
      <c r="G231" s="5">
        <f t="shared" ref="G231:AG231" si="76">G232</f>
        <v>0</v>
      </c>
      <c r="H231" s="5">
        <f t="shared" si="76"/>
        <v>0</v>
      </c>
      <c r="I231" s="5">
        <f t="shared" si="76"/>
        <v>0</v>
      </c>
      <c r="J231" s="5">
        <f t="shared" si="76"/>
        <v>0</v>
      </c>
      <c r="K231" s="5">
        <f t="shared" si="76"/>
        <v>0</v>
      </c>
      <c r="L231" s="5">
        <f t="shared" si="76"/>
        <v>0</v>
      </c>
      <c r="M231" s="25">
        <f t="shared" si="76"/>
        <v>0</v>
      </c>
      <c r="N231" s="5">
        <f t="shared" si="76"/>
        <v>0</v>
      </c>
      <c r="O231" s="5">
        <f t="shared" si="76"/>
        <v>1187</v>
      </c>
      <c r="P231" s="5">
        <f t="shared" si="76"/>
        <v>1030514.48</v>
      </c>
      <c r="Q231" s="5">
        <f t="shared" si="76"/>
        <v>0</v>
      </c>
      <c r="R231" s="5">
        <f t="shared" si="76"/>
        <v>0</v>
      </c>
      <c r="S231" s="5">
        <f t="shared" si="76"/>
        <v>0</v>
      </c>
      <c r="T231" s="5">
        <f t="shared" si="76"/>
        <v>0</v>
      </c>
      <c r="U231" s="5">
        <f t="shared" si="76"/>
        <v>0</v>
      </c>
      <c r="V231" s="5">
        <f t="shared" si="76"/>
        <v>0</v>
      </c>
      <c r="W231" s="5">
        <f t="shared" si="76"/>
        <v>0</v>
      </c>
      <c r="X231" s="5">
        <f t="shared" si="76"/>
        <v>0</v>
      </c>
      <c r="Y231" s="5">
        <f t="shared" si="76"/>
        <v>0</v>
      </c>
      <c r="Z231" s="5">
        <f t="shared" si="76"/>
        <v>0</v>
      </c>
      <c r="AA231" s="5">
        <f t="shared" si="76"/>
        <v>0</v>
      </c>
      <c r="AB231" s="5">
        <f t="shared" si="76"/>
        <v>0</v>
      </c>
      <c r="AC231" s="5">
        <f t="shared" si="76"/>
        <v>0</v>
      </c>
      <c r="AD231" s="5">
        <f t="shared" si="76"/>
        <v>0</v>
      </c>
      <c r="AE231" s="5">
        <f t="shared" si="76"/>
        <v>15457.72</v>
      </c>
      <c r="AF231" s="5">
        <f t="shared" si="76"/>
        <v>0</v>
      </c>
      <c r="AG231" s="5">
        <f t="shared" si="76"/>
        <v>0</v>
      </c>
      <c r="AH231" s="70" t="s">
        <v>131</v>
      </c>
      <c r="AI231" s="70" t="s">
        <v>131</v>
      </c>
      <c r="AJ231" s="70" t="s">
        <v>131</v>
      </c>
      <c r="AK231" s="16"/>
    </row>
    <row r="232" spans="1:37" ht="62.25" x14ac:dyDescent="0.9">
      <c r="A232" s="1">
        <v>1</v>
      </c>
      <c r="B232" s="18">
        <f>SUBTOTAL(103,$A$92:A232)</f>
        <v>115</v>
      </c>
      <c r="C232" s="68" t="s">
        <v>893</v>
      </c>
      <c r="D232" s="23">
        <v>2014</v>
      </c>
      <c r="E232" s="21">
        <v>0.98480000000000001</v>
      </c>
      <c r="F232" s="5">
        <f>G232+H232+I232+J232+K232+L232+N232+P232+R232+T232+V232+W232+X232+Y232+Z232+AA232+AB232+AC232+AD232+AE232+AF232+AG232</f>
        <v>1045972.2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25">
        <v>0</v>
      </c>
      <c r="N232" s="5">
        <v>0</v>
      </c>
      <c r="O232" s="5">
        <v>1187</v>
      </c>
      <c r="P232" s="5">
        <v>1030514.48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f>ROUND(P232*1.5%,2)</f>
        <v>15457.72</v>
      </c>
      <c r="AF232" s="5">
        <v>0</v>
      </c>
      <c r="AG232" s="5">
        <v>0</v>
      </c>
      <c r="AH232" s="70" t="s">
        <v>49</v>
      </c>
      <c r="AI232" s="6">
        <v>2021</v>
      </c>
      <c r="AJ232" s="6">
        <v>2021</v>
      </c>
      <c r="AK232" s="16"/>
    </row>
    <row r="233" spans="1:37" ht="62.25" x14ac:dyDescent="0.9">
      <c r="B233" s="67" t="s">
        <v>109</v>
      </c>
      <c r="C233" s="68"/>
      <c r="D233" s="69" t="s">
        <v>131</v>
      </c>
      <c r="E233" s="21">
        <f>AVERAGE(E234:E235)</f>
        <v>0.83830000000000005</v>
      </c>
      <c r="F233" s="5">
        <f>F234+F235</f>
        <v>155656.99</v>
      </c>
      <c r="G233" s="5">
        <f t="shared" ref="G233:AG233" si="77">G234+G235</f>
        <v>0</v>
      </c>
      <c r="H233" s="5">
        <f t="shared" si="77"/>
        <v>0</v>
      </c>
      <c r="I233" s="5">
        <f t="shared" si="77"/>
        <v>0</v>
      </c>
      <c r="J233" s="5">
        <f t="shared" si="77"/>
        <v>0</v>
      </c>
      <c r="K233" s="5">
        <f t="shared" si="77"/>
        <v>0</v>
      </c>
      <c r="L233" s="5">
        <f t="shared" si="77"/>
        <v>0</v>
      </c>
      <c r="M233" s="25">
        <f t="shared" si="77"/>
        <v>0</v>
      </c>
      <c r="N233" s="5">
        <f t="shared" si="77"/>
        <v>0</v>
      </c>
      <c r="O233" s="5">
        <f t="shared" si="77"/>
        <v>949</v>
      </c>
      <c r="P233" s="5">
        <f t="shared" si="77"/>
        <v>154049.04999999999</v>
      </c>
      <c r="Q233" s="5">
        <f t="shared" si="77"/>
        <v>0</v>
      </c>
      <c r="R233" s="5">
        <f t="shared" si="77"/>
        <v>0</v>
      </c>
      <c r="S233" s="5">
        <f t="shared" si="77"/>
        <v>0</v>
      </c>
      <c r="T233" s="5">
        <f t="shared" si="77"/>
        <v>0</v>
      </c>
      <c r="U233" s="5">
        <f t="shared" si="77"/>
        <v>0</v>
      </c>
      <c r="V233" s="5">
        <f t="shared" si="77"/>
        <v>0</v>
      </c>
      <c r="W233" s="5">
        <f t="shared" si="77"/>
        <v>0</v>
      </c>
      <c r="X233" s="5">
        <f t="shared" si="77"/>
        <v>0</v>
      </c>
      <c r="Y233" s="5">
        <f t="shared" si="77"/>
        <v>0</v>
      </c>
      <c r="Z233" s="5">
        <f t="shared" si="77"/>
        <v>0</v>
      </c>
      <c r="AA233" s="5">
        <f t="shared" si="77"/>
        <v>0</v>
      </c>
      <c r="AB233" s="5">
        <f t="shared" si="77"/>
        <v>0</v>
      </c>
      <c r="AC233" s="5">
        <f t="shared" si="77"/>
        <v>0</v>
      </c>
      <c r="AD233" s="5">
        <f t="shared" si="77"/>
        <v>0</v>
      </c>
      <c r="AE233" s="5">
        <f t="shared" si="77"/>
        <v>1607.94</v>
      </c>
      <c r="AF233" s="5">
        <f t="shared" si="77"/>
        <v>0</v>
      </c>
      <c r="AG233" s="5">
        <f t="shared" si="77"/>
        <v>0</v>
      </c>
      <c r="AH233" s="70" t="s">
        <v>131</v>
      </c>
      <c r="AI233" s="70" t="s">
        <v>131</v>
      </c>
      <c r="AJ233" s="70" t="s">
        <v>131</v>
      </c>
      <c r="AK233" s="16"/>
    </row>
    <row r="234" spans="1:37" ht="62.25" x14ac:dyDescent="0.9">
      <c r="A234" s="1">
        <v>1</v>
      </c>
      <c r="B234" s="18">
        <f>SUBTOTAL(103,$A$92:A234)</f>
        <v>116</v>
      </c>
      <c r="C234" s="68" t="s">
        <v>350</v>
      </c>
      <c r="D234" s="23" t="s">
        <v>553</v>
      </c>
      <c r="E234" s="21">
        <v>0.75480000000000003</v>
      </c>
      <c r="F234" s="5">
        <f>G234+H234+I234+J234+K234+L234+N234+P234+R234+T234+V234+W234+X234+Y234+Z234+AA234+AB234+AC234+AD234+AE234+AF234+AG234</f>
        <v>78556.570000000007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25">
        <v>0</v>
      </c>
      <c r="N234" s="5">
        <v>0</v>
      </c>
      <c r="O234" s="5">
        <v>577</v>
      </c>
      <c r="P234" s="5">
        <v>78088.05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468.52</v>
      </c>
      <c r="AF234" s="5">
        <v>0</v>
      </c>
      <c r="AG234" s="5">
        <v>0</v>
      </c>
      <c r="AH234" s="70" t="s">
        <v>49</v>
      </c>
      <c r="AI234" s="70">
        <v>2020</v>
      </c>
      <c r="AJ234" s="70">
        <v>2020</v>
      </c>
      <c r="AK234" s="16"/>
    </row>
    <row r="235" spans="1:37" ht="62.25" x14ac:dyDescent="0.9">
      <c r="A235" s="1">
        <v>1</v>
      </c>
      <c r="B235" s="18">
        <f>SUBTOTAL(103,$A$92:A235)</f>
        <v>117</v>
      </c>
      <c r="C235" s="68" t="s">
        <v>351</v>
      </c>
      <c r="D235" s="23" t="s">
        <v>554</v>
      </c>
      <c r="E235" s="21">
        <v>0.92179999999999995</v>
      </c>
      <c r="F235" s="5">
        <f>G235+H235+I235+J235+K235+L235+N235+P235+R235+T235+V235+W235+X235+Y235+Z235+AA235+AB235+AC235+AD235+AE235+AF235+AG235</f>
        <v>77100.42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25">
        <v>0</v>
      </c>
      <c r="N235" s="5">
        <v>0</v>
      </c>
      <c r="O235" s="5">
        <v>372</v>
      </c>
      <c r="P235" s="5">
        <v>75961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f>ROUND(P235*1.5%,2)</f>
        <v>1139.42</v>
      </c>
      <c r="AF235" s="5">
        <v>0</v>
      </c>
      <c r="AG235" s="5">
        <v>0</v>
      </c>
      <c r="AH235" s="70" t="s">
        <v>49</v>
      </c>
      <c r="AI235" s="70">
        <v>2020</v>
      </c>
      <c r="AJ235" s="70">
        <v>2020</v>
      </c>
      <c r="AK235" s="16"/>
    </row>
    <row r="236" spans="1:37" ht="62.25" x14ac:dyDescent="0.9">
      <c r="B236" s="67" t="s">
        <v>210</v>
      </c>
      <c r="C236" s="68"/>
      <c r="D236" s="69" t="s">
        <v>131</v>
      </c>
      <c r="E236" s="21">
        <f t="shared" ref="E236:T242" si="78">E237</f>
        <v>0.93410000000000004</v>
      </c>
      <c r="F236" s="5">
        <f t="shared" si="78"/>
        <v>5309.7</v>
      </c>
      <c r="G236" s="5">
        <f t="shared" si="78"/>
        <v>0</v>
      </c>
      <c r="H236" s="5">
        <f t="shared" si="78"/>
        <v>0</v>
      </c>
      <c r="I236" s="5">
        <f t="shared" si="78"/>
        <v>0</v>
      </c>
      <c r="J236" s="5">
        <f t="shared" si="78"/>
        <v>0</v>
      </c>
      <c r="K236" s="5">
        <f t="shared" si="78"/>
        <v>0</v>
      </c>
      <c r="L236" s="5">
        <f t="shared" si="78"/>
        <v>0</v>
      </c>
      <c r="M236" s="25">
        <f t="shared" si="78"/>
        <v>0</v>
      </c>
      <c r="N236" s="5">
        <f t="shared" si="78"/>
        <v>0</v>
      </c>
      <c r="O236" s="5">
        <f t="shared" si="78"/>
        <v>429.6</v>
      </c>
      <c r="P236" s="5">
        <f t="shared" si="78"/>
        <v>5231.2299999999996</v>
      </c>
      <c r="Q236" s="5">
        <f t="shared" si="78"/>
        <v>0</v>
      </c>
      <c r="R236" s="5">
        <f t="shared" si="78"/>
        <v>0</v>
      </c>
      <c r="S236" s="5">
        <f t="shared" si="78"/>
        <v>0</v>
      </c>
      <c r="T236" s="5">
        <f t="shared" si="78"/>
        <v>0</v>
      </c>
      <c r="U236" s="5">
        <f t="shared" ref="U236:AG236" si="79">U237</f>
        <v>0</v>
      </c>
      <c r="V236" s="5">
        <f t="shared" si="79"/>
        <v>0</v>
      </c>
      <c r="W236" s="5">
        <f t="shared" si="79"/>
        <v>0</v>
      </c>
      <c r="X236" s="5">
        <f t="shared" si="79"/>
        <v>0</v>
      </c>
      <c r="Y236" s="5">
        <f t="shared" si="79"/>
        <v>0</v>
      </c>
      <c r="Z236" s="5">
        <f t="shared" si="79"/>
        <v>0</v>
      </c>
      <c r="AA236" s="5">
        <f t="shared" si="79"/>
        <v>0</v>
      </c>
      <c r="AB236" s="5">
        <f t="shared" si="79"/>
        <v>0</v>
      </c>
      <c r="AC236" s="5">
        <f t="shared" si="79"/>
        <v>0</v>
      </c>
      <c r="AD236" s="5">
        <f t="shared" si="79"/>
        <v>0</v>
      </c>
      <c r="AE236" s="5">
        <f t="shared" si="79"/>
        <v>78.47</v>
      </c>
      <c r="AF236" s="5">
        <f t="shared" si="79"/>
        <v>0</v>
      </c>
      <c r="AG236" s="5">
        <f t="shared" si="79"/>
        <v>0</v>
      </c>
      <c r="AH236" s="70" t="s">
        <v>131</v>
      </c>
      <c r="AI236" s="70" t="s">
        <v>131</v>
      </c>
      <c r="AJ236" s="70" t="s">
        <v>131</v>
      </c>
      <c r="AK236" s="16"/>
    </row>
    <row r="237" spans="1:37" ht="62.25" x14ac:dyDescent="0.9">
      <c r="A237" s="1">
        <v>1</v>
      </c>
      <c r="B237" s="18">
        <f>SUBTOTAL(103,$A$92:A237)</f>
        <v>118</v>
      </c>
      <c r="C237" s="68" t="s">
        <v>385</v>
      </c>
      <c r="D237" s="23" t="s">
        <v>553</v>
      </c>
      <c r="E237" s="21">
        <v>0.93410000000000004</v>
      </c>
      <c r="F237" s="5">
        <f>G237+H237+I237+J237+K237+L237+N237+P237+R237+T237+V237+W237+X237+Y237+Z237+AA237+AB237+AC237+AD237+AE237+AF237+AG237</f>
        <v>5309.7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25">
        <v>0</v>
      </c>
      <c r="N237" s="5">
        <v>0</v>
      </c>
      <c r="O237" s="5">
        <v>429.6</v>
      </c>
      <c r="P237" s="5">
        <v>5231.2299999999996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f>ROUND(P237*1.5%,2)</f>
        <v>78.47</v>
      </c>
      <c r="AF237" s="5">
        <v>0</v>
      </c>
      <c r="AG237" s="5">
        <v>0</v>
      </c>
      <c r="AH237" s="70" t="s">
        <v>49</v>
      </c>
      <c r="AI237" s="70">
        <v>2020</v>
      </c>
      <c r="AJ237" s="70">
        <v>2020</v>
      </c>
      <c r="AK237" s="16"/>
    </row>
    <row r="238" spans="1:37" ht="62.25" x14ac:dyDescent="0.9">
      <c r="B238" s="67" t="s">
        <v>127</v>
      </c>
      <c r="C238" s="68"/>
      <c r="D238" s="69" t="s">
        <v>131</v>
      </c>
      <c r="E238" s="21">
        <v>0.99509999999999998</v>
      </c>
      <c r="F238" s="5">
        <f t="shared" si="78"/>
        <v>188216.53</v>
      </c>
      <c r="G238" s="5">
        <f t="shared" si="78"/>
        <v>0</v>
      </c>
      <c r="H238" s="5">
        <f t="shared" si="78"/>
        <v>0</v>
      </c>
      <c r="I238" s="5">
        <f t="shared" si="78"/>
        <v>0</v>
      </c>
      <c r="J238" s="5">
        <f t="shared" si="78"/>
        <v>0</v>
      </c>
      <c r="K238" s="5">
        <f t="shared" si="78"/>
        <v>0</v>
      </c>
      <c r="L238" s="5">
        <f t="shared" si="78"/>
        <v>0</v>
      </c>
      <c r="M238" s="25">
        <f t="shared" si="78"/>
        <v>0</v>
      </c>
      <c r="N238" s="5">
        <f t="shared" si="78"/>
        <v>0</v>
      </c>
      <c r="O238" s="5">
        <f t="shared" si="78"/>
        <v>186.15</v>
      </c>
      <c r="P238" s="5">
        <f t="shared" si="78"/>
        <v>185435</v>
      </c>
      <c r="Q238" s="5">
        <f t="shared" si="78"/>
        <v>0</v>
      </c>
      <c r="R238" s="5">
        <f t="shared" si="78"/>
        <v>0</v>
      </c>
      <c r="S238" s="5">
        <f t="shared" si="78"/>
        <v>0</v>
      </c>
      <c r="T238" s="5">
        <f t="shared" si="78"/>
        <v>0</v>
      </c>
      <c r="U238" s="5">
        <f t="shared" ref="U238:AG238" si="80">U239</f>
        <v>0</v>
      </c>
      <c r="V238" s="5">
        <f t="shared" si="80"/>
        <v>0</v>
      </c>
      <c r="W238" s="5">
        <f t="shared" si="80"/>
        <v>0</v>
      </c>
      <c r="X238" s="5">
        <f t="shared" si="80"/>
        <v>0</v>
      </c>
      <c r="Y238" s="5">
        <f t="shared" si="80"/>
        <v>0</v>
      </c>
      <c r="Z238" s="5">
        <f t="shared" si="80"/>
        <v>0</v>
      </c>
      <c r="AA238" s="5">
        <f t="shared" si="80"/>
        <v>0</v>
      </c>
      <c r="AB238" s="5">
        <f t="shared" si="80"/>
        <v>0</v>
      </c>
      <c r="AC238" s="5">
        <f t="shared" si="80"/>
        <v>0</v>
      </c>
      <c r="AD238" s="5">
        <f t="shared" si="80"/>
        <v>0</v>
      </c>
      <c r="AE238" s="5">
        <f t="shared" si="80"/>
        <v>2781.53</v>
      </c>
      <c r="AF238" s="5">
        <f t="shared" si="80"/>
        <v>0</v>
      </c>
      <c r="AG238" s="5">
        <f t="shared" si="80"/>
        <v>0</v>
      </c>
      <c r="AH238" s="70" t="s">
        <v>131</v>
      </c>
      <c r="AI238" s="70" t="s">
        <v>131</v>
      </c>
      <c r="AJ238" s="70" t="s">
        <v>131</v>
      </c>
      <c r="AK238" s="16"/>
    </row>
    <row r="239" spans="1:37" ht="62.25" x14ac:dyDescent="0.9">
      <c r="A239" s="1">
        <v>1</v>
      </c>
      <c r="B239" s="18">
        <f>SUBTOTAL(103,$A$92:A239)</f>
        <v>119</v>
      </c>
      <c r="C239" s="68" t="s">
        <v>393</v>
      </c>
      <c r="D239" s="23" t="s">
        <v>553</v>
      </c>
      <c r="E239" s="21">
        <v>0.99509999999999998</v>
      </c>
      <c r="F239" s="5">
        <f>P239+AE239</f>
        <v>188216.53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25">
        <v>0</v>
      </c>
      <c r="N239" s="5">
        <v>0</v>
      </c>
      <c r="O239" s="5">
        <v>186.15</v>
      </c>
      <c r="P239" s="5">
        <v>185435</v>
      </c>
      <c r="Q239" s="5">
        <v>0</v>
      </c>
      <c r="R239" s="5">
        <v>0</v>
      </c>
      <c r="S239" s="5">
        <v>0</v>
      </c>
      <c r="T239" s="71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f>ROUND(P239*1.5%,2)</f>
        <v>2781.53</v>
      </c>
      <c r="AF239" s="5">
        <v>0</v>
      </c>
      <c r="AG239" s="5">
        <v>0</v>
      </c>
      <c r="AH239" s="70" t="s">
        <v>49</v>
      </c>
      <c r="AI239" s="70">
        <v>2020</v>
      </c>
      <c r="AJ239" s="70">
        <v>2020</v>
      </c>
      <c r="AK239" s="16"/>
    </row>
    <row r="240" spans="1:37" ht="62.25" x14ac:dyDescent="0.9">
      <c r="B240" s="67" t="s">
        <v>117</v>
      </c>
      <c r="C240" s="68"/>
      <c r="D240" s="69" t="s">
        <v>131</v>
      </c>
      <c r="E240" s="21">
        <f t="shared" si="78"/>
        <v>0.981975146584529</v>
      </c>
      <c r="F240" s="5">
        <f t="shared" si="78"/>
        <v>29122.38</v>
      </c>
      <c r="G240" s="5">
        <f t="shared" si="78"/>
        <v>0</v>
      </c>
      <c r="H240" s="5">
        <f t="shared" si="78"/>
        <v>0</v>
      </c>
      <c r="I240" s="5">
        <f t="shared" si="78"/>
        <v>28692</v>
      </c>
      <c r="J240" s="5">
        <f t="shared" si="78"/>
        <v>0</v>
      </c>
      <c r="K240" s="5">
        <f t="shared" si="78"/>
        <v>0</v>
      </c>
      <c r="L240" s="5">
        <f t="shared" si="78"/>
        <v>0</v>
      </c>
      <c r="M240" s="25">
        <f t="shared" si="78"/>
        <v>0</v>
      </c>
      <c r="N240" s="5">
        <f t="shared" si="78"/>
        <v>0</v>
      </c>
      <c r="O240" s="5">
        <f t="shared" si="78"/>
        <v>0</v>
      </c>
      <c r="P240" s="5">
        <f t="shared" si="78"/>
        <v>0</v>
      </c>
      <c r="Q240" s="5">
        <f t="shared" si="78"/>
        <v>0</v>
      </c>
      <c r="R240" s="5">
        <f t="shared" si="78"/>
        <v>0</v>
      </c>
      <c r="S240" s="5">
        <f t="shared" si="78"/>
        <v>0</v>
      </c>
      <c r="T240" s="5">
        <f t="shared" si="78"/>
        <v>0</v>
      </c>
      <c r="U240" s="5">
        <f t="shared" ref="U240:AG242" si="81">U241</f>
        <v>0</v>
      </c>
      <c r="V240" s="5">
        <f t="shared" si="81"/>
        <v>0</v>
      </c>
      <c r="W240" s="5">
        <f t="shared" si="81"/>
        <v>0</v>
      </c>
      <c r="X240" s="5">
        <f t="shared" si="81"/>
        <v>0</v>
      </c>
      <c r="Y240" s="5">
        <f t="shared" si="81"/>
        <v>0</v>
      </c>
      <c r="Z240" s="5">
        <f t="shared" si="81"/>
        <v>0</v>
      </c>
      <c r="AA240" s="5">
        <f t="shared" si="81"/>
        <v>0</v>
      </c>
      <c r="AB240" s="5">
        <f t="shared" si="81"/>
        <v>0</v>
      </c>
      <c r="AC240" s="5">
        <f t="shared" si="81"/>
        <v>0</v>
      </c>
      <c r="AD240" s="5">
        <f t="shared" si="81"/>
        <v>0</v>
      </c>
      <c r="AE240" s="5">
        <f t="shared" si="81"/>
        <v>430.38</v>
      </c>
      <c r="AF240" s="5">
        <f t="shared" si="81"/>
        <v>0</v>
      </c>
      <c r="AG240" s="5">
        <f t="shared" si="81"/>
        <v>0</v>
      </c>
      <c r="AH240" s="70" t="s">
        <v>131</v>
      </c>
      <c r="AI240" s="70" t="s">
        <v>131</v>
      </c>
      <c r="AJ240" s="70" t="s">
        <v>131</v>
      </c>
      <c r="AK240" s="16"/>
    </row>
    <row r="241" spans="1:37" ht="62.25" x14ac:dyDescent="0.9">
      <c r="A241" s="1">
        <v>1</v>
      </c>
      <c r="B241" s="18">
        <f>SUBTOTAL(103,$A$92:A241)</f>
        <v>120</v>
      </c>
      <c r="C241" s="68" t="s">
        <v>569</v>
      </c>
      <c r="D241" s="27">
        <v>2015</v>
      </c>
      <c r="E241" s="21">
        <v>0.981975146584529</v>
      </c>
      <c r="F241" s="5">
        <f>G241+H241+I241+J241+K241+L241+N241+P241+R241+T241+V241+W241+X241+Y241+Z241+AA241+AB241+AC241+AD241+AE241+AF241+AG241</f>
        <v>29122.38</v>
      </c>
      <c r="G241" s="5">
        <v>0</v>
      </c>
      <c r="H241" s="5">
        <v>0</v>
      </c>
      <c r="I241" s="5">
        <v>28692</v>
      </c>
      <c r="J241" s="5">
        <v>0</v>
      </c>
      <c r="K241" s="5">
        <v>0</v>
      </c>
      <c r="L241" s="5">
        <v>0</v>
      </c>
      <c r="M241" s="2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71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f>ROUND(I241*1.5%,2)</f>
        <v>430.38</v>
      </c>
      <c r="AF241" s="5">
        <v>0</v>
      </c>
      <c r="AG241" s="5">
        <v>0</v>
      </c>
      <c r="AH241" s="70" t="s">
        <v>49</v>
      </c>
      <c r="AI241" s="70">
        <v>2021</v>
      </c>
      <c r="AJ241" s="70">
        <v>2021</v>
      </c>
      <c r="AK241" s="16"/>
    </row>
    <row r="242" spans="1:37" ht="62.25" x14ac:dyDescent="0.9">
      <c r="B242" s="67" t="s">
        <v>115</v>
      </c>
      <c r="C242" s="68"/>
      <c r="D242" s="69" t="s">
        <v>131</v>
      </c>
      <c r="E242" s="21">
        <f t="shared" si="78"/>
        <v>0.95199999999999996</v>
      </c>
      <c r="F242" s="5">
        <f t="shared" si="78"/>
        <v>4917329.37</v>
      </c>
      <c r="G242" s="5">
        <f t="shared" si="78"/>
        <v>0</v>
      </c>
      <c r="H242" s="5">
        <f t="shared" si="78"/>
        <v>0</v>
      </c>
      <c r="I242" s="5">
        <f t="shared" si="78"/>
        <v>0</v>
      </c>
      <c r="J242" s="5">
        <f t="shared" si="78"/>
        <v>0</v>
      </c>
      <c r="K242" s="5">
        <f t="shared" si="78"/>
        <v>0</v>
      </c>
      <c r="L242" s="5">
        <f t="shared" si="78"/>
        <v>0</v>
      </c>
      <c r="M242" s="25">
        <f t="shared" si="78"/>
        <v>0</v>
      </c>
      <c r="N242" s="5">
        <f t="shared" si="78"/>
        <v>0</v>
      </c>
      <c r="O242" s="5">
        <f t="shared" si="78"/>
        <v>1020</v>
      </c>
      <c r="P242" s="5">
        <f t="shared" si="78"/>
        <v>4844659.4800000004</v>
      </c>
      <c r="Q242" s="5">
        <f t="shared" si="78"/>
        <v>0</v>
      </c>
      <c r="R242" s="5">
        <f t="shared" si="78"/>
        <v>0</v>
      </c>
      <c r="S242" s="5">
        <f t="shared" si="78"/>
        <v>0</v>
      </c>
      <c r="T242" s="5">
        <f t="shared" si="78"/>
        <v>0</v>
      </c>
      <c r="U242" s="5">
        <f t="shared" si="81"/>
        <v>0</v>
      </c>
      <c r="V242" s="5">
        <f t="shared" si="81"/>
        <v>0</v>
      </c>
      <c r="W242" s="5">
        <f t="shared" si="81"/>
        <v>0</v>
      </c>
      <c r="X242" s="5">
        <f t="shared" si="81"/>
        <v>0</v>
      </c>
      <c r="Y242" s="5">
        <f t="shared" si="81"/>
        <v>0</v>
      </c>
      <c r="Z242" s="5">
        <f t="shared" si="81"/>
        <v>0</v>
      </c>
      <c r="AA242" s="5">
        <f t="shared" si="81"/>
        <v>0</v>
      </c>
      <c r="AB242" s="5">
        <f t="shared" si="81"/>
        <v>0</v>
      </c>
      <c r="AC242" s="5">
        <f t="shared" si="81"/>
        <v>0</v>
      </c>
      <c r="AD242" s="5">
        <f t="shared" si="81"/>
        <v>0</v>
      </c>
      <c r="AE242" s="5">
        <f t="shared" si="81"/>
        <v>72669.89</v>
      </c>
      <c r="AF242" s="5">
        <f t="shared" si="81"/>
        <v>0</v>
      </c>
      <c r="AG242" s="5">
        <f t="shared" si="81"/>
        <v>0</v>
      </c>
      <c r="AH242" s="70" t="s">
        <v>131</v>
      </c>
      <c r="AI242" s="70" t="s">
        <v>131</v>
      </c>
      <c r="AJ242" s="70" t="s">
        <v>131</v>
      </c>
      <c r="AK242" s="16"/>
    </row>
    <row r="243" spans="1:37" ht="62.25" x14ac:dyDescent="0.9">
      <c r="A243" s="1">
        <v>1</v>
      </c>
      <c r="B243" s="18">
        <f>SUBTOTAL(103,$A$92:A243)</f>
        <v>121</v>
      </c>
      <c r="C243" s="68" t="s">
        <v>892</v>
      </c>
      <c r="D243" s="27">
        <v>2015</v>
      </c>
      <c r="E243" s="21">
        <v>0.95199999999999996</v>
      </c>
      <c r="F243" s="5">
        <f>G243+H243+I243+J243+K243+L243+N243+P243+R243+T243+V243+W243+X243+Y243+Z243+AA243+AB243+AC243+AD243+AE243+AF243+AG243</f>
        <v>4917329.37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25">
        <v>0</v>
      </c>
      <c r="N243" s="5">
        <v>0</v>
      </c>
      <c r="O243" s="5">
        <v>1020</v>
      </c>
      <c r="P243" s="5">
        <v>4844659.4800000004</v>
      </c>
      <c r="Q243" s="5">
        <v>0</v>
      </c>
      <c r="R243" s="5">
        <v>0</v>
      </c>
      <c r="S243" s="5">
        <v>0</v>
      </c>
      <c r="T243" s="71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f>ROUND(P243*1.5%,2)</f>
        <v>72669.89</v>
      </c>
      <c r="AF243" s="5">
        <v>0</v>
      </c>
      <c r="AG243" s="5">
        <v>0</v>
      </c>
      <c r="AH243" s="70" t="s">
        <v>49</v>
      </c>
      <c r="AI243" s="70">
        <v>2021</v>
      </c>
      <c r="AJ243" s="70">
        <v>2021</v>
      </c>
      <c r="AK243" s="16"/>
    </row>
  </sheetData>
  <autoFilter ref="A13:AN242"/>
  <mergeCells count="34">
    <mergeCell ref="B5:AJ5"/>
    <mergeCell ref="B6:AJ6"/>
    <mergeCell ref="C7:AJ7"/>
    <mergeCell ref="C8:AJ8"/>
    <mergeCell ref="B9:B12"/>
    <mergeCell ref="C9:C12"/>
    <mergeCell ref="D9:D12"/>
    <mergeCell ref="E9:E11"/>
    <mergeCell ref="F9:F11"/>
    <mergeCell ref="G9:V9"/>
    <mergeCell ref="W9:AG9"/>
    <mergeCell ref="AH9:AH12"/>
    <mergeCell ref="B14:AJ14"/>
    <mergeCell ref="W10:W11"/>
    <mergeCell ref="S10:T11"/>
    <mergeCell ref="M10:N11"/>
    <mergeCell ref="G10:L10"/>
    <mergeCell ref="U10:V11"/>
    <mergeCell ref="B90:C90"/>
    <mergeCell ref="B89:AJ89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J9:AJ12"/>
    <mergeCell ref="O10:P11"/>
    <mergeCell ref="Q10:R11"/>
    <mergeCell ref="AI9:AI12"/>
  </mergeCells>
  <phoneticPr fontId="28" type="noConversion"/>
  <pageMargins left="0.39370078740157483" right="0.39370078740157483" top="0.39370078740157483" bottom="0.39370078740157483" header="0" footer="0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1"/>
  <sheetViews>
    <sheetView topLeftCell="B1" zoomScale="30" zoomScaleNormal="30" workbookViewId="0">
      <selection activeCell="C37" sqref="C37"/>
    </sheetView>
  </sheetViews>
  <sheetFormatPr defaultRowHeight="15" x14ac:dyDescent="0.25"/>
  <cols>
    <col min="1" max="1" width="9.140625" style="1" hidden="1" customWidth="1"/>
    <col min="2" max="2" width="15.85546875" style="1" customWidth="1"/>
    <col min="3" max="3" width="219.85546875" style="1" customWidth="1"/>
    <col min="4" max="4" width="21.42578125" style="1" customWidth="1"/>
    <col min="5" max="5" width="14.85546875" style="1" customWidth="1"/>
    <col min="6" max="6" width="74.28515625" style="1" customWidth="1"/>
    <col min="7" max="7" width="12.85546875" style="1" customWidth="1"/>
    <col min="8" max="8" width="13.85546875" style="1" customWidth="1"/>
    <col min="9" max="9" width="31.140625" style="1" customWidth="1"/>
    <col min="10" max="10" width="32.28515625" style="1" customWidth="1"/>
    <col min="11" max="11" width="32.5703125" style="1" customWidth="1"/>
    <col min="12" max="12" width="32.85546875" style="1" customWidth="1"/>
    <col min="13" max="13" width="42.28515625" style="1" customWidth="1"/>
    <col min="14" max="14" width="95.28515625" style="1" customWidth="1"/>
    <col min="15" max="15" width="45.5703125" style="1" customWidth="1"/>
    <col min="16" max="16" width="29.85546875" style="1" customWidth="1"/>
    <col min="17" max="17" width="25.5703125" style="1" customWidth="1"/>
    <col min="18" max="16384" width="9.140625" style="1"/>
  </cols>
  <sheetData>
    <row r="1" spans="1:29" s="76" customFormat="1" ht="74.25" customHeight="1" x14ac:dyDescent="0.7">
      <c r="N1" s="102"/>
      <c r="P1" s="102"/>
      <c r="Q1" s="103" t="s">
        <v>900</v>
      </c>
      <c r="R1" s="102"/>
      <c r="S1" s="102"/>
      <c r="T1" s="102"/>
      <c r="U1" s="102"/>
      <c r="V1" s="102"/>
      <c r="W1" s="102"/>
      <c r="X1" s="102"/>
      <c r="Y1" s="102"/>
      <c r="Z1" s="102"/>
      <c r="AC1" s="104"/>
    </row>
    <row r="2" spans="1:29" s="76" customFormat="1" ht="74.25" customHeight="1" x14ac:dyDescent="0.7">
      <c r="O2" s="105"/>
      <c r="P2" s="105"/>
      <c r="Q2" s="106" t="s">
        <v>891</v>
      </c>
      <c r="R2" s="105"/>
      <c r="S2" s="105"/>
      <c r="T2" s="105"/>
      <c r="U2" s="105"/>
      <c r="V2" s="105"/>
      <c r="W2" s="105"/>
      <c r="X2" s="105"/>
      <c r="Y2" s="105"/>
      <c r="Z2" s="105"/>
      <c r="AC2" s="104"/>
    </row>
    <row r="3" spans="1:29" s="76" customFormat="1" ht="74.25" customHeight="1" x14ac:dyDescent="0.7">
      <c r="O3" s="105"/>
      <c r="P3" s="105"/>
      <c r="Q3" s="106" t="s">
        <v>163</v>
      </c>
      <c r="R3" s="105"/>
      <c r="S3" s="105"/>
      <c r="T3" s="105"/>
      <c r="U3" s="105"/>
      <c r="V3" s="105"/>
      <c r="W3" s="105"/>
      <c r="X3" s="105"/>
      <c r="Y3" s="105"/>
      <c r="Z3" s="105"/>
      <c r="AC3" s="104"/>
    </row>
    <row r="4" spans="1:29" ht="35.25" x14ac:dyDescent="0.5">
      <c r="B4" s="8"/>
      <c r="C4" s="8"/>
      <c r="D4" s="8"/>
      <c r="E4" s="8"/>
      <c r="F4" s="8"/>
      <c r="G4" s="9"/>
      <c r="H4" s="8"/>
      <c r="I4" s="8"/>
      <c r="J4" s="8"/>
      <c r="K4" s="8"/>
      <c r="L4" s="8"/>
      <c r="M4" s="64"/>
      <c r="N4" s="64"/>
      <c r="O4" s="180"/>
      <c r="P4" s="180"/>
      <c r="Q4" s="180"/>
    </row>
    <row r="5" spans="1:29" ht="71.25" customHeight="1" x14ac:dyDescent="0.5">
      <c r="B5" s="8"/>
      <c r="C5" s="8"/>
      <c r="D5" s="8"/>
      <c r="E5" s="8"/>
      <c r="F5" s="8"/>
      <c r="G5" s="9"/>
      <c r="H5" s="8"/>
      <c r="I5" s="8"/>
      <c r="J5" s="8"/>
      <c r="K5" s="8"/>
      <c r="L5" s="8"/>
      <c r="M5" s="10"/>
      <c r="N5" s="181"/>
      <c r="O5" s="181"/>
      <c r="P5" s="181"/>
      <c r="Q5" s="181"/>
    </row>
    <row r="6" spans="1:29" ht="201.75" customHeight="1" x14ac:dyDescent="0.25">
      <c r="B6" s="182" t="s">
        <v>583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</row>
    <row r="7" spans="1:29" ht="35.25" x14ac:dyDescent="0.25">
      <c r="B7" s="172" t="s">
        <v>0</v>
      </c>
      <c r="C7" s="172" t="s">
        <v>214</v>
      </c>
      <c r="D7" s="172" t="s">
        <v>32</v>
      </c>
      <c r="E7" s="166"/>
      <c r="F7" s="165" t="s">
        <v>33</v>
      </c>
      <c r="G7" s="168" t="s">
        <v>34</v>
      </c>
      <c r="H7" s="168" t="s">
        <v>35</v>
      </c>
      <c r="I7" s="165" t="s">
        <v>36</v>
      </c>
      <c r="J7" s="172" t="s">
        <v>37</v>
      </c>
      <c r="K7" s="166"/>
      <c r="L7" s="173" t="s">
        <v>215</v>
      </c>
      <c r="M7" s="173" t="s">
        <v>216</v>
      </c>
      <c r="N7" s="173" t="s">
        <v>38</v>
      </c>
      <c r="O7" s="178" t="s">
        <v>2</v>
      </c>
      <c r="P7" s="163" t="s">
        <v>39</v>
      </c>
      <c r="Q7" s="163" t="s">
        <v>40</v>
      </c>
    </row>
    <row r="8" spans="1:29" x14ac:dyDescent="0.25">
      <c r="B8" s="166"/>
      <c r="C8" s="166"/>
      <c r="D8" s="165" t="s">
        <v>41</v>
      </c>
      <c r="E8" s="168" t="s">
        <v>42</v>
      </c>
      <c r="F8" s="166"/>
      <c r="G8" s="183"/>
      <c r="H8" s="183"/>
      <c r="I8" s="166"/>
      <c r="J8" s="165" t="s">
        <v>43</v>
      </c>
      <c r="K8" s="168" t="s">
        <v>217</v>
      </c>
      <c r="L8" s="174"/>
      <c r="M8" s="176"/>
      <c r="N8" s="176"/>
      <c r="O8" s="169"/>
      <c r="P8" s="164"/>
      <c r="Q8" s="164"/>
    </row>
    <row r="9" spans="1:29" ht="301.5" customHeight="1" x14ac:dyDescent="0.25">
      <c r="B9" s="166"/>
      <c r="C9" s="166"/>
      <c r="D9" s="166"/>
      <c r="E9" s="169"/>
      <c r="F9" s="166"/>
      <c r="G9" s="183"/>
      <c r="H9" s="183"/>
      <c r="I9" s="166"/>
      <c r="J9" s="166"/>
      <c r="K9" s="171"/>
      <c r="L9" s="175"/>
      <c r="M9" s="176"/>
      <c r="N9" s="176"/>
      <c r="O9" s="179"/>
      <c r="P9" s="164"/>
      <c r="Q9" s="164"/>
    </row>
    <row r="10" spans="1:29" ht="35.25" x14ac:dyDescent="0.25">
      <c r="B10" s="167"/>
      <c r="C10" s="167"/>
      <c r="D10" s="167"/>
      <c r="E10" s="170"/>
      <c r="F10" s="166"/>
      <c r="G10" s="184"/>
      <c r="H10" s="184"/>
      <c r="I10" s="11" t="s">
        <v>29</v>
      </c>
      <c r="J10" s="11" t="s">
        <v>29</v>
      </c>
      <c r="K10" s="11" t="s">
        <v>29</v>
      </c>
      <c r="L10" s="11" t="s">
        <v>44</v>
      </c>
      <c r="M10" s="177"/>
      <c r="N10" s="177"/>
      <c r="O10" s="11" t="s">
        <v>27</v>
      </c>
      <c r="P10" s="11" t="s">
        <v>45</v>
      </c>
      <c r="Q10" s="11" t="s">
        <v>45</v>
      </c>
    </row>
    <row r="11" spans="1:29" ht="35.25" x14ac:dyDescent="0.25">
      <c r="B11" s="11">
        <v>1</v>
      </c>
      <c r="C11" s="11">
        <v>2</v>
      </c>
      <c r="D11" s="11">
        <v>3</v>
      </c>
      <c r="E11" s="11">
        <v>4</v>
      </c>
      <c r="F11" s="11">
        <v>5</v>
      </c>
      <c r="G11" s="12">
        <v>5.5697674418604599</v>
      </c>
      <c r="H11" s="12">
        <v>7</v>
      </c>
      <c r="I11" s="12">
        <v>8</v>
      </c>
      <c r="J11" s="12">
        <v>9</v>
      </c>
      <c r="K11" s="12">
        <v>10</v>
      </c>
      <c r="L11" s="11">
        <v>11</v>
      </c>
      <c r="M11" s="12">
        <v>12</v>
      </c>
      <c r="N11" s="12">
        <v>13</v>
      </c>
      <c r="O11" s="12">
        <v>14</v>
      </c>
      <c r="P11" s="12">
        <v>15</v>
      </c>
      <c r="Q11" s="12">
        <v>16</v>
      </c>
    </row>
    <row r="12" spans="1:29" ht="45.75" x14ac:dyDescent="0.25">
      <c r="B12" s="160" t="s">
        <v>181</v>
      </c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2"/>
    </row>
    <row r="13" spans="1:29" ht="35.25" x14ac:dyDescent="0.4">
      <c r="B13" s="33" t="s">
        <v>582</v>
      </c>
      <c r="C13" s="107"/>
      <c r="D13" s="30" t="s">
        <v>131</v>
      </c>
      <c r="E13" s="30" t="s">
        <v>131</v>
      </c>
      <c r="F13" s="30" t="s">
        <v>131</v>
      </c>
      <c r="G13" s="30" t="s">
        <v>131</v>
      </c>
      <c r="H13" s="30" t="s">
        <v>131</v>
      </c>
      <c r="I13" s="32">
        <f>I14+I66</f>
        <v>43052.780000000006</v>
      </c>
      <c r="J13" s="32">
        <f>J14+J66</f>
        <v>37285.21</v>
      </c>
      <c r="K13" s="32">
        <f>K14+K66</f>
        <v>33378.71</v>
      </c>
      <c r="L13" s="35">
        <f>L14+L66</f>
        <v>1783</v>
      </c>
      <c r="M13" s="30" t="s">
        <v>131</v>
      </c>
      <c r="N13" s="30" t="s">
        <v>131</v>
      </c>
      <c r="O13" s="32">
        <v>82117834.670000002</v>
      </c>
      <c r="P13" s="31">
        <f>O13/I13</f>
        <v>1907.375892334943</v>
      </c>
      <c r="Q13" s="38">
        <f>MAX(Q14:Q86)</f>
        <v>8454.2325256975037</v>
      </c>
    </row>
    <row r="14" spans="1:29" ht="35.25" x14ac:dyDescent="0.4">
      <c r="B14" s="33" t="s">
        <v>391</v>
      </c>
      <c r="C14" s="107"/>
      <c r="D14" s="30" t="s">
        <v>131</v>
      </c>
      <c r="E14" s="30" t="s">
        <v>131</v>
      </c>
      <c r="F14" s="30" t="s">
        <v>131</v>
      </c>
      <c r="G14" s="30" t="s">
        <v>131</v>
      </c>
      <c r="H14" s="30" t="s">
        <v>131</v>
      </c>
      <c r="I14" s="32">
        <f>I15+I17+I26+I28+I30+I32+I35+I38+I42+I44+I46+I50+I52+I54+I56+I60+I62+I64</f>
        <v>33695.280000000006</v>
      </c>
      <c r="J14" s="32">
        <f>J15+J17+J26+J28+J30+J32+J35+J38+J42+J44+J46+J50+J52+J54+J56+J60+J62+J64</f>
        <v>29309.11</v>
      </c>
      <c r="K14" s="32">
        <f>K15+K17+K26+K28+K30+K32+K35+K38+K42+K44+K46+K50+K52+K54+K56+K60+K62+K64</f>
        <v>26092.609999999997</v>
      </c>
      <c r="L14" s="35">
        <f>L15+L17+L26+L28+L30+L32+L35+L38+L42+L44+L46+L50+L52+L54+L56+L60+L62+L64</f>
        <v>1359</v>
      </c>
      <c r="M14" s="30" t="s">
        <v>131</v>
      </c>
      <c r="N14" s="30" t="s">
        <v>131</v>
      </c>
      <c r="O14" s="32">
        <v>51890376.860000007</v>
      </c>
      <c r="P14" s="31">
        <f>O14/I14</f>
        <v>1539.9894839870747</v>
      </c>
      <c r="Q14" s="38">
        <f>MAX(Q15:Q65)</f>
        <v>8454.2325256975037</v>
      </c>
    </row>
    <row r="15" spans="1:29" ht="35.25" x14ac:dyDescent="0.4">
      <c r="B15" s="33" t="s">
        <v>96</v>
      </c>
      <c r="C15" s="107"/>
      <c r="D15" s="30" t="s">
        <v>131</v>
      </c>
      <c r="E15" s="30" t="s">
        <v>131</v>
      </c>
      <c r="F15" s="30" t="s">
        <v>131</v>
      </c>
      <c r="G15" s="30" t="s">
        <v>131</v>
      </c>
      <c r="H15" s="30" t="s">
        <v>131</v>
      </c>
      <c r="I15" s="32">
        <f>I16</f>
        <v>792.7</v>
      </c>
      <c r="J15" s="32">
        <f>J16</f>
        <v>481</v>
      </c>
      <c r="K15" s="32">
        <f>K16</f>
        <v>481</v>
      </c>
      <c r="L15" s="35">
        <f>L16</f>
        <v>42</v>
      </c>
      <c r="M15" s="30" t="s">
        <v>131</v>
      </c>
      <c r="N15" s="30" t="s">
        <v>131</v>
      </c>
      <c r="O15" s="31">
        <v>2142518.84</v>
      </c>
      <c r="P15" s="31">
        <f t="shared" ref="P15:P65" si="0">O15/I15</f>
        <v>2702.8117068247757</v>
      </c>
      <c r="Q15" s="38">
        <f>Q16</f>
        <v>4100.5072663050332</v>
      </c>
    </row>
    <row r="16" spans="1:29" ht="35.25" x14ac:dyDescent="0.5">
      <c r="A16" s="1">
        <v>1</v>
      </c>
      <c r="B16" s="29">
        <f>SUBTOTAL(103,$A16:A$16)</f>
        <v>1</v>
      </c>
      <c r="C16" s="34" t="s">
        <v>182</v>
      </c>
      <c r="D16" s="30">
        <v>1969</v>
      </c>
      <c r="E16" s="30"/>
      <c r="F16" s="30" t="s">
        <v>48</v>
      </c>
      <c r="G16" s="30" t="s">
        <v>56</v>
      </c>
      <c r="H16" s="30" t="s">
        <v>56</v>
      </c>
      <c r="I16" s="32">
        <v>792.7</v>
      </c>
      <c r="J16" s="32">
        <v>481</v>
      </c>
      <c r="K16" s="32">
        <f>J16</f>
        <v>481</v>
      </c>
      <c r="L16" s="35">
        <v>42</v>
      </c>
      <c r="M16" s="30" t="s">
        <v>47</v>
      </c>
      <c r="N16" s="30" t="s">
        <v>49</v>
      </c>
      <c r="O16" s="31">
        <v>2142518.84</v>
      </c>
      <c r="P16" s="31">
        <f t="shared" si="0"/>
        <v>2702.8117068247757</v>
      </c>
      <c r="Q16" s="38">
        <v>4100.5072663050332</v>
      </c>
    </row>
    <row r="17" spans="1:17" ht="35.25" x14ac:dyDescent="0.4">
      <c r="B17" s="34" t="s">
        <v>209</v>
      </c>
      <c r="C17" s="34"/>
      <c r="D17" s="30" t="s">
        <v>131</v>
      </c>
      <c r="E17" s="30" t="s">
        <v>131</v>
      </c>
      <c r="F17" s="30" t="s">
        <v>131</v>
      </c>
      <c r="G17" s="30" t="s">
        <v>131</v>
      </c>
      <c r="H17" s="30" t="s">
        <v>131</v>
      </c>
      <c r="I17" s="32">
        <f>SUM(I18:I25)</f>
        <v>12811.8</v>
      </c>
      <c r="J17" s="32">
        <f>SUM(J18:J25)</f>
        <v>11686.800000000001</v>
      </c>
      <c r="K17" s="32">
        <f>SUM(K18:K25)</f>
        <v>10750.4</v>
      </c>
      <c r="L17" s="35">
        <f>SUM(L18:L25)</f>
        <v>434</v>
      </c>
      <c r="M17" s="30" t="s">
        <v>131</v>
      </c>
      <c r="N17" s="30" t="s">
        <v>131</v>
      </c>
      <c r="O17" s="31">
        <v>14491975.379999999</v>
      </c>
      <c r="P17" s="31">
        <f t="shared" si="0"/>
        <v>1131.1428042897953</v>
      </c>
      <c r="Q17" s="38">
        <f>MAX(Q18:Q25)</f>
        <v>8454.2325256975037</v>
      </c>
    </row>
    <row r="18" spans="1:17" ht="35.25" x14ac:dyDescent="0.5">
      <c r="A18" s="1">
        <v>1</v>
      </c>
      <c r="B18" s="29">
        <f>SUBTOTAL(103,$A$16:A18)</f>
        <v>2</v>
      </c>
      <c r="C18" s="34" t="s">
        <v>183</v>
      </c>
      <c r="D18" s="30">
        <v>1958</v>
      </c>
      <c r="E18" s="30"/>
      <c r="F18" s="30" t="s">
        <v>48</v>
      </c>
      <c r="G18" s="30" t="s">
        <v>75</v>
      </c>
      <c r="H18" s="30" t="s">
        <v>59</v>
      </c>
      <c r="I18" s="32">
        <v>5229.2</v>
      </c>
      <c r="J18" s="32">
        <v>5229.2</v>
      </c>
      <c r="K18" s="32">
        <f>J18-227.6</f>
        <v>5001.5999999999995</v>
      </c>
      <c r="L18" s="35">
        <v>121</v>
      </c>
      <c r="M18" s="30" t="s">
        <v>71</v>
      </c>
      <c r="N18" s="30" t="s">
        <v>218</v>
      </c>
      <c r="O18" s="31">
        <v>6213014.2000000002</v>
      </c>
      <c r="P18" s="31">
        <f t="shared" si="0"/>
        <v>1188.1385680410006</v>
      </c>
      <c r="Q18" s="38">
        <v>1719.2437294423623</v>
      </c>
    </row>
    <row r="19" spans="1:17" ht="35.25" x14ac:dyDescent="0.5">
      <c r="A19" s="1">
        <v>1</v>
      </c>
      <c r="B19" s="29">
        <f>SUBTOTAL(103,$A$16:A19)</f>
        <v>3</v>
      </c>
      <c r="C19" s="34" t="s">
        <v>184</v>
      </c>
      <c r="D19" s="30">
        <v>1979</v>
      </c>
      <c r="E19" s="30"/>
      <c r="F19" s="30" t="s">
        <v>48</v>
      </c>
      <c r="G19" s="30" t="s">
        <v>75</v>
      </c>
      <c r="H19" s="30" t="s">
        <v>57</v>
      </c>
      <c r="I19" s="32">
        <v>802.1</v>
      </c>
      <c r="J19" s="32">
        <v>554.1</v>
      </c>
      <c r="K19" s="32">
        <f>J19</f>
        <v>554.1</v>
      </c>
      <c r="L19" s="35">
        <v>25</v>
      </c>
      <c r="M19" s="30" t="s">
        <v>50</v>
      </c>
      <c r="N19" s="30" t="s">
        <v>219</v>
      </c>
      <c r="O19" s="31">
        <v>987000</v>
      </c>
      <c r="P19" s="31">
        <f t="shared" si="0"/>
        <v>1230.5198853010845</v>
      </c>
      <c r="Q19" s="38">
        <v>1866.7727216057847</v>
      </c>
    </row>
    <row r="20" spans="1:17" ht="35.25" x14ac:dyDescent="0.5">
      <c r="A20" s="1">
        <v>1</v>
      </c>
      <c r="B20" s="29">
        <f>SUBTOTAL(103,$A$16:A20)</f>
        <v>4</v>
      </c>
      <c r="C20" s="34" t="s">
        <v>185</v>
      </c>
      <c r="D20" s="30">
        <v>1961</v>
      </c>
      <c r="E20" s="30"/>
      <c r="F20" s="30" t="s">
        <v>48</v>
      </c>
      <c r="G20" s="30" t="s">
        <v>56</v>
      </c>
      <c r="H20" s="30" t="s">
        <v>57</v>
      </c>
      <c r="I20" s="32">
        <v>301.39999999999998</v>
      </c>
      <c r="J20" s="32">
        <v>276.5</v>
      </c>
      <c r="K20" s="32">
        <f>J20-38</f>
        <v>238.5</v>
      </c>
      <c r="L20" s="35">
        <v>16</v>
      </c>
      <c r="M20" s="30" t="s">
        <v>50</v>
      </c>
      <c r="N20" s="30" t="s">
        <v>171</v>
      </c>
      <c r="O20" s="31">
        <v>61989.62</v>
      </c>
      <c r="P20" s="31">
        <f t="shared" si="0"/>
        <v>205.67226277372265</v>
      </c>
      <c r="Q20" s="38">
        <v>205.67226277372265</v>
      </c>
    </row>
    <row r="21" spans="1:17" ht="35.25" x14ac:dyDescent="0.5">
      <c r="A21" s="1">
        <v>1</v>
      </c>
      <c r="B21" s="29">
        <f>SUBTOTAL(103,$A$16:A21)</f>
        <v>5</v>
      </c>
      <c r="C21" s="34" t="s">
        <v>198</v>
      </c>
      <c r="D21" s="30">
        <v>1957</v>
      </c>
      <c r="E21" s="30"/>
      <c r="F21" s="30" t="s">
        <v>48</v>
      </c>
      <c r="G21" s="30" t="s">
        <v>56</v>
      </c>
      <c r="H21" s="30" t="s">
        <v>57</v>
      </c>
      <c r="I21" s="32">
        <v>272.39999999999998</v>
      </c>
      <c r="J21" s="32">
        <v>194.8</v>
      </c>
      <c r="K21" s="32">
        <f>J21-37.2</f>
        <v>157.60000000000002</v>
      </c>
      <c r="L21" s="35">
        <v>14</v>
      </c>
      <c r="M21" s="30" t="s">
        <v>50</v>
      </c>
      <c r="N21" s="30" t="s">
        <v>220</v>
      </c>
      <c r="O21" s="31">
        <v>995484.92999999993</v>
      </c>
      <c r="P21" s="31">
        <f t="shared" si="0"/>
        <v>3654.4968061674008</v>
      </c>
      <c r="Q21" s="38">
        <v>8454.2325256975037</v>
      </c>
    </row>
    <row r="22" spans="1:17" ht="35.25" x14ac:dyDescent="0.5">
      <c r="A22" s="1">
        <v>1</v>
      </c>
      <c r="B22" s="29">
        <f>SUBTOTAL(103,$A$16:A22)</f>
        <v>6</v>
      </c>
      <c r="C22" s="34" t="s">
        <v>230</v>
      </c>
      <c r="D22" s="30">
        <v>1960</v>
      </c>
      <c r="E22" s="30"/>
      <c r="F22" s="30" t="s">
        <v>48</v>
      </c>
      <c r="G22" s="30" t="s">
        <v>59</v>
      </c>
      <c r="H22" s="30" t="s">
        <v>59</v>
      </c>
      <c r="I22" s="32">
        <v>2738.8</v>
      </c>
      <c r="J22" s="32">
        <v>2498.1</v>
      </c>
      <c r="K22" s="32">
        <f>2498.1-114.3</f>
        <v>2383.7999999999997</v>
      </c>
      <c r="L22" s="35">
        <v>128</v>
      </c>
      <c r="M22" s="30" t="s">
        <v>50</v>
      </c>
      <c r="N22" s="30" t="s">
        <v>229</v>
      </c>
      <c r="O22" s="31">
        <v>4973435.79</v>
      </c>
      <c r="P22" s="31">
        <f t="shared" si="0"/>
        <v>1815.9178435811302</v>
      </c>
      <c r="Q22" s="38">
        <v>2225.5787461662039</v>
      </c>
    </row>
    <row r="23" spans="1:17" ht="35.25" x14ac:dyDescent="0.5">
      <c r="A23" s="1">
        <v>1</v>
      </c>
      <c r="B23" s="29">
        <f>SUBTOTAL(103,$A$16:A23)</f>
        <v>7</v>
      </c>
      <c r="C23" s="28" t="s">
        <v>234</v>
      </c>
      <c r="D23" s="30">
        <v>1956</v>
      </c>
      <c r="E23" s="30"/>
      <c r="F23" s="30" t="s">
        <v>48</v>
      </c>
      <c r="G23" s="30" t="s">
        <v>56</v>
      </c>
      <c r="H23" s="30" t="s">
        <v>57</v>
      </c>
      <c r="I23" s="32">
        <v>512.5</v>
      </c>
      <c r="J23" s="32">
        <v>512.20000000000005</v>
      </c>
      <c r="K23" s="32">
        <v>324.10000000000002</v>
      </c>
      <c r="L23" s="35">
        <v>25</v>
      </c>
      <c r="M23" s="30" t="s">
        <v>50</v>
      </c>
      <c r="N23" s="30" t="s">
        <v>220</v>
      </c>
      <c r="O23" s="31">
        <v>50283.37</v>
      </c>
      <c r="P23" s="31">
        <f t="shared" si="0"/>
        <v>98.113892682926831</v>
      </c>
      <c r="Q23" s="38">
        <v>98.113892682926831</v>
      </c>
    </row>
    <row r="24" spans="1:17" ht="35.25" x14ac:dyDescent="0.5">
      <c r="A24" s="1">
        <v>1</v>
      </c>
      <c r="B24" s="29">
        <f>SUBTOTAL(103,$A$16:A24)</f>
        <v>8</v>
      </c>
      <c r="C24" s="28" t="s">
        <v>253</v>
      </c>
      <c r="D24" s="30">
        <v>1957</v>
      </c>
      <c r="E24" s="30"/>
      <c r="F24" s="30" t="s">
        <v>48</v>
      </c>
      <c r="G24" s="30" t="s">
        <v>56</v>
      </c>
      <c r="H24" s="30" t="s">
        <v>57</v>
      </c>
      <c r="I24" s="32">
        <v>436.2</v>
      </c>
      <c r="J24" s="32">
        <v>387.1</v>
      </c>
      <c r="K24" s="32">
        <v>340.8</v>
      </c>
      <c r="L24" s="35">
        <v>20</v>
      </c>
      <c r="M24" s="30" t="s">
        <v>50</v>
      </c>
      <c r="N24" s="30" t="s">
        <v>254</v>
      </c>
      <c r="O24" s="31">
        <v>43517.47</v>
      </c>
      <c r="P24" s="31">
        <f t="shared" si="0"/>
        <v>99.764947271893632</v>
      </c>
      <c r="Q24" s="38">
        <v>99.764947271893632</v>
      </c>
    </row>
    <row r="25" spans="1:17" ht="35.25" x14ac:dyDescent="0.5">
      <c r="A25" s="1">
        <v>1</v>
      </c>
      <c r="B25" s="29">
        <f>SUBTOTAL(103,$A$16:A25)</f>
        <v>9</v>
      </c>
      <c r="C25" s="28" t="s">
        <v>400</v>
      </c>
      <c r="D25" s="30">
        <v>1965</v>
      </c>
      <c r="E25" s="30"/>
      <c r="F25" s="30" t="s">
        <v>48</v>
      </c>
      <c r="G25" s="30" t="s">
        <v>75</v>
      </c>
      <c r="H25" s="30" t="s">
        <v>56</v>
      </c>
      <c r="I25" s="32">
        <v>2519.1999999999998</v>
      </c>
      <c r="J25" s="32">
        <v>2034.8</v>
      </c>
      <c r="K25" s="32">
        <v>1749.9</v>
      </c>
      <c r="L25" s="35">
        <v>85</v>
      </c>
      <c r="M25" s="30" t="s">
        <v>46</v>
      </c>
      <c r="N25" s="30" t="s">
        <v>251</v>
      </c>
      <c r="O25" s="31">
        <v>1167250</v>
      </c>
      <c r="P25" s="31">
        <f t="shared" si="0"/>
        <v>463.34153699587176</v>
      </c>
      <c r="Q25" s="38">
        <v>743.95385995554136</v>
      </c>
    </row>
    <row r="26" spans="1:17" ht="35.25" x14ac:dyDescent="0.4">
      <c r="B26" s="34" t="s">
        <v>98</v>
      </c>
      <c r="C26" s="34"/>
      <c r="D26" s="30" t="s">
        <v>131</v>
      </c>
      <c r="E26" s="30" t="s">
        <v>131</v>
      </c>
      <c r="F26" s="30" t="s">
        <v>131</v>
      </c>
      <c r="G26" s="30" t="s">
        <v>131</v>
      </c>
      <c r="H26" s="30" t="s">
        <v>131</v>
      </c>
      <c r="I26" s="32">
        <f>I27</f>
        <v>882.3</v>
      </c>
      <c r="J26" s="32">
        <f>J27</f>
        <v>779.5</v>
      </c>
      <c r="K26" s="32">
        <f>K27</f>
        <v>779.5</v>
      </c>
      <c r="L26" s="35">
        <f>L27</f>
        <v>29</v>
      </c>
      <c r="M26" s="30" t="s">
        <v>131</v>
      </c>
      <c r="N26" s="30" t="s">
        <v>131</v>
      </c>
      <c r="O26" s="31">
        <v>2196540.5</v>
      </c>
      <c r="P26" s="31">
        <f t="shared" si="0"/>
        <v>2489.5619403830897</v>
      </c>
      <c r="Q26" s="38">
        <f>MAX(Q27)</f>
        <v>2735.1358812195399</v>
      </c>
    </row>
    <row r="27" spans="1:17" ht="35.25" x14ac:dyDescent="0.5">
      <c r="A27" s="1">
        <v>1</v>
      </c>
      <c r="B27" s="29">
        <f>SUBTOTAL(103,$A$16:A27)</f>
        <v>10</v>
      </c>
      <c r="C27" s="34" t="s">
        <v>83</v>
      </c>
      <c r="D27" s="30">
        <v>1982</v>
      </c>
      <c r="E27" s="30"/>
      <c r="F27" s="30" t="s">
        <v>48</v>
      </c>
      <c r="G27" s="30" t="s">
        <v>59</v>
      </c>
      <c r="H27" s="30" t="s">
        <v>57</v>
      </c>
      <c r="I27" s="32">
        <v>882.3</v>
      </c>
      <c r="J27" s="32">
        <v>779.5</v>
      </c>
      <c r="K27" s="32">
        <f>J27</f>
        <v>779.5</v>
      </c>
      <c r="L27" s="35">
        <v>29</v>
      </c>
      <c r="M27" s="30" t="s">
        <v>47</v>
      </c>
      <c r="N27" s="30" t="s">
        <v>49</v>
      </c>
      <c r="O27" s="31">
        <v>2196540.5</v>
      </c>
      <c r="P27" s="31">
        <f t="shared" si="0"/>
        <v>2489.5619403830897</v>
      </c>
      <c r="Q27" s="38">
        <v>2735.1358812195399</v>
      </c>
    </row>
    <row r="28" spans="1:17" ht="35.25" x14ac:dyDescent="0.5">
      <c r="B28" s="108" t="s">
        <v>100</v>
      </c>
      <c r="C28" s="34"/>
      <c r="D28" s="30" t="s">
        <v>131</v>
      </c>
      <c r="E28" s="30" t="s">
        <v>131</v>
      </c>
      <c r="F28" s="30" t="s">
        <v>131</v>
      </c>
      <c r="G28" s="30" t="s">
        <v>131</v>
      </c>
      <c r="H28" s="30" t="s">
        <v>131</v>
      </c>
      <c r="I28" s="32">
        <f>I29</f>
        <v>1813.2</v>
      </c>
      <c r="J28" s="32">
        <f>J29</f>
        <v>1042.3</v>
      </c>
      <c r="K28" s="32">
        <f>K29</f>
        <v>567</v>
      </c>
      <c r="L28" s="35">
        <f>L29</f>
        <v>156</v>
      </c>
      <c r="M28" s="30" t="s">
        <v>131</v>
      </c>
      <c r="N28" s="30" t="s">
        <v>131</v>
      </c>
      <c r="O28" s="31">
        <v>5153989.53</v>
      </c>
      <c r="P28" s="31">
        <f t="shared" si="0"/>
        <v>2842.4826439444078</v>
      </c>
      <c r="Q28" s="38">
        <f>MAX(Q29)</f>
        <v>3718.1591363335538</v>
      </c>
    </row>
    <row r="29" spans="1:17" ht="35.25" x14ac:dyDescent="0.5">
      <c r="A29" s="1">
        <v>1</v>
      </c>
      <c r="B29" s="29">
        <f>SUBTOTAL(103,$A$16:A29)</f>
        <v>11</v>
      </c>
      <c r="C29" s="34" t="s">
        <v>225</v>
      </c>
      <c r="D29" s="30">
        <v>2007</v>
      </c>
      <c r="E29" s="30"/>
      <c r="F29" s="30" t="s">
        <v>48</v>
      </c>
      <c r="G29" s="30" t="s">
        <v>61</v>
      </c>
      <c r="H29" s="30" t="s">
        <v>61</v>
      </c>
      <c r="I29" s="32">
        <v>1813.2</v>
      </c>
      <c r="J29" s="32">
        <v>1042.3</v>
      </c>
      <c r="K29" s="32">
        <f>J29-475.3</f>
        <v>567</v>
      </c>
      <c r="L29" s="35">
        <v>156</v>
      </c>
      <c r="M29" s="30" t="s">
        <v>50</v>
      </c>
      <c r="N29" s="30" t="s">
        <v>227</v>
      </c>
      <c r="O29" s="31">
        <v>5153989.53</v>
      </c>
      <c r="P29" s="31">
        <f t="shared" si="0"/>
        <v>2842.4826439444078</v>
      </c>
      <c r="Q29" s="38">
        <v>3718.1591363335538</v>
      </c>
    </row>
    <row r="30" spans="1:17" ht="35.25" x14ac:dyDescent="0.4">
      <c r="B30" s="34" t="s">
        <v>101</v>
      </c>
      <c r="C30" s="34"/>
      <c r="D30" s="30" t="s">
        <v>131</v>
      </c>
      <c r="E30" s="30" t="s">
        <v>131</v>
      </c>
      <c r="F30" s="30" t="s">
        <v>131</v>
      </c>
      <c r="G30" s="30" t="s">
        <v>131</v>
      </c>
      <c r="H30" s="30" t="s">
        <v>131</v>
      </c>
      <c r="I30" s="32">
        <f>I31</f>
        <v>366.5</v>
      </c>
      <c r="J30" s="32">
        <f>J31</f>
        <v>336.9</v>
      </c>
      <c r="K30" s="32">
        <f>K31</f>
        <v>336.9</v>
      </c>
      <c r="L30" s="35">
        <f>L31</f>
        <v>13</v>
      </c>
      <c r="M30" s="30" t="s">
        <v>131</v>
      </c>
      <c r="N30" s="30" t="s">
        <v>131</v>
      </c>
      <c r="O30" s="31">
        <v>48440.03</v>
      </c>
      <c r="P30" s="31">
        <f t="shared" si="0"/>
        <v>132.16924965893588</v>
      </c>
      <c r="Q30" s="38">
        <f>MAX(Q31)</f>
        <v>150.38575716234652</v>
      </c>
    </row>
    <row r="31" spans="1:17" ht="35.25" x14ac:dyDescent="0.5">
      <c r="A31" s="1">
        <v>1</v>
      </c>
      <c r="B31" s="29">
        <f>SUBTOTAL(103,$A$16:A31)</f>
        <v>12</v>
      </c>
      <c r="C31" s="34" t="s">
        <v>186</v>
      </c>
      <c r="D31" s="30">
        <v>1971</v>
      </c>
      <c r="E31" s="30"/>
      <c r="F31" s="30" t="s">
        <v>48</v>
      </c>
      <c r="G31" s="30" t="s">
        <v>56</v>
      </c>
      <c r="H31" s="30" t="s">
        <v>57</v>
      </c>
      <c r="I31" s="32">
        <v>366.5</v>
      </c>
      <c r="J31" s="32">
        <v>336.9</v>
      </c>
      <c r="K31" s="32">
        <f>J31</f>
        <v>336.9</v>
      </c>
      <c r="L31" s="35">
        <v>13</v>
      </c>
      <c r="M31" s="30" t="s">
        <v>50</v>
      </c>
      <c r="N31" s="30" t="s">
        <v>69</v>
      </c>
      <c r="O31" s="31">
        <v>48440.03</v>
      </c>
      <c r="P31" s="31">
        <f t="shared" si="0"/>
        <v>132.16924965893588</v>
      </c>
      <c r="Q31" s="38">
        <v>150.38575716234652</v>
      </c>
    </row>
    <row r="32" spans="1:17" ht="35.25" x14ac:dyDescent="0.4">
      <c r="B32" s="34" t="s">
        <v>210</v>
      </c>
      <c r="C32" s="34"/>
      <c r="D32" s="30" t="s">
        <v>131</v>
      </c>
      <c r="E32" s="30" t="s">
        <v>131</v>
      </c>
      <c r="F32" s="30" t="s">
        <v>131</v>
      </c>
      <c r="G32" s="30" t="s">
        <v>131</v>
      </c>
      <c r="H32" s="30" t="s">
        <v>131</v>
      </c>
      <c r="I32" s="32">
        <f>I33+I34</f>
        <v>872.2</v>
      </c>
      <c r="J32" s="32">
        <f>J33+J34</f>
        <v>820.40000000000009</v>
      </c>
      <c r="K32" s="32">
        <f>K33+K34</f>
        <v>653.30000000000007</v>
      </c>
      <c r="L32" s="35">
        <f>L33+L34</f>
        <v>38</v>
      </c>
      <c r="M32" s="30" t="s">
        <v>131</v>
      </c>
      <c r="N32" s="30" t="s">
        <v>131</v>
      </c>
      <c r="O32" s="31">
        <v>31767</v>
      </c>
      <c r="P32" s="31">
        <f t="shared" si="0"/>
        <v>36.421692272414582</v>
      </c>
      <c r="Q32" s="38">
        <f>MAX(Q33:Q34)</f>
        <v>46.402933134476761</v>
      </c>
    </row>
    <row r="33" spans="1:17" ht="35.25" x14ac:dyDescent="0.5">
      <c r="A33" s="1">
        <v>1</v>
      </c>
      <c r="B33" s="29">
        <f>SUBTOTAL(103,$A$16:A33)</f>
        <v>13</v>
      </c>
      <c r="C33" s="34" t="s">
        <v>187</v>
      </c>
      <c r="D33" s="30">
        <v>1938</v>
      </c>
      <c r="E33" s="30"/>
      <c r="F33" s="30" t="s">
        <v>68</v>
      </c>
      <c r="G33" s="30" t="s">
        <v>56</v>
      </c>
      <c r="H33" s="30" t="s">
        <v>56</v>
      </c>
      <c r="I33" s="32">
        <v>469.9</v>
      </c>
      <c r="J33" s="32">
        <v>418.1</v>
      </c>
      <c r="K33" s="32">
        <f>J33-167.1</f>
        <v>251.00000000000003</v>
      </c>
      <c r="L33" s="35">
        <v>19</v>
      </c>
      <c r="M33" s="30" t="s">
        <v>47</v>
      </c>
      <c r="N33" s="30" t="s">
        <v>49</v>
      </c>
      <c r="O33" s="31">
        <v>13099.1</v>
      </c>
      <c r="P33" s="31">
        <f t="shared" si="0"/>
        <v>27.876356671632266</v>
      </c>
      <c r="Q33" s="38">
        <v>27.876356671632266</v>
      </c>
    </row>
    <row r="34" spans="1:17" ht="35.25" x14ac:dyDescent="0.5">
      <c r="A34" s="1">
        <v>1</v>
      </c>
      <c r="B34" s="29">
        <f>SUBTOTAL(103,$A$16:A34)</f>
        <v>14</v>
      </c>
      <c r="C34" s="34" t="s">
        <v>188</v>
      </c>
      <c r="D34" s="30">
        <v>1950</v>
      </c>
      <c r="E34" s="30"/>
      <c r="F34" s="30" t="s">
        <v>68</v>
      </c>
      <c r="G34" s="30" t="s">
        <v>56</v>
      </c>
      <c r="H34" s="30" t="s">
        <v>56</v>
      </c>
      <c r="I34" s="32">
        <v>402.3</v>
      </c>
      <c r="J34" s="32">
        <v>402.3</v>
      </c>
      <c r="K34" s="32">
        <f>J34</f>
        <v>402.3</v>
      </c>
      <c r="L34" s="35">
        <v>19</v>
      </c>
      <c r="M34" s="30" t="s">
        <v>47</v>
      </c>
      <c r="N34" s="30" t="s">
        <v>49</v>
      </c>
      <c r="O34" s="31">
        <v>18667.900000000001</v>
      </c>
      <c r="P34" s="31">
        <f t="shared" si="0"/>
        <v>46.402933134476761</v>
      </c>
      <c r="Q34" s="38">
        <v>46.402933134476761</v>
      </c>
    </row>
    <row r="35" spans="1:17" ht="35.25" x14ac:dyDescent="0.4">
      <c r="B35" s="34" t="s">
        <v>105</v>
      </c>
      <c r="C35" s="34"/>
      <c r="D35" s="30" t="s">
        <v>131</v>
      </c>
      <c r="E35" s="30" t="s">
        <v>131</v>
      </c>
      <c r="F35" s="30" t="s">
        <v>131</v>
      </c>
      <c r="G35" s="30" t="s">
        <v>131</v>
      </c>
      <c r="H35" s="30" t="s">
        <v>131</v>
      </c>
      <c r="I35" s="32">
        <f>I36+I37</f>
        <v>881.98</v>
      </c>
      <c r="J35" s="32">
        <f>J36+J37</f>
        <v>832.51</v>
      </c>
      <c r="K35" s="32">
        <f>K36+K37</f>
        <v>544.31000000000006</v>
      </c>
      <c r="L35" s="35">
        <f>L36+L37</f>
        <v>48</v>
      </c>
      <c r="M35" s="30" t="s">
        <v>131</v>
      </c>
      <c r="N35" s="30" t="s">
        <v>131</v>
      </c>
      <c r="O35" s="31">
        <v>3557815.66</v>
      </c>
      <c r="P35" s="31">
        <f t="shared" si="0"/>
        <v>4033.8960747409237</v>
      </c>
      <c r="Q35" s="38">
        <f>MAX(Q36:Q37)</f>
        <v>6653.6489695238097</v>
      </c>
    </row>
    <row r="36" spans="1:17" ht="35.25" x14ac:dyDescent="0.5">
      <c r="A36" s="1">
        <v>1</v>
      </c>
      <c r="B36" s="29">
        <f>SUBTOTAL(103,$A$16:A36)</f>
        <v>15</v>
      </c>
      <c r="C36" s="34" t="s">
        <v>208</v>
      </c>
      <c r="D36" s="30">
        <v>1962</v>
      </c>
      <c r="E36" s="30"/>
      <c r="F36" s="30" t="s">
        <v>48</v>
      </c>
      <c r="G36" s="30" t="s">
        <v>56</v>
      </c>
      <c r="H36" s="30" t="s">
        <v>56</v>
      </c>
      <c r="I36" s="32">
        <v>671.98</v>
      </c>
      <c r="J36" s="32">
        <v>624.21</v>
      </c>
      <c r="K36" s="32">
        <f>J36-79.9</f>
        <v>544.31000000000006</v>
      </c>
      <c r="L36" s="35">
        <v>38</v>
      </c>
      <c r="M36" s="30" t="s">
        <v>50</v>
      </c>
      <c r="N36" s="30" t="s">
        <v>53</v>
      </c>
      <c r="O36" s="31">
        <v>2576429.98</v>
      </c>
      <c r="P36" s="31">
        <f t="shared" si="0"/>
        <v>3834.0872942647102</v>
      </c>
      <c r="Q36" s="38">
        <v>5612.772182803059</v>
      </c>
    </row>
    <row r="37" spans="1:17" ht="35.25" x14ac:dyDescent="0.5">
      <c r="A37" s="1">
        <v>1</v>
      </c>
      <c r="B37" s="29">
        <f>SUBTOTAL(103,$A$16:A37)</f>
        <v>16</v>
      </c>
      <c r="C37" s="34" t="s">
        <v>189</v>
      </c>
      <c r="D37" s="30">
        <v>1964</v>
      </c>
      <c r="E37" s="30"/>
      <c r="F37" s="30" t="s">
        <v>48</v>
      </c>
      <c r="G37" s="30" t="s">
        <v>56</v>
      </c>
      <c r="H37" s="30" t="s">
        <v>57</v>
      </c>
      <c r="I37" s="32">
        <v>210</v>
      </c>
      <c r="J37" s="32">
        <v>208.3</v>
      </c>
      <c r="K37" s="32">
        <v>0</v>
      </c>
      <c r="L37" s="35">
        <v>10</v>
      </c>
      <c r="M37" s="30" t="s">
        <v>47</v>
      </c>
      <c r="N37" s="30" t="s">
        <v>49</v>
      </c>
      <c r="O37" s="31">
        <v>981385.68</v>
      </c>
      <c r="P37" s="31">
        <f t="shared" si="0"/>
        <v>4673.2651428571435</v>
      </c>
      <c r="Q37" s="38">
        <v>6653.6489695238097</v>
      </c>
    </row>
    <row r="38" spans="1:17" ht="35.25" x14ac:dyDescent="0.4">
      <c r="B38" s="34" t="s">
        <v>91</v>
      </c>
      <c r="C38" s="34"/>
      <c r="D38" s="30" t="s">
        <v>131</v>
      </c>
      <c r="E38" s="30" t="s">
        <v>131</v>
      </c>
      <c r="F38" s="30" t="s">
        <v>131</v>
      </c>
      <c r="G38" s="30" t="s">
        <v>131</v>
      </c>
      <c r="H38" s="30" t="s">
        <v>131</v>
      </c>
      <c r="I38" s="32">
        <f>I39+I40+I41</f>
        <v>2093.1</v>
      </c>
      <c r="J38" s="32">
        <f>J39+J40+J41</f>
        <v>1649</v>
      </c>
      <c r="K38" s="32">
        <f>K39+K40+K41</f>
        <v>1480.6</v>
      </c>
      <c r="L38" s="35">
        <f>L39+L40+L41</f>
        <v>110</v>
      </c>
      <c r="M38" s="30" t="s">
        <v>131</v>
      </c>
      <c r="N38" s="30" t="s">
        <v>131</v>
      </c>
      <c r="O38" s="31">
        <v>223917.22</v>
      </c>
      <c r="P38" s="31">
        <f t="shared" si="0"/>
        <v>106.97874922363958</v>
      </c>
      <c r="Q38" s="38">
        <f>MAX(Q39:Q41)</f>
        <v>174.55257664709717</v>
      </c>
    </row>
    <row r="39" spans="1:17" ht="35.25" x14ac:dyDescent="0.5">
      <c r="A39" s="1">
        <v>1</v>
      </c>
      <c r="B39" s="29">
        <f>SUBTOTAL(103,$A$16:A39)</f>
        <v>17</v>
      </c>
      <c r="C39" s="34" t="s">
        <v>190</v>
      </c>
      <c r="D39" s="30">
        <v>1960</v>
      </c>
      <c r="E39" s="30"/>
      <c r="F39" s="30" t="s">
        <v>48</v>
      </c>
      <c r="G39" s="30" t="s">
        <v>56</v>
      </c>
      <c r="H39" s="30" t="s">
        <v>57</v>
      </c>
      <c r="I39" s="32">
        <v>306.60000000000002</v>
      </c>
      <c r="J39" s="32">
        <v>285.60000000000002</v>
      </c>
      <c r="K39" s="32">
        <f>J39-33.2</f>
        <v>252.40000000000003</v>
      </c>
      <c r="L39" s="35">
        <v>21</v>
      </c>
      <c r="M39" s="30" t="s">
        <v>47</v>
      </c>
      <c r="N39" s="30" t="s">
        <v>49</v>
      </c>
      <c r="O39" s="31">
        <v>47271.85</v>
      </c>
      <c r="P39" s="31">
        <f t="shared" si="0"/>
        <v>154.18085453359424</v>
      </c>
      <c r="Q39" s="38">
        <v>174.55257664709717</v>
      </c>
    </row>
    <row r="40" spans="1:17" ht="35.25" x14ac:dyDescent="0.5">
      <c r="A40" s="1">
        <v>1</v>
      </c>
      <c r="B40" s="29">
        <f>SUBTOTAL(103,$A$16:A40)</f>
        <v>18</v>
      </c>
      <c r="C40" s="34" t="s">
        <v>93</v>
      </c>
      <c r="D40" s="30">
        <v>1960</v>
      </c>
      <c r="E40" s="30"/>
      <c r="F40" s="30" t="s">
        <v>48</v>
      </c>
      <c r="G40" s="30" t="s">
        <v>61</v>
      </c>
      <c r="H40" s="30" t="s">
        <v>56</v>
      </c>
      <c r="I40" s="32">
        <v>1286.5</v>
      </c>
      <c r="J40" s="32">
        <v>881.8</v>
      </c>
      <c r="K40" s="32">
        <f>J40-65.9</f>
        <v>815.9</v>
      </c>
      <c r="L40" s="35">
        <v>39</v>
      </c>
      <c r="M40" s="30" t="s">
        <v>47</v>
      </c>
      <c r="N40" s="30" t="s">
        <v>49</v>
      </c>
      <c r="O40" s="31">
        <v>99352.46</v>
      </c>
      <c r="P40" s="31">
        <f t="shared" si="0"/>
        <v>77.226941313641674</v>
      </c>
      <c r="Q40" s="38">
        <v>77.226941313641674</v>
      </c>
    </row>
    <row r="41" spans="1:17" ht="35.25" x14ac:dyDescent="0.5">
      <c r="A41" s="1">
        <v>1</v>
      </c>
      <c r="B41" s="29">
        <f>SUBTOTAL(103,$A$16:A41)</f>
        <v>19</v>
      </c>
      <c r="C41" s="34" t="s">
        <v>92</v>
      </c>
      <c r="D41" s="30">
        <v>1965</v>
      </c>
      <c r="E41" s="30"/>
      <c r="F41" s="30" t="s">
        <v>48</v>
      </c>
      <c r="G41" s="30" t="s">
        <v>56</v>
      </c>
      <c r="H41" s="30" t="s">
        <v>61</v>
      </c>
      <c r="I41" s="32">
        <v>500</v>
      </c>
      <c r="J41" s="32">
        <v>481.6</v>
      </c>
      <c r="K41" s="32">
        <f>J41-69.3</f>
        <v>412.3</v>
      </c>
      <c r="L41" s="35">
        <v>50</v>
      </c>
      <c r="M41" s="30" t="s">
        <v>47</v>
      </c>
      <c r="N41" s="30" t="s">
        <v>49</v>
      </c>
      <c r="O41" s="31">
        <v>77292.91</v>
      </c>
      <c r="P41" s="31">
        <f t="shared" si="0"/>
        <v>154.58582000000001</v>
      </c>
      <c r="Q41" s="38">
        <v>154.58582000000001</v>
      </c>
    </row>
    <row r="42" spans="1:17" ht="35.25" x14ac:dyDescent="0.4">
      <c r="B42" s="34" t="s">
        <v>108</v>
      </c>
      <c r="C42" s="34"/>
      <c r="D42" s="30" t="s">
        <v>131</v>
      </c>
      <c r="E42" s="30" t="s">
        <v>131</v>
      </c>
      <c r="F42" s="30" t="s">
        <v>131</v>
      </c>
      <c r="G42" s="30" t="s">
        <v>131</v>
      </c>
      <c r="H42" s="30" t="s">
        <v>131</v>
      </c>
      <c r="I42" s="32">
        <f>I43</f>
        <v>755.8</v>
      </c>
      <c r="J42" s="32">
        <f>J43</f>
        <v>690.5</v>
      </c>
      <c r="K42" s="32">
        <f>K43</f>
        <v>391.9</v>
      </c>
      <c r="L42" s="35">
        <f>L43</f>
        <v>20</v>
      </c>
      <c r="M42" s="30" t="s">
        <v>131</v>
      </c>
      <c r="N42" s="30" t="s">
        <v>131</v>
      </c>
      <c r="O42" s="31">
        <v>3265341.36</v>
      </c>
      <c r="P42" s="31">
        <f t="shared" si="0"/>
        <v>4320.3775602011119</v>
      </c>
      <c r="Q42" s="38">
        <f>MAX(Q43)</f>
        <v>5737.0236173590902</v>
      </c>
    </row>
    <row r="43" spans="1:17" ht="35.25" x14ac:dyDescent="0.5">
      <c r="A43" s="1">
        <v>1</v>
      </c>
      <c r="B43" s="29">
        <f>SUBTOTAL(103,$A$16:A43)</f>
        <v>20</v>
      </c>
      <c r="C43" s="34" t="s">
        <v>191</v>
      </c>
      <c r="D43" s="30">
        <v>1953</v>
      </c>
      <c r="E43" s="30"/>
      <c r="F43" s="30" t="s">
        <v>48</v>
      </c>
      <c r="G43" s="30" t="s">
        <v>56</v>
      </c>
      <c r="H43" s="30" t="s">
        <v>56</v>
      </c>
      <c r="I43" s="32">
        <v>755.8</v>
      </c>
      <c r="J43" s="32">
        <v>690.5</v>
      </c>
      <c r="K43" s="32">
        <f>J43-298.6</f>
        <v>391.9</v>
      </c>
      <c r="L43" s="35">
        <v>20</v>
      </c>
      <c r="M43" s="30" t="s">
        <v>47</v>
      </c>
      <c r="N43" s="30" t="s">
        <v>49</v>
      </c>
      <c r="O43" s="31">
        <v>3265341.36</v>
      </c>
      <c r="P43" s="31">
        <f t="shared" si="0"/>
        <v>4320.3775602011119</v>
      </c>
      <c r="Q43" s="38">
        <v>5737.0236173590902</v>
      </c>
    </row>
    <row r="44" spans="1:17" ht="35.25" x14ac:dyDescent="0.4">
      <c r="B44" s="34" t="s">
        <v>110</v>
      </c>
      <c r="C44" s="34"/>
      <c r="D44" s="30" t="s">
        <v>131</v>
      </c>
      <c r="E44" s="30" t="s">
        <v>131</v>
      </c>
      <c r="F44" s="30" t="s">
        <v>131</v>
      </c>
      <c r="G44" s="30" t="s">
        <v>131</v>
      </c>
      <c r="H44" s="30" t="s">
        <v>131</v>
      </c>
      <c r="I44" s="32">
        <f>I45</f>
        <v>1840.2</v>
      </c>
      <c r="J44" s="32">
        <f>J45</f>
        <v>1840.2</v>
      </c>
      <c r="K44" s="32">
        <f>K45</f>
        <v>1695.4</v>
      </c>
      <c r="L44" s="35">
        <f>L45</f>
        <v>77</v>
      </c>
      <c r="M44" s="30" t="s">
        <v>131</v>
      </c>
      <c r="N44" s="30" t="s">
        <v>131</v>
      </c>
      <c r="O44" s="31">
        <v>97672.62</v>
      </c>
      <c r="P44" s="31">
        <f t="shared" si="0"/>
        <v>53.077176393870225</v>
      </c>
      <c r="Q44" s="38">
        <f>MAX(Q45)</f>
        <v>53.077176393870225</v>
      </c>
    </row>
    <row r="45" spans="1:17" ht="35.25" x14ac:dyDescent="0.5">
      <c r="A45" s="1">
        <v>1</v>
      </c>
      <c r="B45" s="29">
        <f>SUBTOTAL(103,$A$16:A45)</f>
        <v>21</v>
      </c>
      <c r="C45" s="34" t="s">
        <v>192</v>
      </c>
      <c r="D45" s="30">
        <v>1986</v>
      </c>
      <c r="E45" s="30"/>
      <c r="F45" s="30" t="s">
        <v>48</v>
      </c>
      <c r="G45" s="30" t="s">
        <v>61</v>
      </c>
      <c r="H45" s="30" t="s">
        <v>61</v>
      </c>
      <c r="I45" s="32">
        <v>1840.2</v>
      </c>
      <c r="J45" s="32">
        <v>1840.2</v>
      </c>
      <c r="K45" s="32">
        <f>J45-144.8</f>
        <v>1695.4</v>
      </c>
      <c r="L45" s="35">
        <v>77</v>
      </c>
      <c r="M45" s="30" t="s">
        <v>71</v>
      </c>
      <c r="N45" s="30" t="s">
        <v>221</v>
      </c>
      <c r="O45" s="31">
        <v>97672.62</v>
      </c>
      <c r="P45" s="31">
        <f t="shared" si="0"/>
        <v>53.077176393870225</v>
      </c>
      <c r="Q45" s="38">
        <v>53.077176393870225</v>
      </c>
    </row>
    <row r="46" spans="1:17" ht="35.25" x14ac:dyDescent="0.4">
      <c r="B46" s="34" t="s">
        <v>211</v>
      </c>
      <c r="C46" s="34"/>
      <c r="D46" s="30" t="s">
        <v>131</v>
      </c>
      <c r="E46" s="30" t="s">
        <v>131</v>
      </c>
      <c r="F46" s="30" t="s">
        <v>131</v>
      </c>
      <c r="G46" s="30" t="s">
        <v>131</v>
      </c>
      <c r="H46" s="30" t="s">
        <v>131</v>
      </c>
      <c r="I46" s="32">
        <f>I47+I48+I49</f>
        <v>1621.7</v>
      </c>
      <c r="J46" s="32">
        <f>J47+J48+J49</f>
        <v>1475.1999999999998</v>
      </c>
      <c r="K46" s="32">
        <f>K47+K48+K49</f>
        <v>1246.9000000000001</v>
      </c>
      <c r="L46" s="35">
        <f>L47+L48+L49</f>
        <v>58</v>
      </c>
      <c r="M46" s="30" t="s">
        <v>131</v>
      </c>
      <c r="N46" s="30" t="s">
        <v>131</v>
      </c>
      <c r="O46" s="31">
        <v>7637123.5900000008</v>
      </c>
      <c r="P46" s="31">
        <f t="shared" si="0"/>
        <v>4709.3319294567436</v>
      </c>
      <c r="Q46" s="38">
        <f>MAX(Q47:Q49)</f>
        <v>5641.2007103377682</v>
      </c>
    </row>
    <row r="47" spans="1:17" ht="35.25" x14ac:dyDescent="0.5">
      <c r="A47" s="1">
        <v>1</v>
      </c>
      <c r="B47" s="29">
        <f>SUBTOTAL(103,$A$16:A47)</f>
        <v>22</v>
      </c>
      <c r="C47" s="34" t="s">
        <v>193</v>
      </c>
      <c r="D47" s="30">
        <v>1950</v>
      </c>
      <c r="E47" s="30"/>
      <c r="F47" s="30" t="s">
        <v>48</v>
      </c>
      <c r="G47" s="30" t="s">
        <v>56</v>
      </c>
      <c r="H47" s="30" t="s">
        <v>57</v>
      </c>
      <c r="I47" s="32">
        <v>488.5</v>
      </c>
      <c r="J47" s="32">
        <v>433.9</v>
      </c>
      <c r="K47" s="32">
        <f>J47-53.4</f>
        <v>380.5</v>
      </c>
      <c r="L47" s="35">
        <v>18</v>
      </c>
      <c r="M47" s="30" t="s">
        <v>50</v>
      </c>
      <c r="N47" s="30" t="s">
        <v>65</v>
      </c>
      <c r="O47" s="31">
        <v>2406352.7599999998</v>
      </c>
      <c r="P47" s="31">
        <f t="shared" si="0"/>
        <v>4926.003602865916</v>
      </c>
      <c r="Q47" s="38">
        <v>5641.2007103377682</v>
      </c>
    </row>
    <row r="48" spans="1:17" ht="35.25" x14ac:dyDescent="0.5">
      <c r="A48" s="1">
        <v>1</v>
      </c>
      <c r="B48" s="29">
        <f>SUBTOTAL(103,$A$16:A48)</f>
        <v>23</v>
      </c>
      <c r="C48" s="34" t="s">
        <v>194</v>
      </c>
      <c r="D48" s="30">
        <v>1956</v>
      </c>
      <c r="E48" s="30"/>
      <c r="F48" s="30" t="s">
        <v>48</v>
      </c>
      <c r="G48" s="30" t="s">
        <v>56</v>
      </c>
      <c r="H48" s="30" t="s">
        <v>57</v>
      </c>
      <c r="I48" s="32">
        <v>567.9</v>
      </c>
      <c r="J48" s="32">
        <v>524.79999999999995</v>
      </c>
      <c r="K48" s="32">
        <f>J48-79.8</f>
        <v>444.99999999999994</v>
      </c>
      <c r="L48" s="35">
        <v>13</v>
      </c>
      <c r="M48" s="30" t="s">
        <v>50</v>
      </c>
      <c r="N48" s="30" t="s">
        <v>65</v>
      </c>
      <c r="O48" s="31">
        <v>2491755.89</v>
      </c>
      <c r="P48" s="31">
        <f t="shared" si="0"/>
        <v>4387.6666490579328</v>
      </c>
      <c r="Q48" s="38">
        <v>5514.9371720373301</v>
      </c>
    </row>
    <row r="49" spans="1:17" ht="35.25" x14ac:dyDescent="0.5">
      <c r="A49" s="1">
        <v>1</v>
      </c>
      <c r="B49" s="29">
        <f>SUBTOTAL(103,$A$16:A49)</f>
        <v>24</v>
      </c>
      <c r="C49" s="34" t="s">
        <v>195</v>
      </c>
      <c r="D49" s="30">
        <v>1963</v>
      </c>
      <c r="E49" s="30"/>
      <c r="F49" s="30" t="s">
        <v>48</v>
      </c>
      <c r="G49" s="30" t="s">
        <v>56</v>
      </c>
      <c r="H49" s="30" t="s">
        <v>56</v>
      </c>
      <c r="I49" s="32">
        <v>565.29999999999995</v>
      </c>
      <c r="J49" s="32">
        <v>516.5</v>
      </c>
      <c r="K49" s="32">
        <f>J49-95.1</f>
        <v>421.4</v>
      </c>
      <c r="L49" s="35">
        <v>27</v>
      </c>
      <c r="M49" s="30" t="s">
        <v>50</v>
      </c>
      <c r="N49" s="30" t="s">
        <v>67</v>
      </c>
      <c r="O49" s="31">
        <v>2739014.9400000004</v>
      </c>
      <c r="P49" s="31">
        <f t="shared" si="0"/>
        <v>4845.2413585706718</v>
      </c>
      <c r="Q49" s="38">
        <v>5463.0469662126307</v>
      </c>
    </row>
    <row r="50" spans="1:17" ht="35.25" x14ac:dyDescent="0.4">
      <c r="B50" s="34" t="s">
        <v>212</v>
      </c>
      <c r="C50" s="34"/>
      <c r="D50" s="30" t="s">
        <v>131</v>
      </c>
      <c r="E50" s="30" t="s">
        <v>131</v>
      </c>
      <c r="F50" s="30" t="s">
        <v>131</v>
      </c>
      <c r="G50" s="30" t="s">
        <v>131</v>
      </c>
      <c r="H50" s="30" t="s">
        <v>131</v>
      </c>
      <c r="I50" s="32">
        <f>I51</f>
        <v>1598.9</v>
      </c>
      <c r="J50" s="32">
        <f>J51</f>
        <v>874</v>
      </c>
      <c r="K50" s="32">
        <f>K51</f>
        <v>786.4</v>
      </c>
      <c r="L50" s="35">
        <f>L51</f>
        <v>38</v>
      </c>
      <c r="M50" s="30" t="s">
        <v>131</v>
      </c>
      <c r="N50" s="30" t="s">
        <v>131</v>
      </c>
      <c r="O50" s="31">
        <v>2434994.4500000002</v>
      </c>
      <c r="P50" s="31">
        <f t="shared" si="0"/>
        <v>1522.9185377446995</v>
      </c>
      <c r="Q50" s="38">
        <f>MAX(Q51)</f>
        <v>3043.5610732378509</v>
      </c>
    </row>
    <row r="51" spans="1:17" ht="35.25" x14ac:dyDescent="0.5">
      <c r="A51" s="1">
        <v>1</v>
      </c>
      <c r="B51" s="29">
        <f>SUBTOTAL(103,$A$16:A51)</f>
        <v>25</v>
      </c>
      <c r="C51" s="34" t="s">
        <v>200</v>
      </c>
      <c r="D51" s="30">
        <v>1974</v>
      </c>
      <c r="E51" s="30"/>
      <c r="F51" s="30" t="s">
        <v>48</v>
      </c>
      <c r="G51" s="30" t="s">
        <v>56</v>
      </c>
      <c r="H51" s="30" t="s">
        <v>61</v>
      </c>
      <c r="I51" s="32">
        <v>1598.9</v>
      </c>
      <c r="J51" s="32">
        <v>874</v>
      </c>
      <c r="K51" s="32">
        <f>J51-87.6</f>
        <v>786.4</v>
      </c>
      <c r="L51" s="35">
        <v>38</v>
      </c>
      <c r="M51" s="30" t="s">
        <v>50</v>
      </c>
      <c r="N51" s="30" t="s">
        <v>55</v>
      </c>
      <c r="O51" s="31">
        <v>2434994.4500000002</v>
      </c>
      <c r="P51" s="31">
        <f t="shared" si="0"/>
        <v>1522.9185377446995</v>
      </c>
      <c r="Q51" s="38">
        <v>3043.5610732378509</v>
      </c>
    </row>
    <row r="52" spans="1:17" ht="35.25" x14ac:dyDescent="0.4">
      <c r="B52" s="34" t="s">
        <v>115</v>
      </c>
      <c r="C52" s="34"/>
      <c r="D52" s="30" t="s">
        <v>131</v>
      </c>
      <c r="E52" s="30" t="s">
        <v>131</v>
      </c>
      <c r="F52" s="30" t="s">
        <v>131</v>
      </c>
      <c r="G52" s="30" t="s">
        <v>131</v>
      </c>
      <c r="H52" s="30" t="s">
        <v>131</v>
      </c>
      <c r="I52" s="32">
        <f>I53</f>
        <v>465</v>
      </c>
      <c r="J52" s="32">
        <f>J53</f>
        <v>424.6</v>
      </c>
      <c r="K52" s="32">
        <f>K53</f>
        <v>175.8</v>
      </c>
      <c r="L52" s="35">
        <f>L53</f>
        <v>26</v>
      </c>
      <c r="M52" s="30" t="s">
        <v>131</v>
      </c>
      <c r="N52" s="30" t="s">
        <v>131</v>
      </c>
      <c r="O52" s="31">
        <v>89459.11</v>
      </c>
      <c r="P52" s="31">
        <f t="shared" si="0"/>
        <v>192.38518279569894</v>
      </c>
      <c r="Q52" s="38">
        <f>MAX(Q53)</f>
        <v>192.38518279569894</v>
      </c>
    </row>
    <row r="53" spans="1:17" ht="35.25" x14ac:dyDescent="0.5">
      <c r="A53" s="1">
        <v>1</v>
      </c>
      <c r="B53" s="29">
        <f>SUBTOTAL(103,$A$16:A53)</f>
        <v>26</v>
      </c>
      <c r="C53" s="34" t="s">
        <v>196</v>
      </c>
      <c r="D53" s="30">
        <v>1953</v>
      </c>
      <c r="E53" s="30"/>
      <c r="F53" s="30" t="s">
        <v>48</v>
      </c>
      <c r="G53" s="30" t="s">
        <v>56</v>
      </c>
      <c r="H53" s="30" t="s">
        <v>57</v>
      </c>
      <c r="I53" s="32">
        <v>465</v>
      </c>
      <c r="J53" s="32">
        <v>424.6</v>
      </c>
      <c r="K53" s="32">
        <f>J53-248.8</f>
        <v>175.8</v>
      </c>
      <c r="L53" s="35">
        <v>26</v>
      </c>
      <c r="M53" s="30" t="s">
        <v>47</v>
      </c>
      <c r="N53" s="30" t="s">
        <v>49</v>
      </c>
      <c r="O53" s="31">
        <v>89459.11</v>
      </c>
      <c r="P53" s="31">
        <f t="shared" si="0"/>
        <v>192.38518279569894</v>
      </c>
      <c r="Q53" s="38">
        <v>192.38518279569894</v>
      </c>
    </row>
    <row r="54" spans="1:17" ht="35.25" x14ac:dyDescent="0.4">
      <c r="B54" s="34" t="s">
        <v>119</v>
      </c>
      <c r="C54" s="34"/>
      <c r="D54" s="30" t="s">
        <v>131</v>
      </c>
      <c r="E54" s="30" t="s">
        <v>131</v>
      </c>
      <c r="F54" s="30" t="s">
        <v>131</v>
      </c>
      <c r="G54" s="30" t="s">
        <v>131</v>
      </c>
      <c r="H54" s="30" t="s">
        <v>131</v>
      </c>
      <c r="I54" s="32">
        <f>I55</f>
        <v>861.5</v>
      </c>
      <c r="J54" s="32">
        <f>J55</f>
        <v>861.5</v>
      </c>
      <c r="K54" s="32">
        <f>K55</f>
        <v>816.5</v>
      </c>
      <c r="L54" s="35">
        <f>L55</f>
        <v>31</v>
      </c>
      <c r="M54" s="30" t="s">
        <v>131</v>
      </c>
      <c r="N54" s="30" t="s">
        <v>131</v>
      </c>
      <c r="O54" s="31">
        <v>3168456.39</v>
      </c>
      <c r="P54" s="31">
        <f t="shared" si="0"/>
        <v>3677.8367846778874</v>
      </c>
      <c r="Q54" s="38">
        <f>MAX(Q55)</f>
        <v>6329.4339408009282</v>
      </c>
    </row>
    <row r="55" spans="1:17" ht="35.25" x14ac:dyDescent="0.5">
      <c r="A55" s="1">
        <v>1</v>
      </c>
      <c r="B55" s="29">
        <f>SUBTOTAL(103,$A$16:A55)</f>
        <v>27</v>
      </c>
      <c r="C55" s="34" t="s">
        <v>199</v>
      </c>
      <c r="D55" s="30">
        <v>1980</v>
      </c>
      <c r="E55" s="30"/>
      <c r="F55" s="30" t="s">
        <v>48</v>
      </c>
      <c r="G55" s="30" t="s">
        <v>56</v>
      </c>
      <c r="H55" s="30" t="s">
        <v>61</v>
      </c>
      <c r="I55" s="32">
        <v>861.5</v>
      </c>
      <c r="J55" s="32">
        <v>861.5</v>
      </c>
      <c r="K55" s="32">
        <f>J55-45</f>
        <v>816.5</v>
      </c>
      <c r="L55" s="35">
        <v>31</v>
      </c>
      <c r="M55" s="30" t="s">
        <v>50</v>
      </c>
      <c r="N55" s="30" t="s">
        <v>52</v>
      </c>
      <c r="O55" s="31">
        <v>3168456.39</v>
      </c>
      <c r="P55" s="31">
        <f t="shared" si="0"/>
        <v>3677.8367846778874</v>
      </c>
      <c r="Q55" s="38">
        <v>6329.4339408009282</v>
      </c>
    </row>
    <row r="56" spans="1:17" ht="35.25" x14ac:dyDescent="0.4">
      <c r="B56" s="34" t="s">
        <v>121</v>
      </c>
      <c r="C56" s="34"/>
      <c r="D56" s="30" t="s">
        <v>131</v>
      </c>
      <c r="E56" s="30" t="s">
        <v>131</v>
      </c>
      <c r="F56" s="30" t="s">
        <v>131</v>
      </c>
      <c r="G56" s="30" t="s">
        <v>131</v>
      </c>
      <c r="H56" s="30" t="s">
        <v>131</v>
      </c>
      <c r="I56" s="32">
        <f>I58+I57+I59</f>
        <v>2249.1999999999998</v>
      </c>
      <c r="J56" s="32">
        <f>J58+J57+J59</f>
        <v>2068.4</v>
      </c>
      <c r="K56" s="32">
        <f>K58+K57+K59</f>
        <v>2023.6000000000001</v>
      </c>
      <c r="L56" s="35">
        <f>L58+L57+L59</f>
        <v>104</v>
      </c>
      <c r="M56" s="30" t="s">
        <v>131</v>
      </c>
      <c r="N56" s="30" t="s">
        <v>131</v>
      </c>
      <c r="O56" s="31">
        <v>4966030.97</v>
      </c>
      <c r="P56" s="31">
        <f t="shared" si="0"/>
        <v>2207.9099101902898</v>
      </c>
      <c r="Q56" s="38">
        <f>MAX(Q57:Q59)</f>
        <v>5971.1412207084468</v>
      </c>
    </row>
    <row r="57" spans="1:17" ht="35.25" x14ac:dyDescent="0.5">
      <c r="A57" s="1">
        <v>1</v>
      </c>
      <c r="B57" s="29">
        <f>SUBTOTAL(103,$A$16:A57)</f>
        <v>28</v>
      </c>
      <c r="C57" s="34" t="s">
        <v>231</v>
      </c>
      <c r="D57" s="30">
        <v>1980</v>
      </c>
      <c r="E57" s="30"/>
      <c r="F57" s="30" t="s">
        <v>63</v>
      </c>
      <c r="G57" s="30" t="s">
        <v>61</v>
      </c>
      <c r="H57" s="30" t="s">
        <v>61</v>
      </c>
      <c r="I57" s="32">
        <v>1481.6</v>
      </c>
      <c r="J57" s="32">
        <v>1361.4</v>
      </c>
      <c r="K57" s="32">
        <v>1361.4</v>
      </c>
      <c r="L57" s="35">
        <v>70</v>
      </c>
      <c r="M57" s="30" t="s">
        <v>47</v>
      </c>
      <c r="N57" s="30" t="s">
        <v>49</v>
      </c>
      <c r="O57" s="31">
        <v>1924066.04</v>
      </c>
      <c r="P57" s="31">
        <f t="shared" si="0"/>
        <v>1298.6406857451404</v>
      </c>
      <c r="Q57" s="38">
        <v>2408.1451476781858</v>
      </c>
    </row>
    <row r="58" spans="1:17" ht="35.25" x14ac:dyDescent="0.5">
      <c r="A58" s="1">
        <v>1</v>
      </c>
      <c r="B58" s="29">
        <f>SUBTOTAL(103,$A$16:A58)</f>
        <v>29</v>
      </c>
      <c r="C58" s="34" t="s">
        <v>197</v>
      </c>
      <c r="D58" s="30">
        <v>1970</v>
      </c>
      <c r="E58" s="30"/>
      <c r="F58" s="30" t="s">
        <v>48</v>
      </c>
      <c r="G58" s="30" t="s">
        <v>56</v>
      </c>
      <c r="H58" s="30" t="s">
        <v>57</v>
      </c>
      <c r="I58" s="32">
        <v>403.7</v>
      </c>
      <c r="J58" s="32">
        <v>373</v>
      </c>
      <c r="K58" s="32">
        <f>J58-44.8</f>
        <v>328.2</v>
      </c>
      <c r="L58" s="35">
        <v>20</v>
      </c>
      <c r="M58" s="30" t="s">
        <v>47</v>
      </c>
      <c r="N58" s="30" t="s">
        <v>49</v>
      </c>
      <c r="O58" s="31">
        <v>1650932.93</v>
      </c>
      <c r="P58" s="31">
        <f t="shared" si="0"/>
        <v>4089.5044092147632</v>
      </c>
      <c r="Q58" s="38">
        <v>5971.1412207084468</v>
      </c>
    </row>
    <row r="59" spans="1:17" ht="35.25" x14ac:dyDescent="0.5">
      <c r="A59" s="1">
        <v>1</v>
      </c>
      <c r="B59" s="29">
        <f>SUBTOTAL(103,$A$16:A59)</f>
        <v>30</v>
      </c>
      <c r="C59" s="34" t="s">
        <v>31</v>
      </c>
      <c r="D59" s="30">
        <v>1968</v>
      </c>
      <c r="E59" s="30"/>
      <c r="F59" s="30" t="s">
        <v>48</v>
      </c>
      <c r="G59" s="30" t="s">
        <v>56</v>
      </c>
      <c r="H59" s="30" t="s">
        <v>57</v>
      </c>
      <c r="I59" s="32">
        <v>363.9</v>
      </c>
      <c r="J59" s="32">
        <v>334</v>
      </c>
      <c r="K59" s="32">
        <v>334</v>
      </c>
      <c r="L59" s="35">
        <v>14</v>
      </c>
      <c r="M59" s="30" t="s">
        <v>47</v>
      </c>
      <c r="N59" s="30" t="s">
        <v>49</v>
      </c>
      <c r="O59" s="31">
        <v>1391032.0000000002</v>
      </c>
      <c r="P59" s="31">
        <f t="shared" si="0"/>
        <v>3822.5666391865907</v>
      </c>
      <c r="Q59" s="38">
        <v>5296.8157309700464</v>
      </c>
    </row>
    <row r="60" spans="1:17" ht="35.25" x14ac:dyDescent="0.4">
      <c r="B60" s="34" t="s">
        <v>120</v>
      </c>
      <c r="C60" s="34"/>
      <c r="D60" s="30" t="s">
        <v>131</v>
      </c>
      <c r="E60" s="30" t="s">
        <v>131</v>
      </c>
      <c r="F60" s="30" t="s">
        <v>131</v>
      </c>
      <c r="G60" s="30" t="s">
        <v>131</v>
      </c>
      <c r="H60" s="30" t="s">
        <v>131</v>
      </c>
      <c r="I60" s="32">
        <f>I61</f>
        <v>940.4</v>
      </c>
      <c r="J60" s="32">
        <f>J61</f>
        <v>940.4</v>
      </c>
      <c r="K60" s="32">
        <f>K61</f>
        <v>940.4</v>
      </c>
      <c r="L60" s="35">
        <f>L61</f>
        <v>26</v>
      </c>
      <c r="M60" s="30" t="s">
        <v>131</v>
      </c>
      <c r="N60" s="30" t="s">
        <v>131</v>
      </c>
      <c r="O60" s="31">
        <v>1661171.06</v>
      </c>
      <c r="P60" s="31">
        <f t="shared" si="0"/>
        <v>1766.4515737983838</v>
      </c>
      <c r="Q60" s="38">
        <f>MAX(Q61)</f>
        <v>3625.3215328583583</v>
      </c>
    </row>
    <row r="61" spans="1:17" ht="35.25" x14ac:dyDescent="0.5">
      <c r="A61" s="1">
        <v>1</v>
      </c>
      <c r="B61" s="29">
        <f>SUBTOTAL(103,$A$16:A61)</f>
        <v>31</v>
      </c>
      <c r="C61" s="34" t="s">
        <v>226</v>
      </c>
      <c r="D61" s="30">
        <v>1987</v>
      </c>
      <c r="E61" s="30"/>
      <c r="F61" s="30" t="s">
        <v>48</v>
      </c>
      <c r="G61" s="30" t="s">
        <v>56</v>
      </c>
      <c r="H61" s="30" t="s">
        <v>56</v>
      </c>
      <c r="I61" s="32">
        <v>940.4</v>
      </c>
      <c r="J61" s="32">
        <v>940.4</v>
      </c>
      <c r="K61" s="32">
        <f>J61</f>
        <v>940.4</v>
      </c>
      <c r="L61" s="35">
        <v>26</v>
      </c>
      <c r="M61" s="30" t="s">
        <v>50</v>
      </c>
      <c r="N61" s="30" t="s">
        <v>228</v>
      </c>
      <c r="O61" s="31">
        <v>1661171.06</v>
      </c>
      <c r="P61" s="31">
        <f t="shared" si="0"/>
        <v>1766.4515737983838</v>
      </c>
      <c r="Q61" s="38">
        <v>3625.3215328583583</v>
      </c>
    </row>
    <row r="62" spans="1:17" ht="35.25" x14ac:dyDescent="0.5">
      <c r="B62" s="108" t="s">
        <v>106</v>
      </c>
      <c r="C62" s="34"/>
      <c r="D62" s="30" t="s">
        <v>131</v>
      </c>
      <c r="E62" s="30" t="s">
        <v>131</v>
      </c>
      <c r="F62" s="30" t="s">
        <v>131</v>
      </c>
      <c r="G62" s="30" t="s">
        <v>131</v>
      </c>
      <c r="H62" s="30" t="s">
        <v>131</v>
      </c>
      <c r="I62" s="32">
        <f>I63</f>
        <v>1743.7</v>
      </c>
      <c r="J62" s="32">
        <f>J63</f>
        <v>1552.6</v>
      </c>
      <c r="K62" s="32">
        <f>K63</f>
        <v>1552.6</v>
      </c>
      <c r="L62" s="35">
        <f>L63</f>
        <v>65</v>
      </c>
      <c r="M62" s="30" t="s">
        <v>131</v>
      </c>
      <c r="N62" s="30" t="s">
        <v>131</v>
      </c>
      <c r="O62" s="31">
        <v>119901.4</v>
      </c>
      <c r="P62" s="31">
        <f t="shared" si="0"/>
        <v>68.762631186557314</v>
      </c>
      <c r="Q62" s="38">
        <f>MAX(Q63)</f>
        <v>68.762631186557314</v>
      </c>
    </row>
    <row r="63" spans="1:17" ht="35.25" x14ac:dyDescent="0.5">
      <c r="A63" s="1">
        <v>1</v>
      </c>
      <c r="B63" s="29">
        <f>SUBTOTAL(103,$A$16:A63)</f>
        <v>32</v>
      </c>
      <c r="C63" s="34" t="s">
        <v>255</v>
      </c>
      <c r="D63" s="30">
        <v>1978</v>
      </c>
      <c r="E63" s="30"/>
      <c r="F63" s="30" t="s">
        <v>48</v>
      </c>
      <c r="G63" s="30" t="s">
        <v>61</v>
      </c>
      <c r="H63" s="30" t="s">
        <v>61</v>
      </c>
      <c r="I63" s="32">
        <v>1743.7</v>
      </c>
      <c r="J63" s="32">
        <v>1552.6</v>
      </c>
      <c r="K63" s="32">
        <f>J63</f>
        <v>1552.6</v>
      </c>
      <c r="L63" s="35">
        <v>65</v>
      </c>
      <c r="M63" s="30" t="s">
        <v>50</v>
      </c>
      <c r="N63" s="30" t="s">
        <v>95</v>
      </c>
      <c r="O63" s="31">
        <v>119901.4</v>
      </c>
      <c r="P63" s="31">
        <f t="shared" si="0"/>
        <v>68.762631186557314</v>
      </c>
      <c r="Q63" s="38">
        <v>68.762631186557314</v>
      </c>
    </row>
    <row r="64" spans="1:17" ht="35.25" x14ac:dyDescent="0.5">
      <c r="B64" s="108" t="s">
        <v>125</v>
      </c>
      <c r="C64" s="34"/>
      <c r="D64" s="30" t="s">
        <v>131</v>
      </c>
      <c r="E64" s="30" t="s">
        <v>131</v>
      </c>
      <c r="F64" s="30" t="s">
        <v>131</v>
      </c>
      <c r="G64" s="30" t="s">
        <v>131</v>
      </c>
      <c r="H64" s="30" t="s">
        <v>131</v>
      </c>
      <c r="I64" s="32">
        <f>I65</f>
        <v>1105.0999999999999</v>
      </c>
      <c r="J64" s="32">
        <f>J65</f>
        <v>953.3</v>
      </c>
      <c r="K64" s="32">
        <f>K65</f>
        <v>870.1</v>
      </c>
      <c r="L64" s="35">
        <f>L65</f>
        <v>44</v>
      </c>
      <c r="M64" s="30" t="s">
        <v>131</v>
      </c>
      <c r="N64" s="30" t="s">
        <v>131</v>
      </c>
      <c r="O64" s="31">
        <v>603261.75</v>
      </c>
      <c r="P64" s="31">
        <f t="shared" si="0"/>
        <v>545.88883358972043</v>
      </c>
      <c r="Q64" s="38">
        <f>MAX(Q65)</f>
        <v>795.31</v>
      </c>
    </row>
    <row r="65" spans="1:17" ht="35.25" x14ac:dyDescent="0.5">
      <c r="A65" s="1">
        <v>1</v>
      </c>
      <c r="B65" s="29">
        <f>SUBTOTAL(103,$A$16:A65)</f>
        <v>33</v>
      </c>
      <c r="C65" s="34" t="s">
        <v>256</v>
      </c>
      <c r="D65" s="30">
        <v>1979</v>
      </c>
      <c r="E65" s="30"/>
      <c r="F65" s="30" t="s">
        <v>48</v>
      </c>
      <c r="G65" s="30" t="s">
        <v>56</v>
      </c>
      <c r="H65" s="30" t="s">
        <v>61</v>
      </c>
      <c r="I65" s="32">
        <v>1105.0999999999999</v>
      </c>
      <c r="J65" s="32">
        <v>953.3</v>
      </c>
      <c r="K65" s="32">
        <v>870.1</v>
      </c>
      <c r="L65" s="35">
        <v>44</v>
      </c>
      <c r="M65" s="30" t="s">
        <v>50</v>
      </c>
      <c r="N65" s="30" t="s">
        <v>245</v>
      </c>
      <c r="O65" s="31">
        <v>603261.75</v>
      </c>
      <c r="P65" s="31">
        <f t="shared" si="0"/>
        <v>545.88883358972043</v>
      </c>
      <c r="Q65" s="38">
        <v>795.31</v>
      </c>
    </row>
    <row r="66" spans="1:17" ht="35.25" x14ac:dyDescent="0.4">
      <c r="B66" s="33" t="s">
        <v>580</v>
      </c>
      <c r="C66" s="107"/>
      <c r="D66" s="30" t="s">
        <v>131</v>
      </c>
      <c r="E66" s="30" t="s">
        <v>131</v>
      </c>
      <c r="F66" s="30" t="s">
        <v>131</v>
      </c>
      <c r="G66" s="30" t="s">
        <v>131</v>
      </c>
      <c r="H66" s="30" t="s">
        <v>131</v>
      </c>
      <c r="I66" s="32">
        <f>I67+I71+I73+I75+I79+I81+I83+I85</f>
        <v>9357.5</v>
      </c>
      <c r="J66" s="32">
        <f t="shared" ref="J66:L66" si="1">J67+J71+J73+J75+J79+J81+J83+J85</f>
        <v>7976.1</v>
      </c>
      <c r="K66" s="32">
        <f t="shared" si="1"/>
        <v>7286.1</v>
      </c>
      <c r="L66" s="35">
        <f t="shared" si="1"/>
        <v>424</v>
      </c>
      <c r="M66" s="30" t="s">
        <v>131</v>
      </c>
      <c r="N66" s="30" t="s">
        <v>131</v>
      </c>
      <c r="O66" s="32">
        <v>30227457.809999999</v>
      </c>
      <c r="P66" s="31">
        <f>O66/I66</f>
        <v>3230.2920448837831</v>
      </c>
      <c r="Q66" s="38">
        <f>MAX(Q67:Q86)</f>
        <v>6475.5372049661391</v>
      </c>
    </row>
    <row r="67" spans="1:17" ht="35.25" x14ac:dyDescent="0.4">
      <c r="B67" s="34" t="s">
        <v>209</v>
      </c>
      <c r="C67" s="34"/>
      <c r="D67" s="30" t="s">
        <v>131</v>
      </c>
      <c r="E67" s="30" t="s">
        <v>131</v>
      </c>
      <c r="F67" s="30" t="s">
        <v>131</v>
      </c>
      <c r="G67" s="30" t="s">
        <v>131</v>
      </c>
      <c r="H67" s="30" t="s">
        <v>131</v>
      </c>
      <c r="I67" s="32">
        <f>SUM(I68:I70)</f>
        <v>1180.5999999999999</v>
      </c>
      <c r="J67" s="32">
        <f>SUM(J68:J70)</f>
        <v>1060.7</v>
      </c>
      <c r="K67" s="32">
        <f>SUM(K68:K70)</f>
        <v>932.7</v>
      </c>
      <c r="L67" s="35">
        <f>SUM(L68:L70)</f>
        <v>60</v>
      </c>
      <c r="M67" s="30" t="s">
        <v>131</v>
      </c>
      <c r="N67" s="30" t="s">
        <v>131</v>
      </c>
      <c r="O67" s="31">
        <v>5103149.49</v>
      </c>
      <c r="P67" s="31">
        <f t="shared" ref="P67:P86" si="2">O67/I67</f>
        <v>4322.5050736913436</v>
      </c>
      <c r="Q67" s="38">
        <f>MAX(Q68:Q70)</f>
        <v>6475.5372049661391</v>
      </c>
    </row>
    <row r="68" spans="1:17" ht="35.25" x14ac:dyDescent="0.5">
      <c r="A68" s="1">
        <v>1</v>
      </c>
      <c r="B68" s="29">
        <f>SUBTOTAL(103,$A$67:A68)</f>
        <v>1</v>
      </c>
      <c r="C68" s="34" t="s">
        <v>185</v>
      </c>
      <c r="D68" s="30">
        <v>1961</v>
      </c>
      <c r="E68" s="30"/>
      <c r="F68" s="30" t="s">
        <v>48</v>
      </c>
      <c r="G68" s="30" t="s">
        <v>56</v>
      </c>
      <c r="H68" s="30" t="s">
        <v>57</v>
      </c>
      <c r="I68" s="32">
        <v>301.39999999999998</v>
      </c>
      <c r="J68" s="32">
        <v>276.5</v>
      </c>
      <c r="K68" s="32">
        <f>J68-38</f>
        <v>238.5</v>
      </c>
      <c r="L68" s="35">
        <v>16</v>
      </c>
      <c r="M68" s="30" t="s">
        <v>50</v>
      </c>
      <c r="N68" s="30" t="s">
        <v>171</v>
      </c>
      <c r="O68" s="31">
        <v>1063050</v>
      </c>
      <c r="P68" s="31">
        <f t="shared" si="2"/>
        <v>3527.0404777704052</v>
      </c>
      <c r="Q68" s="38">
        <v>5319.8403118779033</v>
      </c>
    </row>
    <row r="69" spans="1:17" ht="35.25" x14ac:dyDescent="0.5">
      <c r="A69" s="1">
        <v>1</v>
      </c>
      <c r="B69" s="29">
        <f>SUBTOTAL(103,$A$67:A69)</f>
        <v>2</v>
      </c>
      <c r="C69" s="28" t="s">
        <v>233</v>
      </c>
      <c r="D69" s="30">
        <v>1956</v>
      </c>
      <c r="E69" s="30"/>
      <c r="F69" s="30" t="s">
        <v>48</v>
      </c>
      <c r="G69" s="30" t="s">
        <v>56</v>
      </c>
      <c r="H69" s="30" t="s">
        <v>57</v>
      </c>
      <c r="I69" s="32">
        <v>443</v>
      </c>
      <c r="J69" s="32">
        <v>397.1</v>
      </c>
      <c r="K69" s="32">
        <v>353.4</v>
      </c>
      <c r="L69" s="35">
        <v>24</v>
      </c>
      <c r="M69" s="30" t="s">
        <v>50</v>
      </c>
      <c r="N69" s="30" t="s">
        <v>229</v>
      </c>
      <c r="O69" s="31">
        <v>2595067.46</v>
      </c>
      <c r="P69" s="31">
        <f t="shared" si="2"/>
        <v>5857.940090293454</v>
      </c>
      <c r="Q69" s="38">
        <v>6475.5372049661391</v>
      </c>
    </row>
    <row r="70" spans="1:17" ht="35.25" x14ac:dyDescent="0.5">
      <c r="A70" s="1">
        <v>1</v>
      </c>
      <c r="B70" s="29">
        <f>SUBTOTAL(103,$A$67:A70)</f>
        <v>3</v>
      </c>
      <c r="C70" s="28" t="s">
        <v>253</v>
      </c>
      <c r="D70" s="30">
        <v>1957</v>
      </c>
      <c r="E70" s="30"/>
      <c r="F70" s="30" t="s">
        <v>48</v>
      </c>
      <c r="G70" s="30" t="s">
        <v>56</v>
      </c>
      <c r="H70" s="30" t="s">
        <v>57</v>
      </c>
      <c r="I70" s="32">
        <v>436.2</v>
      </c>
      <c r="J70" s="32">
        <v>387.1</v>
      </c>
      <c r="K70" s="32">
        <v>340.8</v>
      </c>
      <c r="L70" s="35">
        <v>20</v>
      </c>
      <c r="M70" s="30" t="s">
        <v>50</v>
      </c>
      <c r="N70" s="30" t="s">
        <v>254</v>
      </c>
      <c r="O70" s="31">
        <v>1445032.0299999998</v>
      </c>
      <c r="P70" s="31">
        <f t="shared" si="2"/>
        <v>3312.774025676295</v>
      </c>
      <c r="Q70" s="38">
        <v>5362.5734211370936</v>
      </c>
    </row>
    <row r="71" spans="1:17" ht="35.25" x14ac:dyDescent="0.4">
      <c r="B71" s="34" t="s">
        <v>101</v>
      </c>
      <c r="C71" s="34"/>
      <c r="D71" s="30" t="s">
        <v>131</v>
      </c>
      <c r="E71" s="30" t="s">
        <v>131</v>
      </c>
      <c r="F71" s="30" t="s">
        <v>131</v>
      </c>
      <c r="G71" s="30" t="s">
        <v>131</v>
      </c>
      <c r="H71" s="30" t="s">
        <v>131</v>
      </c>
      <c r="I71" s="32">
        <f>I72</f>
        <v>366.5</v>
      </c>
      <c r="J71" s="32">
        <f>J72</f>
        <v>336.9</v>
      </c>
      <c r="K71" s="32">
        <f>K72</f>
        <v>336.9</v>
      </c>
      <c r="L71" s="35">
        <f>L72</f>
        <v>25</v>
      </c>
      <c r="M71" s="30" t="s">
        <v>131</v>
      </c>
      <c r="N71" s="30" t="s">
        <v>131</v>
      </c>
      <c r="O71" s="31">
        <v>1450562.89</v>
      </c>
      <c r="P71" s="31">
        <f t="shared" si="2"/>
        <v>3957.8796452933148</v>
      </c>
      <c r="Q71" s="38">
        <f>Q72</f>
        <v>4984.3188212824007</v>
      </c>
    </row>
    <row r="72" spans="1:17" ht="35.25" x14ac:dyDescent="0.5">
      <c r="A72" s="1">
        <v>1</v>
      </c>
      <c r="B72" s="29">
        <f>SUBTOTAL(103,$A$67:A72)</f>
        <v>4</v>
      </c>
      <c r="C72" s="34" t="s">
        <v>186</v>
      </c>
      <c r="D72" s="30">
        <v>1971</v>
      </c>
      <c r="E72" s="30"/>
      <c r="F72" s="30" t="s">
        <v>48</v>
      </c>
      <c r="G72" s="30" t="s">
        <v>56</v>
      </c>
      <c r="H72" s="30" t="s">
        <v>57</v>
      </c>
      <c r="I72" s="32">
        <v>366.5</v>
      </c>
      <c r="J72" s="32">
        <v>336.9</v>
      </c>
      <c r="K72" s="32">
        <f>J72</f>
        <v>336.9</v>
      </c>
      <c r="L72" s="35">
        <f t="shared" ref="L72:L73" si="3">L73</f>
        <v>25</v>
      </c>
      <c r="M72" s="30" t="s">
        <v>50</v>
      </c>
      <c r="N72" s="30" t="s">
        <v>69</v>
      </c>
      <c r="O72" s="31">
        <v>1450562.89</v>
      </c>
      <c r="P72" s="31">
        <f t="shared" si="2"/>
        <v>3957.8796452933148</v>
      </c>
      <c r="Q72" s="38">
        <v>4984.3188212824007</v>
      </c>
    </row>
    <row r="73" spans="1:17" ht="35.25" x14ac:dyDescent="0.4">
      <c r="B73" s="34" t="s">
        <v>210</v>
      </c>
      <c r="C73" s="34"/>
      <c r="D73" s="30" t="s">
        <v>131</v>
      </c>
      <c r="E73" s="30" t="s">
        <v>131</v>
      </c>
      <c r="F73" s="30" t="s">
        <v>131</v>
      </c>
      <c r="G73" s="30" t="s">
        <v>131</v>
      </c>
      <c r="H73" s="30" t="s">
        <v>131</v>
      </c>
      <c r="I73" s="32">
        <f>I74</f>
        <v>410.7</v>
      </c>
      <c r="J73" s="32">
        <f t="shared" ref="J73:K73" si="4">J74</f>
        <v>379.6</v>
      </c>
      <c r="K73" s="32">
        <f t="shared" si="4"/>
        <v>379.6</v>
      </c>
      <c r="L73" s="35">
        <f t="shared" si="3"/>
        <v>25</v>
      </c>
      <c r="M73" s="30" t="s">
        <v>131</v>
      </c>
      <c r="N73" s="30" t="s">
        <v>131</v>
      </c>
      <c r="O73" s="31">
        <v>2607490.21</v>
      </c>
      <c r="P73" s="31">
        <f t="shared" si="2"/>
        <v>6348.892646700755</v>
      </c>
      <c r="Q73" s="38">
        <f>Q74</f>
        <v>6348.892646700755</v>
      </c>
    </row>
    <row r="74" spans="1:17" ht="35.25" x14ac:dyDescent="0.5">
      <c r="A74" s="1">
        <v>1</v>
      </c>
      <c r="B74" s="29">
        <f>SUBTOTAL(103,$A$67:A74)</f>
        <v>5</v>
      </c>
      <c r="C74" s="34" t="s">
        <v>581</v>
      </c>
      <c r="D74" s="30">
        <v>1997</v>
      </c>
      <c r="E74" s="30"/>
      <c r="F74" s="30" t="s">
        <v>48</v>
      </c>
      <c r="G74" s="30">
        <v>2</v>
      </c>
      <c r="H74" s="30">
        <v>1</v>
      </c>
      <c r="I74" s="32">
        <v>410.7</v>
      </c>
      <c r="J74" s="32">
        <v>379.6</v>
      </c>
      <c r="K74" s="32">
        <v>379.6</v>
      </c>
      <c r="L74" s="35">
        <v>25</v>
      </c>
      <c r="M74" s="30" t="s">
        <v>47</v>
      </c>
      <c r="N74" s="30" t="s">
        <v>49</v>
      </c>
      <c r="O74" s="31">
        <v>2607490.21</v>
      </c>
      <c r="P74" s="31">
        <f>O74/I74</f>
        <v>6348.892646700755</v>
      </c>
      <c r="Q74" s="38">
        <v>6348.892646700755</v>
      </c>
    </row>
    <row r="75" spans="1:17" ht="35.25" x14ac:dyDescent="0.4">
      <c r="B75" s="34" t="s">
        <v>91</v>
      </c>
      <c r="C75" s="34"/>
      <c r="D75" s="30" t="s">
        <v>131</v>
      </c>
      <c r="E75" s="30" t="s">
        <v>131</v>
      </c>
      <c r="F75" s="30" t="s">
        <v>131</v>
      </c>
      <c r="G75" s="30" t="s">
        <v>131</v>
      </c>
      <c r="H75" s="30" t="s">
        <v>131</v>
      </c>
      <c r="I75" s="32">
        <f>I76+I77+I78</f>
        <v>2093.1</v>
      </c>
      <c r="J75" s="32">
        <f>J76+J77+J78</f>
        <v>1649</v>
      </c>
      <c r="K75" s="32">
        <f>K76+K77+K78</f>
        <v>1480.6</v>
      </c>
      <c r="L75" s="35">
        <f>L76+L77+L78</f>
        <v>110</v>
      </c>
      <c r="M75" s="30" t="s">
        <v>131</v>
      </c>
      <c r="N75" s="30" t="s">
        <v>131</v>
      </c>
      <c r="O75" s="31">
        <v>6196990.8700000001</v>
      </c>
      <c r="P75" s="31">
        <f t="shared" si="2"/>
        <v>2960.6759686589271</v>
      </c>
      <c r="Q75" s="38">
        <f>MAX(Q76:Q78)</f>
        <v>5402.89606</v>
      </c>
    </row>
    <row r="76" spans="1:17" ht="35.25" x14ac:dyDescent="0.5">
      <c r="A76" s="1">
        <v>1</v>
      </c>
      <c r="B76" s="29">
        <f>SUBTOTAL(103,$A$67:A76)</f>
        <v>6</v>
      </c>
      <c r="C76" s="34" t="s">
        <v>190</v>
      </c>
      <c r="D76" s="30">
        <v>1960</v>
      </c>
      <c r="E76" s="30"/>
      <c r="F76" s="30" t="s">
        <v>48</v>
      </c>
      <c r="G76" s="30" t="s">
        <v>56</v>
      </c>
      <c r="H76" s="30" t="s">
        <v>57</v>
      </c>
      <c r="I76" s="32">
        <v>306.60000000000002</v>
      </c>
      <c r="J76" s="32">
        <v>285.60000000000002</v>
      </c>
      <c r="K76" s="32">
        <f>J76-33.2</f>
        <v>252.40000000000003</v>
      </c>
      <c r="L76" s="35">
        <v>21</v>
      </c>
      <c r="M76" s="30" t="s">
        <v>47</v>
      </c>
      <c r="N76" s="30" t="s">
        <v>49</v>
      </c>
      <c r="O76" s="31">
        <v>1096190.8700000001</v>
      </c>
      <c r="P76" s="31">
        <f t="shared" si="2"/>
        <v>3575.3126875407697</v>
      </c>
      <c r="Q76" s="38">
        <v>4198.7498023483367</v>
      </c>
    </row>
    <row r="77" spans="1:17" ht="35.25" x14ac:dyDescent="0.5">
      <c r="A77" s="1">
        <v>1</v>
      </c>
      <c r="B77" s="29">
        <f>SUBTOTAL(103,$A$67:A77)</f>
        <v>7</v>
      </c>
      <c r="C77" s="34" t="s">
        <v>93</v>
      </c>
      <c r="D77" s="30">
        <v>1960</v>
      </c>
      <c r="E77" s="30"/>
      <c r="F77" s="30" t="s">
        <v>48</v>
      </c>
      <c r="G77" s="30" t="s">
        <v>61</v>
      </c>
      <c r="H77" s="30" t="s">
        <v>56</v>
      </c>
      <c r="I77" s="32">
        <v>1286.5</v>
      </c>
      <c r="J77" s="32">
        <v>881.8</v>
      </c>
      <c r="K77" s="32">
        <f>J77-65.9</f>
        <v>815.9</v>
      </c>
      <c r="L77" s="35">
        <v>39</v>
      </c>
      <c r="M77" s="30" t="s">
        <v>47</v>
      </c>
      <c r="N77" s="30" t="s">
        <v>49</v>
      </c>
      <c r="O77" s="31">
        <v>2664800</v>
      </c>
      <c r="P77" s="31">
        <f t="shared" si="2"/>
        <v>2071.3563933151963</v>
      </c>
      <c r="Q77" s="38">
        <v>2793.3246482705013</v>
      </c>
    </row>
    <row r="78" spans="1:17" ht="35.25" x14ac:dyDescent="0.5">
      <c r="A78" s="1">
        <v>1</v>
      </c>
      <c r="B78" s="29">
        <f>SUBTOTAL(103,$A$67:A78)</f>
        <v>8</v>
      </c>
      <c r="C78" s="34" t="s">
        <v>92</v>
      </c>
      <c r="D78" s="30">
        <v>1965</v>
      </c>
      <c r="E78" s="30"/>
      <c r="F78" s="30" t="s">
        <v>48</v>
      </c>
      <c r="G78" s="30" t="s">
        <v>56</v>
      </c>
      <c r="H78" s="30" t="s">
        <v>61</v>
      </c>
      <c r="I78" s="32">
        <v>500</v>
      </c>
      <c r="J78" s="32">
        <v>481.6</v>
      </c>
      <c r="K78" s="32">
        <f>J78-69.3</f>
        <v>412.3</v>
      </c>
      <c r="L78" s="35">
        <v>50</v>
      </c>
      <c r="M78" s="30" t="s">
        <v>47</v>
      </c>
      <c r="N78" s="30" t="s">
        <v>49</v>
      </c>
      <c r="O78" s="31">
        <v>2436000</v>
      </c>
      <c r="P78" s="31">
        <f t="shared" si="2"/>
        <v>4872</v>
      </c>
      <c r="Q78" s="38">
        <v>5402.89606</v>
      </c>
    </row>
    <row r="79" spans="1:17" ht="35.25" x14ac:dyDescent="0.4">
      <c r="B79" s="34" t="s">
        <v>110</v>
      </c>
      <c r="C79" s="34"/>
      <c r="D79" s="30" t="s">
        <v>131</v>
      </c>
      <c r="E79" s="30" t="s">
        <v>131</v>
      </c>
      <c r="F79" s="30" t="s">
        <v>131</v>
      </c>
      <c r="G79" s="30" t="s">
        <v>131</v>
      </c>
      <c r="H79" s="30" t="s">
        <v>131</v>
      </c>
      <c r="I79" s="32">
        <f>I80</f>
        <v>1840.2</v>
      </c>
      <c r="J79" s="32">
        <f>J80</f>
        <v>1840.2</v>
      </c>
      <c r="K79" s="32">
        <f>K80</f>
        <v>1695.4</v>
      </c>
      <c r="L79" s="35">
        <f>L80</f>
        <v>77</v>
      </c>
      <c r="M79" s="30" t="s">
        <v>131</v>
      </c>
      <c r="N79" s="30" t="s">
        <v>131</v>
      </c>
      <c r="O79" s="31">
        <v>5538174.9500000002</v>
      </c>
      <c r="P79" s="31">
        <f t="shared" si="2"/>
        <v>3009.5505651559615</v>
      </c>
      <c r="Q79" s="38">
        <f>Q80</f>
        <v>3508.429102977937</v>
      </c>
    </row>
    <row r="80" spans="1:17" ht="35.25" x14ac:dyDescent="0.5">
      <c r="A80" s="1">
        <v>1</v>
      </c>
      <c r="B80" s="29">
        <f>SUBTOTAL(103,$A$67:A80)</f>
        <v>9</v>
      </c>
      <c r="C80" s="34" t="s">
        <v>192</v>
      </c>
      <c r="D80" s="30">
        <v>1986</v>
      </c>
      <c r="E80" s="30"/>
      <c r="F80" s="30" t="s">
        <v>48</v>
      </c>
      <c r="G80" s="30" t="s">
        <v>61</v>
      </c>
      <c r="H80" s="30" t="s">
        <v>61</v>
      </c>
      <c r="I80" s="32">
        <v>1840.2</v>
      </c>
      <c r="J80" s="32">
        <v>1840.2</v>
      </c>
      <c r="K80" s="32">
        <f>J80-144.8</f>
        <v>1695.4</v>
      </c>
      <c r="L80" s="35">
        <v>77</v>
      </c>
      <c r="M80" s="30" t="s">
        <v>71</v>
      </c>
      <c r="N80" s="30" t="s">
        <v>221</v>
      </c>
      <c r="O80" s="31">
        <v>5538174.9500000002</v>
      </c>
      <c r="P80" s="31">
        <f t="shared" si="2"/>
        <v>3009.5505651559615</v>
      </c>
      <c r="Q80" s="38">
        <v>3508.429102977937</v>
      </c>
    </row>
    <row r="81" spans="1:17" ht="35.25" x14ac:dyDescent="0.4">
      <c r="B81" s="34" t="s">
        <v>396</v>
      </c>
      <c r="C81" s="34"/>
      <c r="D81" s="30" t="s">
        <v>131</v>
      </c>
      <c r="E81" s="30" t="s">
        <v>131</v>
      </c>
      <c r="F81" s="30" t="s">
        <v>131</v>
      </c>
      <c r="G81" s="30" t="s">
        <v>131</v>
      </c>
      <c r="H81" s="30" t="s">
        <v>131</v>
      </c>
      <c r="I81" s="32">
        <f>I82</f>
        <v>1257.7</v>
      </c>
      <c r="J81" s="32">
        <f>J82</f>
        <v>732.5</v>
      </c>
      <c r="K81" s="32">
        <f>K82</f>
        <v>732.5</v>
      </c>
      <c r="L81" s="35">
        <f>L82</f>
        <v>36</v>
      </c>
      <c r="M81" s="30" t="s">
        <v>131</v>
      </c>
      <c r="N81" s="30" t="s">
        <v>131</v>
      </c>
      <c r="O81" s="31">
        <v>3672464.4</v>
      </c>
      <c r="P81" s="31">
        <f t="shared" si="2"/>
        <v>2919.9844159974555</v>
      </c>
      <c r="Q81" s="38">
        <f>Q82</f>
        <v>3296.7954090800667</v>
      </c>
    </row>
    <row r="82" spans="1:17" ht="35.25" x14ac:dyDescent="0.5">
      <c r="A82" s="1">
        <v>1</v>
      </c>
      <c r="B82" s="29">
        <f>SUBTOTAL(103,$A$67:A82)</f>
        <v>10</v>
      </c>
      <c r="C82" s="34" t="s">
        <v>395</v>
      </c>
      <c r="D82" s="30">
        <v>1972</v>
      </c>
      <c r="E82" s="30"/>
      <c r="F82" s="30" t="s">
        <v>48</v>
      </c>
      <c r="G82" s="30" t="s">
        <v>56</v>
      </c>
      <c r="H82" s="30" t="s">
        <v>56</v>
      </c>
      <c r="I82" s="32">
        <v>1257.7</v>
      </c>
      <c r="J82" s="32">
        <v>732.5</v>
      </c>
      <c r="K82" s="32">
        <f>J82</f>
        <v>732.5</v>
      </c>
      <c r="L82" s="35">
        <v>36</v>
      </c>
      <c r="M82" s="30" t="s">
        <v>71</v>
      </c>
      <c r="N82" s="30" t="s">
        <v>397</v>
      </c>
      <c r="O82" s="31">
        <v>3672464.4</v>
      </c>
      <c r="P82" s="31">
        <f t="shared" si="2"/>
        <v>2919.9844159974555</v>
      </c>
      <c r="Q82" s="38">
        <v>3296.7954090800667</v>
      </c>
    </row>
    <row r="83" spans="1:17" ht="35.25" x14ac:dyDescent="0.4">
      <c r="B83" s="34" t="s">
        <v>115</v>
      </c>
      <c r="C83" s="34"/>
      <c r="D83" s="30" t="s">
        <v>131</v>
      </c>
      <c r="E83" s="30" t="s">
        <v>131</v>
      </c>
      <c r="F83" s="30" t="s">
        <v>131</v>
      </c>
      <c r="G83" s="30" t="s">
        <v>131</v>
      </c>
      <c r="H83" s="30" t="s">
        <v>131</v>
      </c>
      <c r="I83" s="32">
        <f>I84</f>
        <v>465</v>
      </c>
      <c r="J83" s="32">
        <f>J84</f>
        <v>424.6</v>
      </c>
      <c r="K83" s="32">
        <f>K84</f>
        <v>175.8</v>
      </c>
      <c r="L83" s="35">
        <f>L84</f>
        <v>26</v>
      </c>
      <c r="M83" s="30" t="s">
        <v>131</v>
      </c>
      <c r="N83" s="30" t="s">
        <v>131</v>
      </c>
      <c r="O83" s="31">
        <v>2030000</v>
      </c>
      <c r="P83" s="31">
        <f t="shared" si="2"/>
        <v>4365.5913978494627</v>
      </c>
      <c r="Q83" s="38">
        <f>Q84</f>
        <v>4729.4962903225805</v>
      </c>
    </row>
    <row r="84" spans="1:17" ht="35.25" x14ac:dyDescent="0.5">
      <c r="A84" s="1">
        <v>1</v>
      </c>
      <c r="B84" s="29">
        <f>SUBTOTAL(103,$A$67:A84)</f>
        <v>11</v>
      </c>
      <c r="C84" s="34" t="s">
        <v>196</v>
      </c>
      <c r="D84" s="30">
        <v>1953</v>
      </c>
      <c r="E84" s="30"/>
      <c r="F84" s="30" t="s">
        <v>48</v>
      </c>
      <c r="G84" s="30" t="s">
        <v>56</v>
      </c>
      <c r="H84" s="30" t="s">
        <v>57</v>
      </c>
      <c r="I84" s="32">
        <v>465</v>
      </c>
      <c r="J84" s="32">
        <v>424.6</v>
      </c>
      <c r="K84" s="32">
        <f>J84-248.8</f>
        <v>175.8</v>
      </c>
      <c r="L84" s="35">
        <v>26</v>
      </c>
      <c r="M84" s="30" t="s">
        <v>47</v>
      </c>
      <c r="N84" s="30" t="s">
        <v>49</v>
      </c>
      <c r="O84" s="31">
        <v>2030000</v>
      </c>
      <c r="P84" s="31">
        <f t="shared" si="2"/>
        <v>4365.5913978494627</v>
      </c>
      <c r="Q84" s="38">
        <v>4729.4962903225805</v>
      </c>
    </row>
    <row r="85" spans="1:17" ht="35.25" x14ac:dyDescent="0.5">
      <c r="B85" s="108" t="s">
        <v>106</v>
      </c>
      <c r="C85" s="34"/>
      <c r="D85" s="30" t="s">
        <v>131</v>
      </c>
      <c r="E85" s="30" t="s">
        <v>131</v>
      </c>
      <c r="F85" s="30" t="s">
        <v>131</v>
      </c>
      <c r="G85" s="30" t="s">
        <v>131</v>
      </c>
      <c r="H85" s="30" t="s">
        <v>131</v>
      </c>
      <c r="I85" s="32">
        <f>I86</f>
        <v>1743.7</v>
      </c>
      <c r="J85" s="32">
        <f>J86</f>
        <v>1552.6</v>
      </c>
      <c r="K85" s="32">
        <f>K86</f>
        <v>1552.6</v>
      </c>
      <c r="L85" s="35">
        <f>L86</f>
        <v>65</v>
      </c>
      <c r="M85" s="30" t="s">
        <v>131</v>
      </c>
      <c r="N85" s="30" t="s">
        <v>131</v>
      </c>
      <c r="O85" s="31">
        <v>3628625</v>
      </c>
      <c r="P85" s="31">
        <f t="shared" si="2"/>
        <v>2080.9915696507428</v>
      </c>
      <c r="Q85" s="38">
        <f>Q86</f>
        <v>2558.250071686643</v>
      </c>
    </row>
    <row r="86" spans="1:17" ht="35.25" x14ac:dyDescent="0.5">
      <c r="A86" s="1">
        <v>1</v>
      </c>
      <c r="B86" s="29">
        <f>SUBTOTAL(103,$A$67:A86)</f>
        <v>12</v>
      </c>
      <c r="C86" s="34" t="s">
        <v>255</v>
      </c>
      <c r="D86" s="30">
        <v>1978</v>
      </c>
      <c r="E86" s="30"/>
      <c r="F86" s="30" t="s">
        <v>48</v>
      </c>
      <c r="G86" s="30" t="s">
        <v>61</v>
      </c>
      <c r="H86" s="30" t="s">
        <v>61</v>
      </c>
      <c r="I86" s="32">
        <v>1743.7</v>
      </c>
      <c r="J86" s="32">
        <v>1552.6</v>
      </c>
      <c r="K86" s="32">
        <f>J86</f>
        <v>1552.6</v>
      </c>
      <c r="L86" s="35">
        <v>65</v>
      </c>
      <c r="M86" s="30" t="s">
        <v>50</v>
      </c>
      <c r="N86" s="30" t="s">
        <v>95</v>
      </c>
      <c r="O86" s="31">
        <v>3628625</v>
      </c>
      <c r="P86" s="31">
        <f t="shared" si="2"/>
        <v>2080.9915696507428</v>
      </c>
      <c r="Q86" s="38">
        <v>2558.250071686643</v>
      </c>
    </row>
    <row r="87" spans="1:17" ht="45.75" x14ac:dyDescent="0.25">
      <c r="B87" s="160" t="s">
        <v>257</v>
      </c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2"/>
    </row>
    <row r="88" spans="1:17" ht="35.25" x14ac:dyDescent="0.5">
      <c r="B88" s="109" t="s">
        <v>213</v>
      </c>
      <c r="C88" s="109"/>
      <c r="D88" s="52" t="s">
        <v>90</v>
      </c>
      <c r="E88" s="52" t="s">
        <v>90</v>
      </c>
      <c r="F88" s="53" t="s">
        <v>90</v>
      </c>
      <c r="G88" s="53" t="s">
        <v>90</v>
      </c>
      <c r="H88" s="53" t="s">
        <v>90</v>
      </c>
      <c r="I88" s="49">
        <f>I89+I98+I102+I119+I127+I132+I159+I175+I182+I185+I188+I190+I196+I198+I201+I204+I208+I210+I212+I214+I219+I221+I223+I225+I227+I229+I231+I234+I236+I240+I96+I238</f>
        <v>301139.78000000003</v>
      </c>
      <c r="J88" s="49">
        <f t="shared" ref="J88:L88" si="5">J89+J98+J102+J119+J127+J132+J159+J175+J182+J185+J188+J190+J196+J198+J201+J204+J208+J210+J212+J214+J219+J221+J223+J225+J227+J229+J231+J234+J236+J240+J96+J238</f>
        <v>251457.20000000004</v>
      </c>
      <c r="K88" s="49">
        <f t="shared" si="5"/>
        <v>223969.73999999996</v>
      </c>
      <c r="L88" s="54">
        <f t="shared" si="5"/>
        <v>12523</v>
      </c>
      <c r="M88" s="52" t="s">
        <v>131</v>
      </c>
      <c r="N88" s="55" t="s">
        <v>131</v>
      </c>
      <c r="O88" s="49">
        <v>44427726.450000018</v>
      </c>
      <c r="P88" s="49">
        <f t="shared" ref="P88:P151" si="6">O88/I88</f>
        <v>147.53190843800184</v>
      </c>
      <c r="Q88" s="49">
        <f>MAX(Q89:Q241)</f>
        <v>9874.5189134554657</v>
      </c>
    </row>
    <row r="89" spans="1:17" ht="35.25" x14ac:dyDescent="0.5">
      <c r="B89" s="109" t="s">
        <v>96</v>
      </c>
      <c r="C89" s="109"/>
      <c r="D89" s="52" t="s">
        <v>90</v>
      </c>
      <c r="E89" s="52" t="s">
        <v>90</v>
      </c>
      <c r="F89" s="53" t="s">
        <v>90</v>
      </c>
      <c r="G89" s="52" t="s">
        <v>90</v>
      </c>
      <c r="H89" s="52" t="s">
        <v>90</v>
      </c>
      <c r="I89" s="49">
        <f>SUM(I90:I95)</f>
        <v>13682.619999999999</v>
      </c>
      <c r="J89" s="49">
        <f t="shared" ref="J89:L89" si="7">SUM(J90:J95)</f>
        <v>11157.02</v>
      </c>
      <c r="K89" s="49">
        <f t="shared" si="7"/>
        <v>10128.199999999999</v>
      </c>
      <c r="L89" s="54">
        <f t="shared" si="7"/>
        <v>744</v>
      </c>
      <c r="M89" s="52" t="s">
        <v>131</v>
      </c>
      <c r="N89" s="55" t="s">
        <v>131</v>
      </c>
      <c r="O89" s="49">
        <v>3081201.1499999994</v>
      </c>
      <c r="P89" s="49">
        <f t="shared" si="6"/>
        <v>225.19087353153122</v>
      </c>
      <c r="Q89" s="49">
        <f>MAX(Q90:Q95)</f>
        <v>3428.1349059731892</v>
      </c>
    </row>
    <row r="90" spans="1:17" ht="35.25" x14ac:dyDescent="0.5">
      <c r="A90" s="1">
        <v>1</v>
      </c>
      <c r="B90" s="56">
        <v>1</v>
      </c>
      <c r="C90" s="57" t="s">
        <v>82</v>
      </c>
      <c r="D90" s="52">
        <v>1965</v>
      </c>
      <c r="E90" s="52"/>
      <c r="F90" s="53" t="s">
        <v>48</v>
      </c>
      <c r="G90" s="52">
        <v>5</v>
      </c>
      <c r="H90" s="52">
        <v>2</v>
      </c>
      <c r="I90" s="49">
        <v>2985.38</v>
      </c>
      <c r="J90" s="49">
        <v>2398.58</v>
      </c>
      <c r="K90" s="49">
        <v>1889.27</v>
      </c>
      <c r="L90" s="54">
        <v>202</v>
      </c>
      <c r="M90" s="52" t="s">
        <v>50</v>
      </c>
      <c r="N90" s="52" t="s">
        <v>239</v>
      </c>
      <c r="O90" s="49">
        <v>546562.15</v>
      </c>
      <c r="P90" s="49">
        <f t="shared" si="6"/>
        <v>183.07959120781945</v>
      </c>
      <c r="Q90" s="49">
        <v>1780.1095800199637</v>
      </c>
    </row>
    <row r="91" spans="1:17" ht="35.25" x14ac:dyDescent="0.5">
      <c r="A91" s="1">
        <v>1</v>
      </c>
      <c r="B91" s="56">
        <v>2</v>
      </c>
      <c r="C91" s="57" t="s">
        <v>261</v>
      </c>
      <c r="D91" s="52">
        <v>1986</v>
      </c>
      <c r="E91" s="52"/>
      <c r="F91" s="53" t="s">
        <v>48</v>
      </c>
      <c r="G91" s="52">
        <v>4</v>
      </c>
      <c r="H91" s="52">
        <v>1</v>
      </c>
      <c r="I91" s="49">
        <v>2374.1999999999998</v>
      </c>
      <c r="J91" s="49">
        <v>1689.3</v>
      </c>
      <c r="K91" s="49">
        <v>1639.4</v>
      </c>
      <c r="L91" s="54">
        <v>151</v>
      </c>
      <c r="M91" s="52" t="s">
        <v>50</v>
      </c>
      <c r="N91" s="55" t="s">
        <v>354</v>
      </c>
      <c r="O91" s="49">
        <v>491284.57</v>
      </c>
      <c r="P91" s="49">
        <f t="shared" si="6"/>
        <v>206.92636256423219</v>
      </c>
      <c r="Q91" s="49">
        <v>2368.9568549406117</v>
      </c>
    </row>
    <row r="92" spans="1:17" ht="35.25" x14ac:dyDescent="0.5">
      <c r="A92" s="1">
        <v>1</v>
      </c>
      <c r="B92" s="56">
        <v>3</v>
      </c>
      <c r="C92" s="57" t="s">
        <v>262</v>
      </c>
      <c r="D92" s="52">
        <v>1969</v>
      </c>
      <c r="E92" s="52"/>
      <c r="F92" s="53" t="s">
        <v>48</v>
      </c>
      <c r="G92" s="52">
        <v>5</v>
      </c>
      <c r="H92" s="52">
        <v>4</v>
      </c>
      <c r="I92" s="49">
        <v>2953.64</v>
      </c>
      <c r="J92" s="49">
        <v>2684.14</v>
      </c>
      <c r="K92" s="49">
        <v>2616.34</v>
      </c>
      <c r="L92" s="54">
        <v>107</v>
      </c>
      <c r="M92" s="52" t="s">
        <v>50</v>
      </c>
      <c r="N92" s="55" t="s">
        <v>232</v>
      </c>
      <c r="O92" s="49">
        <v>1439828.96</v>
      </c>
      <c r="P92" s="49">
        <f t="shared" si="6"/>
        <v>487.47611760404112</v>
      </c>
      <c r="Q92" s="49">
        <v>1713.0577897103235</v>
      </c>
    </row>
    <row r="93" spans="1:17" ht="35.25" x14ac:dyDescent="0.5">
      <c r="A93" s="1">
        <v>1</v>
      </c>
      <c r="B93" s="56">
        <v>4</v>
      </c>
      <c r="C93" s="57" t="s">
        <v>263</v>
      </c>
      <c r="D93" s="52">
        <v>1928</v>
      </c>
      <c r="E93" s="52"/>
      <c r="F93" s="53" t="s">
        <v>48</v>
      </c>
      <c r="G93" s="52">
        <v>3</v>
      </c>
      <c r="H93" s="52">
        <v>2</v>
      </c>
      <c r="I93" s="49">
        <v>884.1</v>
      </c>
      <c r="J93" s="49">
        <v>763.7</v>
      </c>
      <c r="K93" s="49">
        <v>441.4</v>
      </c>
      <c r="L93" s="54">
        <v>48</v>
      </c>
      <c r="M93" s="52" t="s">
        <v>50</v>
      </c>
      <c r="N93" s="52" t="s">
        <v>355</v>
      </c>
      <c r="O93" s="49">
        <v>342298.98</v>
      </c>
      <c r="P93" s="49">
        <f t="shared" si="6"/>
        <v>387.17224295894124</v>
      </c>
      <c r="Q93" s="49">
        <v>2762.5140549711568</v>
      </c>
    </row>
    <row r="94" spans="1:17" ht="35.25" x14ac:dyDescent="0.5">
      <c r="A94" s="1">
        <v>1</v>
      </c>
      <c r="B94" s="56">
        <v>5</v>
      </c>
      <c r="C94" s="57" t="s">
        <v>264</v>
      </c>
      <c r="D94" s="52">
        <v>1958</v>
      </c>
      <c r="E94" s="52"/>
      <c r="F94" s="53" t="s">
        <v>48</v>
      </c>
      <c r="G94" s="52">
        <v>3</v>
      </c>
      <c r="H94" s="52">
        <v>3</v>
      </c>
      <c r="I94" s="49">
        <v>2111.1</v>
      </c>
      <c r="J94" s="49">
        <v>1932</v>
      </c>
      <c r="K94" s="49">
        <v>1902.39</v>
      </c>
      <c r="L94" s="54">
        <v>85</v>
      </c>
      <c r="M94" s="52" t="s">
        <v>47</v>
      </c>
      <c r="N94" s="52" t="s">
        <v>49</v>
      </c>
      <c r="O94" s="49">
        <v>179920.82</v>
      </c>
      <c r="P94" s="49">
        <f t="shared" si="6"/>
        <v>85.226100137369144</v>
      </c>
      <c r="Q94" s="49">
        <v>3428.1349059731892</v>
      </c>
    </row>
    <row r="95" spans="1:17" ht="35.25" x14ac:dyDescent="0.5">
      <c r="A95" s="1">
        <v>1</v>
      </c>
      <c r="B95" s="56">
        <v>6</v>
      </c>
      <c r="C95" s="57" t="s">
        <v>265</v>
      </c>
      <c r="D95" s="52">
        <v>1986</v>
      </c>
      <c r="E95" s="52"/>
      <c r="F95" s="53" t="s">
        <v>48</v>
      </c>
      <c r="G95" s="52">
        <v>4</v>
      </c>
      <c r="H95" s="52">
        <v>1</v>
      </c>
      <c r="I95" s="49">
        <v>2374.1999999999998</v>
      </c>
      <c r="J95" s="49">
        <v>1689.3</v>
      </c>
      <c r="K95" s="49">
        <v>1639.4</v>
      </c>
      <c r="L95" s="54">
        <v>151</v>
      </c>
      <c r="M95" s="52" t="s">
        <v>50</v>
      </c>
      <c r="N95" s="52" t="s">
        <v>354</v>
      </c>
      <c r="O95" s="49">
        <v>81305.67</v>
      </c>
      <c r="P95" s="49">
        <f t="shared" si="6"/>
        <v>34.245501642658581</v>
      </c>
      <c r="Q95" s="49">
        <v>2890.5740881138913</v>
      </c>
    </row>
    <row r="96" spans="1:17" ht="35.25" x14ac:dyDescent="0.5">
      <c r="B96" s="109" t="s">
        <v>97</v>
      </c>
      <c r="C96" s="109"/>
      <c r="D96" s="52" t="s">
        <v>90</v>
      </c>
      <c r="E96" s="52" t="s">
        <v>90</v>
      </c>
      <c r="F96" s="53" t="s">
        <v>90</v>
      </c>
      <c r="G96" s="52" t="s">
        <v>90</v>
      </c>
      <c r="H96" s="52" t="s">
        <v>90</v>
      </c>
      <c r="I96" s="49">
        <f>I97</f>
        <v>4101.7</v>
      </c>
      <c r="J96" s="49">
        <f t="shared" ref="J96:L96" si="8">J97</f>
        <v>2751.3</v>
      </c>
      <c r="K96" s="49">
        <f t="shared" si="8"/>
        <v>2562.4</v>
      </c>
      <c r="L96" s="54">
        <f t="shared" si="8"/>
        <v>111</v>
      </c>
      <c r="M96" s="52" t="s">
        <v>131</v>
      </c>
      <c r="N96" s="55" t="s">
        <v>131</v>
      </c>
      <c r="O96" s="49">
        <v>418959.01</v>
      </c>
      <c r="P96" s="49">
        <f t="shared" si="6"/>
        <v>102.14277250895971</v>
      </c>
      <c r="Q96" s="49">
        <f>Q97</f>
        <v>1246.8085250018285</v>
      </c>
    </row>
    <row r="97" spans="1:17" ht="35.25" x14ac:dyDescent="0.5">
      <c r="A97" s="1">
        <v>1</v>
      </c>
      <c r="B97" s="56">
        <v>7</v>
      </c>
      <c r="C97" s="57" t="s">
        <v>578</v>
      </c>
      <c r="D97" s="52">
        <v>1980</v>
      </c>
      <c r="E97" s="52"/>
      <c r="F97" s="53" t="s">
        <v>48</v>
      </c>
      <c r="G97" s="52">
        <v>5</v>
      </c>
      <c r="H97" s="52">
        <v>4</v>
      </c>
      <c r="I97" s="49">
        <v>4101.7</v>
      </c>
      <c r="J97" s="49">
        <v>2751.3</v>
      </c>
      <c r="K97" s="49">
        <f>J97-188.9</f>
        <v>2562.4</v>
      </c>
      <c r="L97" s="54">
        <v>111</v>
      </c>
      <c r="M97" s="52" t="s">
        <v>50</v>
      </c>
      <c r="N97" s="52" t="s">
        <v>84</v>
      </c>
      <c r="O97" s="49">
        <v>418959.01</v>
      </c>
      <c r="P97" s="49">
        <f t="shared" si="6"/>
        <v>102.14277250895971</v>
      </c>
      <c r="Q97" s="49">
        <v>1246.8085250018285</v>
      </c>
    </row>
    <row r="98" spans="1:17" ht="35.25" x14ac:dyDescent="0.5">
      <c r="B98" s="109" t="s">
        <v>98</v>
      </c>
      <c r="C98" s="57"/>
      <c r="D98" s="52" t="s">
        <v>90</v>
      </c>
      <c r="E98" s="52" t="s">
        <v>90</v>
      </c>
      <c r="F98" s="52" t="s">
        <v>90</v>
      </c>
      <c r="G98" s="52" t="s">
        <v>90</v>
      </c>
      <c r="H98" s="52" t="s">
        <v>90</v>
      </c>
      <c r="I98" s="49">
        <f>I99+I100+I101</f>
        <v>2327.5</v>
      </c>
      <c r="J98" s="49">
        <f t="shared" ref="J98:L98" si="9">J99+J100+J101</f>
        <v>2088.7999999999997</v>
      </c>
      <c r="K98" s="49">
        <f t="shared" si="9"/>
        <v>1990.8000000000002</v>
      </c>
      <c r="L98" s="54">
        <f t="shared" si="9"/>
        <v>106</v>
      </c>
      <c r="M98" s="52" t="s">
        <v>131</v>
      </c>
      <c r="N98" s="55" t="s">
        <v>131</v>
      </c>
      <c r="O98" s="49">
        <v>34418.18</v>
      </c>
      <c r="P98" s="49">
        <f t="shared" si="6"/>
        <v>14.787617615467239</v>
      </c>
      <c r="Q98" s="49">
        <f>MAX(Q99:Q101)</f>
        <v>6415.2351773902574</v>
      </c>
    </row>
    <row r="99" spans="1:17" ht="35.25" x14ac:dyDescent="0.5">
      <c r="A99" s="1">
        <v>1</v>
      </c>
      <c r="B99" s="56">
        <v>8</v>
      </c>
      <c r="C99" s="57" t="s">
        <v>266</v>
      </c>
      <c r="D99" s="52">
        <v>1979</v>
      </c>
      <c r="E99" s="52"/>
      <c r="F99" s="53" t="s">
        <v>48</v>
      </c>
      <c r="G99" s="52">
        <v>2</v>
      </c>
      <c r="H99" s="52">
        <v>3</v>
      </c>
      <c r="I99" s="49">
        <v>1053.2</v>
      </c>
      <c r="J99" s="49">
        <v>928.3</v>
      </c>
      <c r="K99" s="49">
        <v>866</v>
      </c>
      <c r="L99" s="54">
        <v>38</v>
      </c>
      <c r="M99" s="52" t="s">
        <v>47</v>
      </c>
      <c r="N99" s="55" t="s">
        <v>49</v>
      </c>
      <c r="O99" s="49">
        <v>11221.62</v>
      </c>
      <c r="P99" s="49">
        <f t="shared" si="6"/>
        <v>10.654785415875427</v>
      </c>
      <c r="Q99" s="49">
        <v>5473.559475883023</v>
      </c>
    </row>
    <row r="100" spans="1:17" ht="35.25" x14ac:dyDescent="0.5">
      <c r="A100" s="1">
        <v>1</v>
      </c>
      <c r="B100" s="56">
        <v>9</v>
      </c>
      <c r="C100" s="57" t="s">
        <v>267</v>
      </c>
      <c r="D100" s="52">
        <v>1980</v>
      </c>
      <c r="E100" s="52"/>
      <c r="F100" s="53" t="s">
        <v>48</v>
      </c>
      <c r="G100" s="52">
        <v>2</v>
      </c>
      <c r="H100" s="52">
        <v>3</v>
      </c>
      <c r="I100" s="49">
        <v>941.7</v>
      </c>
      <c r="J100" s="49">
        <v>856.9</v>
      </c>
      <c r="K100" s="49">
        <v>856.9</v>
      </c>
      <c r="L100" s="54">
        <v>53</v>
      </c>
      <c r="M100" s="52" t="s">
        <v>47</v>
      </c>
      <c r="N100" s="55" t="s">
        <v>49</v>
      </c>
      <c r="O100" s="49">
        <v>19576.66</v>
      </c>
      <c r="P100" s="49">
        <f t="shared" si="6"/>
        <v>20.78863757035149</v>
      </c>
      <c r="Q100" s="49">
        <v>4942.3668471912497</v>
      </c>
    </row>
    <row r="101" spans="1:17" ht="35.25" x14ac:dyDescent="0.5">
      <c r="B101" s="56">
        <v>10</v>
      </c>
      <c r="C101" s="57" t="s">
        <v>555</v>
      </c>
      <c r="D101" s="52">
        <v>1962</v>
      </c>
      <c r="E101" s="52"/>
      <c r="F101" s="53" t="s">
        <v>48</v>
      </c>
      <c r="G101" s="52">
        <v>2</v>
      </c>
      <c r="H101" s="52">
        <v>1</v>
      </c>
      <c r="I101" s="49">
        <v>332.6</v>
      </c>
      <c r="J101" s="49">
        <v>303.60000000000002</v>
      </c>
      <c r="K101" s="49">
        <v>267.89999999999998</v>
      </c>
      <c r="L101" s="54">
        <v>15</v>
      </c>
      <c r="M101" s="52" t="s">
        <v>47</v>
      </c>
      <c r="N101" s="55" t="s">
        <v>49</v>
      </c>
      <c r="O101" s="49">
        <v>3619.9</v>
      </c>
      <c r="P101" s="49">
        <f t="shared" si="6"/>
        <v>10.883644016837041</v>
      </c>
      <c r="Q101" s="49">
        <v>6415.2351773902574</v>
      </c>
    </row>
    <row r="102" spans="1:17" ht="35.25" x14ac:dyDescent="0.5">
      <c r="B102" s="109" t="s">
        <v>209</v>
      </c>
      <c r="C102" s="57"/>
      <c r="D102" s="52" t="s">
        <v>90</v>
      </c>
      <c r="E102" s="52" t="s">
        <v>90</v>
      </c>
      <c r="F102" s="53" t="s">
        <v>90</v>
      </c>
      <c r="G102" s="52" t="s">
        <v>90</v>
      </c>
      <c r="H102" s="52" t="s">
        <v>90</v>
      </c>
      <c r="I102" s="49">
        <f>SUM(I103:I118)</f>
        <v>28928.739999999998</v>
      </c>
      <c r="J102" s="49">
        <f t="shared" ref="J102:L102" si="10">SUM(J103:J118)</f>
        <v>24894.54</v>
      </c>
      <c r="K102" s="49">
        <f t="shared" si="10"/>
        <v>22312.100000000002</v>
      </c>
      <c r="L102" s="54">
        <f t="shared" si="10"/>
        <v>1177</v>
      </c>
      <c r="M102" s="52" t="s">
        <v>131</v>
      </c>
      <c r="N102" s="55" t="s">
        <v>131</v>
      </c>
      <c r="O102" s="49">
        <v>1937425.3199999998</v>
      </c>
      <c r="P102" s="49">
        <f t="shared" si="6"/>
        <v>66.972336852555628</v>
      </c>
      <c r="Q102" s="49">
        <f>MAX(Q103:Q118)</f>
        <v>9874.5189134554657</v>
      </c>
    </row>
    <row r="103" spans="1:17" ht="35.25" x14ac:dyDescent="0.5">
      <c r="A103" s="1">
        <v>1</v>
      </c>
      <c r="B103" s="56">
        <v>11</v>
      </c>
      <c r="C103" s="57" t="s">
        <v>268</v>
      </c>
      <c r="D103" s="52">
        <v>1966</v>
      </c>
      <c r="E103" s="52"/>
      <c r="F103" s="53" t="s">
        <v>48</v>
      </c>
      <c r="G103" s="52">
        <v>5</v>
      </c>
      <c r="H103" s="52">
        <v>4</v>
      </c>
      <c r="I103" s="49">
        <v>4070</v>
      </c>
      <c r="J103" s="49">
        <v>3151.1</v>
      </c>
      <c r="K103" s="49">
        <v>2925.4</v>
      </c>
      <c r="L103" s="54">
        <v>137</v>
      </c>
      <c r="M103" s="52" t="s">
        <v>50</v>
      </c>
      <c r="N103" s="55" t="s">
        <v>357</v>
      </c>
      <c r="O103" s="49">
        <v>9167.9599999999991</v>
      </c>
      <c r="P103" s="49">
        <f t="shared" si="6"/>
        <v>2.2525700245700242</v>
      </c>
      <c r="Q103" s="49">
        <v>1716.8499262899263</v>
      </c>
    </row>
    <row r="104" spans="1:17" ht="35.25" x14ac:dyDescent="0.5">
      <c r="A104" s="1">
        <v>1</v>
      </c>
      <c r="B104" s="56">
        <v>12</v>
      </c>
      <c r="C104" s="57" t="s">
        <v>269</v>
      </c>
      <c r="D104" s="52">
        <v>1960</v>
      </c>
      <c r="E104" s="52">
        <v>2006</v>
      </c>
      <c r="F104" s="53" t="s">
        <v>48</v>
      </c>
      <c r="G104" s="52">
        <v>2</v>
      </c>
      <c r="H104" s="52">
        <v>3</v>
      </c>
      <c r="I104" s="49">
        <v>1011.9</v>
      </c>
      <c r="J104" s="49">
        <v>804.7</v>
      </c>
      <c r="K104" s="49">
        <v>655.4</v>
      </c>
      <c r="L104" s="54">
        <v>42</v>
      </c>
      <c r="M104" s="52" t="s">
        <v>50</v>
      </c>
      <c r="N104" s="55" t="s">
        <v>358</v>
      </c>
      <c r="O104" s="49">
        <v>208611.94</v>
      </c>
      <c r="P104" s="49">
        <f t="shared" si="6"/>
        <v>206.15865204071548</v>
      </c>
      <c r="Q104" s="49">
        <v>4489.2530380472381</v>
      </c>
    </row>
    <row r="105" spans="1:17" ht="35.25" x14ac:dyDescent="0.5">
      <c r="A105" s="1">
        <v>1</v>
      </c>
      <c r="B105" s="56">
        <v>13</v>
      </c>
      <c r="C105" s="57" t="s">
        <v>270</v>
      </c>
      <c r="D105" s="52">
        <v>1951</v>
      </c>
      <c r="E105" s="52"/>
      <c r="F105" s="53" t="s">
        <v>48</v>
      </c>
      <c r="G105" s="52">
        <v>2</v>
      </c>
      <c r="H105" s="52">
        <v>2</v>
      </c>
      <c r="I105" s="49">
        <v>695</v>
      </c>
      <c r="J105" s="49">
        <v>626.9</v>
      </c>
      <c r="K105" s="49">
        <v>626.9</v>
      </c>
      <c r="L105" s="54">
        <v>33</v>
      </c>
      <c r="M105" s="52" t="s">
        <v>50</v>
      </c>
      <c r="N105" s="55" t="s">
        <v>170</v>
      </c>
      <c r="O105" s="49">
        <v>170151.06</v>
      </c>
      <c r="P105" s="49">
        <f t="shared" si="6"/>
        <v>244.82166906474819</v>
      </c>
      <c r="Q105" s="49">
        <v>6777.5209352517986</v>
      </c>
    </row>
    <row r="106" spans="1:17" ht="35.25" x14ac:dyDescent="0.5">
      <c r="A106" s="1">
        <v>1</v>
      </c>
      <c r="B106" s="56">
        <v>14</v>
      </c>
      <c r="C106" s="57" t="s">
        <v>271</v>
      </c>
      <c r="D106" s="52">
        <v>1953</v>
      </c>
      <c r="E106" s="52">
        <v>2006</v>
      </c>
      <c r="F106" s="53" t="s">
        <v>48</v>
      </c>
      <c r="G106" s="52">
        <v>2</v>
      </c>
      <c r="H106" s="52">
        <v>1</v>
      </c>
      <c r="I106" s="49">
        <v>537.54</v>
      </c>
      <c r="J106" s="49">
        <v>501.3</v>
      </c>
      <c r="K106" s="49">
        <v>310.2</v>
      </c>
      <c r="L106" s="54">
        <v>37</v>
      </c>
      <c r="M106" s="52" t="s">
        <v>50</v>
      </c>
      <c r="N106" s="55" t="s">
        <v>356</v>
      </c>
      <c r="O106" s="49">
        <v>39116.53</v>
      </c>
      <c r="P106" s="49">
        <f t="shared" si="6"/>
        <v>72.769524128436956</v>
      </c>
      <c r="Q106" s="49">
        <v>5768.3861108010569</v>
      </c>
    </row>
    <row r="107" spans="1:17" ht="35.25" x14ac:dyDescent="0.5">
      <c r="A107" s="1">
        <v>1</v>
      </c>
      <c r="B107" s="56">
        <v>15</v>
      </c>
      <c r="C107" s="57" t="s">
        <v>272</v>
      </c>
      <c r="D107" s="52">
        <v>1958</v>
      </c>
      <c r="E107" s="52">
        <v>2007</v>
      </c>
      <c r="F107" s="53" t="s">
        <v>48</v>
      </c>
      <c r="G107" s="52">
        <v>2</v>
      </c>
      <c r="H107" s="52">
        <v>2</v>
      </c>
      <c r="I107" s="49">
        <v>854.8</v>
      </c>
      <c r="J107" s="49">
        <v>789.8</v>
      </c>
      <c r="K107" s="49">
        <v>434.07</v>
      </c>
      <c r="L107" s="54">
        <v>42</v>
      </c>
      <c r="M107" s="52" t="s">
        <v>50</v>
      </c>
      <c r="N107" s="55" t="s">
        <v>358</v>
      </c>
      <c r="O107" s="49">
        <v>35463.9</v>
      </c>
      <c r="P107" s="49">
        <f t="shared" si="6"/>
        <v>41.487950397753863</v>
      </c>
      <c r="Q107" s="49">
        <v>4641.9592419279361</v>
      </c>
    </row>
    <row r="108" spans="1:17" ht="35.25" x14ac:dyDescent="0.5">
      <c r="A108" s="1">
        <v>1</v>
      </c>
      <c r="B108" s="56">
        <v>16</v>
      </c>
      <c r="C108" s="57" t="s">
        <v>273</v>
      </c>
      <c r="D108" s="52">
        <v>1940</v>
      </c>
      <c r="E108" s="52"/>
      <c r="F108" s="53" t="s">
        <v>48</v>
      </c>
      <c r="G108" s="52">
        <v>3</v>
      </c>
      <c r="H108" s="52">
        <v>2</v>
      </c>
      <c r="I108" s="49">
        <v>1189.4000000000001</v>
      </c>
      <c r="J108" s="49">
        <v>1119.5999999999999</v>
      </c>
      <c r="K108" s="49">
        <v>1021.2</v>
      </c>
      <c r="L108" s="54">
        <v>46</v>
      </c>
      <c r="M108" s="52" t="s">
        <v>50</v>
      </c>
      <c r="N108" s="55" t="s">
        <v>73</v>
      </c>
      <c r="O108" s="49">
        <v>381944.5</v>
      </c>
      <c r="P108" s="49">
        <f t="shared" si="6"/>
        <v>321.12367580292585</v>
      </c>
      <c r="Q108" s="49">
        <v>3383.2999411467963</v>
      </c>
    </row>
    <row r="109" spans="1:17" ht="35.25" x14ac:dyDescent="0.5">
      <c r="A109" s="1">
        <v>1</v>
      </c>
      <c r="B109" s="56">
        <v>17</v>
      </c>
      <c r="C109" s="57" t="s">
        <v>274</v>
      </c>
      <c r="D109" s="52">
        <v>1961</v>
      </c>
      <c r="E109" s="52"/>
      <c r="F109" s="53" t="s">
        <v>48</v>
      </c>
      <c r="G109" s="52">
        <v>4</v>
      </c>
      <c r="H109" s="52">
        <v>3</v>
      </c>
      <c r="I109" s="49">
        <v>2136.1</v>
      </c>
      <c r="J109" s="49">
        <v>1990.2</v>
      </c>
      <c r="K109" s="49">
        <v>1946.2</v>
      </c>
      <c r="L109" s="54">
        <v>89</v>
      </c>
      <c r="M109" s="52" t="s">
        <v>50</v>
      </c>
      <c r="N109" s="55" t="s">
        <v>170</v>
      </c>
      <c r="O109" s="49">
        <v>7464.31</v>
      </c>
      <c r="P109" s="49">
        <f t="shared" si="6"/>
        <v>3.4943635597584386</v>
      </c>
      <c r="Q109" s="49">
        <v>2020.5703511539721</v>
      </c>
    </row>
    <row r="110" spans="1:17" ht="35.25" x14ac:dyDescent="0.5">
      <c r="A110" s="1">
        <v>1</v>
      </c>
      <c r="B110" s="56">
        <v>18</v>
      </c>
      <c r="C110" s="57" t="s">
        <v>275</v>
      </c>
      <c r="D110" s="52">
        <v>1935</v>
      </c>
      <c r="E110" s="52"/>
      <c r="F110" s="53" t="s">
        <v>48</v>
      </c>
      <c r="G110" s="52">
        <v>2</v>
      </c>
      <c r="H110" s="52">
        <v>2</v>
      </c>
      <c r="I110" s="49">
        <v>474.9</v>
      </c>
      <c r="J110" s="49">
        <v>427.5</v>
      </c>
      <c r="K110" s="49">
        <v>427.5</v>
      </c>
      <c r="L110" s="54">
        <v>15</v>
      </c>
      <c r="M110" s="52" t="s">
        <v>50</v>
      </c>
      <c r="N110" s="55" t="s">
        <v>73</v>
      </c>
      <c r="O110" s="49">
        <v>433416.75</v>
      </c>
      <c r="P110" s="49">
        <f t="shared" si="6"/>
        <v>912.64845230574861</v>
      </c>
      <c r="Q110" s="49">
        <v>9874.5189134554657</v>
      </c>
    </row>
    <row r="111" spans="1:17" ht="35.25" x14ac:dyDescent="0.5">
      <c r="A111" s="1">
        <v>1</v>
      </c>
      <c r="B111" s="56">
        <v>19</v>
      </c>
      <c r="C111" s="57" t="s">
        <v>235</v>
      </c>
      <c r="D111" s="52">
        <v>1991</v>
      </c>
      <c r="E111" s="52">
        <v>2010</v>
      </c>
      <c r="F111" s="53" t="s">
        <v>241</v>
      </c>
      <c r="G111" s="52">
        <v>13</v>
      </c>
      <c r="H111" s="52">
        <v>1</v>
      </c>
      <c r="I111" s="49">
        <v>4135.3</v>
      </c>
      <c r="J111" s="49">
        <v>3928.9</v>
      </c>
      <c r="K111" s="49">
        <v>3680.79</v>
      </c>
      <c r="L111" s="54">
        <v>225</v>
      </c>
      <c r="M111" s="55" t="s">
        <v>50</v>
      </c>
      <c r="N111" s="58" t="s">
        <v>72</v>
      </c>
      <c r="O111" s="49">
        <v>167825.19</v>
      </c>
      <c r="P111" s="49">
        <f t="shared" si="6"/>
        <v>40.583558629361832</v>
      </c>
      <c r="Q111" s="49">
        <v>609.51312843082724</v>
      </c>
    </row>
    <row r="112" spans="1:17" ht="35.25" x14ac:dyDescent="0.5">
      <c r="A112" s="1">
        <v>1</v>
      </c>
      <c r="B112" s="56">
        <v>20</v>
      </c>
      <c r="C112" s="57" t="s">
        <v>276</v>
      </c>
      <c r="D112" s="52">
        <v>1959</v>
      </c>
      <c r="E112" s="52"/>
      <c r="F112" s="53" t="s">
        <v>48</v>
      </c>
      <c r="G112" s="52">
        <v>4</v>
      </c>
      <c r="H112" s="52">
        <v>3</v>
      </c>
      <c r="I112" s="49">
        <v>3123</v>
      </c>
      <c r="J112" s="49">
        <v>2505.0300000000002</v>
      </c>
      <c r="K112" s="49">
        <v>2369.63</v>
      </c>
      <c r="L112" s="54">
        <v>89</v>
      </c>
      <c r="M112" s="58" t="s">
        <v>50</v>
      </c>
      <c r="N112" s="58" t="s">
        <v>240</v>
      </c>
      <c r="O112" s="49">
        <v>11016.92</v>
      </c>
      <c r="P112" s="49">
        <f t="shared" si="6"/>
        <v>3.5276721101504962</v>
      </c>
      <c r="Q112" s="49">
        <v>2309.3755875760485</v>
      </c>
    </row>
    <row r="113" spans="1:17" ht="35.25" x14ac:dyDescent="0.5">
      <c r="A113" s="1">
        <v>1</v>
      </c>
      <c r="B113" s="56">
        <v>21</v>
      </c>
      <c r="C113" s="57" t="s">
        <v>343</v>
      </c>
      <c r="D113" s="52">
        <v>1953</v>
      </c>
      <c r="E113" s="52">
        <v>2008</v>
      </c>
      <c r="F113" s="53" t="s">
        <v>48</v>
      </c>
      <c r="G113" s="52">
        <v>2</v>
      </c>
      <c r="H113" s="52">
        <v>1</v>
      </c>
      <c r="I113" s="49">
        <v>520.79999999999995</v>
      </c>
      <c r="J113" s="49">
        <v>480.7</v>
      </c>
      <c r="K113" s="49">
        <v>406.6</v>
      </c>
      <c r="L113" s="54">
        <v>27</v>
      </c>
      <c r="M113" s="58" t="s">
        <v>50</v>
      </c>
      <c r="N113" s="58" t="s">
        <v>72</v>
      </c>
      <c r="O113" s="49">
        <v>111509.89</v>
      </c>
      <c r="P113" s="49">
        <f>O113/I113</f>
        <v>214.11269201228882</v>
      </c>
      <c r="Q113" s="49">
        <v>2449.2276651305688</v>
      </c>
    </row>
    <row r="114" spans="1:17" ht="35.25" x14ac:dyDescent="0.5">
      <c r="A114" s="1">
        <v>1</v>
      </c>
      <c r="B114" s="56">
        <v>22</v>
      </c>
      <c r="C114" s="57" t="s">
        <v>344</v>
      </c>
      <c r="D114" s="52">
        <v>1936</v>
      </c>
      <c r="E114" s="52">
        <v>2008</v>
      </c>
      <c r="F114" s="53" t="s">
        <v>48</v>
      </c>
      <c r="G114" s="52">
        <v>3</v>
      </c>
      <c r="H114" s="52">
        <v>4</v>
      </c>
      <c r="I114" s="49">
        <v>1637.8</v>
      </c>
      <c r="J114" s="49">
        <v>1246.5999999999999</v>
      </c>
      <c r="K114" s="49">
        <v>1142.8</v>
      </c>
      <c r="L114" s="54">
        <v>53</v>
      </c>
      <c r="M114" s="58" t="s">
        <v>50</v>
      </c>
      <c r="N114" s="58" t="s">
        <v>73</v>
      </c>
      <c r="O114" s="49">
        <v>155816.68</v>
      </c>
      <c r="P114" s="49">
        <f t="shared" si="6"/>
        <v>95.137794602515569</v>
      </c>
      <c r="Q114" s="49">
        <v>2371.7990800464036</v>
      </c>
    </row>
    <row r="115" spans="1:17" ht="35.25" x14ac:dyDescent="0.5">
      <c r="A115" s="1">
        <v>1</v>
      </c>
      <c r="B115" s="56">
        <v>23</v>
      </c>
      <c r="C115" s="57" t="s">
        <v>345</v>
      </c>
      <c r="D115" s="52">
        <v>1950</v>
      </c>
      <c r="E115" s="52"/>
      <c r="F115" s="53" t="s">
        <v>48</v>
      </c>
      <c r="G115" s="52">
        <v>2</v>
      </c>
      <c r="H115" s="52">
        <v>1</v>
      </c>
      <c r="I115" s="49">
        <v>459.9</v>
      </c>
      <c r="J115" s="49">
        <v>417.6</v>
      </c>
      <c r="K115" s="49">
        <v>417.6</v>
      </c>
      <c r="L115" s="54">
        <v>24</v>
      </c>
      <c r="M115" s="58" t="s">
        <v>50</v>
      </c>
      <c r="N115" s="58" t="s">
        <v>170</v>
      </c>
      <c r="O115" s="49">
        <v>9497.9600000000009</v>
      </c>
      <c r="P115" s="49">
        <f t="shared" si="6"/>
        <v>20.652228745379432</v>
      </c>
      <c r="Q115" s="49">
        <v>7461.1883018047401</v>
      </c>
    </row>
    <row r="116" spans="1:17" ht="35.25" x14ac:dyDescent="0.5">
      <c r="A116" s="1">
        <v>1</v>
      </c>
      <c r="B116" s="56">
        <v>24</v>
      </c>
      <c r="C116" s="57" t="s">
        <v>346</v>
      </c>
      <c r="D116" s="52">
        <v>1961</v>
      </c>
      <c r="E116" s="52"/>
      <c r="F116" s="53" t="s">
        <v>48</v>
      </c>
      <c r="G116" s="52">
        <v>4</v>
      </c>
      <c r="H116" s="52">
        <v>2</v>
      </c>
      <c r="I116" s="49">
        <v>2794.3</v>
      </c>
      <c r="J116" s="49">
        <v>1973.11</v>
      </c>
      <c r="K116" s="49">
        <v>1887.11</v>
      </c>
      <c r="L116" s="54">
        <v>86</v>
      </c>
      <c r="M116" s="58" t="s">
        <v>50</v>
      </c>
      <c r="N116" s="58" t="s">
        <v>380</v>
      </c>
      <c r="O116" s="49">
        <v>61000.020000000004</v>
      </c>
      <c r="P116" s="49">
        <f t="shared" si="6"/>
        <v>21.830161399992843</v>
      </c>
      <c r="Q116" s="49">
        <v>1801.8109616004008</v>
      </c>
    </row>
    <row r="117" spans="1:17" ht="35.25" x14ac:dyDescent="0.5">
      <c r="A117" s="1">
        <v>1</v>
      </c>
      <c r="B117" s="56">
        <v>25</v>
      </c>
      <c r="C117" s="57" t="s">
        <v>388</v>
      </c>
      <c r="D117" s="52">
        <v>1952</v>
      </c>
      <c r="E117" s="52"/>
      <c r="F117" s="53" t="s">
        <v>70</v>
      </c>
      <c r="G117" s="52">
        <v>2</v>
      </c>
      <c r="H117" s="52">
        <v>3</v>
      </c>
      <c r="I117" s="49">
        <v>1380</v>
      </c>
      <c r="J117" s="49">
        <v>1114.5</v>
      </c>
      <c r="K117" s="49">
        <v>895.5</v>
      </c>
      <c r="L117" s="54">
        <v>35</v>
      </c>
      <c r="M117" s="58" t="s">
        <v>50</v>
      </c>
      <c r="N117" s="58" t="s">
        <v>387</v>
      </c>
      <c r="O117" s="49">
        <v>91476.549999999988</v>
      </c>
      <c r="P117" s="49">
        <f t="shared" si="6"/>
        <v>66.287355072463754</v>
      </c>
      <c r="Q117" s="49">
        <v>4787.6852826086952</v>
      </c>
    </row>
    <row r="118" spans="1:17" ht="35.25" x14ac:dyDescent="0.5">
      <c r="B118" s="56">
        <v>26</v>
      </c>
      <c r="C118" s="57" t="s">
        <v>557</v>
      </c>
      <c r="D118" s="52" t="s">
        <v>80</v>
      </c>
      <c r="E118" s="52"/>
      <c r="F118" s="53" t="s">
        <v>60</v>
      </c>
      <c r="G118" s="52">
        <v>5</v>
      </c>
      <c r="H118" s="52">
        <v>4</v>
      </c>
      <c r="I118" s="49">
        <v>3908</v>
      </c>
      <c r="J118" s="49">
        <v>3817</v>
      </c>
      <c r="K118" s="49">
        <v>3165.2</v>
      </c>
      <c r="L118" s="54">
        <v>197</v>
      </c>
      <c r="M118" s="58" t="s">
        <v>50</v>
      </c>
      <c r="N118" s="55" t="s">
        <v>394</v>
      </c>
      <c r="O118" s="49">
        <v>43945.16</v>
      </c>
      <c r="P118" s="49">
        <f t="shared" si="6"/>
        <v>11.244923234390994</v>
      </c>
      <c r="Q118" s="49">
        <v>1521.4128019447287</v>
      </c>
    </row>
    <row r="119" spans="1:17" ht="35.25" x14ac:dyDescent="0.5">
      <c r="B119" s="109" t="s">
        <v>100</v>
      </c>
      <c r="C119" s="57"/>
      <c r="D119" s="52" t="s">
        <v>90</v>
      </c>
      <c r="E119" s="52" t="s">
        <v>90</v>
      </c>
      <c r="F119" s="53" t="s">
        <v>90</v>
      </c>
      <c r="G119" s="52" t="s">
        <v>90</v>
      </c>
      <c r="H119" s="52" t="s">
        <v>90</v>
      </c>
      <c r="I119" s="49">
        <f>SUM(I120:I126)</f>
        <v>14909.5</v>
      </c>
      <c r="J119" s="49">
        <f t="shared" ref="J119:L119" si="11">SUM(J120:J126)</f>
        <v>8883.0999999999985</v>
      </c>
      <c r="K119" s="49">
        <f t="shared" si="11"/>
        <v>7514.1</v>
      </c>
      <c r="L119" s="54">
        <f t="shared" si="11"/>
        <v>477</v>
      </c>
      <c r="M119" s="52" t="s">
        <v>131</v>
      </c>
      <c r="N119" s="55" t="s">
        <v>131</v>
      </c>
      <c r="O119" s="49">
        <v>2682931.6799999997</v>
      </c>
      <c r="P119" s="49">
        <f t="shared" si="6"/>
        <v>179.94779704215432</v>
      </c>
      <c r="Q119" s="49">
        <f>MAX(Q120:Q126)</f>
        <v>5889.0846370829031</v>
      </c>
    </row>
    <row r="120" spans="1:17" ht="35.25" x14ac:dyDescent="0.5">
      <c r="A120" s="1">
        <v>1</v>
      </c>
      <c r="B120" s="56">
        <v>27</v>
      </c>
      <c r="C120" s="57" t="s">
        <v>277</v>
      </c>
      <c r="D120" s="52">
        <v>1992</v>
      </c>
      <c r="E120" s="52"/>
      <c r="F120" s="53" t="s">
        <v>48</v>
      </c>
      <c r="G120" s="52">
        <v>3</v>
      </c>
      <c r="H120" s="52">
        <v>3</v>
      </c>
      <c r="I120" s="49">
        <v>3997</v>
      </c>
      <c r="J120" s="49">
        <v>1901.1</v>
      </c>
      <c r="K120" s="49">
        <v>1791.5</v>
      </c>
      <c r="L120" s="54">
        <v>73</v>
      </c>
      <c r="M120" s="52" t="s">
        <v>50</v>
      </c>
      <c r="N120" s="55" t="s">
        <v>359</v>
      </c>
      <c r="O120" s="49">
        <v>505301.78</v>
      </c>
      <c r="P120" s="49">
        <f t="shared" si="6"/>
        <v>126.42026019514637</v>
      </c>
      <c r="Q120" s="49">
        <v>1791.9111033274955</v>
      </c>
    </row>
    <row r="121" spans="1:17" ht="35.25" x14ac:dyDescent="0.5">
      <c r="A121" s="1">
        <v>1</v>
      </c>
      <c r="B121" s="56">
        <v>28</v>
      </c>
      <c r="C121" s="57" t="s">
        <v>278</v>
      </c>
      <c r="D121" s="52">
        <v>1983</v>
      </c>
      <c r="E121" s="52"/>
      <c r="F121" s="53" t="s">
        <v>60</v>
      </c>
      <c r="G121" s="52">
        <v>5</v>
      </c>
      <c r="H121" s="52">
        <v>4</v>
      </c>
      <c r="I121" s="49">
        <v>4357</v>
      </c>
      <c r="J121" s="49">
        <v>1821.4</v>
      </c>
      <c r="K121" s="49">
        <v>1678.3</v>
      </c>
      <c r="L121" s="54">
        <v>159</v>
      </c>
      <c r="M121" s="52" t="s">
        <v>50</v>
      </c>
      <c r="N121" s="55" t="s">
        <v>359</v>
      </c>
      <c r="O121" s="49">
        <v>1853524.39</v>
      </c>
      <c r="P121" s="49">
        <f t="shared" si="6"/>
        <v>425.41298829469815</v>
      </c>
      <c r="Q121" s="49">
        <v>1163.4414448014688</v>
      </c>
    </row>
    <row r="122" spans="1:17" ht="35.25" x14ac:dyDescent="0.5">
      <c r="A122" s="1">
        <v>1</v>
      </c>
      <c r="B122" s="56">
        <v>29</v>
      </c>
      <c r="C122" s="57" t="s">
        <v>279</v>
      </c>
      <c r="D122" s="52">
        <v>1940</v>
      </c>
      <c r="E122" s="52"/>
      <c r="F122" s="53" t="s">
        <v>48</v>
      </c>
      <c r="G122" s="52">
        <v>3</v>
      </c>
      <c r="H122" s="52">
        <v>3</v>
      </c>
      <c r="I122" s="49">
        <v>2021</v>
      </c>
      <c r="J122" s="49">
        <v>1886.9</v>
      </c>
      <c r="K122" s="49">
        <v>1320.5</v>
      </c>
      <c r="L122" s="54">
        <v>47</v>
      </c>
      <c r="M122" s="52" t="s">
        <v>50</v>
      </c>
      <c r="N122" s="55" t="s">
        <v>360</v>
      </c>
      <c r="O122" s="49">
        <v>57982.38</v>
      </c>
      <c r="P122" s="49">
        <f t="shared" si="6"/>
        <v>28.689945571499255</v>
      </c>
      <c r="Q122" s="49">
        <v>3829.6596682830277</v>
      </c>
    </row>
    <row r="123" spans="1:17" ht="35.25" x14ac:dyDescent="0.5">
      <c r="A123" s="1">
        <v>1</v>
      </c>
      <c r="B123" s="56">
        <v>30</v>
      </c>
      <c r="C123" s="57" t="s">
        <v>280</v>
      </c>
      <c r="D123" s="52">
        <v>1994</v>
      </c>
      <c r="E123" s="52"/>
      <c r="F123" s="53" t="s">
        <v>48</v>
      </c>
      <c r="G123" s="52">
        <v>3</v>
      </c>
      <c r="H123" s="52">
        <v>3</v>
      </c>
      <c r="I123" s="49">
        <v>1540.3</v>
      </c>
      <c r="J123" s="49">
        <v>1362.4</v>
      </c>
      <c r="K123" s="49">
        <v>1247.3</v>
      </c>
      <c r="L123" s="54">
        <v>65</v>
      </c>
      <c r="M123" s="52" t="s">
        <v>47</v>
      </c>
      <c r="N123" s="55" t="s">
        <v>49</v>
      </c>
      <c r="O123" s="49">
        <v>175548.91</v>
      </c>
      <c r="P123" s="49">
        <f t="shared" si="6"/>
        <v>113.97059663701877</v>
      </c>
      <c r="Q123" s="49">
        <v>3394.2781146529896</v>
      </c>
    </row>
    <row r="124" spans="1:17" ht="35.25" x14ac:dyDescent="0.5">
      <c r="A124" s="1">
        <v>1</v>
      </c>
      <c r="B124" s="56">
        <v>31</v>
      </c>
      <c r="C124" s="57" t="s">
        <v>281</v>
      </c>
      <c r="D124" s="52">
        <v>1955</v>
      </c>
      <c r="E124" s="52"/>
      <c r="F124" s="53" t="s">
        <v>48</v>
      </c>
      <c r="G124" s="52">
        <v>2</v>
      </c>
      <c r="H124" s="52">
        <v>2</v>
      </c>
      <c r="I124" s="49">
        <v>872.1</v>
      </c>
      <c r="J124" s="49">
        <v>557</v>
      </c>
      <c r="K124" s="49">
        <v>255.4</v>
      </c>
      <c r="L124" s="54">
        <v>40</v>
      </c>
      <c r="M124" s="52" t="s">
        <v>50</v>
      </c>
      <c r="N124" s="55" t="s">
        <v>360</v>
      </c>
      <c r="O124" s="49">
        <v>63876.88</v>
      </c>
      <c r="P124" s="49">
        <f t="shared" si="6"/>
        <v>73.2449031074418</v>
      </c>
      <c r="Q124" s="49">
        <v>5889.0846370829031</v>
      </c>
    </row>
    <row r="125" spans="1:17" ht="35.25" x14ac:dyDescent="0.5">
      <c r="A125" s="1">
        <v>1</v>
      </c>
      <c r="B125" s="56">
        <v>32</v>
      </c>
      <c r="C125" s="57" t="s">
        <v>282</v>
      </c>
      <c r="D125" s="52">
        <v>1928</v>
      </c>
      <c r="E125" s="52"/>
      <c r="F125" s="53" t="s">
        <v>48</v>
      </c>
      <c r="G125" s="52">
        <v>2</v>
      </c>
      <c r="H125" s="52">
        <v>2</v>
      </c>
      <c r="I125" s="49">
        <v>552</v>
      </c>
      <c r="J125" s="49">
        <v>401.5</v>
      </c>
      <c r="K125" s="49">
        <v>268.3</v>
      </c>
      <c r="L125" s="54">
        <v>32</v>
      </c>
      <c r="M125" s="52" t="s">
        <v>47</v>
      </c>
      <c r="N125" s="55" t="s">
        <v>49</v>
      </c>
      <c r="O125" s="49">
        <v>2454.27</v>
      </c>
      <c r="P125" s="49">
        <f t="shared" si="6"/>
        <v>4.446141304347826</v>
      </c>
      <c r="Q125" s="49">
        <v>5334.7201449275362</v>
      </c>
    </row>
    <row r="126" spans="1:17" ht="35.25" x14ac:dyDescent="0.5">
      <c r="B126" s="56">
        <v>33</v>
      </c>
      <c r="C126" s="57" t="s">
        <v>558</v>
      </c>
      <c r="D126" s="52" t="s">
        <v>78</v>
      </c>
      <c r="E126" s="52"/>
      <c r="F126" s="53" t="s">
        <v>48</v>
      </c>
      <c r="G126" s="52">
        <v>3</v>
      </c>
      <c r="H126" s="52">
        <v>3</v>
      </c>
      <c r="I126" s="49">
        <v>1570.1</v>
      </c>
      <c r="J126" s="49">
        <v>952.8</v>
      </c>
      <c r="K126" s="49">
        <v>952.8</v>
      </c>
      <c r="L126" s="54">
        <v>61</v>
      </c>
      <c r="M126" s="52" t="s">
        <v>71</v>
      </c>
      <c r="N126" s="55" t="s">
        <v>570</v>
      </c>
      <c r="O126" s="49">
        <v>24243.07</v>
      </c>
      <c r="P126" s="49">
        <f t="shared" si="6"/>
        <v>15.440462390930515</v>
      </c>
      <c r="Q126" s="49">
        <v>3913.971307560028</v>
      </c>
    </row>
    <row r="127" spans="1:17" ht="35.25" x14ac:dyDescent="0.5">
      <c r="B127" s="109" t="s">
        <v>99</v>
      </c>
      <c r="C127" s="57"/>
      <c r="D127" s="52" t="s">
        <v>90</v>
      </c>
      <c r="E127" s="52" t="s">
        <v>90</v>
      </c>
      <c r="F127" s="53" t="s">
        <v>90</v>
      </c>
      <c r="G127" s="52" t="s">
        <v>90</v>
      </c>
      <c r="H127" s="52" t="s">
        <v>90</v>
      </c>
      <c r="I127" s="49">
        <f>SUM(I128:I131)</f>
        <v>3874.7000000000003</v>
      </c>
      <c r="J127" s="49">
        <f t="shared" ref="J127:L127" si="12">SUM(J128:J131)</f>
        <v>2543</v>
      </c>
      <c r="K127" s="49">
        <f t="shared" si="12"/>
        <v>1614</v>
      </c>
      <c r="L127" s="54">
        <f t="shared" si="12"/>
        <v>141</v>
      </c>
      <c r="M127" s="52" t="s">
        <v>131</v>
      </c>
      <c r="N127" s="55" t="s">
        <v>131</v>
      </c>
      <c r="O127" s="49">
        <v>3091318.25</v>
      </c>
      <c r="P127" s="49">
        <f t="shared" si="6"/>
        <v>797.82131519859593</v>
      </c>
      <c r="Q127" s="49">
        <f>MAX(Q128:Q131)</f>
        <v>4490.9395258620689</v>
      </c>
    </row>
    <row r="128" spans="1:17" ht="35.25" x14ac:dyDescent="0.5">
      <c r="A128" s="1">
        <v>1</v>
      </c>
      <c r="B128" s="56">
        <v>34</v>
      </c>
      <c r="C128" s="57" t="s">
        <v>283</v>
      </c>
      <c r="D128" s="52">
        <v>1965</v>
      </c>
      <c r="E128" s="52"/>
      <c r="F128" s="53" t="s">
        <v>48</v>
      </c>
      <c r="G128" s="52">
        <v>2</v>
      </c>
      <c r="H128" s="52">
        <v>2</v>
      </c>
      <c r="I128" s="49">
        <v>772.6</v>
      </c>
      <c r="J128" s="49">
        <v>450.9</v>
      </c>
      <c r="K128" s="49">
        <v>299.5</v>
      </c>
      <c r="L128" s="54">
        <v>27</v>
      </c>
      <c r="M128" s="52" t="s">
        <v>47</v>
      </c>
      <c r="N128" s="52" t="s">
        <v>49</v>
      </c>
      <c r="O128" s="49">
        <v>48915.49</v>
      </c>
      <c r="P128" s="49">
        <f t="shared" si="6"/>
        <v>63.312826818534816</v>
      </c>
      <c r="Q128" s="49">
        <v>3326.9879886098884</v>
      </c>
    </row>
    <row r="129" spans="1:17" ht="35.25" x14ac:dyDescent="0.5">
      <c r="A129" s="1">
        <v>1</v>
      </c>
      <c r="B129" s="56">
        <v>35</v>
      </c>
      <c r="C129" s="57" t="s">
        <v>284</v>
      </c>
      <c r="D129" s="52">
        <v>1942</v>
      </c>
      <c r="E129" s="52"/>
      <c r="F129" s="53" t="s">
        <v>68</v>
      </c>
      <c r="G129" s="52">
        <v>2</v>
      </c>
      <c r="H129" s="52">
        <v>2</v>
      </c>
      <c r="I129" s="49">
        <v>842.2</v>
      </c>
      <c r="J129" s="49">
        <v>492.3</v>
      </c>
      <c r="K129" s="49">
        <v>352</v>
      </c>
      <c r="L129" s="54">
        <v>33</v>
      </c>
      <c r="M129" s="52" t="s">
        <v>47</v>
      </c>
      <c r="N129" s="52" t="s">
        <v>49</v>
      </c>
      <c r="O129" s="49">
        <v>14682.87</v>
      </c>
      <c r="P129" s="49">
        <f t="shared" si="6"/>
        <v>17.433946805984327</v>
      </c>
      <c r="Q129" s="49">
        <v>3763.1990976015195</v>
      </c>
    </row>
    <row r="130" spans="1:17" ht="35.25" x14ac:dyDescent="0.5">
      <c r="A130" s="1">
        <v>1</v>
      </c>
      <c r="B130" s="56">
        <v>36</v>
      </c>
      <c r="C130" s="57" t="s">
        <v>285</v>
      </c>
      <c r="D130" s="52">
        <v>1933</v>
      </c>
      <c r="E130" s="52"/>
      <c r="F130" s="53" t="s">
        <v>48</v>
      </c>
      <c r="G130" s="52">
        <v>3</v>
      </c>
      <c r="H130" s="52">
        <v>3</v>
      </c>
      <c r="I130" s="49">
        <v>1795.9</v>
      </c>
      <c r="J130" s="49">
        <v>1183</v>
      </c>
      <c r="K130" s="49">
        <v>857.7</v>
      </c>
      <c r="L130" s="54">
        <v>48</v>
      </c>
      <c r="M130" s="52" t="s">
        <v>47</v>
      </c>
      <c r="N130" s="52" t="s">
        <v>49</v>
      </c>
      <c r="O130" s="49">
        <v>2981100.72</v>
      </c>
      <c r="P130" s="49">
        <f t="shared" si="6"/>
        <v>1659.94805946879</v>
      </c>
      <c r="Q130" s="49">
        <v>2536.0010579653654</v>
      </c>
    </row>
    <row r="131" spans="1:17" ht="35.25" x14ac:dyDescent="0.5">
      <c r="A131" s="1">
        <v>1</v>
      </c>
      <c r="B131" s="56">
        <v>37</v>
      </c>
      <c r="C131" s="57" t="s">
        <v>286</v>
      </c>
      <c r="D131" s="52">
        <v>1934</v>
      </c>
      <c r="E131" s="52"/>
      <c r="F131" s="53" t="s">
        <v>68</v>
      </c>
      <c r="G131" s="52">
        <v>2</v>
      </c>
      <c r="H131" s="52">
        <v>2</v>
      </c>
      <c r="I131" s="49">
        <v>464</v>
      </c>
      <c r="J131" s="49">
        <v>416.8</v>
      </c>
      <c r="K131" s="49">
        <v>104.80000000000001</v>
      </c>
      <c r="L131" s="54">
        <v>33</v>
      </c>
      <c r="M131" s="52" t="s">
        <v>47</v>
      </c>
      <c r="N131" s="52" t="s">
        <v>49</v>
      </c>
      <c r="O131" s="49">
        <v>46619.17</v>
      </c>
      <c r="P131" s="49">
        <f t="shared" si="6"/>
        <v>100.47234913793103</v>
      </c>
      <c r="Q131" s="49">
        <v>4490.9395258620689</v>
      </c>
    </row>
    <row r="132" spans="1:17" ht="35.25" x14ac:dyDescent="0.5">
      <c r="B132" s="109" t="s">
        <v>91</v>
      </c>
      <c r="C132" s="57"/>
      <c r="D132" s="52" t="s">
        <v>90</v>
      </c>
      <c r="E132" s="52" t="s">
        <v>90</v>
      </c>
      <c r="F132" s="53" t="s">
        <v>90</v>
      </c>
      <c r="G132" s="52" t="s">
        <v>90</v>
      </c>
      <c r="H132" s="52" t="s">
        <v>90</v>
      </c>
      <c r="I132" s="49">
        <f>SUM(I133:I158)</f>
        <v>53886.020000000004</v>
      </c>
      <c r="J132" s="49">
        <f>SUM(J133:J158)</f>
        <v>44025.96</v>
      </c>
      <c r="K132" s="49">
        <f>SUM(K133:K158)</f>
        <v>37797.509999999995</v>
      </c>
      <c r="L132" s="54">
        <f>SUM(L133:L158)</f>
        <v>1709</v>
      </c>
      <c r="M132" s="52" t="s">
        <v>131</v>
      </c>
      <c r="N132" s="55" t="s">
        <v>131</v>
      </c>
      <c r="O132" s="49">
        <v>9367918.0500000007</v>
      </c>
      <c r="P132" s="49">
        <f t="shared" si="6"/>
        <v>173.84690964372578</v>
      </c>
      <c r="Q132" s="49">
        <f>MAX(Q133:Q158)</f>
        <v>6561.0029422236603</v>
      </c>
    </row>
    <row r="133" spans="1:17" ht="35.25" x14ac:dyDescent="0.5">
      <c r="A133" s="1">
        <v>1</v>
      </c>
      <c r="B133" s="56">
        <v>38</v>
      </c>
      <c r="C133" s="57" t="s">
        <v>287</v>
      </c>
      <c r="D133" s="52">
        <v>1962</v>
      </c>
      <c r="E133" s="52"/>
      <c r="F133" s="53" t="s">
        <v>48</v>
      </c>
      <c r="G133" s="52">
        <v>5</v>
      </c>
      <c r="H133" s="52">
        <v>2</v>
      </c>
      <c r="I133" s="49">
        <v>1612.2</v>
      </c>
      <c r="J133" s="49">
        <v>1358.8</v>
      </c>
      <c r="K133" s="49">
        <v>1358.8</v>
      </c>
      <c r="L133" s="54">
        <v>53</v>
      </c>
      <c r="M133" s="52" t="s">
        <v>50</v>
      </c>
      <c r="N133" s="52" t="s">
        <v>361</v>
      </c>
      <c r="O133" s="49">
        <v>13066.1</v>
      </c>
      <c r="P133" s="49">
        <f t="shared" si="6"/>
        <v>8.104515568787992</v>
      </c>
      <c r="Q133" s="49">
        <v>795.31</v>
      </c>
    </row>
    <row r="134" spans="1:17" ht="35.25" x14ac:dyDescent="0.5">
      <c r="A134" s="1">
        <v>1</v>
      </c>
      <c r="B134" s="56">
        <v>39</v>
      </c>
      <c r="C134" s="57" t="s">
        <v>288</v>
      </c>
      <c r="D134" s="52">
        <v>1958</v>
      </c>
      <c r="E134" s="52"/>
      <c r="F134" s="53" t="s">
        <v>48</v>
      </c>
      <c r="G134" s="52">
        <v>4</v>
      </c>
      <c r="H134" s="52">
        <v>4</v>
      </c>
      <c r="I134" s="49">
        <v>5485.5</v>
      </c>
      <c r="J134" s="49">
        <v>4412.8</v>
      </c>
      <c r="K134" s="49">
        <v>3382.7</v>
      </c>
      <c r="L134" s="54">
        <v>96</v>
      </c>
      <c r="M134" s="52" t="s">
        <v>50</v>
      </c>
      <c r="N134" s="55" t="s">
        <v>243</v>
      </c>
      <c r="O134" s="49">
        <v>2190830</v>
      </c>
      <c r="P134" s="49">
        <f t="shared" si="6"/>
        <v>399.385653085407</v>
      </c>
      <c r="Q134" s="49">
        <v>1819.7531674414365</v>
      </c>
    </row>
    <row r="135" spans="1:17" ht="35.25" x14ac:dyDescent="0.5">
      <c r="A135" s="1">
        <v>1</v>
      </c>
      <c r="B135" s="56">
        <v>40</v>
      </c>
      <c r="C135" s="57" t="s">
        <v>289</v>
      </c>
      <c r="D135" s="52">
        <v>1929</v>
      </c>
      <c r="E135" s="52"/>
      <c r="F135" s="53" t="s">
        <v>48</v>
      </c>
      <c r="G135" s="52">
        <v>4</v>
      </c>
      <c r="H135" s="52">
        <v>5</v>
      </c>
      <c r="I135" s="49">
        <v>2469.13</v>
      </c>
      <c r="J135" s="49">
        <v>2349.9299999999998</v>
      </c>
      <c r="K135" s="49">
        <v>2349.9299999999998</v>
      </c>
      <c r="L135" s="54">
        <v>95</v>
      </c>
      <c r="M135" s="52" t="s">
        <v>50</v>
      </c>
      <c r="N135" s="55" t="s">
        <v>362</v>
      </c>
      <c r="O135" s="49">
        <v>485978.33</v>
      </c>
      <c r="P135" s="49">
        <f t="shared" si="6"/>
        <v>196.82168618096253</v>
      </c>
      <c r="Q135" s="49">
        <v>2084.2774907761031</v>
      </c>
    </row>
    <row r="136" spans="1:17" ht="35.25" x14ac:dyDescent="0.5">
      <c r="A136" s="1">
        <v>1</v>
      </c>
      <c r="B136" s="56">
        <v>41</v>
      </c>
      <c r="C136" s="57" t="s">
        <v>290</v>
      </c>
      <c r="D136" s="52">
        <v>1961</v>
      </c>
      <c r="E136" s="52"/>
      <c r="F136" s="53" t="s">
        <v>48</v>
      </c>
      <c r="G136" s="52">
        <v>4</v>
      </c>
      <c r="H136" s="52">
        <v>2</v>
      </c>
      <c r="I136" s="49">
        <v>1371.7</v>
      </c>
      <c r="J136" s="49">
        <v>1268.5999999999999</v>
      </c>
      <c r="K136" s="49">
        <v>1268.5999999999999</v>
      </c>
      <c r="L136" s="54">
        <v>55</v>
      </c>
      <c r="M136" s="52" t="s">
        <v>50</v>
      </c>
      <c r="N136" s="55" t="s">
        <v>363</v>
      </c>
      <c r="O136" s="49">
        <v>450455.92</v>
      </c>
      <c r="P136" s="49">
        <f t="shared" si="6"/>
        <v>328.39244732813296</v>
      </c>
      <c r="Q136" s="49">
        <v>2172.2704789677045</v>
      </c>
    </row>
    <row r="137" spans="1:17" ht="35.25" x14ac:dyDescent="0.5">
      <c r="A137" s="1">
        <v>1</v>
      </c>
      <c r="B137" s="56">
        <v>42</v>
      </c>
      <c r="C137" s="57" t="s">
        <v>291</v>
      </c>
      <c r="D137" s="52">
        <v>1959</v>
      </c>
      <c r="E137" s="52"/>
      <c r="F137" s="53" t="s">
        <v>48</v>
      </c>
      <c r="G137" s="52">
        <v>4</v>
      </c>
      <c r="H137" s="52">
        <v>3</v>
      </c>
      <c r="I137" s="49">
        <v>2155.1999999999998</v>
      </c>
      <c r="J137" s="49">
        <v>1435.2</v>
      </c>
      <c r="K137" s="49">
        <v>1184.7</v>
      </c>
      <c r="L137" s="54">
        <v>62</v>
      </c>
      <c r="M137" s="52" t="s">
        <v>50</v>
      </c>
      <c r="N137" s="55" t="s">
        <v>364</v>
      </c>
      <c r="O137" s="49">
        <v>428766.45</v>
      </c>
      <c r="P137" s="49">
        <f t="shared" si="6"/>
        <v>198.94508630289533</v>
      </c>
      <c r="Q137" s="49">
        <v>1249.9820610616184</v>
      </c>
    </row>
    <row r="138" spans="1:17" ht="35.25" x14ac:dyDescent="0.5">
      <c r="A138" s="1">
        <v>1</v>
      </c>
      <c r="B138" s="56">
        <v>43</v>
      </c>
      <c r="C138" s="57" t="s">
        <v>292</v>
      </c>
      <c r="D138" s="52">
        <v>1959</v>
      </c>
      <c r="E138" s="52"/>
      <c r="F138" s="53" t="s">
        <v>48</v>
      </c>
      <c r="G138" s="52">
        <v>4</v>
      </c>
      <c r="H138" s="52">
        <v>3</v>
      </c>
      <c r="I138" s="49">
        <v>3647.3</v>
      </c>
      <c r="J138" s="49">
        <v>2675.1</v>
      </c>
      <c r="K138" s="49">
        <v>2194.3000000000002</v>
      </c>
      <c r="L138" s="54">
        <v>61</v>
      </c>
      <c r="M138" s="52" t="s">
        <v>50</v>
      </c>
      <c r="N138" s="55" t="s">
        <v>365</v>
      </c>
      <c r="O138" s="49">
        <v>1170243.6200000001</v>
      </c>
      <c r="P138" s="49">
        <f t="shared" si="6"/>
        <v>320.85203301072028</v>
      </c>
      <c r="Q138" s="49">
        <v>1898.7168864639596</v>
      </c>
    </row>
    <row r="139" spans="1:17" ht="35.25" x14ac:dyDescent="0.5">
      <c r="A139" s="1">
        <v>1</v>
      </c>
      <c r="B139" s="56">
        <v>44</v>
      </c>
      <c r="C139" s="57" t="s">
        <v>293</v>
      </c>
      <c r="D139" s="52">
        <v>1973</v>
      </c>
      <c r="E139" s="52"/>
      <c r="F139" s="53" t="s">
        <v>48</v>
      </c>
      <c r="G139" s="52">
        <v>5</v>
      </c>
      <c r="H139" s="52">
        <v>6</v>
      </c>
      <c r="I139" s="49">
        <v>4358.8999999999996</v>
      </c>
      <c r="J139" s="49">
        <v>3381.5</v>
      </c>
      <c r="K139" s="49">
        <v>2777</v>
      </c>
      <c r="L139" s="54">
        <v>177</v>
      </c>
      <c r="M139" s="52" t="s">
        <v>50</v>
      </c>
      <c r="N139" s="55" t="s">
        <v>252</v>
      </c>
      <c r="O139" s="49">
        <v>82236.160000000003</v>
      </c>
      <c r="P139" s="49">
        <f t="shared" si="6"/>
        <v>18.866264424510774</v>
      </c>
      <c r="Q139" s="49">
        <v>2270.3340388630158</v>
      </c>
    </row>
    <row r="140" spans="1:17" ht="35.25" x14ac:dyDescent="0.5">
      <c r="A140" s="1">
        <v>1</v>
      </c>
      <c r="B140" s="56">
        <v>45</v>
      </c>
      <c r="C140" s="57" t="s">
        <v>294</v>
      </c>
      <c r="D140" s="52">
        <v>1956</v>
      </c>
      <c r="E140" s="52"/>
      <c r="F140" s="53" t="s">
        <v>48</v>
      </c>
      <c r="G140" s="52">
        <v>4</v>
      </c>
      <c r="H140" s="52">
        <v>3</v>
      </c>
      <c r="I140" s="49">
        <v>4032.8</v>
      </c>
      <c r="J140" s="49">
        <v>3036.64</v>
      </c>
      <c r="K140" s="49">
        <v>2440.14</v>
      </c>
      <c r="L140" s="54">
        <v>93</v>
      </c>
      <c r="M140" s="52" t="s">
        <v>50</v>
      </c>
      <c r="N140" s="55" t="s">
        <v>365</v>
      </c>
      <c r="O140" s="49">
        <v>253750</v>
      </c>
      <c r="P140" s="49">
        <f t="shared" si="6"/>
        <v>62.921543344574488</v>
      </c>
      <c r="Q140" s="49">
        <v>795.31</v>
      </c>
    </row>
    <row r="141" spans="1:17" ht="35.25" x14ac:dyDescent="0.5">
      <c r="A141" s="1">
        <v>1</v>
      </c>
      <c r="B141" s="56">
        <v>46</v>
      </c>
      <c r="C141" s="57" t="s">
        <v>295</v>
      </c>
      <c r="D141" s="52">
        <v>1953</v>
      </c>
      <c r="E141" s="52"/>
      <c r="F141" s="53" t="s">
        <v>48</v>
      </c>
      <c r="G141" s="52">
        <v>2</v>
      </c>
      <c r="H141" s="52">
        <v>1</v>
      </c>
      <c r="I141" s="49">
        <v>617.9</v>
      </c>
      <c r="J141" s="49">
        <v>408.9</v>
      </c>
      <c r="K141" s="49">
        <v>408.9</v>
      </c>
      <c r="L141" s="54">
        <v>21</v>
      </c>
      <c r="M141" s="52" t="s">
        <v>47</v>
      </c>
      <c r="N141" s="55" t="s">
        <v>49</v>
      </c>
      <c r="O141" s="49">
        <v>23581.1</v>
      </c>
      <c r="P141" s="49">
        <f t="shared" si="6"/>
        <v>38.163295031558505</v>
      </c>
      <c r="Q141" s="49">
        <v>6561.0029422236603</v>
      </c>
    </row>
    <row r="142" spans="1:17" ht="35.25" x14ac:dyDescent="0.5">
      <c r="A142" s="1">
        <v>1</v>
      </c>
      <c r="B142" s="56">
        <v>47</v>
      </c>
      <c r="C142" s="57" t="s">
        <v>296</v>
      </c>
      <c r="D142" s="52">
        <v>1937</v>
      </c>
      <c r="E142" s="52"/>
      <c r="F142" s="53" t="s">
        <v>48</v>
      </c>
      <c r="G142" s="52">
        <v>4</v>
      </c>
      <c r="H142" s="52">
        <v>6</v>
      </c>
      <c r="I142" s="49">
        <v>2381.6999999999998</v>
      </c>
      <c r="J142" s="49">
        <v>2256.8000000000002</v>
      </c>
      <c r="K142" s="49">
        <v>2256.8000000000002</v>
      </c>
      <c r="L142" s="54">
        <v>155</v>
      </c>
      <c r="M142" s="52" t="s">
        <v>50</v>
      </c>
      <c r="N142" s="55" t="s">
        <v>389</v>
      </c>
      <c r="O142" s="49">
        <v>1177488.75</v>
      </c>
      <c r="P142" s="49">
        <f t="shared" si="6"/>
        <v>494.39003652853006</v>
      </c>
      <c r="Q142" s="49">
        <v>3313.6923835915522</v>
      </c>
    </row>
    <row r="143" spans="1:17" ht="35.25" x14ac:dyDescent="0.5">
      <c r="A143" s="1">
        <v>1</v>
      </c>
      <c r="B143" s="56">
        <v>48</v>
      </c>
      <c r="C143" s="57" t="s">
        <v>297</v>
      </c>
      <c r="D143" s="52">
        <v>1955</v>
      </c>
      <c r="E143" s="52"/>
      <c r="F143" s="53" t="s">
        <v>48</v>
      </c>
      <c r="G143" s="52">
        <v>3</v>
      </c>
      <c r="H143" s="52">
        <v>3</v>
      </c>
      <c r="I143" s="49">
        <v>1854.6</v>
      </c>
      <c r="J143" s="49">
        <v>1281.7</v>
      </c>
      <c r="K143" s="49">
        <v>834.3</v>
      </c>
      <c r="L143" s="54">
        <v>34</v>
      </c>
      <c r="M143" s="52" t="s">
        <v>50</v>
      </c>
      <c r="N143" s="55" t="s">
        <v>390</v>
      </c>
      <c r="O143" s="49">
        <v>186610.06</v>
      </c>
      <c r="P143" s="49">
        <f t="shared" si="6"/>
        <v>100.62011215356411</v>
      </c>
      <c r="Q143" s="49">
        <v>3922.4463819691578</v>
      </c>
    </row>
    <row r="144" spans="1:17" ht="35.25" x14ac:dyDescent="0.5">
      <c r="A144" s="1">
        <v>1</v>
      </c>
      <c r="B144" s="56">
        <v>49</v>
      </c>
      <c r="C144" s="57" t="s">
        <v>298</v>
      </c>
      <c r="D144" s="52">
        <v>1929</v>
      </c>
      <c r="E144" s="52"/>
      <c r="F144" s="53" t="s">
        <v>48</v>
      </c>
      <c r="G144" s="52">
        <v>3</v>
      </c>
      <c r="H144" s="52">
        <v>5</v>
      </c>
      <c r="I144" s="49">
        <v>2240.83</v>
      </c>
      <c r="J144" s="49">
        <v>1864.33</v>
      </c>
      <c r="K144" s="49">
        <v>1864.33</v>
      </c>
      <c r="L144" s="54">
        <v>90</v>
      </c>
      <c r="M144" s="52" t="s">
        <v>50</v>
      </c>
      <c r="N144" s="55" t="s">
        <v>243</v>
      </c>
      <c r="O144" s="49">
        <v>69345.69</v>
      </c>
      <c r="P144" s="49">
        <f t="shared" si="6"/>
        <v>30.946430563675069</v>
      </c>
      <c r="Q144" s="49">
        <v>679.05177144183199</v>
      </c>
    </row>
    <row r="145" spans="1:17" ht="35.25" x14ac:dyDescent="0.5">
      <c r="A145" s="1">
        <v>1</v>
      </c>
      <c r="B145" s="56">
        <v>50</v>
      </c>
      <c r="C145" s="57" t="s">
        <v>299</v>
      </c>
      <c r="D145" s="52">
        <v>1959</v>
      </c>
      <c r="E145" s="52"/>
      <c r="F145" s="53" t="s">
        <v>48</v>
      </c>
      <c r="G145" s="52">
        <v>2</v>
      </c>
      <c r="H145" s="52">
        <v>1</v>
      </c>
      <c r="I145" s="49">
        <v>367.5</v>
      </c>
      <c r="J145" s="49">
        <v>251</v>
      </c>
      <c r="K145" s="49">
        <v>251</v>
      </c>
      <c r="L145" s="54">
        <v>14</v>
      </c>
      <c r="M145" s="52" t="s">
        <v>50</v>
      </c>
      <c r="N145" s="55" t="s">
        <v>168</v>
      </c>
      <c r="O145" s="49">
        <v>49508.61</v>
      </c>
      <c r="P145" s="49">
        <f t="shared" si="6"/>
        <v>134.71730612244897</v>
      </c>
      <c r="Q145" s="49">
        <v>4828.1523918367338</v>
      </c>
    </row>
    <row r="146" spans="1:17" ht="35.25" x14ac:dyDescent="0.5">
      <c r="A146" s="1">
        <v>1</v>
      </c>
      <c r="B146" s="56">
        <v>51</v>
      </c>
      <c r="C146" s="57" t="s">
        <v>300</v>
      </c>
      <c r="D146" s="52">
        <v>1934</v>
      </c>
      <c r="E146" s="52"/>
      <c r="F146" s="53" t="s">
        <v>48</v>
      </c>
      <c r="G146" s="52">
        <v>3</v>
      </c>
      <c r="H146" s="52">
        <v>7</v>
      </c>
      <c r="I146" s="49">
        <v>2922</v>
      </c>
      <c r="J146" s="49">
        <v>2656.4</v>
      </c>
      <c r="K146" s="49">
        <v>2656.4</v>
      </c>
      <c r="L146" s="54">
        <v>95</v>
      </c>
      <c r="M146" s="52" t="s">
        <v>50</v>
      </c>
      <c r="N146" s="55" t="s">
        <v>168</v>
      </c>
      <c r="O146" s="49">
        <v>194179.65</v>
      </c>
      <c r="P146" s="49">
        <f t="shared" si="6"/>
        <v>66.454363449691996</v>
      </c>
      <c r="Q146" s="49">
        <v>3285.9967453798768</v>
      </c>
    </row>
    <row r="147" spans="1:17" ht="35.25" x14ac:dyDescent="0.5">
      <c r="A147" s="1">
        <v>1</v>
      </c>
      <c r="B147" s="56">
        <v>52</v>
      </c>
      <c r="C147" s="57" t="s">
        <v>301</v>
      </c>
      <c r="D147" s="52">
        <v>1934</v>
      </c>
      <c r="E147" s="52"/>
      <c r="F147" s="53" t="s">
        <v>48</v>
      </c>
      <c r="G147" s="52">
        <v>3</v>
      </c>
      <c r="H147" s="52">
        <v>5</v>
      </c>
      <c r="I147" s="49">
        <v>1040.8</v>
      </c>
      <c r="J147" s="49">
        <v>878</v>
      </c>
      <c r="K147" s="49">
        <v>878</v>
      </c>
      <c r="L147" s="54">
        <v>58</v>
      </c>
      <c r="M147" s="52" t="s">
        <v>47</v>
      </c>
      <c r="N147" s="55" t="s">
        <v>49</v>
      </c>
      <c r="O147" s="49">
        <v>874380.28</v>
      </c>
      <c r="P147" s="49">
        <f t="shared" si="6"/>
        <v>840.10403535741739</v>
      </c>
      <c r="Q147" s="49">
        <v>4483.7669869331285</v>
      </c>
    </row>
    <row r="148" spans="1:17" ht="35.25" x14ac:dyDescent="0.5">
      <c r="A148" s="1">
        <v>1</v>
      </c>
      <c r="B148" s="56">
        <v>53</v>
      </c>
      <c r="C148" s="57" t="s">
        <v>302</v>
      </c>
      <c r="D148" s="52">
        <v>1928</v>
      </c>
      <c r="E148" s="52"/>
      <c r="F148" s="53" t="s">
        <v>68</v>
      </c>
      <c r="G148" s="52">
        <v>2</v>
      </c>
      <c r="H148" s="52">
        <v>1</v>
      </c>
      <c r="I148" s="49">
        <v>286.10000000000002</v>
      </c>
      <c r="J148" s="49">
        <v>205.8</v>
      </c>
      <c r="K148" s="49">
        <v>205.8</v>
      </c>
      <c r="L148" s="54">
        <v>16</v>
      </c>
      <c r="M148" s="52" t="s">
        <v>47</v>
      </c>
      <c r="N148" s="55" t="s">
        <v>49</v>
      </c>
      <c r="O148" s="49">
        <v>37308.06</v>
      </c>
      <c r="P148" s="49">
        <f t="shared" si="6"/>
        <v>130.40216707444947</v>
      </c>
      <c r="Q148" s="49">
        <v>2420.2238378189445</v>
      </c>
    </row>
    <row r="149" spans="1:17" ht="35.25" x14ac:dyDescent="0.5">
      <c r="A149" s="1">
        <v>1</v>
      </c>
      <c r="B149" s="56">
        <v>54</v>
      </c>
      <c r="C149" s="57" t="s">
        <v>303</v>
      </c>
      <c r="D149" s="52">
        <v>1958</v>
      </c>
      <c r="E149" s="52"/>
      <c r="F149" s="53" t="s">
        <v>48</v>
      </c>
      <c r="G149" s="52">
        <v>2</v>
      </c>
      <c r="H149" s="52">
        <v>1</v>
      </c>
      <c r="I149" s="49">
        <v>417.2</v>
      </c>
      <c r="J149" s="49">
        <v>385.8</v>
      </c>
      <c r="K149" s="49">
        <v>385.8</v>
      </c>
      <c r="L149" s="54">
        <v>20</v>
      </c>
      <c r="M149" s="52" t="s">
        <v>47</v>
      </c>
      <c r="N149" s="55" t="s">
        <v>49</v>
      </c>
      <c r="O149" s="49">
        <v>41021.47</v>
      </c>
      <c r="P149" s="49">
        <f t="shared" si="6"/>
        <v>98.325671140939605</v>
      </c>
      <c r="Q149" s="49">
        <v>4331.6459026845641</v>
      </c>
    </row>
    <row r="150" spans="1:17" ht="35.25" x14ac:dyDescent="0.5">
      <c r="A150" s="1">
        <v>1</v>
      </c>
      <c r="B150" s="56">
        <v>55</v>
      </c>
      <c r="C150" s="57" t="s">
        <v>304</v>
      </c>
      <c r="D150" s="52">
        <v>1958</v>
      </c>
      <c r="E150" s="52"/>
      <c r="F150" s="53" t="s">
        <v>48</v>
      </c>
      <c r="G150" s="52">
        <v>4</v>
      </c>
      <c r="H150" s="52">
        <v>5</v>
      </c>
      <c r="I150" s="49">
        <v>3533.4</v>
      </c>
      <c r="J150" s="49">
        <v>3254</v>
      </c>
      <c r="K150" s="49">
        <v>3254</v>
      </c>
      <c r="L150" s="54">
        <v>98</v>
      </c>
      <c r="M150" s="52" t="s">
        <v>50</v>
      </c>
      <c r="N150" s="55" t="s">
        <v>252</v>
      </c>
      <c r="O150" s="49">
        <v>504846.64999999997</v>
      </c>
      <c r="P150" s="49">
        <f t="shared" si="6"/>
        <v>142.87843153902756</v>
      </c>
      <c r="Q150" s="49">
        <v>4678.3697220807153</v>
      </c>
    </row>
    <row r="151" spans="1:17" ht="35.25" x14ac:dyDescent="0.5">
      <c r="A151" s="1">
        <v>1</v>
      </c>
      <c r="B151" s="56">
        <v>56</v>
      </c>
      <c r="C151" s="57" t="s">
        <v>347</v>
      </c>
      <c r="D151" s="52">
        <v>1958</v>
      </c>
      <c r="E151" s="52"/>
      <c r="F151" s="53" t="s">
        <v>48</v>
      </c>
      <c r="G151" s="52">
        <v>4</v>
      </c>
      <c r="H151" s="52">
        <v>4</v>
      </c>
      <c r="I151" s="49">
        <v>3399.9</v>
      </c>
      <c r="J151" s="49">
        <v>2625.8</v>
      </c>
      <c r="K151" s="49">
        <v>2062.6999999999998</v>
      </c>
      <c r="L151" s="54">
        <v>68</v>
      </c>
      <c r="M151" s="52" t="s">
        <v>50</v>
      </c>
      <c r="N151" s="55" t="s">
        <v>381</v>
      </c>
      <c r="O151" s="49">
        <v>42749.45</v>
      </c>
      <c r="P151" s="49">
        <f t="shared" si="6"/>
        <v>12.573737462866553</v>
      </c>
      <c r="Q151" s="49">
        <v>2709.4125591929173</v>
      </c>
    </row>
    <row r="152" spans="1:17" ht="35.25" x14ac:dyDescent="0.5">
      <c r="A152" s="1">
        <v>1</v>
      </c>
      <c r="B152" s="56">
        <v>57</v>
      </c>
      <c r="C152" s="57" t="s">
        <v>348</v>
      </c>
      <c r="D152" s="52">
        <v>1942</v>
      </c>
      <c r="E152" s="52"/>
      <c r="F152" s="53" t="s">
        <v>68</v>
      </c>
      <c r="G152" s="52">
        <v>2</v>
      </c>
      <c r="H152" s="52">
        <v>2</v>
      </c>
      <c r="I152" s="49">
        <v>489</v>
      </c>
      <c r="J152" s="49">
        <v>431</v>
      </c>
      <c r="K152" s="49">
        <v>431</v>
      </c>
      <c r="L152" s="54">
        <v>39</v>
      </c>
      <c r="M152" s="52" t="s">
        <v>47</v>
      </c>
      <c r="N152" s="55" t="s">
        <v>49</v>
      </c>
      <c r="O152" s="49">
        <v>81763.55</v>
      </c>
      <c r="P152" s="49">
        <f t="shared" ref="P152:P217" si="13">O152/I152</f>
        <v>167.20562372188141</v>
      </c>
      <c r="Q152" s="49">
        <v>4490.9945194274023</v>
      </c>
    </row>
    <row r="153" spans="1:17" ht="35.25" x14ac:dyDescent="0.5">
      <c r="A153" s="1">
        <v>1</v>
      </c>
      <c r="B153" s="56">
        <v>58</v>
      </c>
      <c r="C153" s="57" t="s">
        <v>349</v>
      </c>
      <c r="D153" s="52">
        <v>1931</v>
      </c>
      <c r="E153" s="52"/>
      <c r="F153" s="53" t="s">
        <v>48</v>
      </c>
      <c r="G153" s="52">
        <v>3</v>
      </c>
      <c r="H153" s="52">
        <v>5</v>
      </c>
      <c r="I153" s="49">
        <v>1823.46</v>
      </c>
      <c r="J153" s="49">
        <v>1514.06</v>
      </c>
      <c r="K153" s="49">
        <v>1514.06</v>
      </c>
      <c r="L153" s="54">
        <v>60</v>
      </c>
      <c r="M153" s="52" t="s">
        <v>50</v>
      </c>
      <c r="N153" s="55" t="s">
        <v>252</v>
      </c>
      <c r="O153" s="49">
        <v>7245.74</v>
      </c>
      <c r="P153" s="49">
        <f t="shared" si="13"/>
        <v>3.9736215765632368</v>
      </c>
      <c r="Q153" s="49">
        <v>3113.5358603972663</v>
      </c>
    </row>
    <row r="154" spans="1:17" ht="35.25" x14ac:dyDescent="0.5">
      <c r="A154" s="1">
        <v>1</v>
      </c>
      <c r="B154" s="56">
        <v>59</v>
      </c>
      <c r="C154" s="57" t="s">
        <v>392</v>
      </c>
      <c r="D154" s="52">
        <v>1984</v>
      </c>
      <c r="E154" s="52"/>
      <c r="F154" s="53" t="s">
        <v>60</v>
      </c>
      <c r="G154" s="52">
        <v>5</v>
      </c>
      <c r="H154" s="52">
        <v>5</v>
      </c>
      <c r="I154" s="49">
        <v>4724.5</v>
      </c>
      <c r="J154" s="49">
        <v>4003.6</v>
      </c>
      <c r="K154" s="49">
        <v>1759.6</v>
      </c>
      <c r="L154" s="54">
        <v>146</v>
      </c>
      <c r="M154" s="52" t="s">
        <v>50</v>
      </c>
      <c r="N154" s="55" t="s">
        <v>362</v>
      </c>
      <c r="O154" s="49">
        <v>16859.560000000001</v>
      </c>
      <c r="P154" s="49">
        <f t="shared" si="13"/>
        <v>3.5685384696793316</v>
      </c>
      <c r="Q154" s="49">
        <v>1188.4895756164674</v>
      </c>
    </row>
    <row r="155" spans="1:17" ht="35.25" x14ac:dyDescent="0.5">
      <c r="B155" s="56">
        <v>60</v>
      </c>
      <c r="C155" s="57" t="s">
        <v>559</v>
      </c>
      <c r="D155" s="52">
        <v>1959</v>
      </c>
      <c r="E155" s="52"/>
      <c r="F155" s="53" t="s">
        <v>48</v>
      </c>
      <c r="G155" s="52">
        <v>2</v>
      </c>
      <c r="H155" s="52">
        <v>1</v>
      </c>
      <c r="I155" s="49">
        <v>416.5</v>
      </c>
      <c r="J155" s="49">
        <v>259.3</v>
      </c>
      <c r="K155" s="49">
        <v>259.3</v>
      </c>
      <c r="L155" s="54">
        <v>14</v>
      </c>
      <c r="M155" s="58" t="s">
        <v>50</v>
      </c>
      <c r="N155" s="55" t="s">
        <v>571</v>
      </c>
      <c r="O155" s="49">
        <v>27161.4</v>
      </c>
      <c r="P155" s="49">
        <f t="shared" si="13"/>
        <v>65.213445378151263</v>
      </c>
      <c r="Q155" s="49">
        <v>5176.8722593037219</v>
      </c>
    </row>
    <row r="156" spans="1:17" ht="35.25" x14ac:dyDescent="0.5">
      <c r="B156" s="56">
        <v>61</v>
      </c>
      <c r="C156" s="57" t="s">
        <v>560</v>
      </c>
      <c r="D156" s="52">
        <v>1959</v>
      </c>
      <c r="E156" s="52"/>
      <c r="F156" s="53" t="s">
        <v>48</v>
      </c>
      <c r="G156" s="52">
        <v>3</v>
      </c>
      <c r="H156" s="52">
        <v>2</v>
      </c>
      <c r="I156" s="49">
        <v>1142</v>
      </c>
      <c r="J156" s="49">
        <v>934</v>
      </c>
      <c r="K156" s="49">
        <v>922.45</v>
      </c>
      <c r="L156" s="54">
        <v>42</v>
      </c>
      <c r="M156" s="58" t="s">
        <v>50</v>
      </c>
      <c r="N156" s="55" t="s">
        <v>572</v>
      </c>
      <c r="O156" s="49">
        <v>843836.3</v>
      </c>
      <c r="P156" s="49">
        <f t="shared" si="13"/>
        <v>738.91094570928203</v>
      </c>
      <c r="Q156" s="49">
        <v>3113.9918563922938</v>
      </c>
    </row>
    <row r="157" spans="1:17" ht="35.25" x14ac:dyDescent="0.5">
      <c r="B157" s="56">
        <v>62</v>
      </c>
      <c r="C157" s="57" t="s">
        <v>561</v>
      </c>
      <c r="D157" s="52" t="s">
        <v>77</v>
      </c>
      <c r="E157" s="52"/>
      <c r="F157" s="53" t="s">
        <v>68</v>
      </c>
      <c r="G157" s="52">
        <v>2</v>
      </c>
      <c r="H157" s="52">
        <v>2</v>
      </c>
      <c r="I157" s="49">
        <v>485</v>
      </c>
      <c r="J157" s="49">
        <v>329.7</v>
      </c>
      <c r="K157" s="49">
        <v>329.7</v>
      </c>
      <c r="L157" s="54">
        <v>21</v>
      </c>
      <c r="M157" s="58" t="s">
        <v>50</v>
      </c>
      <c r="N157" s="55" t="s">
        <v>94</v>
      </c>
      <c r="O157" s="49">
        <v>92522.930000000008</v>
      </c>
      <c r="P157" s="49">
        <f t="shared" si="13"/>
        <v>190.76892783505156</v>
      </c>
      <c r="Q157" s="49">
        <v>5467.0860824742267</v>
      </c>
    </row>
    <row r="158" spans="1:17" ht="35.25" x14ac:dyDescent="0.5">
      <c r="B158" s="56">
        <v>63</v>
      </c>
      <c r="C158" s="57" t="s">
        <v>562</v>
      </c>
      <c r="D158" s="52" t="s">
        <v>58</v>
      </c>
      <c r="E158" s="52"/>
      <c r="F158" s="53" t="s">
        <v>48</v>
      </c>
      <c r="G158" s="52">
        <v>2</v>
      </c>
      <c r="H158" s="52">
        <v>2</v>
      </c>
      <c r="I158" s="49">
        <v>610.9</v>
      </c>
      <c r="J158" s="49">
        <v>567.20000000000005</v>
      </c>
      <c r="K158" s="49">
        <v>567.20000000000005</v>
      </c>
      <c r="L158" s="54">
        <v>26</v>
      </c>
      <c r="M158" s="58" t="s">
        <v>50</v>
      </c>
      <c r="N158" s="55" t="s">
        <v>571</v>
      </c>
      <c r="O158" s="49">
        <v>22182.22</v>
      </c>
      <c r="P158" s="49">
        <f t="shared" si="13"/>
        <v>36.310721885742353</v>
      </c>
      <c r="Q158" s="49">
        <v>5422.9189883778035</v>
      </c>
    </row>
    <row r="159" spans="1:17" ht="35.25" x14ac:dyDescent="0.5">
      <c r="B159" s="109" t="s">
        <v>258</v>
      </c>
      <c r="C159" s="57"/>
      <c r="D159" s="52" t="s">
        <v>90</v>
      </c>
      <c r="E159" s="52" t="s">
        <v>90</v>
      </c>
      <c r="F159" s="53" t="s">
        <v>90</v>
      </c>
      <c r="G159" s="52" t="s">
        <v>90</v>
      </c>
      <c r="H159" s="52" t="s">
        <v>90</v>
      </c>
      <c r="I159" s="49">
        <f>SUM(I160:I174)</f>
        <v>47621.47</v>
      </c>
      <c r="J159" s="49">
        <f t="shared" ref="J159:L159" si="14">SUM(J160:J174)</f>
        <v>44795.68</v>
      </c>
      <c r="K159" s="49">
        <f t="shared" si="14"/>
        <v>40469.659999999996</v>
      </c>
      <c r="L159" s="54">
        <f t="shared" si="14"/>
        <v>2263</v>
      </c>
      <c r="M159" s="52" t="s">
        <v>131</v>
      </c>
      <c r="N159" s="55" t="s">
        <v>131</v>
      </c>
      <c r="O159" s="49">
        <v>5316085.62</v>
      </c>
      <c r="P159" s="49">
        <f t="shared" si="13"/>
        <v>111.63211929409151</v>
      </c>
      <c r="Q159" s="49">
        <f>MAX(Q160:Q174)</f>
        <v>6614.7607031531634</v>
      </c>
    </row>
    <row r="160" spans="1:17" ht="35.25" x14ac:dyDescent="0.5">
      <c r="A160" s="1">
        <v>1</v>
      </c>
      <c r="B160" s="56">
        <f>B158+1</f>
        <v>64</v>
      </c>
      <c r="C160" s="57" t="s">
        <v>305</v>
      </c>
      <c r="D160" s="52">
        <v>1968</v>
      </c>
      <c r="E160" s="52"/>
      <c r="F160" s="53" t="s">
        <v>48</v>
      </c>
      <c r="G160" s="52">
        <v>6</v>
      </c>
      <c r="H160" s="52">
        <v>8</v>
      </c>
      <c r="I160" s="49">
        <v>6064</v>
      </c>
      <c r="J160" s="49">
        <v>5971</v>
      </c>
      <c r="K160" s="49">
        <v>5128.3999999999996</v>
      </c>
      <c r="L160" s="54">
        <v>268</v>
      </c>
      <c r="M160" s="52" t="s">
        <v>71</v>
      </c>
      <c r="N160" s="55" t="s">
        <v>366</v>
      </c>
      <c r="O160" s="49">
        <v>1768733.14</v>
      </c>
      <c r="P160" s="49">
        <f t="shared" si="13"/>
        <v>291.67762862796832</v>
      </c>
      <c r="Q160" s="49">
        <v>2097.8129106200527</v>
      </c>
    </row>
    <row r="161" spans="1:17" ht="35.25" x14ac:dyDescent="0.5">
      <c r="A161" s="1">
        <v>1</v>
      </c>
      <c r="B161" s="56">
        <f t="shared" ref="B161:B174" si="15">B160+1</f>
        <v>65</v>
      </c>
      <c r="C161" s="57" t="s">
        <v>306</v>
      </c>
      <c r="D161" s="52">
        <v>1983</v>
      </c>
      <c r="E161" s="52"/>
      <c r="F161" s="53" t="s">
        <v>48</v>
      </c>
      <c r="G161" s="52">
        <v>5</v>
      </c>
      <c r="H161" s="52">
        <v>6</v>
      </c>
      <c r="I161" s="49">
        <v>4247.2</v>
      </c>
      <c r="J161" s="49">
        <v>3821.7</v>
      </c>
      <c r="K161" s="49">
        <v>3620.8</v>
      </c>
      <c r="L161" s="54">
        <v>176</v>
      </c>
      <c r="M161" s="52" t="s">
        <v>50</v>
      </c>
      <c r="N161" s="55" t="s">
        <v>367</v>
      </c>
      <c r="O161" s="49">
        <v>224063.98</v>
      </c>
      <c r="P161" s="49">
        <f t="shared" si="13"/>
        <v>52.755693162554159</v>
      </c>
      <c r="Q161" s="49">
        <v>1667.2543911282728</v>
      </c>
    </row>
    <row r="162" spans="1:17" ht="35.25" x14ac:dyDescent="0.5">
      <c r="A162" s="1">
        <v>1</v>
      </c>
      <c r="B162" s="56">
        <f t="shared" si="15"/>
        <v>66</v>
      </c>
      <c r="C162" s="57" t="s">
        <v>307</v>
      </c>
      <c r="D162" s="52">
        <v>1973</v>
      </c>
      <c r="E162" s="52"/>
      <c r="F162" s="53" t="s">
        <v>48</v>
      </c>
      <c r="G162" s="52">
        <v>5</v>
      </c>
      <c r="H162" s="52">
        <v>8</v>
      </c>
      <c r="I162" s="49">
        <v>6143</v>
      </c>
      <c r="J162" s="49">
        <v>6075.43</v>
      </c>
      <c r="K162" s="49">
        <v>5422.03</v>
      </c>
      <c r="L162" s="54">
        <v>275</v>
      </c>
      <c r="M162" s="52" t="s">
        <v>50</v>
      </c>
      <c r="N162" s="55" t="s">
        <v>368</v>
      </c>
      <c r="O162" s="49">
        <v>31696.09</v>
      </c>
      <c r="P162" s="49">
        <f t="shared" si="13"/>
        <v>5.1597086114276411</v>
      </c>
      <c r="Q162" s="49">
        <v>1873.8057870747191</v>
      </c>
    </row>
    <row r="163" spans="1:17" ht="35.25" x14ac:dyDescent="0.5">
      <c r="A163" s="1">
        <v>1</v>
      </c>
      <c r="B163" s="56">
        <f t="shared" si="15"/>
        <v>67</v>
      </c>
      <c r="C163" s="57" t="s">
        <v>308</v>
      </c>
      <c r="D163" s="52">
        <v>1961</v>
      </c>
      <c r="E163" s="52"/>
      <c r="F163" s="53" t="s">
        <v>48</v>
      </c>
      <c r="G163" s="52">
        <v>4</v>
      </c>
      <c r="H163" s="52">
        <v>3</v>
      </c>
      <c r="I163" s="49">
        <v>2176</v>
      </c>
      <c r="J163" s="49">
        <v>2029.3</v>
      </c>
      <c r="K163" s="49">
        <v>1988.8</v>
      </c>
      <c r="L163" s="54">
        <v>89</v>
      </c>
      <c r="M163" s="52" t="s">
        <v>50</v>
      </c>
      <c r="N163" s="55" t="s">
        <v>242</v>
      </c>
      <c r="O163" s="49">
        <v>97154.82</v>
      </c>
      <c r="P163" s="49">
        <f t="shared" si="13"/>
        <v>44.648354779411768</v>
      </c>
      <c r="Q163" s="49">
        <v>2110.2195588235295</v>
      </c>
    </row>
    <row r="164" spans="1:17" ht="35.25" x14ac:dyDescent="0.5">
      <c r="A164" s="1">
        <v>1</v>
      </c>
      <c r="B164" s="56">
        <f t="shared" si="15"/>
        <v>68</v>
      </c>
      <c r="C164" s="57" t="s">
        <v>309</v>
      </c>
      <c r="D164" s="52">
        <v>1961</v>
      </c>
      <c r="E164" s="52"/>
      <c r="F164" s="53" t="s">
        <v>48</v>
      </c>
      <c r="G164" s="52">
        <v>2</v>
      </c>
      <c r="H164" s="52">
        <v>2</v>
      </c>
      <c r="I164" s="49">
        <v>588.42999999999995</v>
      </c>
      <c r="J164" s="49">
        <v>546.92999999999995</v>
      </c>
      <c r="K164" s="49">
        <v>516.08000000000004</v>
      </c>
      <c r="L164" s="54">
        <v>30</v>
      </c>
      <c r="M164" s="52" t="s">
        <v>50</v>
      </c>
      <c r="N164" s="55" t="s">
        <v>169</v>
      </c>
      <c r="O164" s="49">
        <v>115006.25</v>
      </c>
      <c r="P164" s="49">
        <f t="shared" si="13"/>
        <v>195.4459323963768</v>
      </c>
      <c r="Q164" s="49">
        <v>5492.1662389748999</v>
      </c>
    </row>
    <row r="165" spans="1:17" ht="35.25" x14ac:dyDescent="0.5">
      <c r="A165" s="1">
        <v>1</v>
      </c>
      <c r="B165" s="56">
        <f t="shared" si="15"/>
        <v>69</v>
      </c>
      <c r="C165" s="57" t="s">
        <v>310</v>
      </c>
      <c r="D165" s="52">
        <v>1963</v>
      </c>
      <c r="E165" s="52"/>
      <c r="F165" s="53" t="s">
        <v>48</v>
      </c>
      <c r="G165" s="52">
        <v>4</v>
      </c>
      <c r="H165" s="52">
        <v>4</v>
      </c>
      <c r="I165" s="49">
        <v>2368</v>
      </c>
      <c r="J165" s="49">
        <v>2347.9899999999998</v>
      </c>
      <c r="K165" s="49">
        <v>2199.56</v>
      </c>
      <c r="L165" s="54">
        <v>87</v>
      </c>
      <c r="M165" s="52" t="s">
        <v>50</v>
      </c>
      <c r="N165" s="55" t="s">
        <v>369</v>
      </c>
      <c r="O165" s="49">
        <v>1485022.6</v>
      </c>
      <c r="P165" s="49">
        <f t="shared" si="13"/>
        <v>627.12103040540546</v>
      </c>
      <c r="Q165" s="49">
        <v>3261.7274408783783</v>
      </c>
    </row>
    <row r="166" spans="1:17" ht="35.25" x14ac:dyDescent="0.5">
      <c r="A166" s="1">
        <v>1</v>
      </c>
      <c r="B166" s="56">
        <f t="shared" si="15"/>
        <v>70</v>
      </c>
      <c r="C166" s="57" t="s">
        <v>311</v>
      </c>
      <c r="D166" s="52">
        <v>1971</v>
      </c>
      <c r="E166" s="52"/>
      <c r="F166" s="53" t="s">
        <v>48</v>
      </c>
      <c r="G166" s="52">
        <v>4</v>
      </c>
      <c r="H166" s="52">
        <v>1</v>
      </c>
      <c r="I166" s="49">
        <v>1601</v>
      </c>
      <c r="J166" s="49">
        <v>1473.9</v>
      </c>
      <c r="K166" s="49">
        <v>1166.5999999999999</v>
      </c>
      <c r="L166" s="54">
        <v>103</v>
      </c>
      <c r="M166" s="52" t="s">
        <v>50</v>
      </c>
      <c r="N166" s="55" t="s">
        <v>169</v>
      </c>
      <c r="O166" s="49">
        <v>179270.28</v>
      </c>
      <c r="P166" s="49">
        <f t="shared" si="13"/>
        <v>111.97394128669582</v>
      </c>
      <c r="Q166" s="49">
        <v>2603.1179762648344</v>
      </c>
    </row>
    <row r="167" spans="1:17" ht="35.25" x14ac:dyDescent="0.5">
      <c r="A167" s="1">
        <v>1</v>
      </c>
      <c r="B167" s="56">
        <f t="shared" si="15"/>
        <v>71</v>
      </c>
      <c r="C167" s="57" t="s">
        <v>312</v>
      </c>
      <c r="D167" s="52">
        <v>1963</v>
      </c>
      <c r="E167" s="52"/>
      <c r="F167" s="53" t="s">
        <v>48</v>
      </c>
      <c r="G167" s="52">
        <v>2</v>
      </c>
      <c r="H167" s="52">
        <v>2</v>
      </c>
      <c r="I167" s="49">
        <v>1027.9000000000001</v>
      </c>
      <c r="J167" s="49">
        <v>620.86</v>
      </c>
      <c r="K167" s="49">
        <v>620.86</v>
      </c>
      <c r="L167" s="54">
        <v>40</v>
      </c>
      <c r="M167" s="52" t="s">
        <v>50</v>
      </c>
      <c r="N167" s="55" t="s">
        <v>370</v>
      </c>
      <c r="O167" s="49">
        <v>21660.55</v>
      </c>
      <c r="P167" s="49">
        <f t="shared" si="13"/>
        <v>21.072623796089111</v>
      </c>
      <c r="Q167" s="49">
        <v>3392.8890845412975</v>
      </c>
    </row>
    <row r="168" spans="1:17" ht="35.25" x14ac:dyDescent="0.5">
      <c r="A168" s="1">
        <v>1</v>
      </c>
      <c r="B168" s="56">
        <f t="shared" si="15"/>
        <v>72</v>
      </c>
      <c r="C168" s="57" t="s">
        <v>313</v>
      </c>
      <c r="D168" s="52">
        <v>2003</v>
      </c>
      <c r="E168" s="52"/>
      <c r="F168" s="53" t="s">
        <v>48</v>
      </c>
      <c r="G168" s="52">
        <v>5</v>
      </c>
      <c r="H168" s="52">
        <v>8</v>
      </c>
      <c r="I168" s="49">
        <v>6514</v>
      </c>
      <c r="J168" s="49">
        <v>5845.8</v>
      </c>
      <c r="K168" s="49">
        <v>5845.8</v>
      </c>
      <c r="L168" s="54">
        <v>360</v>
      </c>
      <c r="M168" s="52" t="s">
        <v>50</v>
      </c>
      <c r="N168" s="55" t="s">
        <v>371</v>
      </c>
      <c r="O168" s="49">
        <v>825558.04</v>
      </c>
      <c r="P168" s="49">
        <f t="shared" si="13"/>
        <v>126.73595947190667</v>
      </c>
      <c r="Q168" s="49">
        <v>1483.5848311329444</v>
      </c>
    </row>
    <row r="169" spans="1:17" ht="35.25" x14ac:dyDescent="0.5">
      <c r="A169" s="1">
        <v>1</v>
      </c>
      <c r="B169" s="56">
        <f t="shared" si="15"/>
        <v>73</v>
      </c>
      <c r="C169" s="57" t="s">
        <v>314</v>
      </c>
      <c r="D169" s="52">
        <v>1960</v>
      </c>
      <c r="E169" s="52"/>
      <c r="F169" s="53" t="s">
        <v>48</v>
      </c>
      <c r="G169" s="52">
        <v>2</v>
      </c>
      <c r="H169" s="52">
        <v>2</v>
      </c>
      <c r="I169" s="49">
        <v>585.54999999999995</v>
      </c>
      <c r="J169" s="49">
        <v>545.35</v>
      </c>
      <c r="K169" s="49">
        <v>433.53000000000003</v>
      </c>
      <c r="L169" s="54">
        <v>34</v>
      </c>
      <c r="M169" s="52" t="s">
        <v>50</v>
      </c>
      <c r="N169" s="55" t="s">
        <v>370</v>
      </c>
      <c r="O169" s="49">
        <v>58127.710000000006</v>
      </c>
      <c r="P169" s="49">
        <f t="shared" si="13"/>
        <v>99.270275809068423</v>
      </c>
      <c r="Q169" s="49">
        <v>4794.6537443429261</v>
      </c>
    </row>
    <row r="170" spans="1:17" ht="35.25" x14ac:dyDescent="0.5">
      <c r="A170" s="1">
        <v>1</v>
      </c>
      <c r="B170" s="56">
        <f t="shared" si="15"/>
        <v>74</v>
      </c>
      <c r="C170" s="57" t="s">
        <v>236</v>
      </c>
      <c r="D170" s="52">
        <v>1989</v>
      </c>
      <c r="E170" s="52"/>
      <c r="F170" s="53" t="s">
        <v>48</v>
      </c>
      <c r="G170" s="52">
        <v>9</v>
      </c>
      <c r="H170" s="52">
        <v>1</v>
      </c>
      <c r="I170" s="49">
        <v>3494</v>
      </c>
      <c r="J170" s="49">
        <v>3277.11</v>
      </c>
      <c r="K170" s="49">
        <v>3141.61</v>
      </c>
      <c r="L170" s="54">
        <v>159</v>
      </c>
      <c r="M170" s="52" t="s">
        <v>50</v>
      </c>
      <c r="N170" s="55" t="s">
        <v>372</v>
      </c>
      <c r="O170" s="49">
        <v>174209.85</v>
      </c>
      <c r="P170" s="49">
        <f t="shared" si="13"/>
        <v>49.859716657126505</v>
      </c>
      <c r="Q170" s="49">
        <v>889.23216370921568</v>
      </c>
    </row>
    <row r="171" spans="1:17" ht="35.25" x14ac:dyDescent="0.5">
      <c r="A171" s="1">
        <v>1</v>
      </c>
      <c r="B171" s="56">
        <f t="shared" si="15"/>
        <v>75</v>
      </c>
      <c r="C171" s="57" t="s">
        <v>315</v>
      </c>
      <c r="D171" s="52">
        <v>1987</v>
      </c>
      <c r="E171" s="52"/>
      <c r="F171" s="53" t="s">
        <v>60</v>
      </c>
      <c r="G171" s="52">
        <v>5</v>
      </c>
      <c r="H171" s="52">
        <v>6</v>
      </c>
      <c r="I171" s="49">
        <v>4362</v>
      </c>
      <c r="J171" s="49">
        <v>3933.6</v>
      </c>
      <c r="K171" s="49">
        <v>3462.6</v>
      </c>
      <c r="L171" s="54">
        <v>234</v>
      </c>
      <c r="M171" s="55" t="s">
        <v>50</v>
      </c>
      <c r="N171" s="58" t="s">
        <v>65</v>
      </c>
      <c r="O171" s="49">
        <v>101365.01</v>
      </c>
      <c r="P171" s="49">
        <f t="shared" si="13"/>
        <v>23.238195781751489</v>
      </c>
      <c r="Q171" s="49">
        <v>1526.1157657038054</v>
      </c>
    </row>
    <row r="172" spans="1:17" ht="35.25" x14ac:dyDescent="0.5">
      <c r="A172" s="1">
        <v>1</v>
      </c>
      <c r="B172" s="56">
        <f t="shared" si="15"/>
        <v>76</v>
      </c>
      <c r="C172" s="57" t="s">
        <v>352</v>
      </c>
      <c r="D172" s="52">
        <v>1966</v>
      </c>
      <c r="E172" s="52"/>
      <c r="F172" s="53" t="s">
        <v>48</v>
      </c>
      <c r="G172" s="52">
        <v>5</v>
      </c>
      <c r="H172" s="52">
        <v>4</v>
      </c>
      <c r="I172" s="49">
        <v>3416</v>
      </c>
      <c r="J172" s="49">
        <v>3392</v>
      </c>
      <c r="K172" s="49">
        <v>2976.63</v>
      </c>
      <c r="L172" s="54">
        <v>150</v>
      </c>
      <c r="M172" s="55" t="s">
        <v>50</v>
      </c>
      <c r="N172" s="58" t="s">
        <v>370</v>
      </c>
      <c r="O172" s="49">
        <v>70328.740000000005</v>
      </c>
      <c r="P172" s="49">
        <f t="shared" si="13"/>
        <v>20.588038641686182</v>
      </c>
      <c r="Q172" s="49">
        <v>1596.8962617096017</v>
      </c>
    </row>
    <row r="173" spans="1:17" ht="35.25" x14ac:dyDescent="0.5">
      <c r="B173" s="56">
        <f t="shared" si="15"/>
        <v>77</v>
      </c>
      <c r="C173" s="57" t="s">
        <v>563</v>
      </c>
      <c r="D173" s="52">
        <v>1972</v>
      </c>
      <c r="E173" s="52"/>
      <c r="F173" s="53" t="s">
        <v>48</v>
      </c>
      <c r="G173" s="52">
        <v>5</v>
      </c>
      <c r="H173" s="52">
        <v>6</v>
      </c>
      <c r="I173" s="49">
        <v>4562.8</v>
      </c>
      <c r="J173" s="49">
        <v>4499.5</v>
      </c>
      <c r="K173" s="49">
        <v>3634.1</v>
      </c>
      <c r="L173" s="54">
        <v>237</v>
      </c>
      <c r="M173" s="58" t="s">
        <v>50</v>
      </c>
      <c r="N173" s="55" t="s">
        <v>66</v>
      </c>
      <c r="O173" s="49">
        <v>53102.53</v>
      </c>
      <c r="P173" s="49">
        <f t="shared" si="13"/>
        <v>11.63814543701236</v>
      </c>
      <c r="Q173" s="49">
        <v>1997.6872775488735</v>
      </c>
    </row>
    <row r="174" spans="1:17" ht="35.25" x14ac:dyDescent="0.5">
      <c r="B174" s="56">
        <f t="shared" si="15"/>
        <v>78</v>
      </c>
      <c r="C174" s="57" t="s">
        <v>564</v>
      </c>
      <c r="D174" s="52">
        <v>1963</v>
      </c>
      <c r="E174" s="52"/>
      <c r="F174" s="53" t="s">
        <v>48</v>
      </c>
      <c r="G174" s="52">
        <v>2</v>
      </c>
      <c r="H174" s="52">
        <v>1</v>
      </c>
      <c r="I174" s="49">
        <v>471.59</v>
      </c>
      <c r="J174" s="49">
        <v>415.21</v>
      </c>
      <c r="K174" s="49">
        <v>312.26</v>
      </c>
      <c r="L174" s="54">
        <v>21</v>
      </c>
      <c r="M174" s="58" t="s">
        <v>50</v>
      </c>
      <c r="N174" s="55" t="s">
        <v>573</v>
      </c>
      <c r="O174" s="49">
        <v>110786.03</v>
      </c>
      <c r="P174" s="49">
        <f t="shared" si="13"/>
        <v>234.92022731610086</v>
      </c>
      <c r="Q174" s="49">
        <v>6614.7607031531634</v>
      </c>
    </row>
    <row r="175" spans="1:17" ht="35.25" x14ac:dyDescent="0.5">
      <c r="B175" s="109" t="s">
        <v>259</v>
      </c>
      <c r="C175" s="57"/>
      <c r="D175" s="52" t="s">
        <v>90</v>
      </c>
      <c r="E175" s="52" t="s">
        <v>90</v>
      </c>
      <c r="F175" s="53" t="s">
        <v>90</v>
      </c>
      <c r="G175" s="52" t="s">
        <v>90</v>
      </c>
      <c r="H175" s="52" t="s">
        <v>90</v>
      </c>
      <c r="I175" s="49">
        <f>SUM(I176:I181)</f>
        <v>45795.1</v>
      </c>
      <c r="J175" s="49">
        <f t="shared" ref="J175:L175" si="16">SUM(J176:J181)</f>
        <v>40691.799999999996</v>
      </c>
      <c r="K175" s="49">
        <f t="shared" si="16"/>
        <v>37862.1</v>
      </c>
      <c r="L175" s="54">
        <f t="shared" si="16"/>
        <v>2257</v>
      </c>
      <c r="M175" s="52" t="s">
        <v>131</v>
      </c>
      <c r="N175" s="55" t="s">
        <v>131</v>
      </c>
      <c r="O175" s="49">
        <v>1550578.68</v>
      </c>
      <c r="P175" s="49">
        <f t="shared" si="13"/>
        <v>33.859052169336891</v>
      </c>
      <c r="Q175" s="49">
        <f>MAX(Q176:Q181)</f>
        <v>875.92932069326514</v>
      </c>
    </row>
    <row r="176" spans="1:17" ht="35.25" x14ac:dyDescent="0.5">
      <c r="A176" s="1">
        <v>1</v>
      </c>
      <c r="B176" s="56">
        <f>B174+1</f>
        <v>79</v>
      </c>
      <c r="C176" s="57" t="s">
        <v>316</v>
      </c>
      <c r="D176" s="52">
        <v>1978</v>
      </c>
      <c r="E176" s="52"/>
      <c r="F176" s="53" t="s">
        <v>60</v>
      </c>
      <c r="G176" s="52">
        <v>9</v>
      </c>
      <c r="H176" s="52">
        <v>4</v>
      </c>
      <c r="I176" s="49">
        <v>8707</v>
      </c>
      <c r="J176" s="49">
        <v>7693.6</v>
      </c>
      <c r="K176" s="49">
        <v>7347.1</v>
      </c>
      <c r="L176" s="54">
        <v>357</v>
      </c>
      <c r="M176" s="52" t="s">
        <v>50</v>
      </c>
      <c r="N176" s="55" t="s">
        <v>64</v>
      </c>
      <c r="O176" s="49">
        <v>382556.25999999995</v>
      </c>
      <c r="P176" s="49">
        <f t="shared" si="13"/>
        <v>43.936632594464221</v>
      </c>
      <c r="Q176" s="49">
        <v>831.25755036177782</v>
      </c>
    </row>
    <row r="177" spans="1:17" ht="35.25" x14ac:dyDescent="0.5">
      <c r="A177" s="1">
        <v>1</v>
      </c>
      <c r="B177" s="56">
        <f t="shared" ref="B177:B181" si="17">B176+1</f>
        <v>80</v>
      </c>
      <c r="C177" s="57" t="s">
        <v>317</v>
      </c>
      <c r="D177" s="52">
        <v>1981</v>
      </c>
      <c r="E177" s="52"/>
      <c r="F177" s="53" t="s">
        <v>60</v>
      </c>
      <c r="G177" s="52">
        <v>9</v>
      </c>
      <c r="H177" s="52">
        <v>4</v>
      </c>
      <c r="I177" s="49">
        <v>8838.4</v>
      </c>
      <c r="J177" s="49">
        <v>7825</v>
      </c>
      <c r="K177" s="49">
        <v>7353.9</v>
      </c>
      <c r="L177" s="54">
        <v>387</v>
      </c>
      <c r="M177" s="52" t="s">
        <v>50</v>
      </c>
      <c r="N177" s="55" t="s">
        <v>64</v>
      </c>
      <c r="O177" s="49">
        <v>381284.05</v>
      </c>
      <c r="P177" s="49">
        <f t="shared" si="13"/>
        <v>43.139487916364956</v>
      </c>
      <c r="Q177" s="49">
        <v>841.91120078294728</v>
      </c>
    </row>
    <row r="178" spans="1:17" ht="35.25" x14ac:dyDescent="0.5">
      <c r="A178" s="1">
        <v>1</v>
      </c>
      <c r="B178" s="56">
        <f t="shared" si="17"/>
        <v>81</v>
      </c>
      <c r="C178" s="57" t="s">
        <v>81</v>
      </c>
      <c r="D178" s="52">
        <v>1982</v>
      </c>
      <c r="E178" s="52"/>
      <c r="F178" s="53" t="s">
        <v>60</v>
      </c>
      <c r="G178" s="52">
        <v>9</v>
      </c>
      <c r="H178" s="52">
        <v>4</v>
      </c>
      <c r="I178" s="49">
        <v>8597</v>
      </c>
      <c r="J178" s="49">
        <v>7716.1</v>
      </c>
      <c r="K178" s="49">
        <v>7190.6</v>
      </c>
      <c r="L178" s="54">
        <v>399</v>
      </c>
      <c r="M178" s="52" t="s">
        <v>50</v>
      </c>
      <c r="N178" s="55" t="s">
        <v>64</v>
      </c>
      <c r="O178" s="49">
        <v>292385.17000000004</v>
      </c>
      <c r="P178" s="49">
        <f t="shared" si="13"/>
        <v>34.010139583575672</v>
      </c>
      <c r="Q178" s="49">
        <v>875.92932069326514</v>
      </c>
    </row>
    <row r="179" spans="1:17" ht="35.25" x14ac:dyDescent="0.5">
      <c r="A179" s="1">
        <v>1</v>
      </c>
      <c r="B179" s="56">
        <f t="shared" si="17"/>
        <v>82</v>
      </c>
      <c r="C179" s="57" t="s">
        <v>318</v>
      </c>
      <c r="D179" s="52">
        <v>1983</v>
      </c>
      <c r="E179" s="52"/>
      <c r="F179" s="53" t="s">
        <v>60</v>
      </c>
      <c r="G179" s="52">
        <v>9</v>
      </c>
      <c r="H179" s="52">
        <v>4</v>
      </c>
      <c r="I179" s="49">
        <v>8601.7999999999993</v>
      </c>
      <c r="J179" s="49">
        <v>7730</v>
      </c>
      <c r="K179" s="49">
        <v>7318.9</v>
      </c>
      <c r="L179" s="54">
        <v>404</v>
      </c>
      <c r="M179" s="52" t="s">
        <v>50</v>
      </c>
      <c r="N179" s="55" t="s">
        <v>64</v>
      </c>
      <c r="O179" s="49">
        <v>292385.17000000004</v>
      </c>
      <c r="P179" s="49">
        <f t="shared" si="13"/>
        <v>33.991161152316963</v>
      </c>
      <c r="Q179" s="49">
        <v>874.71522937059694</v>
      </c>
    </row>
    <row r="180" spans="1:17" ht="35.25" x14ac:dyDescent="0.5">
      <c r="A180" s="1">
        <v>1</v>
      </c>
      <c r="B180" s="56">
        <f t="shared" si="17"/>
        <v>83</v>
      </c>
      <c r="C180" s="57" t="s">
        <v>319</v>
      </c>
      <c r="D180" s="52">
        <v>1987</v>
      </c>
      <c r="E180" s="52"/>
      <c r="F180" s="53" t="s">
        <v>48</v>
      </c>
      <c r="G180" s="52">
        <v>12</v>
      </c>
      <c r="H180" s="52">
        <v>1</v>
      </c>
      <c r="I180" s="49">
        <v>4535.8</v>
      </c>
      <c r="J180" s="49">
        <v>3907.5</v>
      </c>
      <c r="K180" s="49">
        <v>3078</v>
      </c>
      <c r="L180" s="54">
        <v>448</v>
      </c>
      <c r="M180" s="52" t="s">
        <v>50</v>
      </c>
      <c r="N180" s="55" t="s">
        <v>64</v>
      </c>
      <c r="O180" s="49">
        <v>193920.28</v>
      </c>
      <c r="P180" s="49">
        <f t="shared" si="13"/>
        <v>42.753269544512541</v>
      </c>
      <c r="Q180" s="49">
        <v>710.57385819480578</v>
      </c>
    </row>
    <row r="181" spans="1:17" ht="35.25" x14ac:dyDescent="0.5">
      <c r="A181" s="1">
        <v>1</v>
      </c>
      <c r="B181" s="56">
        <f t="shared" si="17"/>
        <v>84</v>
      </c>
      <c r="C181" s="57" t="s">
        <v>897</v>
      </c>
      <c r="D181" s="52">
        <v>1984</v>
      </c>
      <c r="E181" s="52"/>
      <c r="F181" s="53" t="s">
        <v>60</v>
      </c>
      <c r="G181" s="52">
        <v>9</v>
      </c>
      <c r="H181" s="52">
        <v>3</v>
      </c>
      <c r="I181" s="49">
        <v>6515.1</v>
      </c>
      <c r="J181" s="49">
        <v>5819.6</v>
      </c>
      <c r="K181" s="49">
        <v>5573.6</v>
      </c>
      <c r="L181" s="54">
        <v>262</v>
      </c>
      <c r="M181" s="52" t="s">
        <v>50</v>
      </c>
      <c r="N181" s="55" t="s">
        <v>64</v>
      </c>
      <c r="O181" s="49">
        <v>8047.75</v>
      </c>
      <c r="P181" s="49">
        <f t="shared" si="13"/>
        <v>1.2352458135715492</v>
      </c>
      <c r="Q181" s="49">
        <v>747.89162253841073</v>
      </c>
    </row>
    <row r="182" spans="1:17" ht="35.25" x14ac:dyDescent="0.5">
      <c r="B182" s="109" t="s">
        <v>129</v>
      </c>
      <c r="C182" s="57"/>
      <c r="D182" s="52" t="s">
        <v>90</v>
      </c>
      <c r="E182" s="52" t="s">
        <v>90</v>
      </c>
      <c r="F182" s="53" t="s">
        <v>90</v>
      </c>
      <c r="G182" s="52" t="s">
        <v>90</v>
      </c>
      <c r="H182" s="52" t="s">
        <v>90</v>
      </c>
      <c r="I182" s="49">
        <f>SUM(I183:I184)</f>
        <v>6959.2</v>
      </c>
      <c r="J182" s="49">
        <f t="shared" ref="J182:L182" si="18">SUM(J183:J184)</f>
        <v>6276.4</v>
      </c>
      <c r="K182" s="49">
        <f t="shared" si="18"/>
        <v>6276.4</v>
      </c>
      <c r="L182" s="54">
        <f t="shared" si="18"/>
        <v>259</v>
      </c>
      <c r="M182" s="52" t="s">
        <v>131</v>
      </c>
      <c r="N182" s="55" t="s">
        <v>131</v>
      </c>
      <c r="O182" s="49">
        <v>3231773.15</v>
      </c>
      <c r="P182" s="49">
        <f t="shared" si="13"/>
        <v>464.38860070123002</v>
      </c>
      <c r="Q182" s="49">
        <f>MAX(Q183:Q184)</f>
        <v>1460.3348625835447</v>
      </c>
    </row>
    <row r="183" spans="1:17" ht="35.25" x14ac:dyDescent="0.5">
      <c r="A183" s="1">
        <v>1</v>
      </c>
      <c r="B183" s="56">
        <f>B181+1</f>
        <v>85</v>
      </c>
      <c r="C183" s="57" t="s">
        <v>320</v>
      </c>
      <c r="D183" s="52">
        <v>1988</v>
      </c>
      <c r="E183" s="52"/>
      <c r="F183" s="53" t="s">
        <v>60</v>
      </c>
      <c r="G183" s="52">
        <v>5</v>
      </c>
      <c r="H183" s="52">
        <v>4</v>
      </c>
      <c r="I183" s="49">
        <v>3471.2</v>
      </c>
      <c r="J183" s="49">
        <v>3130.3</v>
      </c>
      <c r="K183" s="49">
        <v>3130.3</v>
      </c>
      <c r="L183" s="54">
        <v>113</v>
      </c>
      <c r="M183" s="52" t="s">
        <v>47</v>
      </c>
      <c r="N183" s="55" t="s">
        <v>49</v>
      </c>
      <c r="O183" s="49">
        <v>1617633.46</v>
      </c>
      <c r="P183" s="49">
        <f t="shared" si="13"/>
        <v>466.01563148190831</v>
      </c>
      <c r="Q183" s="49">
        <v>1460.3348625835447</v>
      </c>
    </row>
    <row r="184" spans="1:17" ht="35.25" x14ac:dyDescent="0.5">
      <c r="A184" s="1">
        <v>1</v>
      </c>
      <c r="B184" s="56">
        <f t="shared" ref="B184" si="19">B183+1</f>
        <v>86</v>
      </c>
      <c r="C184" s="57" t="s">
        <v>321</v>
      </c>
      <c r="D184" s="52">
        <v>1989</v>
      </c>
      <c r="E184" s="52"/>
      <c r="F184" s="53" t="s">
        <v>48</v>
      </c>
      <c r="G184" s="52">
        <v>5</v>
      </c>
      <c r="H184" s="52">
        <v>4</v>
      </c>
      <c r="I184" s="49">
        <v>3488</v>
      </c>
      <c r="J184" s="49">
        <v>3146.1</v>
      </c>
      <c r="K184" s="49">
        <v>3146.1</v>
      </c>
      <c r="L184" s="54">
        <v>146</v>
      </c>
      <c r="M184" s="52" t="s">
        <v>47</v>
      </c>
      <c r="N184" s="55" t="s">
        <v>49</v>
      </c>
      <c r="O184" s="49">
        <v>1614139.69</v>
      </c>
      <c r="P184" s="49">
        <f t="shared" si="13"/>
        <v>462.7694065366972</v>
      </c>
      <c r="Q184" s="49">
        <v>1453.3011396215597</v>
      </c>
    </row>
    <row r="185" spans="1:17" ht="35.25" x14ac:dyDescent="0.5">
      <c r="B185" s="109" t="s">
        <v>260</v>
      </c>
      <c r="C185" s="57"/>
      <c r="D185" s="52" t="s">
        <v>90</v>
      </c>
      <c r="E185" s="52" t="s">
        <v>90</v>
      </c>
      <c r="F185" s="53" t="s">
        <v>90</v>
      </c>
      <c r="G185" s="52" t="s">
        <v>90</v>
      </c>
      <c r="H185" s="52" t="s">
        <v>90</v>
      </c>
      <c r="I185" s="49">
        <f>I186+I187</f>
        <v>1317.6</v>
      </c>
      <c r="J185" s="49">
        <f t="shared" ref="J185:L185" si="20">J186+J187</f>
        <v>1189.5999999999999</v>
      </c>
      <c r="K185" s="49">
        <f t="shared" si="20"/>
        <v>1093.8</v>
      </c>
      <c r="L185" s="54">
        <f t="shared" si="20"/>
        <v>50</v>
      </c>
      <c r="M185" s="52" t="s">
        <v>131</v>
      </c>
      <c r="N185" s="55" t="s">
        <v>131</v>
      </c>
      <c r="O185" s="49">
        <v>35323.410000000003</v>
      </c>
      <c r="P185" s="49">
        <f t="shared" si="13"/>
        <v>26.80890255009108</v>
      </c>
      <c r="Q185" s="49">
        <f>MAX(Q186:Q187)</f>
        <v>5603.9766814159293</v>
      </c>
    </row>
    <row r="186" spans="1:17" ht="35.25" x14ac:dyDescent="0.5">
      <c r="A186" s="1">
        <v>1</v>
      </c>
      <c r="B186" s="56">
        <f>B184+1</f>
        <v>87</v>
      </c>
      <c r="C186" s="57" t="s">
        <v>322</v>
      </c>
      <c r="D186" s="52">
        <v>1985</v>
      </c>
      <c r="E186" s="52"/>
      <c r="F186" s="53" t="s">
        <v>60</v>
      </c>
      <c r="G186" s="52">
        <v>2</v>
      </c>
      <c r="H186" s="52">
        <v>2</v>
      </c>
      <c r="I186" s="49">
        <v>978.6</v>
      </c>
      <c r="J186" s="49">
        <v>880.3</v>
      </c>
      <c r="K186" s="49">
        <v>821.4</v>
      </c>
      <c r="L186" s="54">
        <v>30</v>
      </c>
      <c r="M186" s="52" t="s">
        <v>47</v>
      </c>
      <c r="N186" s="55" t="s">
        <v>49</v>
      </c>
      <c r="O186" s="49">
        <v>11164.380000000001</v>
      </c>
      <c r="P186" s="49">
        <f t="shared" si="13"/>
        <v>11.408522378908646</v>
      </c>
      <c r="Q186" s="49">
        <v>3006.6114408338444</v>
      </c>
    </row>
    <row r="187" spans="1:17" ht="35.25" x14ac:dyDescent="0.5">
      <c r="B187" s="56">
        <f t="shared" ref="B187" si="21">B186+1</f>
        <v>88</v>
      </c>
      <c r="C187" s="57" t="s">
        <v>565</v>
      </c>
      <c r="D187" s="52" t="s">
        <v>74</v>
      </c>
      <c r="E187" s="52"/>
      <c r="F187" s="53" t="s">
        <v>48</v>
      </c>
      <c r="G187" s="52">
        <v>2</v>
      </c>
      <c r="H187" s="52">
        <v>1</v>
      </c>
      <c r="I187" s="49">
        <v>339</v>
      </c>
      <c r="J187" s="49">
        <v>309.3</v>
      </c>
      <c r="K187" s="49">
        <v>272.39999999999998</v>
      </c>
      <c r="L187" s="54">
        <v>20</v>
      </c>
      <c r="M187" s="58" t="s">
        <v>50</v>
      </c>
      <c r="N187" s="55" t="s">
        <v>574</v>
      </c>
      <c r="O187" s="49">
        <v>24159.03</v>
      </c>
      <c r="P187" s="49">
        <f t="shared" si="13"/>
        <v>71.265575221238933</v>
      </c>
      <c r="Q187" s="49">
        <v>5603.9766814159293</v>
      </c>
    </row>
    <row r="188" spans="1:17" ht="35.25" x14ac:dyDescent="0.5">
      <c r="B188" s="109" t="s">
        <v>122</v>
      </c>
      <c r="C188" s="57"/>
      <c r="D188" s="52" t="s">
        <v>90</v>
      </c>
      <c r="E188" s="52" t="s">
        <v>90</v>
      </c>
      <c r="F188" s="53" t="s">
        <v>90</v>
      </c>
      <c r="G188" s="52" t="s">
        <v>90</v>
      </c>
      <c r="H188" s="52" t="s">
        <v>90</v>
      </c>
      <c r="I188" s="49">
        <f>I189</f>
        <v>3121</v>
      </c>
      <c r="J188" s="49">
        <f t="shared" ref="J188:L188" si="22">J189</f>
        <v>1791</v>
      </c>
      <c r="K188" s="49">
        <f t="shared" si="22"/>
        <v>1791</v>
      </c>
      <c r="L188" s="54">
        <f t="shared" si="22"/>
        <v>171</v>
      </c>
      <c r="M188" s="52" t="s">
        <v>131</v>
      </c>
      <c r="N188" s="55" t="s">
        <v>131</v>
      </c>
      <c r="O188" s="49">
        <v>778244.79</v>
      </c>
      <c r="P188" s="49">
        <f t="shared" si="13"/>
        <v>249.35751041332907</v>
      </c>
      <c r="Q188" s="49">
        <f>Q189</f>
        <v>1944.0371595642421</v>
      </c>
    </row>
    <row r="189" spans="1:17" ht="35.25" x14ac:dyDescent="0.5">
      <c r="A189" s="1">
        <v>1</v>
      </c>
      <c r="B189" s="56">
        <f>B187+1</f>
        <v>89</v>
      </c>
      <c r="C189" s="57" t="s">
        <v>323</v>
      </c>
      <c r="D189" s="52">
        <v>1986</v>
      </c>
      <c r="E189" s="52"/>
      <c r="F189" s="53" t="s">
        <v>60</v>
      </c>
      <c r="G189" s="52">
        <v>5</v>
      </c>
      <c r="H189" s="52">
        <v>4</v>
      </c>
      <c r="I189" s="49">
        <v>3121</v>
      </c>
      <c r="J189" s="49">
        <v>1791</v>
      </c>
      <c r="K189" s="49">
        <v>1791</v>
      </c>
      <c r="L189" s="54">
        <v>171</v>
      </c>
      <c r="M189" s="52" t="s">
        <v>71</v>
      </c>
      <c r="N189" s="55" t="s">
        <v>373</v>
      </c>
      <c r="O189" s="49">
        <v>778244.79</v>
      </c>
      <c r="P189" s="49">
        <f t="shared" si="13"/>
        <v>249.35751041332907</v>
      </c>
      <c r="Q189" s="49">
        <v>1944.0371595642421</v>
      </c>
    </row>
    <row r="190" spans="1:17" ht="35.25" x14ac:dyDescent="0.5">
      <c r="B190" s="109" t="s">
        <v>113</v>
      </c>
      <c r="C190" s="57"/>
      <c r="D190" s="52" t="s">
        <v>90</v>
      </c>
      <c r="E190" s="52" t="s">
        <v>90</v>
      </c>
      <c r="F190" s="53" t="s">
        <v>90</v>
      </c>
      <c r="G190" s="52" t="s">
        <v>90</v>
      </c>
      <c r="H190" s="52" t="s">
        <v>90</v>
      </c>
      <c r="I190" s="49">
        <f>SUM(I191:I195)</f>
        <v>9754.2199999999993</v>
      </c>
      <c r="J190" s="49">
        <f t="shared" ref="J190:L190" si="23">SUM(J191:J195)</f>
        <v>8433.5399999999991</v>
      </c>
      <c r="K190" s="49">
        <f t="shared" si="23"/>
        <v>8193.64</v>
      </c>
      <c r="L190" s="54">
        <f t="shared" si="23"/>
        <v>354</v>
      </c>
      <c r="M190" s="52" t="s">
        <v>131</v>
      </c>
      <c r="N190" s="55" t="s">
        <v>131</v>
      </c>
      <c r="O190" s="49">
        <v>1856585.2200000002</v>
      </c>
      <c r="P190" s="49">
        <f t="shared" si="13"/>
        <v>190.33661533162061</v>
      </c>
      <c r="Q190" s="49">
        <f>MAX(Q191:Q195)</f>
        <v>5656.5870455557206</v>
      </c>
    </row>
    <row r="191" spans="1:17" ht="35.25" x14ac:dyDescent="0.5">
      <c r="A191" s="1">
        <v>1</v>
      </c>
      <c r="B191" s="56">
        <f>B189+1</f>
        <v>90</v>
      </c>
      <c r="C191" s="57" t="s">
        <v>324</v>
      </c>
      <c r="D191" s="52">
        <v>1976</v>
      </c>
      <c r="E191" s="52"/>
      <c r="F191" s="53" t="s">
        <v>48</v>
      </c>
      <c r="G191" s="52">
        <v>5</v>
      </c>
      <c r="H191" s="52">
        <v>4</v>
      </c>
      <c r="I191" s="49">
        <v>3560.34</v>
      </c>
      <c r="J191" s="49">
        <v>3122.34</v>
      </c>
      <c r="K191" s="49">
        <v>3091.94</v>
      </c>
      <c r="L191" s="54">
        <v>145</v>
      </c>
      <c r="M191" s="52" t="s">
        <v>50</v>
      </c>
      <c r="N191" s="55" t="s">
        <v>374</v>
      </c>
      <c r="O191" s="49">
        <v>672709.20000000007</v>
      </c>
      <c r="P191" s="49">
        <f t="shared" si="13"/>
        <v>188.94521309762553</v>
      </c>
      <c r="Q191" s="49">
        <v>1678.7373621620407</v>
      </c>
    </row>
    <row r="192" spans="1:17" ht="35.25" x14ac:dyDescent="0.5">
      <c r="A192" s="1">
        <v>1</v>
      </c>
      <c r="B192" s="56">
        <f t="shared" ref="B192:B195" si="24">B191+1</f>
        <v>91</v>
      </c>
      <c r="C192" s="57" t="s">
        <v>325</v>
      </c>
      <c r="D192" s="52">
        <v>1958</v>
      </c>
      <c r="E192" s="52"/>
      <c r="F192" s="53" t="s">
        <v>48</v>
      </c>
      <c r="G192" s="52">
        <v>2</v>
      </c>
      <c r="H192" s="52">
        <v>2</v>
      </c>
      <c r="I192" s="49">
        <v>673.9</v>
      </c>
      <c r="J192" s="49">
        <v>615.9</v>
      </c>
      <c r="K192" s="49">
        <v>562.29999999999995</v>
      </c>
      <c r="L192" s="54">
        <v>32</v>
      </c>
      <c r="M192" s="52" t="s">
        <v>47</v>
      </c>
      <c r="N192" s="55" t="s">
        <v>49</v>
      </c>
      <c r="O192" s="49">
        <v>5758.94</v>
      </c>
      <c r="P192" s="49">
        <f t="shared" si="13"/>
        <v>8.5456892714052533</v>
      </c>
      <c r="Q192" s="49">
        <v>5656.5870455557206</v>
      </c>
    </row>
    <row r="193" spans="1:17" ht="35.25" x14ac:dyDescent="0.5">
      <c r="A193" s="1">
        <v>1</v>
      </c>
      <c r="B193" s="56">
        <f t="shared" si="24"/>
        <v>92</v>
      </c>
      <c r="C193" s="57" t="s">
        <v>326</v>
      </c>
      <c r="D193" s="52">
        <v>1975</v>
      </c>
      <c r="E193" s="52"/>
      <c r="F193" s="53" t="s">
        <v>48</v>
      </c>
      <c r="G193" s="52">
        <v>2</v>
      </c>
      <c r="H193" s="52">
        <v>2</v>
      </c>
      <c r="I193" s="49">
        <v>768.5</v>
      </c>
      <c r="J193" s="49">
        <v>710</v>
      </c>
      <c r="K193" s="49">
        <v>655.20000000000005</v>
      </c>
      <c r="L193" s="54">
        <v>38</v>
      </c>
      <c r="M193" s="52" t="s">
        <v>47</v>
      </c>
      <c r="N193" s="55" t="s">
        <v>49</v>
      </c>
      <c r="O193" s="49">
        <v>233459.54</v>
      </c>
      <c r="P193" s="49">
        <f t="shared" si="13"/>
        <v>303.78599869876382</v>
      </c>
      <c r="Q193" s="49">
        <v>1127.1445361093038</v>
      </c>
    </row>
    <row r="194" spans="1:17" ht="35.25" x14ac:dyDescent="0.5">
      <c r="A194" s="1">
        <v>1</v>
      </c>
      <c r="B194" s="56">
        <f t="shared" si="24"/>
        <v>93</v>
      </c>
      <c r="C194" s="57" t="s">
        <v>353</v>
      </c>
      <c r="D194" s="52">
        <v>1984</v>
      </c>
      <c r="E194" s="52"/>
      <c r="F194" s="53" t="s">
        <v>60</v>
      </c>
      <c r="G194" s="52">
        <v>4</v>
      </c>
      <c r="H194" s="52">
        <v>2</v>
      </c>
      <c r="I194" s="49">
        <v>1287.08</v>
      </c>
      <c r="J194" s="49">
        <v>1127.9000000000001</v>
      </c>
      <c r="K194" s="49">
        <v>1026.8</v>
      </c>
      <c r="L194" s="54">
        <v>51</v>
      </c>
      <c r="M194" s="52" t="s">
        <v>47</v>
      </c>
      <c r="N194" s="55" t="s">
        <v>49</v>
      </c>
      <c r="O194" s="49">
        <v>57671.29</v>
      </c>
      <c r="P194" s="49">
        <f t="shared" si="13"/>
        <v>44.807851881778916</v>
      </c>
      <c r="Q194" s="49">
        <v>2462.4469963017063</v>
      </c>
    </row>
    <row r="195" spans="1:17" ht="35.25" x14ac:dyDescent="0.5">
      <c r="A195" s="1">
        <v>1</v>
      </c>
      <c r="B195" s="56">
        <f t="shared" si="24"/>
        <v>94</v>
      </c>
      <c r="C195" s="57" t="s">
        <v>894</v>
      </c>
      <c r="D195" s="52">
        <v>1971</v>
      </c>
      <c r="E195" s="52"/>
      <c r="F195" s="53" t="s">
        <v>48</v>
      </c>
      <c r="G195" s="52">
        <v>5</v>
      </c>
      <c r="H195" s="52">
        <v>4</v>
      </c>
      <c r="I195" s="49">
        <v>3464.4</v>
      </c>
      <c r="J195" s="49">
        <v>2857.4</v>
      </c>
      <c r="K195" s="49">
        <f>J195</f>
        <v>2857.4</v>
      </c>
      <c r="L195" s="54">
        <v>88</v>
      </c>
      <c r="M195" s="52" t="s">
        <v>47</v>
      </c>
      <c r="N195" s="55" t="s">
        <v>49</v>
      </c>
      <c r="O195" s="49">
        <v>886986.25</v>
      </c>
      <c r="P195" s="49">
        <f t="shared" si="13"/>
        <v>256.02882172959244</v>
      </c>
      <c r="Q195" s="49">
        <v>1763.2250262671748</v>
      </c>
    </row>
    <row r="196" spans="1:17" ht="35.25" x14ac:dyDescent="0.5">
      <c r="B196" s="109" t="s">
        <v>125</v>
      </c>
      <c r="C196" s="57"/>
      <c r="D196" s="52" t="s">
        <v>90</v>
      </c>
      <c r="E196" s="52" t="s">
        <v>90</v>
      </c>
      <c r="F196" s="53" t="s">
        <v>90</v>
      </c>
      <c r="G196" s="52" t="s">
        <v>90</v>
      </c>
      <c r="H196" s="52" t="s">
        <v>90</v>
      </c>
      <c r="I196" s="49">
        <f>I197</f>
        <v>5085.1000000000004</v>
      </c>
      <c r="J196" s="49">
        <f t="shared" ref="J196:L196" si="25">J197</f>
        <v>4673.5</v>
      </c>
      <c r="K196" s="49">
        <f t="shared" si="25"/>
        <v>4551.8</v>
      </c>
      <c r="L196" s="54">
        <f t="shared" si="25"/>
        <v>199</v>
      </c>
      <c r="M196" s="52" t="s">
        <v>131</v>
      </c>
      <c r="N196" s="55" t="s">
        <v>131</v>
      </c>
      <c r="O196" s="49">
        <v>425208.96</v>
      </c>
      <c r="P196" s="49">
        <f t="shared" si="13"/>
        <v>83.618603370631845</v>
      </c>
      <c r="Q196" s="49">
        <f>Q197</f>
        <v>1500.498894810328</v>
      </c>
    </row>
    <row r="197" spans="1:17" ht="35.25" x14ac:dyDescent="0.5">
      <c r="A197" s="1">
        <v>1</v>
      </c>
      <c r="B197" s="56">
        <f>B195+1</f>
        <v>95</v>
      </c>
      <c r="C197" s="57" t="s">
        <v>327</v>
      </c>
      <c r="D197" s="52">
        <v>1982</v>
      </c>
      <c r="E197" s="52"/>
      <c r="F197" s="53" t="s">
        <v>60</v>
      </c>
      <c r="G197" s="52">
        <v>5</v>
      </c>
      <c r="H197" s="52">
        <v>6</v>
      </c>
      <c r="I197" s="49">
        <v>5085.1000000000004</v>
      </c>
      <c r="J197" s="49">
        <v>4673.5</v>
      </c>
      <c r="K197" s="49">
        <v>4551.8</v>
      </c>
      <c r="L197" s="54">
        <v>199</v>
      </c>
      <c r="M197" s="52" t="s">
        <v>71</v>
      </c>
      <c r="N197" s="55" t="s">
        <v>375</v>
      </c>
      <c r="O197" s="49">
        <v>425208.96</v>
      </c>
      <c r="P197" s="49">
        <f t="shared" si="13"/>
        <v>83.618603370631845</v>
      </c>
      <c r="Q197" s="49">
        <v>1500.498894810328</v>
      </c>
    </row>
    <row r="198" spans="1:17" ht="35.25" x14ac:dyDescent="0.5">
      <c r="B198" s="109" t="s">
        <v>105</v>
      </c>
      <c r="C198" s="57"/>
      <c r="D198" s="52" t="s">
        <v>90</v>
      </c>
      <c r="E198" s="52" t="s">
        <v>90</v>
      </c>
      <c r="F198" s="52" t="s">
        <v>90</v>
      </c>
      <c r="G198" s="52" t="s">
        <v>90</v>
      </c>
      <c r="H198" s="52" t="s">
        <v>90</v>
      </c>
      <c r="I198" s="49">
        <f>I199+I200</f>
        <v>4174.76</v>
      </c>
      <c r="J198" s="49">
        <f t="shared" ref="J198:L198" si="26">J199+J200</f>
        <v>2760.79</v>
      </c>
      <c r="K198" s="49">
        <f t="shared" si="26"/>
        <v>1330.8600000000001</v>
      </c>
      <c r="L198" s="54">
        <f t="shared" si="26"/>
        <v>92</v>
      </c>
      <c r="M198" s="52" t="s">
        <v>131</v>
      </c>
      <c r="N198" s="55" t="s">
        <v>131</v>
      </c>
      <c r="O198" s="49">
        <v>243092.59999999998</v>
      </c>
      <c r="P198" s="49">
        <f t="shared" si="13"/>
        <v>58.229119757782478</v>
      </c>
      <c r="Q198" s="49">
        <f>MAX(Q199:Q200)</f>
        <v>5351.7146397255055</v>
      </c>
    </row>
    <row r="199" spans="1:17" ht="35.25" x14ac:dyDescent="0.5">
      <c r="A199" s="1">
        <v>1</v>
      </c>
      <c r="B199" s="56">
        <f>B197+1</f>
        <v>96</v>
      </c>
      <c r="C199" s="57" t="s">
        <v>328</v>
      </c>
      <c r="D199" s="52">
        <v>1967</v>
      </c>
      <c r="E199" s="52"/>
      <c r="F199" s="53" t="s">
        <v>48</v>
      </c>
      <c r="G199" s="52">
        <v>4</v>
      </c>
      <c r="H199" s="52">
        <v>3</v>
      </c>
      <c r="I199" s="49">
        <v>3387.86</v>
      </c>
      <c r="J199" s="49">
        <v>2034.29</v>
      </c>
      <c r="K199" s="49">
        <v>1015.36</v>
      </c>
      <c r="L199" s="54">
        <v>59</v>
      </c>
      <c r="M199" s="52" t="s">
        <v>50</v>
      </c>
      <c r="N199" s="55" t="s">
        <v>238</v>
      </c>
      <c r="O199" s="49">
        <v>218819.08</v>
      </c>
      <c r="P199" s="49">
        <f t="shared" si="13"/>
        <v>64.589174287013037</v>
      </c>
      <c r="Q199" s="49">
        <v>1343.9624181636782</v>
      </c>
    </row>
    <row r="200" spans="1:17" ht="35.25" x14ac:dyDescent="0.5">
      <c r="B200" s="56">
        <f t="shared" ref="B200" si="27">B199+1</f>
        <v>97</v>
      </c>
      <c r="C200" s="57" t="s">
        <v>566</v>
      </c>
      <c r="D200" s="52" t="s">
        <v>76</v>
      </c>
      <c r="E200" s="52"/>
      <c r="F200" s="53" t="s">
        <v>48</v>
      </c>
      <c r="G200" s="52">
        <v>2</v>
      </c>
      <c r="H200" s="52">
        <v>2</v>
      </c>
      <c r="I200" s="49">
        <v>786.9</v>
      </c>
      <c r="J200" s="49">
        <v>726.5</v>
      </c>
      <c r="K200" s="49">
        <v>315.5</v>
      </c>
      <c r="L200" s="54">
        <v>33</v>
      </c>
      <c r="M200" s="58" t="s">
        <v>50</v>
      </c>
      <c r="N200" s="55" t="s">
        <v>575</v>
      </c>
      <c r="O200" s="49">
        <v>24273.52</v>
      </c>
      <c r="P200" s="49">
        <f t="shared" si="13"/>
        <v>30.847019951709239</v>
      </c>
      <c r="Q200" s="49">
        <v>5351.7146397255055</v>
      </c>
    </row>
    <row r="201" spans="1:17" ht="35.25" x14ac:dyDescent="0.5">
      <c r="B201" s="109" t="s">
        <v>112</v>
      </c>
      <c r="C201" s="57"/>
      <c r="D201" s="52" t="s">
        <v>90</v>
      </c>
      <c r="E201" s="52" t="s">
        <v>90</v>
      </c>
      <c r="F201" s="53" t="s">
        <v>90</v>
      </c>
      <c r="G201" s="52" t="s">
        <v>90</v>
      </c>
      <c r="H201" s="52" t="s">
        <v>90</v>
      </c>
      <c r="I201" s="49">
        <f>SUM(I202:I203)</f>
        <v>15972.619999999999</v>
      </c>
      <c r="J201" s="49">
        <f t="shared" ref="J201:L201" si="28">SUM(J202:J203)</f>
        <v>13085.72</v>
      </c>
      <c r="K201" s="49">
        <f t="shared" si="28"/>
        <v>12402.84</v>
      </c>
      <c r="L201" s="54">
        <f t="shared" si="28"/>
        <v>615</v>
      </c>
      <c r="M201" s="52" t="s">
        <v>131</v>
      </c>
      <c r="N201" s="55" t="s">
        <v>131</v>
      </c>
      <c r="O201" s="49">
        <v>1988549.43</v>
      </c>
      <c r="P201" s="49">
        <f t="shared" si="13"/>
        <v>124.49738552598134</v>
      </c>
      <c r="Q201" s="49">
        <f>MAX(Q202:Q203)</f>
        <v>2078.6826562685833</v>
      </c>
    </row>
    <row r="202" spans="1:17" ht="35.25" x14ac:dyDescent="0.5">
      <c r="A202" s="1">
        <v>1</v>
      </c>
      <c r="B202" s="56">
        <f>B200+1</f>
        <v>98</v>
      </c>
      <c r="C202" s="57" t="s">
        <v>329</v>
      </c>
      <c r="D202" s="52">
        <v>1989</v>
      </c>
      <c r="E202" s="52"/>
      <c r="F202" s="53" t="s">
        <v>48</v>
      </c>
      <c r="G202" s="52">
        <v>5</v>
      </c>
      <c r="H202" s="52">
        <v>12</v>
      </c>
      <c r="I202" s="49">
        <v>10086.92</v>
      </c>
      <c r="J202" s="49">
        <v>8329.2199999999993</v>
      </c>
      <c r="K202" s="49">
        <v>7734.54</v>
      </c>
      <c r="L202" s="54">
        <v>405</v>
      </c>
      <c r="M202" s="52" t="s">
        <v>50</v>
      </c>
      <c r="N202" s="55" t="s">
        <v>376</v>
      </c>
      <c r="O202" s="49">
        <v>83534.5</v>
      </c>
      <c r="P202" s="49">
        <f t="shared" si="13"/>
        <v>8.2814674846236507</v>
      </c>
      <c r="Q202" s="49">
        <v>1719.9042955629664</v>
      </c>
    </row>
    <row r="203" spans="1:17" ht="35.25" x14ac:dyDescent="0.5">
      <c r="A203" s="1">
        <v>1</v>
      </c>
      <c r="B203" s="56">
        <f t="shared" ref="B203" si="29">B202+1</f>
        <v>99</v>
      </c>
      <c r="C203" s="57" t="s">
        <v>330</v>
      </c>
      <c r="D203" s="52">
        <v>1977</v>
      </c>
      <c r="E203" s="52"/>
      <c r="F203" s="53" t="s">
        <v>48</v>
      </c>
      <c r="G203" s="52">
        <v>5</v>
      </c>
      <c r="H203" s="52">
        <v>8</v>
      </c>
      <c r="I203" s="49">
        <v>5885.7</v>
      </c>
      <c r="J203" s="49">
        <v>4756.5</v>
      </c>
      <c r="K203" s="49">
        <v>4668.3</v>
      </c>
      <c r="L203" s="54">
        <v>210</v>
      </c>
      <c r="M203" s="52" t="s">
        <v>50</v>
      </c>
      <c r="N203" s="55" t="s">
        <v>377</v>
      </c>
      <c r="O203" s="49">
        <v>1905014.93</v>
      </c>
      <c r="P203" s="49">
        <f t="shared" si="13"/>
        <v>323.66837079701651</v>
      </c>
      <c r="Q203" s="49">
        <v>2078.6826562685833</v>
      </c>
    </row>
    <row r="204" spans="1:17" ht="35.25" x14ac:dyDescent="0.5">
      <c r="B204" s="109" t="s">
        <v>128</v>
      </c>
      <c r="C204" s="57"/>
      <c r="D204" s="52" t="s">
        <v>90</v>
      </c>
      <c r="E204" s="52" t="s">
        <v>90</v>
      </c>
      <c r="F204" s="53" t="s">
        <v>90</v>
      </c>
      <c r="G204" s="52" t="s">
        <v>90</v>
      </c>
      <c r="H204" s="52" t="s">
        <v>90</v>
      </c>
      <c r="I204" s="49">
        <f>I205+I206+I207</f>
        <v>3408</v>
      </c>
      <c r="J204" s="49">
        <f t="shared" ref="J204:L204" si="30">J205+J206+J207</f>
        <v>3083.5</v>
      </c>
      <c r="K204" s="49">
        <f t="shared" si="30"/>
        <v>2494.5</v>
      </c>
      <c r="L204" s="54">
        <f t="shared" si="30"/>
        <v>189</v>
      </c>
      <c r="M204" s="52" t="s">
        <v>131</v>
      </c>
      <c r="N204" s="55" t="s">
        <v>131</v>
      </c>
      <c r="O204" s="49">
        <v>654592.74</v>
      </c>
      <c r="P204" s="49">
        <f t="shared" si="13"/>
        <v>192.07533450704224</v>
      </c>
      <c r="Q204" s="49">
        <f>MAX(Q205:Q207)</f>
        <v>5664.1740484848488</v>
      </c>
    </row>
    <row r="205" spans="1:17" ht="35.25" x14ac:dyDescent="0.5">
      <c r="A205" s="1">
        <v>1</v>
      </c>
      <c r="B205" s="56">
        <f>B203+1</f>
        <v>100</v>
      </c>
      <c r="C205" s="57" t="s">
        <v>331</v>
      </c>
      <c r="D205" s="52">
        <v>1961</v>
      </c>
      <c r="E205" s="52"/>
      <c r="F205" s="53" t="s">
        <v>48</v>
      </c>
      <c r="G205" s="52">
        <v>2</v>
      </c>
      <c r="H205" s="52">
        <v>3</v>
      </c>
      <c r="I205" s="49">
        <v>825</v>
      </c>
      <c r="J205" s="49">
        <v>769.5</v>
      </c>
      <c r="K205" s="49">
        <v>628.1</v>
      </c>
      <c r="L205" s="54">
        <v>57</v>
      </c>
      <c r="M205" s="52" t="s">
        <v>50</v>
      </c>
      <c r="N205" s="55" t="s">
        <v>378</v>
      </c>
      <c r="O205" s="49">
        <v>590350.84</v>
      </c>
      <c r="P205" s="49">
        <f t="shared" si="13"/>
        <v>715.57677575757577</v>
      </c>
      <c r="Q205" s="49">
        <v>5664.1740484848488</v>
      </c>
    </row>
    <row r="206" spans="1:17" ht="35.25" x14ac:dyDescent="0.5">
      <c r="A206" s="1">
        <v>1</v>
      </c>
      <c r="B206" s="56">
        <f t="shared" ref="B206:B207" si="31">B205+1</f>
        <v>101</v>
      </c>
      <c r="C206" s="57" t="s">
        <v>332</v>
      </c>
      <c r="D206" s="52">
        <v>1985</v>
      </c>
      <c r="E206" s="52"/>
      <c r="F206" s="53" t="s">
        <v>48</v>
      </c>
      <c r="G206" s="52">
        <v>4</v>
      </c>
      <c r="H206" s="52">
        <v>2</v>
      </c>
      <c r="I206" s="49">
        <v>1789.9</v>
      </c>
      <c r="J206" s="49">
        <v>1591.4</v>
      </c>
      <c r="K206" s="49">
        <v>1185</v>
      </c>
      <c r="L206" s="54">
        <v>91</v>
      </c>
      <c r="M206" s="52" t="s">
        <v>50</v>
      </c>
      <c r="N206" s="55" t="s">
        <v>378</v>
      </c>
      <c r="O206" s="49">
        <v>30755.429999999997</v>
      </c>
      <c r="P206" s="49">
        <f t="shared" si="13"/>
        <v>17.182764400245819</v>
      </c>
      <c r="Q206" s="49">
        <v>2453.1788692105702</v>
      </c>
    </row>
    <row r="207" spans="1:17" ht="35.25" x14ac:dyDescent="0.5">
      <c r="B207" s="56">
        <f t="shared" si="31"/>
        <v>102</v>
      </c>
      <c r="C207" s="57" t="s">
        <v>567</v>
      </c>
      <c r="D207" s="52" t="s">
        <v>62</v>
      </c>
      <c r="E207" s="52"/>
      <c r="F207" s="53" t="s">
        <v>48</v>
      </c>
      <c r="G207" s="52">
        <v>2</v>
      </c>
      <c r="H207" s="52">
        <v>2</v>
      </c>
      <c r="I207" s="49">
        <v>793.1</v>
      </c>
      <c r="J207" s="49">
        <v>722.6</v>
      </c>
      <c r="K207" s="49">
        <v>681.4</v>
      </c>
      <c r="L207" s="54">
        <v>41</v>
      </c>
      <c r="M207" s="58" t="s">
        <v>50</v>
      </c>
      <c r="N207" s="55" t="s">
        <v>576</v>
      </c>
      <c r="O207" s="49">
        <v>33486.47</v>
      </c>
      <c r="P207" s="49">
        <f t="shared" si="13"/>
        <v>42.222254444584543</v>
      </c>
      <c r="Q207" s="49">
        <v>4672.6926490984742</v>
      </c>
    </row>
    <row r="208" spans="1:17" ht="35.25" x14ac:dyDescent="0.5">
      <c r="B208" s="109" t="s">
        <v>119</v>
      </c>
      <c r="C208" s="57"/>
      <c r="D208" s="52" t="s">
        <v>90</v>
      </c>
      <c r="E208" s="52" t="s">
        <v>90</v>
      </c>
      <c r="F208" s="53" t="s">
        <v>90</v>
      </c>
      <c r="G208" s="52" t="s">
        <v>90</v>
      </c>
      <c r="H208" s="52" t="s">
        <v>90</v>
      </c>
      <c r="I208" s="49">
        <f>I209</f>
        <v>677.1</v>
      </c>
      <c r="J208" s="49">
        <f t="shared" ref="J208:L208" si="32">J209</f>
        <v>618.1</v>
      </c>
      <c r="K208" s="49">
        <f t="shared" si="32"/>
        <v>363.3</v>
      </c>
      <c r="L208" s="54">
        <f t="shared" si="32"/>
        <v>37</v>
      </c>
      <c r="M208" s="52" t="s">
        <v>131</v>
      </c>
      <c r="N208" s="55" t="s">
        <v>131</v>
      </c>
      <c r="O208" s="49">
        <v>39585</v>
      </c>
      <c r="P208" s="49">
        <f t="shared" si="13"/>
        <v>58.462560921577314</v>
      </c>
      <c r="Q208" s="49">
        <f>Q209</f>
        <v>5012.504858957318</v>
      </c>
    </row>
    <row r="209" spans="1:17" ht="35.25" x14ac:dyDescent="0.5">
      <c r="A209" s="1">
        <v>1</v>
      </c>
      <c r="B209" s="56">
        <f>B207+1</f>
        <v>103</v>
      </c>
      <c r="C209" s="57" t="s">
        <v>333</v>
      </c>
      <c r="D209" s="52">
        <v>1991</v>
      </c>
      <c r="E209" s="52"/>
      <c r="F209" s="53" t="s">
        <v>60</v>
      </c>
      <c r="G209" s="52">
        <v>2</v>
      </c>
      <c r="H209" s="52">
        <v>2</v>
      </c>
      <c r="I209" s="49">
        <v>677.1</v>
      </c>
      <c r="J209" s="49">
        <v>618.1</v>
      </c>
      <c r="K209" s="49">
        <v>363.3</v>
      </c>
      <c r="L209" s="54">
        <v>37</v>
      </c>
      <c r="M209" s="52" t="s">
        <v>47</v>
      </c>
      <c r="N209" s="55" t="s">
        <v>49</v>
      </c>
      <c r="O209" s="49">
        <v>39585</v>
      </c>
      <c r="P209" s="49">
        <f t="shared" si="13"/>
        <v>58.462560921577314</v>
      </c>
      <c r="Q209" s="49">
        <v>5012.504858957318</v>
      </c>
    </row>
    <row r="210" spans="1:17" ht="35.25" x14ac:dyDescent="0.5">
      <c r="B210" s="109" t="s">
        <v>102</v>
      </c>
      <c r="C210" s="57"/>
      <c r="D210" s="52" t="s">
        <v>90</v>
      </c>
      <c r="E210" s="52" t="s">
        <v>90</v>
      </c>
      <c r="F210" s="53" t="s">
        <v>90</v>
      </c>
      <c r="G210" s="52" t="s">
        <v>90</v>
      </c>
      <c r="H210" s="52" t="s">
        <v>90</v>
      </c>
      <c r="I210" s="49">
        <f>I211</f>
        <v>805.6</v>
      </c>
      <c r="J210" s="49">
        <f t="shared" ref="J210:L210" si="33">J211</f>
        <v>744.2</v>
      </c>
      <c r="K210" s="49">
        <f t="shared" si="33"/>
        <v>701.4</v>
      </c>
      <c r="L210" s="54">
        <f t="shared" si="33"/>
        <v>44</v>
      </c>
      <c r="M210" s="52" t="s">
        <v>131</v>
      </c>
      <c r="N210" s="55" t="s">
        <v>131</v>
      </c>
      <c r="O210" s="49">
        <v>275468.56</v>
      </c>
      <c r="P210" s="49">
        <f t="shared" si="13"/>
        <v>341.94210526315788</v>
      </c>
      <c r="Q210" s="49">
        <f>Q211</f>
        <v>5483.0539721946379</v>
      </c>
    </row>
    <row r="211" spans="1:17" ht="35.25" x14ac:dyDescent="0.5">
      <c r="A211" s="1">
        <v>1</v>
      </c>
      <c r="B211" s="56">
        <f>B209+1</f>
        <v>104</v>
      </c>
      <c r="C211" s="57" t="s">
        <v>334</v>
      </c>
      <c r="D211" s="52">
        <v>1969</v>
      </c>
      <c r="E211" s="52"/>
      <c r="F211" s="53" t="s">
        <v>48</v>
      </c>
      <c r="G211" s="52">
        <v>2</v>
      </c>
      <c r="H211" s="52">
        <v>2</v>
      </c>
      <c r="I211" s="49">
        <v>805.6</v>
      </c>
      <c r="J211" s="49">
        <v>744.2</v>
      </c>
      <c r="K211" s="49">
        <v>701.4</v>
      </c>
      <c r="L211" s="54">
        <v>44</v>
      </c>
      <c r="M211" s="52" t="s">
        <v>47</v>
      </c>
      <c r="N211" s="55" t="s">
        <v>49</v>
      </c>
      <c r="O211" s="49">
        <v>275468.56</v>
      </c>
      <c r="P211" s="49">
        <f t="shared" si="13"/>
        <v>341.94210526315788</v>
      </c>
      <c r="Q211" s="49">
        <v>5483.0539721946379</v>
      </c>
    </row>
    <row r="212" spans="1:17" ht="35.25" x14ac:dyDescent="0.5">
      <c r="B212" s="109" t="s">
        <v>124</v>
      </c>
      <c r="C212" s="57"/>
      <c r="D212" s="52" t="s">
        <v>90</v>
      </c>
      <c r="E212" s="52" t="s">
        <v>90</v>
      </c>
      <c r="F212" s="53" t="s">
        <v>90</v>
      </c>
      <c r="G212" s="52" t="s">
        <v>90</v>
      </c>
      <c r="H212" s="52" t="s">
        <v>90</v>
      </c>
      <c r="I212" s="49">
        <f>I213</f>
        <v>1423.3</v>
      </c>
      <c r="J212" s="49">
        <f t="shared" ref="J212:L212" si="34">J213</f>
        <v>862.5</v>
      </c>
      <c r="K212" s="49">
        <f t="shared" si="34"/>
        <v>862.5</v>
      </c>
      <c r="L212" s="54">
        <f t="shared" si="34"/>
        <v>37</v>
      </c>
      <c r="M212" s="52" t="s">
        <v>131</v>
      </c>
      <c r="N212" s="55" t="s">
        <v>131</v>
      </c>
      <c r="O212" s="49">
        <v>50753.95</v>
      </c>
      <c r="P212" s="49">
        <f t="shared" si="13"/>
        <v>35.659347994098219</v>
      </c>
      <c r="Q212" s="49">
        <f>Q213</f>
        <v>3629.4649617087048</v>
      </c>
    </row>
    <row r="213" spans="1:17" ht="35.25" x14ac:dyDescent="0.5">
      <c r="B213" s="56">
        <f>B211+1</f>
        <v>105</v>
      </c>
      <c r="C213" s="57" t="s">
        <v>568</v>
      </c>
      <c r="D213" s="52">
        <v>1980</v>
      </c>
      <c r="E213" s="52"/>
      <c r="F213" s="53" t="s">
        <v>48</v>
      </c>
      <c r="G213" s="52">
        <v>2</v>
      </c>
      <c r="H213" s="52">
        <v>3</v>
      </c>
      <c r="I213" s="49">
        <v>1423.3</v>
      </c>
      <c r="J213" s="49">
        <v>862.5</v>
      </c>
      <c r="K213" s="49">
        <v>862.5</v>
      </c>
      <c r="L213" s="54">
        <v>37</v>
      </c>
      <c r="M213" s="52" t="s">
        <v>47</v>
      </c>
      <c r="N213" s="55" t="s">
        <v>49</v>
      </c>
      <c r="O213" s="49">
        <v>50753.95</v>
      </c>
      <c r="P213" s="49">
        <f t="shared" si="13"/>
        <v>35.659347994098219</v>
      </c>
      <c r="Q213" s="49">
        <v>3629.4649617087048</v>
      </c>
    </row>
    <row r="214" spans="1:17" ht="35.25" x14ac:dyDescent="0.5">
      <c r="B214" s="109" t="s">
        <v>116</v>
      </c>
      <c r="C214" s="57"/>
      <c r="D214" s="52" t="s">
        <v>90</v>
      </c>
      <c r="E214" s="52" t="s">
        <v>90</v>
      </c>
      <c r="F214" s="53" t="s">
        <v>90</v>
      </c>
      <c r="G214" s="52" t="s">
        <v>90</v>
      </c>
      <c r="H214" s="52" t="s">
        <v>90</v>
      </c>
      <c r="I214" s="49">
        <f>SUM(I215:I218)</f>
        <v>13349.95</v>
      </c>
      <c r="J214" s="49">
        <f t="shared" ref="J214:L214" si="35">SUM(J215:J218)</f>
        <v>8603.0499999999993</v>
      </c>
      <c r="K214" s="49">
        <f t="shared" si="35"/>
        <v>6388.1299999999992</v>
      </c>
      <c r="L214" s="54">
        <f t="shared" si="35"/>
        <v>640</v>
      </c>
      <c r="M214" s="52" t="s">
        <v>131</v>
      </c>
      <c r="N214" s="55" t="s">
        <v>131</v>
      </c>
      <c r="O214" s="49">
        <v>109537.78</v>
      </c>
      <c r="P214" s="49">
        <f t="shared" si="13"/>
        <v>8.205107884299192</v>
      </c>
      <c r="Q214" s="49">
        <f>MAX(Q216:Q218)</f>
        <v>6231.2593939104027</v>
      </c>
    </row>
    <row r="215" spans="1:17" ht="35.25" x14ac:dyDescent="0.5">
      <c r="A215" s="1">
        <v>1</v>
      </c>
      <c r="B215" s="56">
        <f>B213+1</f>
        <v>106</v>
      </c>
      <c r="C215" s="57" t="s">
        <v>335</v>
      </c>
      <c r="D215" s="52">
        <v>1984</v>
      </c>
      <c r="E215" s="52"/>
      <c r="F215" s="53" t="s">
        <v>60</v>
      </c>
      <c r="G215" s="52">
        <v>5</v>
      </c>
      <c r="H215" s="52">
        <v>6</v>
      </c>
      <c r="I215" s="49">
        <v>6737.77</v>
      </c>
      <c r="J215" s="49">
        <v>4669.7</v>
      </c>
      <c r="K215" s="49">
        <v>4492.3999999999996</v>
      </c>
      <c r="L215" s="54">
        <v>246</v>
      </c>
      <c r="M215" s="52" t="s">
        <v>50</v>
      </c>
      <c r="N215" s="55" t="s">
        <v>244</v>
      </c>
      <c r="O215" s="49">
        <v>82303.180000000008</v>
      </c>
      <c r="P215" s="49">
        <f t="shared" si="13"/>
        <v>12.215195828887007</v>
      </c>
      <c r="Q215" s="49">
        <v>1153.1914140732022</v>
      </c>
    </row>
    <row r="216" spans="1:17" ht="35.25" x14ac:dyDescent="0.5">
      <c r="A216" s="1">
        <v>1</v>
      </c>
      <c r="B216" s="56">
        <f t="shared" ref="B216:B218" si="36">B215+1</f>
        <v>107</v>
      </c>
      <c r="C216" s="57" t="s">
        <v>336</v>
      </c>
      <c r="D216" s="52">
        <v>1976</v>
      </c>
      <c r="E216" s="52"/>
      <c r="F216" s="53" t="s">
        <v>48</v>
      </c>
      <c r="G216" s="52">
        <v>2</v>
      </c>
      <c r="H216" s="52">
        <v>2</v>
      </c>
      <c r="I216" s="49">
        <v>590.55999999999995</v>
      </c>
      <c r="J216" s="49">
        <v>553.66</v>
      </c>
      <c r="K216" s="49">
        <v>414.9</v>
      </c>
      <c r="L216" s="54">
        <v>34</v>
      </c>
      <c r="M216" s="52" t="s">
        <v>50</v>
      </c>
      <c r="N216" s="55" t="s">
        <v>55</v>
      </c>
      <c r="O216" s="49">
        <v>13519.03</v>
      </c>
      <c r="P216" s="49">
        <f t="shared" si="13"/>
        <v>22.891882281224603</v>
      </c>
      <c r="Q216" s="49">
        <v>5646.6699319290174</v>
      </c>
    </row>
    <row r="217" spans="1:17" ht="35.25" x14ac:dyDescent="0.5">
      <c r="A217" s="1">
        <v>1</v>
      </c>
      <c r="B217" s="56">
        <f t="shared" si="36"/>
        <v>108</v>
      </c>
      <c r="C217" s="57" t="s">
        <v>337</v>
      </c>
      <c r="D217" s="52">
        <v>1975</v>
      </c>
      <c r="E217" s="52">
        <v>2010</v>
      </c>
      <c r="F217" s="53" t="s">
        <v>48</v>
      </c>
      <c r="G217" s="52">
        <v>5</v>
      </c>
      <c r="H217" s="52">
        <v>1</v>
      </c>
      <c r="I217" s="49">
        <v>5603.53</v>
      </c>
      <c r="J217" s="49">
        <v>3006.1</v>
      </c>
      <c r="K217" s="49">
        <v>1107.24</v>
      </c>
      <c r="L217" s="54">
        <v>341</v>
      </c>
      <c r="M217" s="52" t="s">
        <v>47</v>
      </c>
      <c r="N217" s="55" t="s">
        <v>49</v>
      </c>
      <c r="O217" s="49">
        <v>178357.44</v>
      </c>
      <c r="P217" s="49">
        <f t="shared" si="13"/>
        <v>31.829478917753633</v>
      </c>
      <c r="Q217" s="49">
        <v>969.4</v>
      </c>
    </row>
    <row r="218" spans="1:17" ht="35.25" x14ac:dyDescent="0.5">
      <c r="A218" s="1">
        <v>1</v>
      </c>
      <c r="B218" s="56">
        <f t="shared" si="36"/>
        <v>109</v>
      </c>
      <c r="C218" s="57" t="s">
        <v>895</v>
      </c>
      <c r="D218" s="52">
        <v>1968</v>
      </c>
      <c r="E218" s="52"/>
      <c r="F218" s="53" t="s">
        <v>48</v>
      </c>
      <c r="G218" s="52">
        <v>2</v>
      </c>
      <c r="H218" s="52">
        <v>2</v>
      </c>
      <c r="I218" s="49">
        <v>418.09</v>
      </c>
      <c r="J218" s="49">
        <v>373.59</v>
      </c>
      <c r="K218" s="49">
        <v>373.59</v>
      </c>
      <c r="L218" s="54">
        <v>19</v>
      </c>
      <c r="M218" s="52" t="s">
        <v>50</v>
      </c>
      <c r="N218" s="55" t="s">
        <v>55</v>
      </c>
      <c r="O218" s="49">
        <v>13715.57</v>
      </c>
      <c r="P218" s="49">
        <f t="shared" ref="P218:P241" si="37">O218/I218</f>
        <v>32.805305077854051</v>
      </c>
      <c r="Q218" s="49">
        <v>6231.2593939104027</v>
      </c>
    </row>
    <row r="219" spans="1:17" ht="35.25" x14ac:dyDescent="0.5">
      <c r="B219" s="109" t="s">
        <v>237</v>
      </c>
      <c r="C219" s="57"/>
      <c r="D219" s="52" t="s">
        <v>90</v>
      </c>
      <c r="E219" s="52" t="s">
        <v>90</v>
      </c>
      <c r="F219" s="53" t="s">
        <v>90</v>
      </c>
      <c r="G219" s="52" t="s">
        <v>90</v>
      </c>
      <c r="H219" s="52" t="s">
        <v>90</v>
      </c>
      <c r="I219" s="49">
        <f>I220</f>
        <v>418.1</v>
      </c>
      <c r="J219" s="49">
        <f t="shared" ref="J219:L219" si="38">J220</f>
        <v>377.6</v>
      </c>
      <c r="K219" s="49">
        <f t="shared" si="38"/>
        <v>284.3</v>
      </c>
      <c r="L219" s="54">
        <f t="shared" si="38"/>
        <v>12</v>
      </c>
      <c r="M219" s="52" t="s">
        <v>131</v>
      </c>
      <c r="N219" s="55" t="s">
        <v>131</v>
      </c>
      <c r="O219" s="49">
        <v>222759.59</v>
      </c>
      <c r="P219" s="49">
        <f t="shared" si="37"/>
        <v>532.79021765127959</v>
      </c>
      <c r="Q219" s="49">
        <f>Q220</f>
        <v>6416.5976287969388</v>
      </c>
    </row>
    <row r="220" spans="1:17" ht="35.25" x14ac:dyDescent="0.5">
      <c r="A220" s="1">
        <v>1</v>
      </c>
      <c r="B220" s="56">
        <f>B218+1</f>
        <v>110</v>
      </c>
      <c r="C220" s="57" t="s">
        <v>338</v>
      </c>
      <c r="D220" s="52">
        <v>1987</v>
      </c>
      <c r="E220" s="52"/>
      <c r="F220" s="53" t="s">
        <v>48</v>
      </c>
      <c r="G220" s="52">
        <v>2</v>
      </c>
      <c r="H220" s="52">
        <v>2</v>
      </c>
      <c r="I220" s="49">
        <v>418.1</v>
      </c>
      <c r="J220" s="49">
        <v>377.6</v>
      </c>
      <c r="K220" s="49">
        <v>284.3</v>
      </c>
      <c r="L220" s="54">
        <v>12</v>
      </c>
      <c r="M220" s="52" t="s">
        <v>47</v>
      </c>
      <c r="N220" s="55" t="s">
        <v>49</v>
      </c>
      <c r="O220" s="49">
        <v>222759.59</v>
      </c>
      <c r="P220" s="49">
        <f t="shared" si="37"/>
        <v>532.79021765127959</v>
      </c>
      <c r="Q220" s="49">
        <v>6416.5976287969388</v>
      </c>
    </row>
    <row r="221" spans="1:17" ht="35.25" x14ac:dyDescent="0.5">
      <c r="B221" s="109" t="s">
        <v>114</v>
      </c>
      <c r="C221" s="57"/>
      <c r="D221" s="52" t="s">
        <v>90</v>
      </c>
      <c r="E221" s="52" t="s">
        <v>90</v>
      </c>
      <c r="F221" s="53" t="s">
        <v>90</v>
      </c>
      <c r="G221" s="52" t="s">
        <v>90</v>
      </c>
      <c r="H221" s="52" t="s">
        <v>90</v>
      </c>
      <c r="I221" s="49">
        <f>I222</f>
        <v>344.6</v>
      </c>
      <c r="J221" s="49">
        <f t="shared" ref="J221:L221" si="39">J222</f>
        <v>312.2</v>
      </c>
      <c r="K221" s="49">
        <f t="shared" si="39"/>
        <v>312.2</v>
      </c>
      <c r="L221" s="54">
        <f t="shared" si="39"/>
        <v>15</v>
      </c>
      <c r="M221" s="52" t="s">
        <v>131</v>
      </c>
      <c r="N221" s="55" t="s">
        <v>131</v>
      </c>
      <c r="O221" s="49">
        <v>137654.99000000002</v>
      </c>
      <c r="P221" s="49">
        <f t="shared" si="37"/>
        <v>399.46311665699363</v>
      </c>
      <c r="Q221" s="49">
        <f>Q222</f>
        <v>5915.4176111433544</v>
      </c>
    </row>
    <row r="222" spans="1:17" ht="35.25" x14ac:dyDescent="0.5">
      <c r="A222" s="1">
        <v>1</v>
      </c>
      <c r="B222" s="56">
        <f>B220+1</f>
        <v>111</v>
      </c>
      <c r="C222" s="57" t="s">
        <v>339</v>
      </c>
      <c r="D222" s="52">
        <v>1975</v>
      </c>
      <c r="E222" s="52"/>
      <c r="F222" s="53" t="s">
        <v>48</v>
      </c>
      <c r="G222" s="52">
        <v>2</v>
      </c>
      <c r="H222" s="52">
        <v>1</v>
      </c>
      <c r="I222" s="49">
        <v>344.6</v>
      </c>
      <c r="J222" s="49">
        <v>312.2</v>
      </c>
      <c r="K222" s="49">
        <v>312.2</v>
      </c>
      <c r="L222" s="54">
        <v>15</v>
      </c>
      <c r="M222" s="52" t="s">
        <v>47</v>
      </c>
      <c r="N222" s="55" t="s">
        <v>49</v>
      </c>
      <c r="O222" s="49">
        <v>137654.99000000002</v>
      </c>
      <c r="P222" s="49">
        <f t="shared" si="37"/>
        <v>399.46311665699363</v>
      </c>
      <c r="Q222" s="49">
        <v>5915.4176111433544</v>
      </c>
    </row>
    <row r="223" spans="1:17" ht="35.25" x14ac:dyDescent="0.5">
      <c r="B223" s="109" t="s">
        <v>107</v>
      </c>
      <c r="C223" s="57"/>
      <c r="D223" s="52" t="s">
        <v>90</v>
      </c>
      <c r="E223" s="52" t="s">
        <v>90</v>
      </c>
      <c r="F223" s="53" t="s">
        <v>90</v>
      </c>
      <c r="G223" s="52" t="s">
        <v>90</v>
      </c>
      <c r="H223" s="52" t="s">
        <v>90</v>
      </c>
      <c r="I223" s="49">
        <f>I224</f>
        <v>3508.9</v>
      </c>
      <c r="J223" s="49">
        <f t="shared" ref="J223:L223" si="40">J224</f>
        <v>3167.7</v>
      </c>
      <c r="K223" s="49">
        <f t="shared" si="40"/>
        <v>2665.2</v>
      </c>
      <c r="L223" s="54">
        <f t="shared" si="40"/>
        <v>145</v>
      </c>
      <c r="M223" s="52" t="s">
        <v>131</v>
      </c>
      <c r="N223" s="55" t="s">
        <v>131</v>
      </c>
      <c r="O223" s="49">
        <v>894902.36</v>
      </c>
      <c r="P223" s="49">
        <f t="shared" si="37"/>
        <v>255.03786371797429</v>
      </c>
      <c r="Q223" s="49">
        <f>Q224</f>
        <v>711.20978084299918</v>
      </c>
    </row>
    <row r="224" spans="1:17" ht="35.25" x14ac:dyDescent="0.5">
      <c r="A224" s="1">
        <v>1</v>
      </c>
      <c r="B224" s="56">
        <f>B222+1</f>
        <v>112</v>
      </c>
      <c r="C224" s="57" t="s">
        <v>340</v>
      </c>
      <c r="D224" s="52">
        <v>1987</v>
      </c>
      <c r="E224" s="52"/>
      <c r="F224" s="53" t="s">
        <v>60</v>
      </c>
      <c r="G224" s="52">
        <v>5</v>
      </c>
      <c r="H224" s="52">
        <v>4</v>
      </c>
      <c r="I224" s="49">
        <v>3508.9</v>
      </c>
      <c r="J224" s="49">
        <v>3167.7</v>
      </c>
      <c r="K224" s="49">
        <v>2665.2</v>
      </c>
      <c r="L224" s="54">
        <v>145</v>
      </c>
      <c r="M224" s="52" t="s">
        <v>47</v>
      </c>
      <c r="N224" s="55" t="s">
        <v>49</v>
      </c>
      <c r="O224" s="49">
        <v>894902.36</v>
      </c>
      <c r="P224" s="49">
        <f t="shared" si="37"/>
        <v>255.03786371797429</v>
      </c>
      <c r="Q224" s="49">
        <v>711.20978084299918</v>
      </c>
    </row>
    <row r="225" spans="1:17" ht="35.25" x14ac:dyDescent="0.5">
      <c r="B225" s="109" t="s">
        <v>111</v>
      </c>
      <c r="C225" s="57"/>
      <c r="D225" s="52" t="s">
        <v>90</v>
      </c>
      <c r="E225" s="52" t="s">
        <v>90</v>
      </c>
      <c r="F225" s="53" t="s">
        <v>90</v>
      </c>
      <c r="G225" s="52" t="s">
        <v>90</v>
      </c>
      <c r="H225" s="52" t="s">
        <v>90</v>
      </c>
      <c r="I225" s="49">
        <f>I226</f>
        <v>719.4</v>
      </c>
      <c r="J225" s="49">
        <f t="shared" ref="J225:L225" si="41">J226</f>
        <v>531.6</v>
      </c>
      <c r="K225" s="49">
        <f t="shared" si="41"/>
        <v>471.6</v>
      </c>
      <c r="L225" s="54">
        <f t="shared" si="41"/>
        <v>30</v>
      </c>
      <c r="M225" s="52" t="s">
        <v>131</v>
      </c>
      <c r="N225" s="55" t="s">
        <v>131</v>
      </c>
      <c r="O225" s="49">
        <v>40586.949999999997</v>
      </c>
      <c r="P225" s="49">
        <f t="shared" si="37"/>
        <v>56.41777870447595</v>
      </c>
      <c r="Q225" s="49">
        <f>Q226</f>
        <v>5645.7192243536274</v>
      </c>
    </row>
    <row r="226" spans="1:17" ht="35.25" x14ac:dyDescent="0.5">
      <c r="A226" s="1">
        <v>1</v>
      </c>
      <c r="B226" s="56">
        <f>B224+1</f>
        <v>113</v>
      </c>
      <c r="C226" s="57" t="s">
        <v>341</v>
      </c>
      <c r="D226" s="52">
        <v>1975</v>
      </c>
      <c r="E226" s="52"/>
      <c r="F226" s="53" t="s">
        <v>48</v>
      </c>
      <c r="G226" s="52">
        <v>2</v>
      </c>
      <c r="H226" s="52">
        <v>2</v>
      </c>
      <c r="I226" s="49">
        <v>719.4</v>
      </c>
      <c r="J226" s="49">
        <v>531.6</v>
      </c>
      <c r="K226" s="49">
        <v>471.6</v>
      </c>
      <c r="L226" s="54">
        <v>30</v>
      </c>
      <c r="M226" s="52" t="s">
        <v>47</v>
      </c>
      <c r="N226" s="55" t="s">
        <v>49</v>
      </c>
      <c r="O226" s="49">
        <v>40586.949999999997</v>
      </c>
      <c r="P226" s="49">
        <f t="shared" si="37"/>
        <v>56.41777870447595</v>
      </c>
      <c r="Q226" s="49">
        <v>5645.7192243536274</v>
      </c>
    </row>
    <row r="227" spans="1:17" ht="35.25" x14ac:dyDescent="0.5">
      <c r="B227" s="109" t="s">
        <v>118</v>
      </c>
      <c r="C227" s="57"/>
      <c r="D227" s="52" t="s">
        <v>90</v>
      </c>
      <c r="E227" s="52" t="s">
        <v>90</v>
      </c>
      <c r="F227" s="53" t="s">
        <v>90</v>
      </c>
      <c r="G227" s="52" t="s">
        <v>90</v>
      </c>
      <c r="H227" s="52" t="s">
        <v>90</v>
      </c>
      <c r="I227" s="49">
        <f>I228</f>
        <v>930</v>
      </c>
      <c r="J227" s="49">
        <f t="shared" ref="J227:L227" si="42">J228</f>
        <v>857.4</v>
      </c>
      <c r="K227" s="49">
        <f t="shared" si="42"/>
        <v>561.4</v>
      </c>
      <c r="L227" s="54">
        <f t="shared" si="42"/>
        <v>45</v>
      </c>
      <c r="M227" s="52" t="s">
        <v>131</v>
      </c>
      <c r="N227" s="55" t="s">
        <v>131</v>
      </c>
      <c r="O227" s="49">
        <v>39622.869999999995</v>
      </c>
      <c r="P227" s="49">
        <f t="shared" si="37"/>
        <v>42.605236559139783</v>
      </c>
      <c r="Q227" s="49">
        <f>Q228</f>
        <v>5111.8810967741938</v>
      </c>
    </row>
    <row r="228" spans="1:17" ht="35.25" x14ac:dyDescent="0.5">
      <c r="A228" s="1">
        <v>1</v>
      </c>
      <c r="B228" s="56">
        <f>B226+1</f>
        <v>114</v>
      </c>
      <c r="C228" s="57" t="s">
        <v>342</v>
      </c>
      <c r="D228" s="52">
        <v>1973</v>
      </c>
      <c r="E228" s="52"/>
      <c r="F228" s="53" t="s">
        <v>48</v>
      </c>
      <c r="G228" s="52">
        <v>2</v>
      </c>
      <c r="H228" s="52">
        <v>3</v>
      </c>
      <c r="I228" s="49">
        <v>930</v>
      </c>
      <c r="J228" s="49">
        <v>857.4</v>
      </c>
      <c r="K228" s="49">
        <v>561.4</v>
      </c>
      <c r="L228" s="54">
        <v>45</v>
      </c>
      <c r="M228" s="52" t="s">
        <v>50</v>
      </c>
      <c r="N228" s="55" t="s">
        <v>51</v>
      </c>
      <c r="O228" s="49">
        <v>39622.869999999995</v>
      </c>
      <c r="P228" s="49">
        <f t="shared" si="37"/>
        <v>42.605236559139783</v>
      </c>
      <c r="Q228" s="49">
        <v>5111.8810967741938</v>
      </c>
    </row>
    <row r="229" spans="1:17" ht="35.25" x14ac:dyDescent="0.5">
      <c r="B229" s="109" t="s">
        <v>106</v>
      </c>
      <c r="C229" s="57"/>
      <c r="D229" s="52" t="s">
        <v>90</v>
      </c>
      <c r="E229" s="52" t="s">
        <v>90</v>
      </c>
      <c r="F229" s="53" t="s">
        <v>90</v>
      </c>
      <c r="G229" s="52" t="s">
        <v>90</v>
      </c>
      <c r="H229" s="52" t="s">
        <v>90</v>
      </c>
      <c r="I229" s="49">
        <f>I230</f>
        <v>5432.4</v>
      </c>
      <c r="J229" s="49">
        <f t="shared" ref="J229:L229" si="43">J230</f>
        <v>4626.3999999999996</v>
      </c>
      <c r="K229" s="49">
        <f t="shared" si="43"/>
        <v>4626.3999999999996</v>
      </c>
      <c r="L229" s="54">
        <f t="shared" si="43"/>
        <v>181</v>
      </c>
      <c r="M229" s="52" t="s">
        <v>131</v>
      </c>
      <c r="N229" s="55" t="s">
        <v>131</v>
      </c>
      <c r="O229" s="49">
        <v>1045972.2</v>
      </c>
      <c r="P229" s="49">
        <f t="shared" si="37"/>
        <v>192.54329578087035</v>
      </c>
      <c r="Q229" s="49">
        <f>Q230</f>
        <v>1363.2254933362788</v>
      </c>
    </row>
    <row r="230" spans="1:17" ht="35.25" x14ac:dyDescent="0.5">
      <c r="A230" s="1">
        <v>1</v>
      </c>
      <c r="B230" s="56">
        <f>B228+1</f>
        <v>115</v>
      </c>
      <c r="C230" s="57" t="s">
        <v>893</v>
      </c>
      <c r="D230" s="52">
        <v>1977</v>
      </c>
      <c r="E230" s="52"/>
      <c r="F230" s="53" t="s">
        <v>60</v>
      </c>
      <c r="G230" s="52">
        <v>5</v>
      </c>
      <c r="H230" s="52">
        <v>6</v>
      </c>
      <c r="I230" s="49">
        <v>5432.4</v>
      </c>
      <c r="J230" s="49">
        <v>4626.3999999999996</v>
      </c>
      <c r="K230" s="49">
        <f>J230</f>
        <v>4626.3999999999996</v>
      </c>
      <c r="L230" s="54">
        <v>181</v>
      </c>
      <c r="M230" s="52" t="s">
        <v>50</v>
      </c>
      <c r="N230" s="55" t="s">
        <v>95</v>
      </c>
      <c r="O230" s="49">
        <v>1045972.2</v>
      </c>
      <c r="P230" s="49">
        <f t="shared" si="37"/>
        <v>192.54329578087035</v>
      </c>
      <c r="Q230" s="49">
        <v>1363.2254933362788</v>
      </c>
    </row>
    <row r="231" spans="1:17" ht="35.25" x14ac:dyDescent="0.5">
      <c r="B231" s="109" t="s">
        <v>109</v>
      </c>
      <c r="C231" s="57"/>
      <c r="D231" s="52" t="s">
        <v>90</v>
      </c>
      <c r="E231" s="52" t="s">
        <v>90</v>
      </c>
      <c r="F231" s="53" t="s">
        <v>90</v>
      </c>
      <c r="G231" s="52" t="s">
        <v>90</v>
      </c>
      <c r="H231" s="52" t="s">
        <v>90</v>
      </c>
      <c r="I231" s="49">
        <f>SUM(I232:I233)</f>
        <v>1000</v>
      </c>
      <c r="J231" s="49">
        <f t="shared" ref="J231:L231" si="44">SUM(J232:J233)</f>
        <v>897</v>
      </c>
      <c r="K231" s="49">
        <f t="shared" si="44"/>
        <v>578</v>
      </c>
      <c r="L231" s="54">
        <f t="shared" si="44"/>
        <v>54</v>
      </c>
      <c r="M231" s="52" t="s">
        <v>131</v>
      </c>
      <c r="N231" s="55" t="s">
        <v>131</v>
      </c>
      <c r="O231" s="49">
        <v>155656.99</v>
      </c>
      <c r="P231" s="49">
        <f t="shared" si="37"/>
        <v>155.65698999999998</v>
      </c>
      <c r="Q231" s="49">
        <f>MAX(Q232:Q233)</f>
        <v>5950.9603076923077</v>
      </c>
    </row>
    <row r="232" spans="1:17" ht="35.25" x14ac:dyDescent="0.5">
      <c r="A232" s="1">
        <v>1</v>
      </c>
      <c r="B232" s="56">
        <f>B230+1</f>
        <v>116</v>
      </c>
      <c r="C232" s="57" t="s">
        <v>350</v>
      </c>
      <c r="D232" s="52">
        <v>1967</v>
      </c>
      <c r="E232" s="52"/>
      <c r="F232" s="53" t="s">
        <v>48</v>
      </c>
      <c r="G232" s="52">
        <v>2</v>
      </c>
      <c r="H232" s="52">
        <v>2</v>
      </c>
      <c r="I232" s="49">
        <v>610</v>
      </c>
      <c r="J232" s="49">
        <v>558</v>
      </c>
      <c r="K232" s="49">
        <v>380.7</v>
      </c>
      <c r="L232" s="54">
        <v>33</v>
      </c>
      <c r="M232" s="52" t="s">
        <v>47</v>
      </c>
      <c r="N232" s="55" t="s">
        <v>49</v>
      </c>
      <c r="O232" s="49">
        <v>78556.570000000007</v>
      </c>
      <c r="P232" s="49">
        <f t="shared" si="37"/>
        <v>128.78126229508197</v>
      </c>
      <c r="Q232" s="49">
        <v>5901.3951967213115</v>
      </c>
    </row>
    <row r="233" spans="1:17" ht="35.25" x14ac:dyDescent="0.5">
      <c r="A233" s="1">
        <v>1</v>
      </c>
      <c r="B233" s="56">
        <f t="shared" ref="B233" si="45">B232+1</f>
        <v>117</v>
      </c>
      <c r="C233" s="57" t="s">
        <v>351</v>
      </c>
      <c r="D233" s="52">
        <v>1965</v>
      </c>
      <c r="E233" s="52"/>
      <c r="F233" s="53" t="s">
        <v>48</v>
      </c>
      <c r="G233" s="52">
        <v>2</v>
      </c>
      <c r="H233" s="52">
        <v>2</v>
      </c>
      <c r="I233" s="49">
        <v>390</v>
      </c>
      <c r="J233" s="49">
        <v>339</v>
      </c>
      <c r="K233" s="49">
        <v>197.3</v>
      </c>
      <c r="L233" s="54">
        <v>21</v>
      </c>
      <c r="M233" s="52" t="s">
        <v>47</v>
      </c>
      <c r="N233" s="55" t="s">
        <v>49</v>
      </c>
      <c r="O233" s="49">
        <v>77100.42</v>
      </c>
      <c r="P233" s="49">
        <f t="shared" si="37"/>
        <v>197.69338461538462</v>
      </c>
      <c r="Q233" s="49">
        <v>5950.9603076923077</v>
      </c>
    </row>
    <row r="234" spans="1:17" ht="35.25" x14ac:dyDescent="0.5">
      <c r="B234" s="109" t="s">
        <v>210</v>
      </c>
      <c r="C234" s="57"/>
      <c r="D234" s="52" t="s">
        <v>90</v>
      </c>
      <c r="E234" s="52" t="s">
        <v>90</v>
      </c>
      <c r="F234" s="53" t="s">
        <v>90</v>
      </c>
      <c r="G234" s="52" t="s">
        <v>90</v>
      </c>
      <c r="H234" s="52" t="s">
        <v>90</v>
      </c>
      <c r="I234" s="49">
        <f>I235</f>
        <v>1707.6</v>
      </c>
      <c r="J234" s="49">
        <f t="shared" ref="J234:L234" si="46">J235</f>
        <v>1346.4</v>
      </c>
      <c r="K234" s="49">
        <f t="shared" si="46"/>
        <v>1242.0999999999999</v>
      </c>
      <c r="L234" s="54">
        <f t="shared" si="46"/>
        <v>83</v>
      </c>
      <c r="M234" s="52" t="s">
        <v>131</v>
      </c>
      <c r="N234" s="55" t="s">
        <v>131</v>
      </c>
      <c r="O234" s="49">
        <v>5309.7</v>
      </c>
      <c r="P234" s="49">
        <f t="shared" si="37"/>
        <v>3.1094518622628251</v>
      </c>
      <c r="Q234" s="49">
        <f>Q235</f>
        <v>1569.5922557976107</v>
      </c>
    </row>
    <row r="235" spans="1:17" ht="35.25" x14ac:dyDescent="0.5">
      <c r="A235" s="1">
        <v>1</v>
      </c>
      <c r="B235" s="56">
        <f>B233+1</f>
        <v>118</v>
      </c>
      <c r="C235" s="57" t="s">
        <v>385</v>
      </c>
      <c r="D235" s="52">
        <v>1985</v>
      </c>
      <c r="E235" s="52"/>
      <c r="F235" s="53" t="s">
        <v>48</v>
      </c>
      <c r="G235" s="52">
        <v>5</v>
      </c>
      <c r="H235" s="52">
        <v>1</v>
      </c>
      <c r="I235" s="49">
        <v>1707.6</v>
      </c>
      <c r="J235" s="49">
        <v>1346.4</v>
      </c>
      <c r="K235" s="49">
        <v>1242.0999999999999</v>
      </c>
      <c r="L235" s="54">
        <v>83</v>
      </c>
      <c r="M235" s="52" t="s">
        <v>50</v>
      </c>
      <c r="N235" s="55" t="s">
        <v>386</v>
      </c>
      <c r="O235" s="49">
        <v>5309.7</v>
      </c>
      <c r="P235" s="49">
        <f t="shared" si="37"/>
        <v>3.1094518622628251</v>
      </c>
      <c r="Q235" s="49">
        <v>1569.5922557976107</v>
      </c>
    </row>
    <row r="236" spans="1:17" ht="35.25" x14ac:dyDescent="0.5">
      <c r="B236" s="109" t="s">
        <v>127</v>
      </c>
      <c r="C236" s="57"/>
      <c r="D236" s="52" t="s">
        <v>90</v>
      </c>
      <c r="E236" s="52" t="s">
        <v>90</v>
      </c>
      <c r="F236" s="53" t="s">
        <v>90</v>
      </c>
      <c r="G236" s="52" t="s">
        <v>90</v>
      </c>
      <c r="H236" s="52" t="s">
        <v>90</v>
      </c>
      <c r="I236" s="49">
        <f>I237</f>
        <v>773.3</v>
      </c>
      <c r="J236" s="49">
        <f t="shared" ref="J236:L236" si="47">J237</f>
        <v>709.7</v>
      </c>
      <c r="K236" s="49">
        <f t="shared" si="47"/>
        <v>676.4</v>
      </c>
      <c r="L236" s="54">
        <f t="shared" si="47"/>
        <v>25</v>
      </c>
      <c r="M236" s="52" t="s">
        <v>131</v>
      </c>
      <c r="N236" s="55" t="s">
        <v>131</v>
      </c>
      <c r="O236" s="49">
        <v>188216.53</v>
      </c>
      <c r="P236" s="49">
        <f t="shared" si="37"/>
        <v>243.39393508340879</v>
      </c>
      <c r="Q236" s="49">
        <f>Q237</f>
        <v>1501.8402903142378</v>
      </c>
    </row>
    <row r="237" spans="1:17" ht="35.25" x14ac:dyDescent="0.5">
      <c r="B237" s="56">
        <f>B235+1</f>
        <v>119</v>
      </c>
      <c r="C237" s="57" t="s">
        <v>393</v>
      </c>
      <c r="D237" s="52">
        <v>1982</v>
      </c>
      <c r="E237" s="52"/>
      <c r="F237" s="53" t="s">
        <v>241</v>
      </c>
      <c r="G237" s="52">
        <v>5</v>
      </c>
      <c r="H237" s="52">
        <v>1</v>
      </c>
      <c r="I237" s="49">
        <v>773.3</v>
      </c>
      <c r="J237" s="49">
        <v>709.7</v>
      </c>
      <c r="K237" s="49">
        <v>676.4</v>
      </c>
      <c r="L237" s="54">
        <v>25</v>
      </c>
      <c r="M237" s="52" t="s">
        <v>47</v>
      </c>
      <c r="N237" s="55" t="s">
        <v>49</v>
      </c>
      <c r="O237" s="49">
        <v>188216.53</v>
      </c>
      <c r="P237" s="49">
        <f t="shared" si="37"/>
        <v>243.39393508340879</v>
      </c>
      <c r="Q237" s="49">
        <v>1501.8402903142378</v>
      </c>
    </row>
    <row r="238" spans="1:17" ht="35.25" x14ac:dyDescent="0.5">
      <c r="B238" s="109" t="s">
        <v>117</v>
      </c>
      <c r="C238" s="57"/>
      <c r="D238" s="52" t="s">
        <v>90</v>
      </c>
      <c r="E238" s="52" t="s">
        <v>90</v>
      </c>
      <c r="F238" s="53" t="s">
        <v>90</v>
      </c>
      <c r="G238" s="52" t="s">
        <v>90</v>
      </c>
      <c r="H238" s="52" t="s">
        <v>90</v>
      </c>
      <c r="I238" s="49">
        <f>I239</f>
        <v>3094.98</v>
      </c>
      <c r="J238" s="49">
        <f t="shared" ref="J238:L240" si="48">J239</f>
        <v>2793.4</v>
      </c>
      <c r="K238" s="49">
        <f t="shared" si="48"/>
        <v>2250.5</v>
      </c>
      <c r="L238" s="54">
        <f t="shared" si="48"/>
        <v>157</v>
      </c>
      <c r="M238" s="52" t="s">
        <v>131</v>
      </c>
      <c r="N238" s="55" t="s">
        <v>131</v>
      </c>
      <c r="O238" s="49">
        <v>29122.38</v>
      </c>
      <c r="P238" s="49">
        <f t="shared" si="37"/>
        <v>9.4095535350793877</v>
      </c>
      <c r="Q238" s="49">
        <f>Q239</f>
        <v>969.4</v>
      </c>
    </row>
    <row r="239" spans="1:17" ht="35.25" x14ac:dyDescent="0.5">
      <c r="B239" s="56">
        <f>B237+1</f>
        <v>120</v>
      </c>
      <c r="C239" s="57" t="s">
        <v>569</v>
      </c>
      <c r="D239" s="52" t="s">
        <v>79</v>
      </c>
      <c r="E239" s="52"/>
      <c r="F239" s="53" t="s">
        <v>48</v>
      </c>
      <c r="G239" s="52">
        <v>5</v>
      </c>
      <c r="H239" s="52">
        <v>4</v>
      </c>
      <c r="I239" s="49">
        <v>3094.98</v>
      </c>
      <c r="J239" s="49">
        <v>2793.4</v>
      </c>
      <c r="K239" s="49">
        <v>2250.5</v>
      </c>
      <c r="L239" s="54">
        <v>157</v>
      </c>
      <c r="M239" s="52" t="s">
        <v>50</v>
      </c>
      <c r="N239" s="55" t="s">
        <v>577</v>
      </c>
      <c r="O239" s="49">
        <v>29122.38</v>
      </c>
      <c r="P239" s="49">
        <f t="shared" si="37"/>
        <v>9.4095535350793877</v>
      </c>
      <c r="Q239" s="49">
        <v>969.4</v>
      </c>
    </row>
    <row r="240" spans="1:17" ht="35.25" x14ac:dyDescent="0.5">
      <c r="B240" s="109" t="s">
        <v>117</v>
      </c>
      <c r="C240" s="57"/>
      <c r="D240" s="52" t="s">
        <v>90</v>
      </c>
      <c r="E240" s="52" t="s">
        <v>90</v>
      </c>
      <c r="F240" s="53" t="s">
        <v>90</v>
      </c>
      <c r="G240" s="52" t="s">
        <v>90</v>
      </c>
      <c r="H240" s="52" t="s">
        <v>90</v>
      </c>
      <c r="I240" s="49">
        <f>I241</f>
        <v>2034.7</v>
      </c>
      <c r="J240" s="49">
        <f t="shared" si="48"/>
        <v>1884.7</v>
      </c>
      <c r="K240" s="49">
        <f t="shared" si="48"/>
        <v>1600.6</v>
      </c>
      <c r="L240" s="54">
        <f t="shared" si="48"/>
        <v>104</v>
      </c>
      <c r="M240" s="52" t="s">
        <v>131</v>
      </c>
      <c r="N240" s="55" t="s">
        <v>131</v>
      </c>
      <c r="O240" s="49">
        <v>4917329.37</v>
      </c>
      <c r="P240" s="49">
        <f t="shared" si="37"/>
        <v>2416.7343441293556</v>
      </c>
      <c r="Q240" s="49">
        <f>Q241</f>
        <v>3127.5805769892368</v>
      </c>
    </row>
    <row r="241" spans="2:17" ht="35.25" x14ac:dyDescent="0.5">
      <c r="B241" s="56">
        <f>B239+1</f>
        <v>121</v>
      </c>
      <c r="C241" s="57" t="s">
        <v>892</v>
      </c>
      <c r="D241" s="52">
        <v>1982</v>
      </c>
      <c r="E241" s="52"/>
      <c r="F241" s="53" t="s">
        <v>48</v>
      </c>
      <c r="G241" s="52">
        <v>3</v>
      </c>
      <c r="H241" s="52">
        <v>4</v>
      </c>
      <c r="I241" s="49">
        <v>2034.7</v>
      </c>
      <c r="J241" s="49">
        <v>1884.7</v>
      </c>
      <c r="K241" s="49">
        <v>1600.6</v>
      </c>
      <c r="L241" s="54">
        <v>104</v>
      </c>
      <c r="M241" s="52" t="s">
        <v>50</v>
      </c>
      <c r="N241" s="55" t="s">
        <v>54</v>
      </c>
      <c r="O241" s="49">
        <v>4917329.37</v>
      </c>
      <c r="P241" s="49">
        <f t="shared" si="37"/>
        <v>2416.7343441293556</v>
      </c>
      <c r="Q241" s="49">
        <v>3127.5805769892368</v>
      </c>
    </row>
  </sheetData>
  <autoFilter ref="A11:Q241"/>
  <mergeCells count="23">
    <mergeCell ref="O4:Q4"/>
    <mergeCell ref="N5:Q5"/>
    <mergeCell ref="B6:Q6"/>
    <mergeCell ref="B7:B10"/>
    <mergeCell ref="C7:C10"/>
    <mergeCell ref="D7:E7"/>
    <mergeCell ref="F7:F10"/>
    <mergeCell ref="G7:G10"/>
    <mergeCell ref="H7:H10"/>
    <mergeCell ref="I7:I9"/>
    <mergeCell ref="B87:Q87"/>
    <mergeCell ref="Q7:Q9"/>
    <mergeCell ref="D8:D10"/>
    <mergeCell ref="E8:E10"/>
    <mergeCell ref="J8:J9"/>
    <mergeCell ref="K8:K9"/>
    <mergeCell ref="B12:Q12"/>
    <mergeCell ref="J7:K7"/>
    <mergeCell ref="L7:L9"/>
    <mergeCell ref="M7:M10"/>
    <mergeCell ref="N7:N10"/>
    <mergeCell ref="O7:O9"/>
    <mergeCell ref="P7:P9"/>
  </mergeCells>
  <pageMargins left="0" right="0" top="0" bottom="0" header="0" footer="0"/>
  <pageSetup paperSize="9" scale="1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zoomScale="60" zoomScaleNormal="60" workbookViewId="0">
      <selection sqref="A1:XFD1048576"/>
    </sheetView>
  </sheetViews>
  <sheetFormatPr defaultRowHeight="15" x14ac:dyDescent="0.25"/>
  <cols>
    <col min="1" max="1" width="12" style="1" customWidth="1"/>
    <col min="2" max="2" width="60.5703125" style="1" customWidth="1"/>
    <col min="3" max="3" width="22.140625" style="1" customWidth="1"/>
    <col min="4" max="4" width="38.85546875" style="1" customWidth="1"/>
    <col min="5" max="5" width="20.5703125" style="1" customWidth="1"/>
    <col min="6" max="6" width="25.28515625" style="1" customWidth="1"/>
    <col min="7" max="16384" width="9.140625" style="1"/>
  </cols>
  <sheetData>
    <row r="1" spans="1:29" s="75" customFormat="1" ht="31.5" x14ac:dyDescent="0.5">
      <c r="F1" s="110" t="s">
        <v>901</v>
      </c>
      <c r="N1" s="111"/>
      <c r="P1" s="111"/>
      <c r="R1" s="111"/>
      <c r="S1" s="111"/>
      <c r="T1" s="111"/>
      <c r="U1" s="111"/>
      <c r="V1" s="111"/>
      <c r="W1" s="111"/>
      <c r="X1" s="111"/>
      <c r="Y1" s="111"/>
      <c r="Z1" s="111"/>
      <c r="AC1" s="112"/>
    </row>
    <row r="2" spans="1:29" s="75" customFormat="1" ht="66.75" customHeight="1" x14ac:dyDescent="0.5">
      <c r="D2" s="185" t="s">
        <v>891</v>
      </c>
      <c r="E2" s="185"/>
      <c r="F2" s="185"/>
      <c r="O2" s="113"/>
      <c r="P2" s="113"/>
      <c r="R2" s="113"/>
      <c r="S2" s="113"/>
      <c r="T2" s="113"/>
      <c r="U2" s="113"/>
      <c r="V2" s="113"/>
      <c r="W2" s="113"/>
      <c r="X2" s="113"/>
      <c r="Y2" s="113"/>
      <c r="Z2" s="113"/>
      <c r="AC2" s="112"/>
    </row>
    <row r="3" spans="1:29" s="75" customFormat="1" ht="31.5" x14ac:dyDescent="0.5">
      <c r="F3" s="114" t="s">
        <v>163</v>
      </c>
      <c r="O3" s="113"/>
      <c r="P3" s="113"/>
      <c r="R3" s="113"/>
      <c r="S3" s="113"/>
      <c r="T3" s="113"/>
      <c r="U3" s="113"/>
      <c r="V3" s="113"/>
      <c r="W3" s="113"/>
      <c r="X3" s="113"/>
      <c r="Y3" s="113"/>
      <c r="Z3" s="113"/>
      <c r="AC3" s="112"/>
    </row>
    <row r="4" spans="1:29" ht="35.25" customHeight="1" x14ac:dyDescent="0.35">
      <c r="C4" s="115"/>
      <c r="D4" s="189"/>
      <c r="E4" s="189"/>
      <c r="F4" s="189"/>
    </row>
    <row r="5" spans="1:29" ht="53.25" customHeight="1" x14ac:dyDescent="0.25">
      <c r="C5" s="191"/>
      <c r="D5" s="191"/>
      <c r="E5" s="191"/>
      <c r="F5" s="191"/>
    </row>
    <row r="6" spans="1:29" ht="104.25" customHeight="1" x14ac:dyDescent="0.25">
      <c r="A6" s="192" t="s">
        <v>222</v>
      </c>
      <c r="B6" s="192"/>
      <c r="C6" s="192"/>
      <c r="D6" s="192"/>
      <c r="E6" s="192"/>
      <c r="F6" s="192"/>
    </row>
    <row r="7" spans="1:29" x14ac:dyDescent="0.25">
      <c r="A7" s="193" t="s">
        <v>0</v>
      </c>
      <c r="B7" s="193" t="s">
        <v>85</v>
      </c>
      <c r="C7" s="190" t="s">
        <v>86</v>
      </c>
      <c r="D7" s="190" t="s">
        <v>223</v>
      </c>
      <c r="E7" s="190" t="s">
        <v>87</v>
      </c>
      <c r="F7" s="190" t="s">
        <v>88</v>
      </c>
    </row>
    <row r="8" spans="1:29" ht="156.75" customHeight="1" x14ac:dyDescent="0.25">
      <c r="A8" s="194"/>
      <c r="B8" s="194"/>
      <c r="C8" s="195"/>
      <c r="D8" s="190"/>
      <c r="E8" s="190"/>
      <c r="F8" s="190"/>
    </row>
    <row r="9" spans="1:29" ht="23.25" x14ac:dyDescent="0.25">
      <c r="A9" s="194"/>
      <c r="B9" s="194"/>
      <c r="C9" s="116" t="s">
        <v>89</v>
      </c>
      <c r="D9" s="116" t="s">
        <v>44</v>
      </c>
      <c r="E9" s="116" t="s">
        <v>28</v>
      </c>
      <c r="F9" s="116" t="s">
        <v>27</v>
      </c>
    </row>
    <row r="10" spans="1:29" ht="23.25" x14ac:dyDescent="0.35">
      <c r="A10" s="117">
        <v>1</v>
      </c>
      <c r="B10" s="117">
        <v>2</v>
      </c>
      <c r="C10" s="117">
        <v>3</v>
      </c>
      <c r="D10" s="117">
        <v>4</v>
      </c>
      <c r="E10" s="118">
        <v>5</v>
      </c>
      <c r="F10" s="118">
        <v>6</v>
      </c>
    </row>
    <row r="11" spans="1:29" ht="74.25" customHeight="1" x14ac:dyDescent="0.25">
      <c r="A11" s="186" t="s">
        <v>181</v>
      </c>
      <c r="B11" s="187"/>
      <c r="C11" s="187"/>
      <c r="D11" s="187"/>
      <c r="E11" s="187"/>
      <c r="F11" s="188"/>
    </row>
    <row r="12" spans="1:29" ht="23.25" x14ac:dyDescent="0.35">
      <c r="A12" s="117"/>
      <c r="B12" s="119" t="s">
        <v>582</v>
      </c>
      <c r="C12" s="120">
        <f>C13+C32</f>
        <v>43052.780000000006</v>
      </c>
      <c r="D12" s="121">
        <f t="shared" ref="D12:E12" si="0">D13+D32</f>
        <v>1783</v>
      </c>
      <c r="E12" s="122">
        <f t="shared" si="0"/>
        <v>45</v>
      </c>
      <c r="F12" s="120">
        <v>82117834.670000002</v>
      </c>
    </row>
    <row r="13" spans="1:29" ht="23.25" x14ac:dyDescent="0.35">
      <c r="A13" s="117"/>
      <c r="B13" s="123" t="s">
        <v>391</v>
      </c>
      <c r="C13" s="120">
        <f>SUM(C14:C31)</f>
        <v>33695.280000000006</v>
      </c>
      <c r="D13" s="121">
        <f t="shared" ref="D13:E13" si="1">SUM(D14:D31)</f>
        <v>1359</v>
      </c>
      <c r="E13" s="122">
        <f t="shared" si="1"/>
        <v>33</v>
      </c>
      <c r="F13" s="120">
        <v>51890376.860000007</v>
      </c>
    </row>
    <row r="14" spans="1:29" ht="23.25" x14ac:dyDescent="0.35">
      <c r="A14" s="117">
        <v>1</v>
      </c>
      <c r="B14" s="124" t="s">
        <v>132</v>
      </c>
      <c r="C14" s="125">
        <v>792.7</v>
      </c>
      <c r="D14" s="126">
        <v>42</v>
      </c>
      <c r="E14" s="126">
        <v>1</v>
      </c>
      <c r="F14" s="127">
        <v>2142518.84</v>
      </c>
    </row>
    <row r="15" spans="1:29" ht="23.25" x14ac:dyDescent="0.35">
      <c r="A15" s="117">
        <v>2</v>
      </c>
      <c r="B15" s="124" t="s">
        <v>246</v>
      </c>
      <c r="C15" s="125">
        <v>12811.8</v>
      </c>
      <c r="D15" s="126">
        <v>434</v>
      </c>
      <c r="E15" s="126">
        <v>8</v>
      </c>
      <c r="F15" s="127">
        <v>14491975.379999999</v>
      </c>
    </row>
    <row r="16" spans="1:29" ht="23.25" x14ac:dyDescent="0.35">
      <c r="A16" s="117">
        <v>3</v>
      </c>
      <c r="B16" s="124" t="s">
        <v>134</v>
      </c>
      <c r="C16" s="125">
        <v>882.3</v>
      </c>
      <c r="D16" s="126">
        <v>29</v>
      </c>
      <c r="E16" s="126">
        <v>1</v>
      </c>
      <c r="F16" s="127">
        <v>2196540.5</v>
      </c>
    </row>
    <row r="17" spans="1:6" ht="23.25" x14ac:dyDescent="0.35">
      <c r="A17" s="117">
        <v>4</v>
      </c>
      <c r="B17" s="124" t="s">
        <v>137</v>
      </c>
      <c r="C17" s="125">
        <v>1813.2</v>
      </c>
      <c r="D17" s="126">
        <v>156</v>
      </c>
      <c r="E17" s="126">
        <v>1</v>
      </c>
      <c r="F17" s="127">
        <v>5153989.53</v>
      </c>
    </row>
    <row r="18" spans="1:6" ht="23.25" x14ac:dyDescent="0.35">
      <c r="A18" s="117">
        <v>5</v>
      </c>
      <c r="B18" s="124" t="s">
        <v>138</v>
      </c>
      <c r="C18" s="125">
        <v>366.5</v>
      </c>
      <c r="D18" s="126">
        <v>13</v>
      </c>
      <c r="E18" s="126">
        <v>1</v>
      </c>
      <c r="F18" s="127">
        <v>48440.03</v>
      </c>
    </row>
    <row r="19" spans="1:6" ht="23.25" x14ac:dyDescent="0.35">
      <c r="A19" s="117">
        <v>6</v>
      </c>
      <c r="B19" s="124" t="s">
        <v>247</v>
      </c>
      <c r="C19" s="125">
        <v>872.2</v>
      </c>
      <c r="D19" s="126">
        <v>38</v>
      </c>
      <c r="E19" s="126">
        <v>2</v>
      </c>
      <c r="F19" s="127">
        <v>31767</v>
      </c>
    </row>
    <row r="20" spans="1:6" ht="23.25" x14ac:dyDescent="0.35">
      <c r="A20" s="117">
        <v>7</v>
      </c>
      <c r="B20" s="124" t="s">
        <v>141</v>
      </c>
      <c r="C20" s="125">
        <v>881.98</v>
      </c>
      <c r="D20" s="126">
        <v>48</v>
      </c>
      <c r="E20" s="126">
        <v>2</v>
      </c>
      <c r="F20" s="127">
        <v>3557815.66</v>
      </c>
    </row>
    <row r="21" spans="1:6" ht="23.25" x14ac:dyDescent="0.35">
      <c r="A21" s="117">
        <v>8</v>
      </c>
      <c r="B21" s="124" t="s">
        <v>157</v>
      </c>
      <c r="C21" s="125">
        <v>2093.1</v>
      </c>
      <c r="D21" s="126">
        <v>110</v>
      </c>
      <c r="E21" s="126">
        <v>3</v>
      </c>
      <c r="F21" s="127">
        <v>223917.22</v>
      </c>
    </row>
    <row r="22" spans="1:6" ht="23.25" x14ac:dyDescent="0.35">
      <c r="A22" s="117">
        <v>9</v>
      </c>
      <c r="B22" s="124" t="s">
        <v>144</v>
      </c>
      <c r="C22" s="125">
        <v>755.8</v>
      </c>
      <c r="D22" s="126">
        <v>20</v>
      </c>
      <c r="E22" s="126">
        <v>1</v>
      </c>
      <c r="F22" s="127">
        <v>3265341.36</v>
      </c>
    </row>
    <row r="23" spans="1:6" ht="23.25" x14ac:dyDescent="0.35">
      <c r="A23" s="117">
        <v>10</v>
      </c>
      <c r="B23" s="124" t="s">
        <v>146</v>
      </c>
      <c r="C23" s="125">
        <v>1840.2</v>
      </c>
      <c r="D23" s="126">
        <v>77</v>
      </c>
      <c r="E23" s="126">
        <v>1</v>
      </c>
      <c r="F23" s="127">
        <v>97672.62</v>
      </c>
    </row>
    <row r="24" spans="1:6" ht="23.25" x14ac:dyDescent="0.35">
      <c r="A24" s="117">
        <v>11</v>
      </c>
      <c r="B24" s="124" t="s">
        <v>248</v>
      </c>
      <c r="C24" s="125">
        <v>1621.7</v>
      </c>
      <c r="D24" s="126">
        <v>58</v>
      </c>
      <c r="E24" s="126">
        <v>3</v>
      </c>
      <c r="F24" s="127">
        <v>7637123.5900000008</v>
      </c>
    </row>
    <row r="25" spans="1:6" ht="23.25" x14ac:dyDescent="0.35">
      <c r="A25" s="117">
        <v>12</v>
      </c>
      <c r="B25" s="124" t="s">
        <v>249</v>
      </c>
      <c r="C25" s="125">
        <v>1598.9</v>
      </c>
      <c r="D25" s="126">
        <v>38</v>
      </c>
      <c r="E25" s="126">
        <v>1</v>
      </c>
      <c r="F25" s="127">
        <v>2434994.4500000002</v>
      </c>
    </row>
    <row r="26" spans="1:6" ht="23.25" x14ac:dyDescent="0.35">
      <c r="A26" s="117">
        <v>13</v>
      </c>
      <c r="B26" s="124" t="s">
        <v>152</v>
      </c>
      <c r="C26" s="125">
        <v>465</v>
      </c>
      <c r="D26" s="126">
        <v>26</v>
      </c>
      <c r="E26" s="126">
        <v>1</v>
      </c>
      <c r="F26" s="127">
        <v>89459.11</v>
      </c>
    </row>
    <row r="27" spans="1:6" ht="23.25" x14ac:dyDescent="0.35">
      <c r="A27" s="117">
        <v>14</v>
      </c>
      <c r="B27" s="124" t="s">
        <v>160</v>
      </c>
      <c r="C27" s="125">
        <v>861.5</v>
      </c>
      <c r="D27" s="126">
        <v>31</v>
      </c>
      <c r="E27" s="126">
        <v>1</v>
      </c>
      <c r="F27" s="127">
        <v>3168456.39</v>
      </c>
    </row>
    <row r="28" spans="1:6" ht="23.25" x14ac:dyDescent="0.35">
      <c r="A28" s="117">
        <v>15</v>
      </c>
      <c r="B28" s="124" t="s">
        <v>156</v>
      </c>
      <c r="C28" s="125">
        <v>2249.1999999999998</v>
      </c>
      <c r="D28" s="126">
        <v>104</v>
      </c>
      <c r="E28" s="126">
        <v>3</v>
      </c>
      <c r="F28" s="127">
        <v>4966030.97</v>
      </c>
    </row>
    <row r="29" spans="1:6" ht="23.25" x14ac:dyDescent="0.35">
      <c r="A29" s="117">
        <v>16</v>
      </c>
      <c r="B29" s="124" t="s">
        <v>155</v>
      </c>
      <c r="C29" s="125">
        <v>940.4</v>
      </c>
      <c r="D29" s="126">
        <v>26</v>
      </c>
      <c r="E29" s="126">
        <v>1</v>
      </c>
      <c r="F29" s="127">
        <v>1661171.06</v>
      </c>
    </row>
    <row r="30" spans="1:6" ht="23.25" x14ac:dyDescent="0.35">
      <c r="A30" s="117">
        <v>17</v>
      </c>
      <c r="B30" s="124" t="s">
        <v>142</v>
      </c>
      <c r="C30" s="125">
        <v>1743.7</v>
      </c>
      <c r="D30" s="126">
        <v>65</v>
      </c>
      <c r="E30" s="126">
        <v>1</v>
      </c>
      <c r="F30" s="127">
        <v>119901.4</v>
      </c>
    </row>
    <row r="31" spans="1:6" ht="23.25" x14ac:dyDescent="0.35">
      <c r="A31" s="117">
        <v>18</v>
      </c>
      <c r="B31" s="124" t="s">
        <v>140</v>
      </c>
      <c r="C31" s="125">
        <v>1105.0999999999999</v>
      </c>
      <c r="D31" s="126">
        <v>44</v>
      </c>
      <c r="E31" s="126">
        <v>1</v>
      </c>
      <c r="F31" s="127">
        <v>603261.75</v>
      </c>
    </row>
    <row r="32" spans="1:6" ht="23.25" x14ac:dyDescent="0.35">
      <c r="A32" s="117"/>
      <c r="B32" s="123" t="s">
        <v>580</v>
      </c>
      <c r="C32" s="128">
        <f>SUM(C33:C40)</f>
        <v>9357.5</v>
      </c>
      <c r="D32" s="122">
        <f t="shared" ref="D32:E32" si="2">SUM(D33:D40)</f>
        <v>424</v>
      </c>
      <c r="E32" s="122">
        <f t="shared" si="2"/>
        <v>12</v>
      </c>
      <c r="F32" s="129">
        <v>30227457.809999999</v>
      </c>
    </row>
    <row r="33" spans="1:6" ht="23.25" x14ac:dyDescent="0.35">
      <c r="A33" s="117">
        <v>1</v>
      </c>
      <c r="B33" s="124" t="s">
        <v>246</v>
      </c>
      <c r="C33" s="130">
        <v>1180.5999999999999</v>
      </c>
      <c r="D33" s="131">
        <v>60</v>
      </c>
      <c r="E33" s="126">
        <v>3</v>
      </c>
      <c r="F33" s="130">
        <v>5103149.49</v>
      </c>
    </row>
    <row r="34" spans="1:6" ht="23.25" x14ac:dyDescent="0.35">
      <c r="A34" s="117">
        <v>2</v>
      </c>
      <c r="B34" s="124" t="s">
        <v>138</v>
      </c>
      <c r="C34" s="125">
        <v>366.5</v>
      </c>
      <c r="D34" s="126">
        <v>25</v>
      </c>
      <c r="E34" s="126">
        <v>1</v>
      </c>
      <c r="F34" s="127">
        <v>1450562.89</v>
      </c>
    </row>
    <row r="35" spans="1:6" ht="23.25" x14ac:dyDescent="0.35">
      <c r="A35" s="117">
        <v>3</v>
      </c>
      <c r="B35" s="124" t="s">
        <v>247</v>
      </c>
      <c r="C35" s="125">
        <v>410.7</v>
      </c>
      <c r="D35" s="126">
        <v>25</v>
      </c>
      <c r="E35" s="126">
        <v>1</v>
      </c>
      <c r="F35" s="127">
        <v>2607490.21</v>
      </c>
    </row>
    <row r="36" spans="1:6" ht="23.25" x14ac:dyDescent="0.35">
      <c r="A36" s="117">
        <v>4</v>
      </c>
      <c r="B36" s="124" t="s">
        <v>157</v>
      </c>
      <c r="C36" s="125">
        <v>2093.1</v>
      </c>
      <c r="D36" s="126">
        <v>110</v>
      </c>
      <c r="E36" s="126">
        <v>3</v>
      </c>
      <c r="F36" s="127">
        <v>6196990.8700000001</v>
      </c>
    </row>
    <row r="37" spans="1:6" ht="23.25" x14ac:dyDescent="0.35">
      <c r="A37" s="117">
        <v>5</v>
      </c>
      <c r="B37" s="124" t="s">
        <v>146</v>
      </c>
      <c r="C37" s="125">
        <v>1840.2</v>
      </c>
      <c r="D37" s="126">
        <v>77</v>
      </c>
      <c r="E37" s="126">
        <v>1</v>
      </c>
      <c r="F37" s="127">
        <v>5538174.9500000002</v>
      </c>
    </row>
    <row r="38" spans="1:6" ht="23.25" x14ac:dyDescent="0.35">
      <c r="A38" s="117">
        <v>6</v>
      </c>
      <c r="B38" s="124" t="s">
        <v>398</v>
      </c>
      <c r="C38" s="125">
        <v>1257.7</v>
      </c>
      <c r="D38" s="126">
        <v>36</v>
      </c>
      <c r="E38" s="126">
        <v>1</v>
      </c>
      <c r="F38" s="127">
        <v>3672464.4</v>
      </c>
    </row>
    <row r="39" spans="1:6" ht="23.25" x14ac:dyDescent="0.35">
      <c r="A39" s="117">
        <v>7</v>
      </c>
      <c r="B39" s="124" t="s">
        <v>152</v>
      </c>
      <c r="C39" s="125">
        <v>465</v>
      </c>
      <c r="D39" s="126">
        <v>26</v>
      </c>
      <c r="E39" s="126">
        <v>1</v>
      </c>
      <c r="F39" s="127">
        <v>2030000</v>
      </c>
    </row>
    <row r="40" spans="1:6" ht="23.25" x14ac:dyDescent="0.35">
      <c r="A40" s="117">
        <v>8</v>
      </c>
      <c r="B40" s="124" t="s">
        <v>142</v>
      </c>
      <c r="C40" s="125">
        <v>1743.7</v>
      </c>
      <c r="D40" s="126">
        <v>65</v>
      </c>
      <c r="E40" s="126">
        <v>1</v>
      </c>
      <c r="F40" s="127">
        <v>3628625</v>
      </c>
    </row>
    <row r="41" spans="1:6" ht="72" customHeight="1" x14ac:dyDescent="0.25">
      <c r="A41" s="186" t="s">
        <v>257</v>
      </c>
      <c r="B41" s="187"/>
      <c r="C41" s="187"/>
      <c r="D41" s="187"/>
      <c r="E41" s="187"/>
      <c r="F41" s="188"/>
    </row>
    <row r="42" spans="1:6" ht="23.25" x14ac:dyDescent="0.35">
      <c r="A42" s="117"/>
      <c r="B42" s="132" t="s">
        <v>224</v>
      </c>
      <c r="C42" s="130">
        <f>SUM(C43:C74)</f>
        <v>301139.77999999997</v>
      </c>
      <c r="D42" s="131">
        <f>SUM(D43:D74)</f>
        <v>12523</v>
      </c>
      <c r="E42" s="133">
        <f>SUM(E43:E74)</f>
        <v>121</v>
      </c>
      <c r="F42" s="130">
        <v>44427726.450000018</v>
      </c>
    </row>
    <row r="43" spans="1:6" ht="23.25" x14ac:dyDescent="0.35">
      <c r="A43" s="117">
        <v>1</v>
      </c>
      <c r="B43" s="124" t="s">
        <v>132</v>
      </c>
      <c r="C43" s="125">
        <v>13682.619999999999</v>
      </c>
      <c r="D43" s="131">
        <v>744</v>
      </c>
      <c r="E43" s="133">
        <v>6</v>
      </c>
      <c r="F43" s="127">
        <v>3081201.1499999994</v>
      </c>
    </row>
    <row r="44" spans="1:6" ht="23.25" x14ac:dyDescent="0.35">
      <c r="A44" s="117">
        <v>2</v>
      </c>
      <c r="B44" s="124" t="s">
        <v>133</v>
      </c>
      <c r="C44" s="125">
        <v>4101.7</v>
      </c>
      <c r="D44" s="131">
        <v>111</v>
      </c>
      <c r="E44" s="133">
        <v>1</v>
      </c>
      <c r="F44" s="127">
        <v>418959.01</v>
      </c>
    </row>
    <row r="45" spans="1:6" ht="23.25" x14ac:dyDescent="0.35">
      <c r="A45" s="117">
        <v>3</v>
      </c>
      <c r="B45" s="124" t="s">
        <v>134</v>
      </c>
      <c r="C45" s="125">
        <v>2327.5</v>
      </c>
      <c r="D45" s="131">
        <v>106</v>
      </c>
      <c r="E45" s="133">
        <v>3</v>
      </c>
      <c r="F45" s="127">
        <v>34418.18</v>
      </c>
    </row>
    <row r="46" spans="1:6" ht="23.25" x14ac:dyDescent="0.35">
      <c r="A46" s="117">
        <v>4</v>
      </c>
      <c r="B46" s="124" t="s">
        <v>246</v>
      </c>
      <c r="C46" s="125">
        <v>28928.739999999998</v>
      </c>
      <c r="D46" s="131">
        <v>1177</v>
      </c>
      <c r="E46" s="133">
        <v>16</v>
      </c>
      <c r="F46" s="127">
        <v>1937425.3199999998</v>
      </c>
    </row>
    <row r="47" spans="1:6" ht="23.25" x14ac:dyDescent="0.35">
      <c r="A47" s="117">
        <v>5</v>
      </c>
      <c r="B47" s="124" t="s">
        <v>137</v>
      </c>
      <c r="C47" s="125">
        <v>14909.5</v>
      </c>
      <c r="D47" s="131">
        <v>477</v>
      </c>
      <c r="E47" s="133">
        <v>7</v>
      </c>
      <c r="F47" s="127">
        <v>2682931.6799999997</v>
      </c>
    </row>
    <row r="48" spans="1:6" ht="23.25" x14ac:dyDescent="0.35">
      <c r="A48" s="117">
        <v>6</v>
      </c>
      <c r="B48" s="124" t="s">
        <v>136</v>
      </c>
      <c r="C48" s="125">
        <v>3874.7000000000003</v>
      </c>
      <c r="D48" s="131">
        <v>141</v>
      </c>
      <c r="E48" s="133">
        <v>4</v>
      </c>
      <c r="F48" s="127">
        <v>3091318.25</v>
      </c>
    </row>
    <row r="49" spans="1:6" ht="23.25" x14ac:dyDescent="0.35">
      <c r="A49" s="117">
        <v>7</v>
      </c>
      <c r="B49" s="124" t="s">
        <v>157</v>
      </c>
      <c r="C49" s="125">
        <v>53886.020000000004</v>
      </c>
      <c r="D49" s="131">
        <v>1709</v>
      </c>
      <c r="E49" s="133">
        <v>26</v>
      </c>
      <c r="F49" s="127">
        <v>9367918.0500000007</v>
      </c>
    </row>
    <row r="50" spans="1:6" ht="23.25" x14ac:dyDescent="0.35">
      <c r="A50" s="117">
        <v>8</v>
      </c>
      <c r="B50" s="124" t="s">
        <v>382</v>
      </c>
      <c r="C50" s="125">
        <v>47621.47</v>
      </c>
      <c r="D50" s="131">
        <v>2263</v>
      </c>
      <c r="E50" s="133">
        <v>15</v>
      </c>
      <c r="F50" s="127">
        <v>5316085.62</v>
      </c>
    </row>
    <row r="51" spans="1:6" ht="23.25" x14ac:dyDescent="0.35">
      <c r="A51" s="117">
        <v>9</v>
      </c>
      <c r="B51" s="124" t="s">
        <v>383</v>
      </c>
      <c r="C51" s="125">
        <v>45795.1</v>
      </c>
      <c r="D51" s="131">
        <v>2257</v>
      </c>
      <c r="E51" s="133">
        <v>6</v>
      </c>
      <c r="F51" s="127">
        <v>1550578.68</v>
      </c>
    </row>
    <row r="52" spans="1:6" ht="23.25" x14ac:dyDescent="0.35">
      <c r="A52" s="117">
        <v>10</v>
      </c>
      <c r="B52" s="124" t="s">
        <v>135</v>
      </c>
      <c r="C52" s="125">
        <v>6959.2</v>
      </c>
      <c r="D52" s="131">
        <v>259</v>
      </c>
      <c r="E52" s="133">
        <v>2</v>
      </c>
      <c r="F52" s="127">
        <v>3231773.15</v>
      </c>
    </row>
    <row r="53" spans="1:6" ht="23.25" x14ac:dyDescent="0.35">
      <c r="A53" s="117">
        <v>11</v>
      </c>
      <c r="B53" s="124" t="s">
        <v>384</v>
      </c>
      <c r="C53" s="125">
        <v>1317.6</v>
      </c>
      <c r="D53" s="131">
        <v>50</v>
      </c>
      <c r="E53" s="133">
        <v>2</v>
      </c>
      <c r="F53" s="127">
        <v>35323.410000000003</v>
      </c>
    </row>
    <row r="54" spans="1:6" ht="23.25" x14ac:dyDescent="0.35">
      <c r="A54" s="117">
        <v>12</v>
      </c>
      <c r="B54" s="124" t="s">
        <v>161</v>
      </c>
      <c r="C54" s="125">
        <v>3121</v>
      </c>
      <c r="D54" s="131">
        <v>171</v>
      </c>
      <c r="E54" s="133">
        <v>1</v>
      </c>
      <c r="F54" s="127">
        <v>778244.79</v>
      </c>
    </row>
    <row r="55" spans="1:6" ht="23.25" x14ac:dyDescent="0.35">
      <c r="A55" s="117">
        <v>13</v>
      </c>
      <c r="B55" s="124" t="s">
        <v>150</v>
      </c>
      <c r="C55" s="125">
        <v>9754.2199999999993</v>
      </c>
      <c r="D55" s="131">
        <v>354</v>
      </c>
      <c r="E55" s="133">
        <v>5</v>
      </c>
      <c r="F55" s="127">
        <v>1856585.2200000002</v>
      </c>
    </row>
    <row r="56" spans="1:6" ht="23.25" x14ac:dyDescent="0.35">
      <c r="A56" s="117">
        <v>14</v>
      </c>
      <c r="B56" s="124" t="s">
        <v>140</v>
      </c>
      <c r="C56" s="125">
        <v>5085.1000000000004</v>
      </c>
      <c r="D56" s="131">
        <v>199</v>
      </c>
      <c r="E56" s="133">
        <v>1</v>
      </c>
      <c r="F56" s="127">
        <v>425208.96</v>
      </c>
    </row>
    <row r="57" spans="1:6" ht="23.25" x14ac:dyDescent="0.35">
      <c r="A57" s="117">
        <v>15</v>
      </c>
      <c r="B57" s="124" t="s">
        <v>141</v>
      </c>
      <c r="C57" s="125">
        <v>4174.76</v>
      </c>
      <c r="D57" s="131">
        <v>92</v>
      </c>
      <c r="E57" s="133">
        <v>2</v>
      </c>
      <c r="F57" s="127">
        <v>243092.59999999998</v>
      </c>
    </row>
    <row r="58" spans="1:6" ht="23.25" x14ac:dyDescent="0.35">
      <c r="A58" s="117">
        <v>16</v>
      </c>
      <c r="B58" s="124" t="s">
        <v>148</v>
      </c>
      <c r="C58" s="125">
        <v>15972.619999999999</v>
      </c>
      <c r="D58" s="131">
        <v>615</v>
      </c>
      <c r="E58" s="133">
        <v>2</v>
      </c>
      <c r="F58" s="127">
        <v>1988549.43</v>
      </c>
    </row>
    <row r="59" spans="1:6" ht="23.25" x14ac:dyDescent="0.35">
      <c r="A59" s="117">
        <v>17</v>
      </c>
      <c r="B59" s="124" t="s">
        <v>149</v>
      </c>
      <c r="C59" s="125">
        <v>3408</v>
      </c>
      <c r="D59" s="131">
        <v>189</v>
      </c>
      <c r="E59" s="133">
        <v>3</v>
      </c>
      <c r="F59" s="127">
        <v>654592.74</v>
      </c>
    </row>
    <row r="60" spans="1:6" ht="23.25" x14ac:dyDescent="0.35">
      <c r="A60" s="117">
        <v>18</v>
      </c>
      <c r="B60" s="124" t="s">
        <v>160</v>
      </c>
      <c r="C60" s="125">
        <v>677.1</v>
      </c>
      <c r="D60" s="131">
        <v>37</v>
      </c>
      <c r="E60" s="133">
        <v>1</v>
      </c>
      <c r="F60" s="127">
        <v>39585</v>
      </c>
    </row>
    <row r="61" spans="1:6" ht="23.25" x14ac:dyDescent="0.35">
      <c r="A61" s="117">
        <v>19</v>
      </c>
      <c r="B61" s="124" t="s">
        <v>139</v>
      </c>
      <c r="C61" s="125">
        <v>805.6</v>
      </c>
      <c r="D61" s="131">
        <v>44</v>
      </c>
      <c r="E61" s="133">
        <v>1</v>
      </c>
      <c r="F61" s="127">
        <v>275468.56</v>
      </c>
    </row>
    <row r="62" spans="1:6" ht="23.25" x14ac:dyDescent="0.35">
      <c r="A62" s="117">
        <v>20</v>
      </c>
      <c r="B62" s="124" t="s">
        <v>158</v>
      </c>
      <c r="C62" s="125">
        <v>1423.3</v>
      </c>
      <c r="D62" s="131">
        <v>37</v>
      </c>
      <c r="E62" s="133">
        <v>1</v>
      </c>
      <c r="F62" s="127">
        <v>50753.95</v>
      </c>
    </row>
    <row r="63" spans="1:6" ht="23.25" x14ac:dyDescent="0.35">
      <c r="A63" s="117">
        <v>21</v>
      </c>
      <c r="B63" s="124" t="s">
        <v>159</v>
      </c>
      <c r="C63" s="125">
        <v>13349.95</v>
      </c>
      <c r="D63" s="131">
        <v>640</v>
      </c>
      <c r="E63" s="133">
        <v>4</v>
      </c>
      <c r="F63" s="127">
        <v>109537.78</v>
      </c>
    </row>
    <row r="64" spans="1:6" ht="23.25" x14ac:dyDescent="0.35">
      <c r="A64" s="117">
        <v>22</v>
      </c>
      <c r="B64" s="124" t="s">
        <v>250</v>
      </c>
      <c r="C64" s="125">
        <v>418.1</v>
      </c>
      <c r="D64" s="131">
        <v>12</v>
      </c>
      <c r="E64" s="133">
        <v>1</v>
      </c>
      <c r="F64" s="127">
        <v>222759.59</v>
      </c>
    </row>
    <row r="65" spans="1:6" ht="23.25" x14ac:dyDescent="0.35">
      <c r="A65" s="117">
        <v>23</v>
      </c>
      <c r="B65" s="124" t="s">
        <v>162</v>
      </c>
      <c r="C65" s="125">
        <v>344.6</v>
      </c>
      <c r="D65" s="131">
        <v>15</v>
      </c>
      <c r="E65" s="133">
        <v>1</v>
      </c>
      <c r="F65" s="127">
        <v>137654.99000000002</v>
      </c>
    </row>
    <row r="66" spans="1:6" ht="23.25" x14ac:dyDescent="0.35">
      <c r="A66" s="117">
        <v>24</v>
      </c>
      <c r="B66" s="124" t="s">
        <v>143</v>
      </c>
      <c r="C66" s="125">
        <v>3508.9</v>
      </c>
      <c r="D66" s="131">
        <v>145</v>
      </c>
      <c r="E66" s="133">
        <v>1</v>
      </c>
      <c r="F66" s="127">
        <v>894902.36</v>
      </c>
    </row>
    <row r="67" spans="1:6" ht="23.25" x14ac:dyDescent="0.35">
      <c r="A67" s="117">
        <v>25</v>
      </c>
      <c r="B67" s="124" t="s">
        <v>147</v>
      </c>
      <c r="C67" s="125">
        <v>719.4</v>
      </c>
      <c r="D67" s="131">
        <v>30</v>
      </c>
      <c r="E67" s="133">
        <v>1</v>
      </c>
      <c r="F67" s="127">
        <v>40586.949999999997</v>
      </c>
    </row>
    <row r="68" spans="1:6" ht="23.25" x14ac:dyDescent="0.35">
      <c r="A68" s="117">
        <v>26</v>
      </c>
      <c r="B68" s="124" t="s">
        <v>154</v>
      </c>
      <c r="C68" s="125">
        <v>930</v>
      </c>
      <c r="D68" s="131">
        <v>45</v>
      </c>
      <c r="E68" s="133">
        <v>1</v>
      </c>
      <c r="F68" s="127">
        <v>39622.869999999995</v>
      </c>
    </row>
    <row r="69" spans="1:6" ht="23.25" x14ac:dyDescent="0.35">
      <c r="A69" s="117">
        <v>27</v>
      </c>
      <c r="B69" s="124" t="s">
        <v>142</v>
      </c>
      <c r="C69" s="125">
        <v>5432.4</v>
      </c>
      <c r="D69" s="131">
        <v>181</v>
      </c>
      <c r="E69" s="133">
        <v>1</v>
      </c>
      <c r="F69" s="127">
        <v>1045972.2</v>
      </c>
    </row>
    <row r="70" spans="1:6" ht="23.25" x14ac:dyDescent="0.35">
      <c r="A70" s="117">
        <v>28</v>
      </c>
      <c r="B70" s="124" t="s">
        <v>145</v>
      </c>
      <c r="C70" s="125">
        <v>1000</v>
      </c>
      <c r="D70" s="131">
        <v>54</v>
      </c>
      <c r="E70" s="133">
        <v>2</v>
      </c>
      <c r="F70" s="127">
        <v>155656.99</v>
      </c>
    </row>
    <row r="71" spans="1:6" ht="23.25" x14ac:dyDescent="0.35">
      <c r="A71" s="117">
        <v>29</v>
      </c>
      <c r="B71" s="124" t="s">
        <v>247</v>
      </c>
      <c r="C71" s="125">
        <v>1707.6</v>
      </c>
      <c r="D71" s="131">
        <v>83</v>
      </c>
      <c r="E71" s="133">
        <v>1</v>
      </c>
      <c r="F71" s="127">
        <v>5309.7</v>
      </c>
    </row>
    <row r="72" spans="1:6" ht="23.25" x14ac:dyDescent="0.35">
      <c r="A72" s="117">
        <v>30</v>
      </c>
      <c r="B72" s="124" t="s">
        <v>151</v>
      </c>
      <c r="C72" s="125">
        <v>773.3</v>
      </c>
      <c r="D72" s="131">
        <v>25</v>
      </c>
      <c r="E72" s="133">
        <v>1</v>
      </c>
      <c r="F72" s="127">
        <v>188216.53</v>
      </c>
    </row>
    <row r="73" spans="1:6" ht="23.25" x14ac:dyDescent="0.35">
      <c r="A73" s="117">
        <v>31</v>
      </c>
      <c r="B73" s="124" t="s">
        <v>153</v>
      </c>
      <c r="C73" s="125">
        <v>3094.98</v>
      </c>
      <c r="D73" s="131">
        <v>157</v>
      </c>
      <c r="E73" s="133">
        <v>1</v>
      </c>
      <c r="F73" s="127">
        <v>29122.38</v>
      </c>
    </row>
    <row r="74" spans="1:6" ht="23.25" x14ac:dyDescent="0.35">
      <c r="A74" s="117">
        <v>32</v>
      </c>
      <c r="B74" s="124" t="s">
        <v>152</v>
      </c>
      <c r="C74" s="125">
        <v>2034.7</v>
      </c>
      <c r="D74" s="131">
        <v>104</v>
      </c>
      <c r="E74" s="133">
        <v>1</v>
      </c>
      <c r="F74" s="127">
        <v>4917329.37</v>
      </c>
    </row>
  </sheetData>
  <mergeCells count="12">
    <mergeCell ref="D2:F2"/>
    <mergeCell ref="A41:F41"/>
    <mergeCell ref="D4:F4"/>
    <mergeCell ref="F7:F8"/>
    <mergeCell ref="A11:F11"/>
    <mergeCell ref="C5:F5"/>
    <mergeCell ref="A6:F6"/>
    <mergeCell ref="A7:A9"/>
    <mergeCell ref="B7:B9"/>
    <mergeCell ref="C7:C8"/>
    <mergeCell ref="D7:D8"/>
    <mergeCell ref="E7:E8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  <vt:lpstr>'Спец.счета КП 2020-2022'!Область_печати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Екатерина Александровна Бутылина</cp:lastModifiedBy>
  <cp:lastPrinted>2021-02-04T15:32:58Z</cp:lastPrinted>
  <dcterms:created xsi:type="dcterms:W3CDTF">2019-03-21T15:19:46Z</dcterms:created>
  <dcterms:modified xsi:type="dcterms:W3CDTF">2021-02-24T11:52:38Z</dcterms:modified>
</cp:coreProperties>
</file>